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 codeName="{1AED2BDD-1FA3-CEF2-32D4-FBADEFEB71EE}"/>
  <workbookPr filterPrivacy="1" showInkAnnotation="0" codeName="ThisWorkbook" defaultThemeVersion="124226"/>
  <xr:revisionPtr revIDLastSave="0" documentId="13_ncr:1_{45CB2F11-ADE8-4CB1-A743-0A7DA9532DE9}" xr6:coauthVersionLast="44" xr6:coauthVersionMax="44" xr10:uidLastSave="{00000000-0000-0000-0000-000000000000}"/>
  <bookViews>
    <workbookView xWindow="25080" yWindow="-120" windowWidth="21840" windowHeight="13740" tabRatio="734" xr2:uid="{00000000-000D-0000-FFFF-FFFF00000000}"/>
  </bookViews>
  <sheets>
    <sheet name="Cover" sheetId="12" r:id="rId1"/>
    <sheet name="Inputs &amp; Results" sheetId="1" r:id="rId2"/>
    <sheet name="All Equity Partnership Flip" sheetId="8" r:id="rId3"/>
    <sheet name="Leveraged Partnership Flip" sheetId="2" r:id="rId4"/>
    <sheet name="Sale Leaseback" sheetId="10" r:id="rId5"/>
    <sheet name="Single Owner" sheetId="7" r:id="rId6"/>
    <sheet name="Depreciation Schedules" sheetId="4" r:id="rId7"/>
  </sheets>
  <definedNames>
    <definedName name="AEPFFlipTarget">'Inputs &amp; Results'!$B$239</definedName>
    <definedName name="AEPFFlipTargetYear">'Inputs &amp; Results'!$B$240</definedName>
    <definedName name="AEPFInstalledCostTotal">'Inputs &amp; Results'!$B$188</definedName>
    <definedName name="AEPFPPAPrice">'Inputs &amp; Results'!$B$81</definedName>
    <definedName name="AEPFPPAPriceEsc">'Inputs &amp; Results'!$B$82</definedName>
    <definedName name="AEPFTEInvestment">'Inputs &amp; Results'!$B$209</definedName>
    <definedName name="AEPFTEPostFlipCash">'Inputs &amp; Results'!$B$221</definedName>
    <definedName name="AEPFTEPostFlipTax">'Inputs &amp; Results'!$B$228</definedName>
    <definedName name="AEPFTEPreFlipCash">'Inputs &amp; Results'!$B$220</definedName>
    <definedName name="AEPFTEPreFlipTax">'Inputs &amp; Results'!$B$227</definedName>
    <definedName name="AEPFWC">'Inputs &amp; Results'!$B$166</definedName>
    <definedName name="AnalysisPeriod">'Inputs &amp; Results'!$F$12</definedName>
    <definedName name="BOP">'Inputs &amp; Results'!$B$5</definedName>
    <definedName name="CapacityAC">'Inputs &amp; Results'!$F$9</definedName>
    <definedName name="CapacityConversion">'Inputs &amp; Results'!$F$8</definedName>
    <definedName name="CapacityDC">'Inputs &amp; Results'!$F$7</definedName>
    <definedName name="CapitalRecoveryDuration">'Inputs &amp; Results'!$B$216</definedName>
    <definedName name="CapitalRecoveryMethod">'Inputs &amp; Results'!$B$215</definedName>
    <definedName name="CBIFed">'Inputs &amp; Results'!$B$65</definedName>
    <definedName name="CBIFedFedDeprec">'Inputs &amp; Results'!$K$65</definedName>
    <definedName name="CBIFedFedTax">'Inputs &amp; Results'!$I$65</definedName>
    <definedName name="CBIFedStateDeprec">'Inputs &amp; Results'!$L$65</definedName>
    <definedName name="CBIFedStateTax">'Inputs &amp; Results'!$J$65</definedName>
    <definedName name="CBIOther">'Inputs &amp; Results'!$B$68</definedName>
    <definedName name="CBIOtherFedDeprec">'Inputs &amp; Results'!$K$68</definedName>
    <definedName name="CBIOtherFedTax">'Inputs &amp; Results'!$I$68</definedName>
    <definedName name="CBIOtherStateDeprec">'Inputs &amp; Results'!$L$68</definedName>
    <definedName name="CBIOtherStateTax">'Inputs &amp; Results'!$J$68</definedName>
    <definedName name="CBIState">'Inputs &amp; Results'!$B$66</definedName>
    <definedName name="CBIStateFedDeprec">'Inputs &amp; Results'!$K$66</definedName>
    <definedName name="CBIStateFedTax">'Inputs &amp; Results'!$I$66</definedName>
    <definedName name="CBIStateStateDeprec">'Inputs &amp; Results'!$L$66</definedName>
    <definedName name="CBIStateStateTax">'Inputs &amp; Results'!$J$66</definedName>
    <definedName name="CBIUtility">'Inputs &amp; Results'!$B$67</definedName>
    <definedName name="CBIUtilityFedDeprec">'Inputs &amp; Results'!$K$67</definedName>
    <definedName name="CBIUtilityFedTax">'Inputs &amp; Results'!$I$67</definedName>
    <definedName name="CBIUtilityStateDeprec">'Inputs &amp; Results'!$L$67</definedName>
    <definedName name="CBIUtilityStateTax">'Inputs &amp; Results'!$J$67</definedName>
    <definedName name="ContingencyCost">'Inputs &amp; Results'!$B$10</definedName>
    <definedName name="DevCost">'Inputs &amp; Results'!$B$13</definedName>
    <definedName name="DiscountRate">'Inputs &amp; Results'!$F$14</definedName>
    <definedName name="FedBasisReduction">'Inputs &amp; Results'!$K$70</definedName>
    <definedName name="FedBonusDeprec">'Inputs &amp; Results'!$B$273</definedName>
    <definedName name="FedPTCAmount">'Inputs &amp; Results'!$B$42</definedName>
    <definedName name="FedPTCTerm">'Inputs &amp; Results'!$C$42</definedName>
    <definedName name="FedTax">'Inputs &amp; Results'!$J$3</definedName>
    <definedName name="GenerationEquipment">'Inputs &amp; Results'!$B$4</definedName>
    <definedName name="IBIFedFixed">'Inputs &amp; Results'!$B$55</definedName>
    <definedName name="IBIFedFixedFedDeprec">'Inputs &amp; Results'!$K$55</definedName>
    <definedName name="IBIFedFixedFedTax">'Inputs &amp; Results'!$I$55</definedName>
    <definedName name="IBIFedFixedStateDeprec">'Inputs &amp; Results'!$L$55</definedName>
    <definedName name="IBIFedFixedStateTax">'Inputs &amp; Results'!$J$55</definedName>
    <definedName name="IBIFedPercent">'Inputs &amp; Results'!$B$60</definedName>
    <definedName name="IBIFedPercentFedDeprec">'Inputs &amp; Results'!$K$60</definedName>
    <definedName name="IBIFedPercentFedTax">'Inputs &amp; Results'!$I$60</definedName>
    <definedName name="IBIFedPercentStateDeprec">'Inputs &amp; Results'!$L$60</definedName>
    <definedName name="IBIFedPercentStateTax">'Inputs &amp; Results'!$J$60</definedName>
    <definedName name="IBIOtherFixed">'Inputs &amp; Results'!$B$58</definedName>
    <definedName name="IBIOtherFixedFedDeprec">'Inputs &amp; Results'!$K$58</definedName>
    <definedName name="IBIOtherFixedFedTax">'Inputs &amp; Results'!$I$58</definedName>
    <definedName name="IBIOtherFixedStateDeprec">'Inputs &amp; Results'!$L$58</definedName>
    <definedName name="IBIOtherFixedStateTax">'Inputs &amp; Results'!$J$58</definedName>
    <definedName name="IBIOtherPercent">'Inputs &amp; Results'!$B$63</definedName>
    <definedName name="IBIOtherPercentFedDeprec">'Inputs &amp; Results'!$K$63</definedName>
    <definedName name="IBIOtherPercentFedTax">'Inputs &amp; Results'!$I$63</definedName>
    <definedName name="IBIOtherPercentStateDeprec">'Inputs &amp; Results'!$L$63</definedName>
    <definedName name="IBIOtherPercentStateTax">'Inputs &amp; Results'!$J$63</definedName>
    <definedName name="IBIStateFixed">'Inputs &amp; Results'!$B$56</definedName>
    <definedName name="IBIStateFixedFedDeprec">'Inputs &amp; Results'!$K$56</definedName>
    <definedName name="IBIStateFixedFedTax">'Inputs &amp; Results'!$I$56</definedName>
    <definedName name="IBIStateFixedStateDeprec">'Inputs &amp; Results'!$L$56</definedName>
    <definedName name="IBIStateFixedStateTax">'Inputs &amp; Results'!$J$56</definedName>
    <definedName name="IBIStatePercent">'Inputs &amp; Results'!$B$61</definedName>
    <definedName name="IBIStatePercentFedDeprec">'Inputs &amp; Results'!$K$61</definedName>
    <definedName name="IBIStatePercentFedTax">'Inputs &amp; Results'!$I$61</definedName>
    <definedName name="IBIStatePercentStateDeprec">'Inputs &amp; Results'!$L$61</definedName>
    <definedName name="IBIStatePercentStateTax">'Inputs &amp; Results'!$J$61</definedName>
    <definedName name="IBIUtilityFixed">'Inputs &amp; Results'!$B$57</definedName>
    <definedName name="IBIUtilityFixedFedDeprec">'Inputs &amp; Results'!$K$57</definedName>
    <definedName name="IBIUtilityFixedFedTax">'Inputs &amp; Results'!$I$57</definedName>
    <definedName name="IBIUtilityFixedStateDeprec">'Inputs &amp; Results'!$L$57</definedName>
    <definedName name="IBIUtilityFixedStateTax">'Inputs &amp; Results'!$J$57</definedName>
    <definedName name="IBIUtilityPercent">'Inputs &amp; Results'!$B$62</definedName>
    <definedName name="IBIUtilityPercentFedDeprec">'Inputs &amp; Results'!$K$62</definedName>
    <definedName name="IBIUtilityPercentFedTax">'Inputs &amp; Results'!$I$62</definedName>
    <definedName name="IBIUtilityPercentStateDeprec">'Inputs &amp; Results'!$L$62</definedName>
    <definedName name="IBIUtilityPercentStateTax">'Inputs &amp; Results'!$J$62</definedName>
    <definedName name="Inflation">'Inputs &amp; Results'!$F$13</definedName>
    <definedName name="InterestOnReserves">'Inputs &amp; Results'!$F$15</definedName>
    <definedName name="ITCFedFixed">'Inputs &amp; Results'!$B$34</definedName>
    <definedName name="ITCFedFixedFedDeprec">'Inputs &amp; Results'!$D$34</definedName>
    <definedName name="ITCFedFixedStateDeprec">'Inputs &amp; Results'!$E$34</definedName>
    <definedName name="ITCFedMax">'Inputs &amp; Results'!$C$38</definedName>
    <definedName name="ITCFedPercent">'Inputs &amp; Results'!$B$38</definedName>
    <definedName name="ITCFedPercentFedDeprec">'Inputs &amp; Results'!$D$38</definedName>
    <definedName name="ITCFedPercentStateDeprec">'Inputs &amp; Results'!$E$38</definedName>
    <definedName name="ITCStateFixed">'Inputs &amp; Results'!$B$35</definedName>
    <definedName name="ITCStateFixedFedDeprec">'Inputs &amp; Results'!$D$35</definedName>
    <definedName name="ITCStateFixedStateDeprec">'Inputs &amp; Results'!$E$35</definedName>
    <definedName name="ITCStateMax">'Inputs &amp; Results'!$C$39</definedName>
    <definedName name="ITCStatePercent">'Inputs &amp; Results'!$B$39</definedName>
    <definedName name="ITCStatePercentFedDeprec">'Inputs &amp; Results'!$D$39</definedName>
    <definedName name="ITCStatePercentStateDeprec">'Inputs &amp; Results'!$E$39</definedName>
    <definedName name="LandImprovements">'Inputs &amp; Results'!$B$14</definedName>
    <definedName name="LeaseReserveMonths">'Inputs &amp; Results'!$D$237</definedName>
    <definedName name="LeveragedFlipPPAPrice">'Inputs &amp; Results'!$C$81</definedName>
    <definedName name="LeveragedFlipPPAPriceEsc">'Inputs &amp; Results'!$C$82</definedName>
    <definedName name="LPFDebtAmount">'Inputs &amp; Results'!$C$146</definedName>
    <definedName name="LPFDebtRate">'Inputs &amp; Results'!$C$161</definedName>
    <definedName name="LPFDebtStructure">'Inputs &amp; Results'!$C$145</definedName>
    <definedName name="LPFDebtSwitch">'Inputs &amp; Results'!$C$144</definedName>
    <definedName name="LPFDebtTerm">'Inputs &amp; Results'!$C$160</definedName>
    <definedName name="LPFDSCR">'Inputs &amp; Results'!$C$157</definedName>
    <definedName name="LPFDSRASize">'Inputs &amp; Results'!$C$162</definedName>
    <definedName name="LPFFlipTarget">'Inputs &amp; Results'!$C$239</definedName>
    <definedName name="LPFFlipTargetYear">'Inputs &amp; Results'!$C$240</definedName>
    <definedName name="LPFInstalledCostTotal">'Inputs &amp; Results'!$C$188</definedName>
    <definedName name="LPFMortgageAmount">'Inputs &amp; Results'!$C$154</definedName>
    <definedName name="LPFTEInvestment">'Inputs &amp; Results'!$C$209</definedName>
    <definedName name="LPFTEPostFlipCash">'Inputs &amp; Results'!$C$221</definedName>
    <definedName name="LPFTEPostFlipTax">'Inputs &amp; Results'!$C$228</definedName>
    <definedName name="LPFTEPreFlipCash">'Inputs &amp; Results'!$C$220</definedName>
    <definedName name="LPFTEPreFlipTax">'Inputs &amp; Results'!$C$227</definedName>
    <definedName name="LPFWC">'Inputs &amp; Results'!$C$166</definedName>
    <definedName name="MMCost">'Inputs &amp; Results'!$J$16</definedName>
    <definedName name="MMCost2">'Inputs &amp; Results'!$J$20</definedName>
    <definedName name="MMCost3">'Inputs &amp; Results'!$J$24</definedName>
    <definedName name="MMFedTaxTreatment">'Inputs &amp; Results'!$J$29</definedName>
    <definedName name="MMFrequency">'Inputs &amp; Results'!$J$18</definedName>
    <definedName name="MMFrequency2">'Inputs &amp; Results'!$J$22</definedName>
    <definedName name="MMFrequency3">'Inputs &amp; Results'!$J$26</definedName>
    <definedName name="MMStateTaxTreatment">'Inputs &amp; Results'!$J$28</definedName>
    <definedName name="NetworkUpgrades">'Inputs &amp; Results'!$B$6</definedName>
    <definedName name="OMCapacity">'Inputs &amp; Results'!$F$22</definedName>
    <definedName name="OMCapacityRealEsc">'Inputs &amp; Results'!$F$23</definedName>
    <definedName name="OMFixedAnnual">'Inputs &amp; Results'!$F$19</definedName>
    <definedName name="OMFixedAnnualRealEsc">'Inputs &amp; Results'!$F$20</definedName>
    <definedName name="OMVariable">'Inputs &amp; Results'!$F$25</definedName>
    <definedName name="OMVariableRealEsc">'Inputs &amp; Results'!$F$26</definedName>
    <definedName name="Other">'Inputs &amp; Results'!$B$15</definedName>
    <definedName name="PBIFed">'Inputs &amp; Results'!$D$72</definedName>
    <definedName name="PBIFedDebtSwitch">'Inputs &amp; Results'!$M$72</definedName>
    <definedName name="PBIFedEsc">'Inputs &amp; Results'!$H$72</definedName>
    <definedName name="PBIFedFedTax">'Inputs &amp; Results'!$I$72</definedName>
    <definedName name="PBIFedStateTax">'Inputs &amp; Results'!$J$72</definedName>
    <definedName name="PBIFedTerm">'Inputs &amp; Results'!$G$72</definedName>
    <definedName name="PBIOther">'Inputs &amp; Results'!$D$75</definedName>
    <definedName name="PBIOtherDebtSwitch">'Inputs &amp; Results'!$M$75</definedName>
    <definedName name="PBIOtherEsc">'Inputs &amp; Results'!$H$75</definedName>
    <definedName name="PBIOtherFedTax">'Inputs &amp; Results'!$I$75</definedName>
    <definedName name="PBIOtherStateTax">'Inputs &amp; Results'!$J$75</definedName>
    <definedName name="PBIOtherTerm">'Inputs &amp; Results'!$G$75</definedName>
    <definedName name="PBIState">'Inputs &amp; Results'!$D$73</definedName>
    <definedName name="PBIStateDebtSwitch">'Inputs &amp; Results'!$M$73</definedName>
    <definedName name="PBIStateEsc">'Inputs &amp; Results'!$H$73</definedName>
    <definedName name="PBIStateFedTax">'Inputs &amp; Results'!$I$73</definedName>
    <definedName name="PBIStateStateTax">'Inputs &amp; Results'!$J$73</definedName>
    <definedName name="PBIStateTerm">'Inputs &amp; Results'!$G$73</definedName>
    <definedName name="PBIUtility">'Inputs &amp; Results'!$D$74</definedName>
    <definedName name="PBIUtilityDebtSwitch">'Inputs &amp; Results'!$M$74</definedName>
    <definedName name="PBIUtilityEsc">'Inputs &amp; Results'!$H$74</definedName>
    <definedName name="PBIUtilityFedTax">'Inputs &amp; Results'!$I$74</definedName>
    <definedName name="PBIUtilityStateTax">'Inputs &amp; Results'!$J$74</definedName>
    <definedName name="PBIUtilityTerm">'Inputs &amp; Results'!$G$74</definedName>
    <definedName name="PreFinancingInstalledCostTotal">'Inputs &amp; Results'!$B$21</definedName>
    <definedName name="_xlnm.Print_Area" localSheetId="1">'Inputs &amp; Results'!$A$1:$O$75,'Inputs &amp; Results'!$A$77:$K$297</definedName>
    <definedName name="_xlnm.Print_Titles" localSheetId="2">'All Equity Partnership Flip'!$A:$A,'All Equity Partnership Flip'!$1:$2</definedName>
    <definedName name="_xlnm.Print_Titles" localSheetId="3">'Leveraged Partnership Flip'!$A:$A,'Leveraged Partnership Flip'!$1:$2</definedName>
    <definedName name="_xlnm.Print_Titles" localSheetId="4">'Sale Leaseback'!$A:$A,'Sale Leaseback'!$1:$2</definedName>
    <definedName name="_xlnm.Print_Titles" localSheetId="5">'Single Owner'!$A:$A,'Single Owner'!$1:$2</definedName>
    <definedName name="PropertyTaxRate">'Inputs &amp; Results'!$J$10</definedName>
    <definedName name="ReturnTime1">'Inputs &amp; Results'!$B$93</definedName>
    <definedName name="ReturnTime2">'Inputs &amp; Results'!$B$94</definedName>
    <definedName name="SalesTaxQualification">'Inputs &amp; Results'!$B$18</definedName>
    <definedName name="SalesTaxRate">'Inputs &amp; Results'!$J$11</definedName>
    <definedName name="SalesTaxTotal">'Inputs &amp; Results'!$B$19</definedName>
    <definedName name="SalvageValue">'Inputs &amp; Results'!$J$32</definedName>
    <definedName name="SLDevMargin">'Inputs &amp; Results'!$D$235</definedName>
    <definedName name="SLDevMarginEsc">'Inputs &amp; Results'!$D$236</definedName>
    <definedName name="SLInstalledCostTotal">'Inputs &amp; Results'!$D$188</definedName>
    <definedName name="SLPPAPrice">'Inputs &amp; Results'!$D$81</definedName>
    <definedName name="SLPPAPriceEsc">'Inputs &amp; Results'!$D$82</definedName>
    <definedName name="SLReturnTarget">'Inputs &amp; Results'!$D$239</definedName>
    <definedName name="SLReturnTargetYear">'Inputs &amp; Results'!$D$240</definedName>
    <definedName name="SLTEInvestment">'Inputs &amp; Results'!$D$209</definedName>
    <definedName name="SLWC">'Inputs &amp; Results'!$D$166</definedName>
    <definedName name="SODebtAmount">'Inputs &amp; Results'!$E$146</definedName>
    <definedName name="SODebtRate">'Inputs &amp; Results'!$E$161</definedName>
    <definedName name="SODebtStructure">'Inputs &amp; Results'!$E$145</definedName>
    <definedName name="SODebtSwitch">'Inputs &amp; Results'!$E$144</definedName>
    <definedName name="SODebtTerm">'Inputs &amp; Results'!$E$160</definedName>
    <definedName name="SODSCR">'Inputs &amp; Results'!$E$157</definedName>
    <definedName name="SODSRASize">'Inputs &amp; Results'!$E$162</definedName>
    <definedName name="SOInstalledCostTotal">'Inputs &amp; Results'!$E$188</definedName>
    <definedName name="solver_adj" localSheetId="1" hidden="1">'Inputs &amp; Results'!$C$81</definedName>
    <definedName name="solver_cvg" localSheetId="1" hidden="1">0.0001</definedName>
    <definedName name="solver_drv" localSheetId="1" hidden="1">1</definedName>
    <definedName name="solver_est" localSheetId="1" hidden="1">1</definedName>
    <definedName name="solver_itr" localSheetId="1" hidden="1">100</definedName>
    <definedName name="solver_lin" localSheetId="1" hidden="1">2</definedName>
    <definedName name="solver_neg" localSheetId="1" hidden="1">2</definedName>
    <definedName name="solver_num" localSheetId="1" hidden="1">0</definedName>
    <definedName name="solver_nwt" localSheetId="1" hidden="1">1</definedName>
    <definedName name="solver_opt" localSheetId="1" hidden="1">'Inputs &amp; Results'!$C$87</definedName>
    <definedName name="solver_pre" localSheetId="1" hidden="1">0.000001</definedName>
    <definedName name="solver_scl" localSheetId="1" hidden="1">2</definedName>
    <definedName name="solver_sho" localSheetId="1" hidden="1">2</definedName>
    <definedName name="solver_tim" localSheetId="1" hidden="1">100</definedName>
    <definedName name="solver_tol" localSheetId="1" hidden="1">0.05</definedName>
    <definedName name="solver_typ" localSheetId="1" hidden="1">3</definedName>
    <definedName name="solver_val" localSheetId="1" hidden="1">0.1</definedName>
    <definedName name="SOMortgageAmount">'Inputs &amp; Results'!$E$154</definedName>
    <definedName name="SOPPAPrice">'Inputs &amp; Results'!$E$81</definedName>
    <definedName name="SOPPAPriceEsc">'Inputs &amp; Results'!$E$82</definedName>
    <definedName name="SOReturnTarget">'Inputs &amp; Results'!$E$239</definedName>
    <definedName name="SOReturnTargetYear">'Inputs &amp; Results'!$E$240</definedName>
    <definedName name="SOWC">'Inputs &amp; Results'!$E$166</definedName>
    <definedName name="StateBasisReduction">'Inputs &amp; Results'!$L$70</definedName>
    <definedName name="StateBonusDeprec">'Inputs &amp; Results'!$B$264</definedName>
    <definedName name="StatePTCAmount">'Inputs &amp; Results'!$B$43</definedName>
    <definedName name="StatePTCTerm">'Inputs &amp; Results'!$C$43</definedName>
    <definedName name="StateTax">'Inputs &amp; Results'!$J$4</definedName>
    <definedName name="TotalHardCosts">'Inputs &amp; Results'!$B$11</definedName>
    <definedName name="TotalSoftCosts">'Inputs &amp; Results'!$B$20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640" i="10" l="1"/>
  <c r="AP601" i="7"/>
  <c r="AP675" i="2"/>
  <c r="AP605" i="8"/>
  <c r="E173" i="1"/>
  <c r="C173" i="1"/>
  <c r="B571" i="7"/>
  <c r="B645" i="2"/>
  <c r="AP252" i="10" l="1"/>
  <c r="AO252" i="10"/>
  <c r="AN252" i="10"/>
  <c r="AM252" i="10"/>
  <c r="AL252" i="10"/>
  <c r="AK252" i="10"/>
  <c r="AJ252" i="10"/>
  <c r="AI252" i="10"/>
  <c r="AH252" i="10"/>
  <c r="AG252" i="10"/>
  <c r="AF252" i="10"/>
  <c r="AE252" i="10"/>
  <c r="AD252" i="10"/>
  <c r="AC252" i="10"/>
  <c r="AB252" i="10"/>
  <c r="AA252" i="10"/>
  <c r="Z252" i="10"/>
  <c r="Y252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Z244" i="8"/>
  <c r="AA244" i="8"/>
  <c r="AB244" i="8"/>
  <c r="AC244" i="8"/>
  <c r="AD244" i="8"/>
  <c r="AE244" i="8"/>
  <c r="AF244" i="8"/>
  <c r="AG244" i="8"/>
  <c r="AH244" i="8"/>
  <c r="AI244" i="8"/>
  <c r="AJ244" i="8"/>
  <c r="AK244" i="8"/>
  <c r="AL244" i="8"/>
  <c r="AM244" i="8"/>
  <c r="AN244" i="8"/>
  <c r="AO244" i="8"/>
  <c r="AP244" i="8"/>
  <c r="AP209" i="10"/>
  <c r="AO209" i="10"/>
  <c r="AN209" i="10"/>
  <c r="AM209" i="10"/>
  <c r="AL209" i="10"/>
  <c r="AK209" i="10"/>
  <c r="AJ209" i="10"/>
  <c r="AI209" i="10"/>
  <c r="AH209" i="10"/>
  <c r="AG209" i="10"/>
  <c r="AF209" i="10"/>
  <c r="AE209" i="10"/>
  <c r="AD209" i="10"/>
  <c r="AC209" i="10"/>
  <c r="AB209" i="10"/>
  <c r="AA209" i="10"/>
  <c r="Z209" i="10"/>
  <c r="Y209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B209" i="10"/>
  <c r="A131" i="1"/>
  <c r="A128" i="1"/>
  <c r="A125" i="1"/>
  <c r="A122" i="1"/>
  <c r="A118" i="1"/>
  <c r="A115" i="1"/>
  <c r="A112" i="1"/>
  <c r="A109" i="1"/>
  <c r="A105" i="1"/>
  <c r="A102" i="1"/>
  <c r="A99" i="1"/>
  <c r="A96" i="1"/>
  <c r="B308" i="10"/>
  <c r="B291" i="10"/>
  <c r="B283" i="10"/>
  <c r="B299" i="10" s="1"/>
  <c r="B282" i="10"/>
  <c r="B298" i="10" s="1"/>
  <c r="B281" i="10"/>
  <c r="B297" i="10" s="1"/>
  <c r="B280" i="10"/>
  <c r="B296" i="10" s="1"/>
  <c r="G451" i="10"/>
  <c r="G452" i="10"/>
  <c r="G453" i="10"/>
  <c r="G454" i="10"/>
  <c r="G455" i="10"/>
  <c r="E451" i="10"/>
  <c r="E452" i="10"/>
  <c r="E453" i="10"/>
  <c r="E454" i="10"/>
  <c r="E455" i="10"/>
  <c r="D452" i="10"/>
  <c r="D453" i="10"/>
  <c r="D454" i="10"/>
  <c r="D455" i="10"/>
  <c r="D451" i="10"/>
  <c r="G318" i="10"/>
  <c r="G319" i="10"/>
  <c r="G320" i="10"/>
  <c r="G321" i="10"/>
  <c r="G317" i="10"/>
  <c r="G345" i="7"/>
  <c r="G346" i="7"/>
  <c r="G347" i="7"/>
  <c r="G348" i="7"/>
  <c r="G349" i="7"/>
  <c r="E345" i="7"/>
  <c r="E346" i="7"/>
  <c r="E347" i="7"/>
  <c r="E348" i="7"/>
  <c r="E349" i="7"/>
  <c r="D346" i="7"/>
  <c r="D347" i="7"/>
  <c r="D348" i="7"/>
  <c r="D349" i="7"/>
  <c r="D345" i="7"/>
  <c r="G212" i="7"/>
  <c r="G213" i="7"/>
  <c r="G214" i="7"/>
  <c r="G215" i="7"/>
  <c r="G211" i="7"/>
  <c r="G419" i="2"/>
  <c r="G420" i="2"/>
  <c r="G421" i="2"/>
  <c r="G422" i="2"/>
  <c r="G423" i="2"/>
  <c r="E419" i="2"/>
  <c r="E420" i="2"/>
  <c r="E421" i="2"/>
  <c r="E422" i="2"/>
  <c r="E423" i="2"/>
  <c r="D420" i="2"/>
  <c r="D421" i="2"/>
  <c r="D422" i="2"/>
  <c r="D423" i="2"/>
  <c r="D419" i="2"/>
  <c r="G285" i="2"/>
  <c r="G286" i="2"/>
  <c r="G287" i="2"/>
  <c r="G288" i="2"/>
  <c r="G289" i="2"/>
  <c r="G282" i="8"/>
  <c r="G283" i="8"/>
  <c r="G284" i="8"/>
  <c r="G285" i="8"/>
  <c r="G286" i="8"/>
  <c r="G416" i="8"/>
  <c r="G417" i="8"/>
  <c r="G418" i="8"/>
  <c r="G419" i="8"/>
  <c r="G420" i="8"/>
  <c r="D235" i="1" l="1"/>
  <c r="B182" i="10"/>
  <c r="B199" i="10" s="1"/>
  <c r="B56" i="10" l="1"/>
  <c r="D85" i="1" l="1"/>
  <c r="B183" i="10"/>
  <c r="B200" i="10" s="1"/>
  <c r="B162" i="10"/>
  <c r="B161" i="10"/>
  <c r="AP274" i="10"/>
  <c r="AO274" i="10"/>
  <c r="AN274" i="10"/>
  <c r="AM274" i="10"/>
  <c r="AL274" i="10"/>
  <c r="AK274" i="10"/>
  <c r="AJ274" i="10"/>
  <c r="AI274" i="10"/>
  <c r="AH274" i="10"/>
  <c r="AG274" i="10"/>
  <c r="AF274" i="10"/>
  <c r="AE274" i="10"/>
  <c r="AD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AF243" i="10"/>
  <c r="AG243" i="10"/>
  <c r="AH243" i="10"/>
  <c r="AI243" i="10"/>
  <c r="AJ243" i="10"/>
  <c r="AK243" i="10"/>
  <c r="AL243" i="10"/>
  <c r="AM243" i="10"/>
  <c r="AN243" i="10"/>
  <c r="AO243" i="10"/>
  <c r="AP243" i="10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70" i="8"/>
  <c r="C269" i="8"/>
  <c r="C268" i="8"/>
  <c r="C267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32" i="8"/>
  <c r="C231" i="8"/>
  <c r="C230" i="8"/>
  <c r="C229" i="8"/>
  <c r="A642" i="10"/>
  <c r="C11" i="10"/>
  <c r="A733" i="10"/>
  <c r="A734" i="10" s="1"/>
  <c r="A735" i="10" s="1"/>
  <c r="A736" i="10" s="1"/>
  <c r="A737" i="10" s="1"/>
  <c r="A738" i="10" s="1"/>
  <c r="A739" i="10" s="1"/>
  <c r="A740" i="10" s="1"/>
  <c r="A741" i="10" s="1"/>
  <c r="A721" i="10"/>
  <c r="A722" i="10" s="1"/>
  <c r="A723" i="10" s="1"/>
  <c r="A724" i="10" s="1"/>
  <c r="A725" i="10" s="1"/>
  <c r="A726" i="10" s="1"/>
  <c r="A727" i="10" s="1"/>
  <c r="A728" i="10" s="1"/>
  <c r="A729" i="10" s="1"/>
  <c r="B716" i="10"/>
  <c r="C713" i="10" s="1"/>
  <c r="A701" i="10"/>
  <c r="A702" i="10" s="1"/>
  <c r="A703" i="10" s="1"/>
  <c r="A704" i="10" s="1"/>
  <c r="A705" i="10" s="1"/>
  <c r="A706" i="10" s="1"/>
  <c r="A707" i="10" s="1"/>
  <c r="A708" i="10" s="1"/>
  <c r="A709" i="10" s="1"/>
  <c r="A689" i="10"/>
  <c r="A690" i="10" s="1"/>
  <c r="A691" i="10" s="1"/>
  <c r="A692" i="10" s="1"/>
  <c r="A693" i="10" s="1"/>
  <c r="A694" i="10" s="1"/>
  <c r="A695" i="10" s="1"/>
  <c r="A696" i="10" s="1"/>
  <c r="A697" i="10" s="1"/>
  <c r="B684" i="10"/>
  <c r="C681" i="10" s="1"/>
  <c r="A669" i="10"/>
  <c r="A670" i="10" s="1"/>
  <c r="A671" i="10" s="1"/>
  <c r="A672" i="10" s="1"/>
  <c r="A673" i="10" s="1"/>
  <c r="A674" i="10" s="1"/>
  <c r="A675" i="10" s="1"/>
  <c r="A676" i="10" s="1"/>
  <c r="A677" i="10" s="1"/>
  <c r="A657" i="10"/>
  <c r="A658" i="10" s="1"/>
  <c r="A659" i="10" s="1"/>
  <c r="A660" i="10" s="1"/>
  <c r="A661" i="10" s="1"/>
  <c r="A662" i="10" s="1"/>
  <c r="A663" i="10" s="1"/>
  <c r="A664" i="10" s="1"/>
  <c r="A665" i="10" s="1"/>
  <c r="B652" i="10"/>
  <c r="C649" i="10" s="1"/>
  <c r="A636" i="10"/>
  <c r="A628" i="10"/>
  <c r="A624" i="10"/>
  <c r="A620" i="10"/>
  <c r="A616" i="10"/>
  <c r="A612" i="10"/>
  <c r="A343" i="10" s="1"/>
  <c r="A611" i="10"/>
  <c r="A342" i="10" s="1"/>
  <c r="A610" i="10"/>
  <c r="A341" i="10" s="1"/>
  <c r="A609" i="10"/>
  <c r="A340" i="10" s="1"/>
  <c r="A606" i="10"/>
  <c r="A337" i="10" s="1"/>
  <c r="A605" i="10"/>
  <c r="A336" i="10" s="1"/>
  <c r="A604" i="10"/>
  <c r="A335" i="10" s="1"/>
  <c r="A603" i="10"/>
  <c r="A334" i="10" s="1"/>
  <c r="A602" i="10"/>
  <c r="A333" i="10" s="1"/>
  <c r="C600" i="10"/>
  <c r="C260" i="10" s="1"/>
  <c r="A600" i="10"/>
  <c r="A331" i="10" s="1"/>
  <c r="C599" i="10"/>
  <c r="C259" i="10" s="1"/>
  <c r="A599" i="10"/>
  <c r="A330" i="10" s="1"/>
  <c r="C598" i="10"/>
  <c r="C258" i="10" s="1"/>
  <c r="A598" i="10"/>
  <c r="A329" i="10" s="1"/>
  <c r="C597" i="10"/>
  <c r="A597" i="10"/>
  <c r="A328" i="10" s="1"/>
  <c r="A596" i="10"/>
  <c r="A327" i="10" s="1"/>
  <c r="K457" i="10"/>
  <c r="K323" i="10"/>
  <c r="A571" i="10"/>
  <c r="A572" i="10" s="1"/>
  <c r="A573" i="10" s="1"/>
  <c r="A574" i="10" s="1"/>
  <c r="A575" i="10" s="1"/>
  <c r="A576" i="10" s="1"/>
  <c r="A577" i="10" s="1"/>
  <c r="A578" i="10" s="1"/>
  <c r="A579" i="10" s="1"/>
  <c r="A559" i="10"/>
  <c r="A560" i="10" s="1"/>
  <c r="A561" i="10" s="1"/>
  <c r="A562" i="10" s="1"/>
  <c r="A563" i="10" s="1"/>
  <c r="A564" i="10" s="1"/>
  <c r="A565" i="10" s="1"/>
  <c r="A566" i="10" s="1"/>
  <c r="A567" i="10" s="1"/>
  <c r="A545" i="10"/>
  <c r="A546" i="10" s="1"/>
  <c r="A547" i="10" s="1"/>
  <c r="A548" i="10" s="1"/>
  <c r="A549" i="10" s="1"/>
  <c r="A550" i="10" s="1"/>
  <c r="A551" i="10" s="1"/>
  <c r="A552" i="10" s="1"/>
  <c r="A553" i="10" s="1"/>
  <c r="A533" i="10"/>
  <c r="A534" i="10" s="1"/>
  <c r="A535" i="10" s="1"/>
  <c r="A536" i="10" s="1"/>
  <c r="A537" i="10" s="1"/>
  <c r="A538" i="10" s="1"/>
  <c r="A539" i="10" s="1"/>
  <c r="A540" i="10" s="1"/>
  <c r="A541" i="10" s="1"/>
  <c r="A519" i="10"/>
  <c r="A520" i="10" s="1"/>
  <c r="A521" i="10" s="1"/>
  <c r="A522" i="10" s="1"/>
  <c r="A523" i="10" s="1"/>
  <c r="A524" i="10" s="1"/>
  <c r="A525" i="10" s="1"/>
  <c r="A526" i="10" s="1"/>
  <c r="A527" i="10" s="1"/>
  <c r="A507" i="10"/>
  <c r="A508" i="10" s="1"/>
  <c r="A509" i="10" s="1"/>
  <c r="A510" i="10" s="1"/>
  <c r="A511" i="10" s="1"/>
  <c r="A512" i="10" s="1"/>
  <c r="A513" i="10" s="1"/>
  <c r="A514" i="10" s="1"/>
  <c r="A515" i="10" s="1"/>
  <c r="B501" i="10"/>
  <c r="B500" i="10"/>
  <c r="A479" i="10"/>
  <c r="B477" i="10"/>
  <c r="B476" i="10"/>
  <c r="B471" i="10"/>
  <c r="B470" i="10"/>
  <c r="B469" i="10"/>
  <c r="B468" i="10"/>
  <c r="B465" i="10"/>
  <c r="B464" i="10"/>
  <c r="B463" i="10"/>
  <c r="B462" i="10"/>
  <c r="P455" i="10"/>
  <c r="P454" i="10"/>
  <c r="P453" i="10"/>
  <c r="P452" i="10"/>
  <c r="A436" i="10"/>
  <c r="A437" i="10" s="1"/>
  <c r="A438" i="10" s="1"/>
  <c r="A439" i="10" s="1"/>
  <c r="A440" i="10" s="1"/>
  <c r="A441" i="10" s="1"/>
  <c r="A442" i="10" s="1"/>
  <c r="A443" i="10" s="1"/>
  <c r="A444" i="10" s="1"/>
  <c r="A424" i="10"/>
  <c r="A425" i="10" s="1"/>
  <c r="A426" i="10" s="1"/>
  <c r="A427" i="10" s="1"/>
  <c r="A428" i="10" s="1"/>
  <c r="A429" i="10" s="1"/>
  <c r="A430" i="10" s="1"/>
  <c r="A431" i="10" s="1"/>
  <c r="A432" i="10" s="1"/>
  <c r="A410" i="10"/>
  <c r="A411" i="10" s="1"/>
  <c r="A412" i="10" s="1"/>
  <c r="A413" i="10" s="1"/>
  <c r="A414" i="10" s="1"/>
  <c r="A415" i="10" s="1"/>
  <c r="A416" i="10" s="1"/>
  <c r="A417" i="10" s="1"/>
  <c r="A418" i="10" s="1"/>
  <c r="A398" i="10"/>
  <c r="A399" i="10" s="1"/>
  <c r="A400" i="10" s="1"/>
  <c r="A401" i="10" s="1"/>
  <c r="A402" i="10" s="1"/>
  <c r="A403" i="10" s="1"/>
  <c r="A404" i="10" s="1"/>
  <c r="A405" i="10" s="1"/>
  <c r="A406" i="10" s="1"/>
  <c r="A384" i="10"/>
  <c r="A385" i="10" s="1"/>
  <c r="A386" i="10" s="1"/>
  <c r="A387" i="10" s="1"/>
  <c r="A388" i="10" s="1"/>
  <c r="A389" i="10" s="1"/>
  <c r="A390" i="10" s="1"/>
  <c r="A391" i="10" s="1"/>
  <c r="A392" i="10" s="1"/>
  <c r="A373" i="10"/>
  <c r="A374" i="10" s="1"/>
  <c r="A375" i="10" s="1"/>
  <c r="A376" i="10" s="1"/>
  <c r="A377" i="10" s="1"/>
  <c r="A378" i="10" s="1"/>
  <c r="A379" i="10" s="1"/>
  <c r="A380" i="10" s="1"/>
  <c r="A381" i="10" s="1"/>
  <c r="B367" i="10"/>
  <c r="B366" i="10"/>
  <c r="A344" i="10"/>
  <c r="B343" i="10"/>
  <c r="B342" i="10"/>
  <c r="A339" i="10"/>
  <c r="A338" i="10"/>
  <c r="B337" i="10"/>
  <c r="B336" i="10"/>
  <c r="B335" i="10"/>
  <c r="B334" i="10"/>
  <c r="A332" i="10"/>
  <c r="B331" i="10"/>
  <c r="B330" i="10"/>
  <c r="B329" i="10"/>
  <c r="B328" i="10"/>
  <c r="A326" i="10"/>
  <c r="P321" i="10"/>
  <c r="A321" i="10"/>
  <c r="P320" i="10"/>
  <c r="A320" i="10"/>
  <c r="A454" i="10" s="1"/>
  <c r="P319" i="10"/>
  <c r="A319" i="10"/>
  <c r="P318" i="10"/>
  <c r="A318" i="10"/>
  <c r="A452" i="10" s="1"/>
  <c r="A317" i="10"/>
  <c r="A316" i="10"/>
  <c r="A450" i="10" s="1"/>
  <c r="A307" i="10"/>
  <c r="A306" i="10"/>
  <c r="A305" i="10"/>
  <c r="A304" i="10"/>
  <c r="A272" i="10"/>
  <c r="A271" i="10"/>
  <c r="A270" i="10"/>
  <c r="A269" i="10"/>
  <c r="A268" i="10"/>
  <c r="A266" i="10"/>
  <c r="A265" i="10"/>
  <c r="A264" i="10"/>
  <c r="A263" i="10"/>
  <c r="A262" i="10"/>
  <c r="A260" i="10"/>
  <c r="A259" i="10"/>
  <c r="A258" i="10"/>
  <c r="A257" i="10"/>
  <c r="A256" i="10"/>
  <c r="A290" i="10"/>
  <c r="A289" i="10"/>
  <c r="A288" i="10"/>
  <c r="A287" i="10"/>
  <c r="A241" i="10"/>
  <c r="A240" i="10"/>
  <c r="A239" i="10"/>
  <c r="A238" i="10"/>
  <c r="A235" i="10"/>
  <c r="A234" i="10"/>
  <c r="A233" i="10"/>
  <c r="A232" i="10"/>
  <c r="A231" i="10"/>
  <c r="A229" i="10"/>
  <c r="A228" i="10"/>
  <c r="A227" i="10"/>
  <c r="A226" i="10"/>
  <c r="A225" i="10"/>
  <c r="B167" i="10"/>
  <c r="B159" i="10"/>
  <c r="AP138" i="10"/>
  <c r="AO138" i="10"/>
  <c r="AN138" i="10"/>
  <c r="AM138" i="10"/>
  <c r="AL138" i="10"/>
  <c r="AK138" i="10"/>
  <c r="AJ138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AP114" i="10"/>
  <c r="AO114" i="10"/>
  <c r="AN114" i="10"/>
  <c r="AM114" i="10"/>
  <c r="AL114" i="10"/>
  <c r="AK114" i="10"/>
  <c r="AJ114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B114" i="10"/>
  <c r="AO108" i="10"/>
  <c r="AM108" i="10"/>
  <c r="AK108" i="10"/>
  <c r="AI108" i="10"/>
  <c r="AG108" i="10"/>
  <c r="AE108" i="10"/>
  <c r="AC108" i="10"/>
  <c r="AA108" i="10"/>
  <c r="Y108" i="10"/>
  <c r="W108" i="10"/>
  <c r="U108" i="10"/>
  <c r="S108" i="10"/>
  <c r="Q108" i="10"/>
  <c r="O108" i="10"/>
  <c r="M108" i="10"/>
  <c r="K108" i="10"/>
  <c r="I108" i="10"/>
  <c r="G108" i="10"/>
  <c r="E108" i="10"/>
  <c r="C108" i="10"/>
  <c r="AP93" i="10"/>
  <c r="AO93" i="10"/>
  <c r="AN93" i="10"/>
  <c r="AM93" i="10"/>
  <c r="AL93" i="10"/>
  <c r="AK93" i="10"/>
  <c r="AJ93" i="10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67" i="10"/>
  <c r="B66" i="10"/>
  <c r="B65" i="10"/>
  <c r="B62" i="10"/>
  <c r="B61" i="10"/>
  <c r="B60" i="10"/>
  <c r="B50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D36" i="10"/>
  <c r="E36" i="10" s="1"/>
  <c r="F36" i="10" s="1"/>
  <c r="G36" i="10" s="1"/>
  <c r="H36" i="10" s="1"/>
  <c r="I36" i="10" s="1"/>
  <c r="J36" i="10" s="1"/>
  <c r="K36" i="10" s="1"/>
  <c r="L36" i="10" s="1"/>
  <c r="M36" i="10" s="1"/>
  <c r="N36" i="10" s="1"/>
  <c r="O36" i="10" s="1"/>
  <c r="P36" i="10" s="1"/>
  <c r="Q36" i="10" s="1"/>
  <c r="R36" i="10" s="1"/>
  <c r="S36" i="10" s="1"/>
  <c r="T36" i="10" s="1"/>
  <c r="U36" i="10" s="1"/>
  <c r="V36" i="10" s="1"/>
  <c r="W36" i="10" s="1"/>
  <c r="X36" i="10" s="1"/>
  <c r="Y36" i="10" s="1"/>
  <c r="Z36" i="10" s="1"/>
  <c r="AA36" i="10" s="1"/>
  <c r="AB36" i="10" s="1"/>
  <c r="AC36" i="10" s="1"/>
  <c r="AD36" i="10" s="1"/>
  <c r="AE36" i="10" s="1"/>
  <c r="AF36" i="10" s="1"/>
  <c r="AG36" i="10" s="1"/>
  <c r="AH36" i="10" s="1"/>
  <c r="AI36" i="10" s="1"/>
  <c r="AJ36" i="10" s="1"/>
  <c r="AK36" i="10" s="1"/>
  <c r="AL36" i="10" s="1"/>
  <c r="AM36" i="10" s="1"/>
  <c r="AN36" i="10" s="1"/>
  <c r="AO36" i="10" s="1"/>
  <c r="AP36" i="10" s="1"/>
  <c r="AP34" i="10"/>
  <c r="AO34" i="10"/>
  <c r="AN34" i="10"/>
  <c r="AM34" i="10"/>
  <c r="AL34" i="10"/>
  <c r="AK34" i="10"/>
  <c r="AJ34" i="10"/>
  <c r="AI34" i="10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A17" i="10"/>
  <c r="A16" i="10"/>
  <c r="A15" i="10"/>
  <c r="A14" i="10"/>
  <c r="C2" i="10"/>
  <c r="B49" i="8"/>
  <c r="B85" i="1"/>
  <c r="B177" i="8"/>
  <c r="B176" i="8"/>
  <c r="C41" i="10" l="1"/>
  <c r="C183" i="10" s="1"/>
  <c r="C200" i="10" s="1"/>
  <c r="C639" i="10"/>
  <c r="C180" i="10" s="1"/>
  <c r="C197" i="10" s="1"/>
  <c r="C601" i="10"/>
  <c r="C73" i="10"/>
  <c r="C94" i="10"/>
  <c r="E73" i="10"/>
  <c r="E94" i="10"/>
  <c r="G73" i="10"/>
  <c r="G94" i="10"/>
  <c r="I73" i="10"/>
  <c r="I94" i="10"/>
  <c r="K73" i="10"/>
  <c r="K94" i="10"/>
  <c r="M73" i="10"/>
  <c r="M94" i="10"/>
  <c r="O73" i="10"/>
  <c r="O94" i="10"/>
  <c r="Q73" i="10"/>
  <c r="Q94" i="10"/>
  <c r="S73" i="10"/>
  <c r="S94" i="10"/>
  <c r="U73" i="10"/>
  <c r="U94" i="10"/>
  <c r="W73" i="10"/>
  <c r="W94" i="10"/>
  <c r="Y73" i="10"/>
  <c r="Y94" i="10"/>
  <c r="AA73" i="10"/>
  <c r="AA94" i="10"/>
  <c r="AC73" i="10"/>
  <c r="AC94" i="10"/>
  <c r="AE73" i="10"/>
  <c r="AE94" i="10"/>
  <c r="AG73" i="10"/>
  <c r="AG94" i="10"/>
  <c r="AI73" i="10"/>
  <c r="AI94" i="10"/>
  <c r="AK73" i="10"/>
  <c r="AK94" i="10"/>
  <c r="AM73" i="10"/>
  <c r="AM94" i="10"/>
  <c r="AO73" i="10"/>
  <c r="AO94" i="10"/>
  <c r="D73" i="10"/>
  <c r="D94" i="10"/>
  <c r="F73" i="10"/>
  <c r="F94" i="10"/>
  <c r="H73" i="10"/>
  <c r="H94" i="10"/>
  <c r="J73" i="10"/>
  <c r="J94" i="10"/>
  <c r="L73" i="10"/>
  <c r="L94" i="10"/>
  <c r="N73" i="10"/>
  <c r="N94" i="10"/>
  <c r="P73" i="10"/>
  <c r="P94" i="10"/>
  <c r="R73" i="10"/>
  <c r="R94" i="10"/>
  <c r="T73" i="10"/>
  <c r="T94" i="10"/>
  <c r="V73" i="10"/>
  <c r="V94" i="10"/>
  <c r="X73" i="10"/>
  <c r="X94" i="10"/>
  <c r="Z73" i="10"/>
  <c r="Z94" i="10"/>
  <c r="AB73" i="10"/>
  <c r="AB94" i="10"/>
  <c r="AD73" i="10"/>
  <c r="AD94" i="10"/>
  <c r="AF73" i="10"/>
  <c r="AF94" i="10"/>
  <c r="AH73" i="10"/>
  <c r="AH94" i="10"/>
  <c r="AJ73" i="10"/>
  <c r="AJ94" i="10"/>
  <c r="AL73" i="10"/>
  <c r="AL94" i="10"/>
  <c r="AN73" i="10"/>
  <c r="AN94" i="10"/>
  <c r="AP73" i="10"/>
  <c r="AP94" i="10"/>
  <c r="C617" i="10"/>
  <c r="C621" i="10"/>
  <c r="C625" i="10"/>
  <c r="C629" i="10"/>
  <c r="B332" i="10"/>
  <c r="C228" i="10"/>
  <c r="C229" i="10"/>
  <c r="C226" i="10"/>
  <c r="C227" i="10"/>
  <c r="C645" i="10"/>
  <c r="C181" i="10" s="1"/>
  <c r="C198" i="10" s="1"/>
  <c r="B338" i="10"/>
  <c r="C257" i="10"/>
  <c r="C261" i="10" s="1"/>
  <c r="D11" i="10"/>
  <c r="B68" i="10"/>
  <c r="B163" i="10"/>
  <c r="B466" i="10"/>
  <c r="B472" i="10"/>
  <c r="A349" i="10"/>
  <c r="A356" i="10" s="1"/>
  <c r="C741" i="10"/>
  <c r="C740" i="10"/>
  <c r="C739" i="10"/>
  <c r="C738" i="10"/>
  <c r="C737" i="10"/>
  <c r="C736" i="10"/>
  <c r="C735" i="10"/>
  <c r="C734" i="10"/>
  <c r="C729" i="10"/>
  <c r="C432" i="10" s="1"/>
  <c r="C728" i="10"/>
  <c r="C431" i="10" s="1"/>
  <c r="C727" i="10"/>
  <c r="C430" i="10" s="1"/>
  <c r="C726" i="10"/>
  <c r="C429" i="10" s="1"/>
  <c r="C725" i="10"/>
  <c r="C428" i="10" s="1"/>
  <c r="C724" i="10"/>
  <c r="C427" i="10" s="1"/>
  <c r="C723" i="10"/>
  <c r="C722" i="10"/>
  <c r="C425" i="10" s="1"/>
  <c r="C733" i="10"/>
  <c r="C721" i="10"/>
  <c r="C424" i="10" s="1"/>
  <c r="C697" i="10"/>
  <c r="C406" i="10" s="1"/>
  <c r="C696" i="10"/>
  <c r="C405" i="10" s="1"/>
  <c r="C695" i="10"/>
  <c r="C404" i="10" s="1"/>
  <c r="C694" i="10"/>
  <c r="C403" i="10" s="1"/>
  <c r="C693" i="10"/>
  <c r="C402" i="10" s="1"/>
  <c r="C692" i="10"/>
  <c r="C401" i="10" s="1"/>
  <c r="C691" i="10"/>
  <c r="C400" i="10" s="1"/>
  <c r="C720" i="10"/>
  <c r="C423" i="10" s="1"/>
  <c r="C709" i="10"/>
  <c r="C708" i="10"/>
  <c r="C707" i="10"/>
  <c r="C706" i="10"/>
  <c r="C705" i="10"/>
  <c r="C704" i="10"/>
  <c r="C703" i="10"/>
  <c r="C702" i="10"/>
  <c r="C701" i="10"/>
  <c r="C690" i="10"/>
  <c r="C399" i="10" s="1"/>
  <c r="C665" i="10"/>
  <c r="C381" i="10" s="1"/>
  <c r="C664" i="10"/>
  <c r="C380" i="10" s="1"/>
  <c r="C663" i="10"/>
  <c r="C379" i="10" s="1"/>
  <c r="C662" i="10"/>
  <c r="C378" i="10" s="1"/>
  <c r="C661" i="10"/>
  <c r="C377" i="10" s="1"/>
  <c r="C660" i="10"/>
  <c r="C376" i="10" s="1"/>
  <c r="C689" i="10"/>
  <c r="C398" i="10" s="1"/>
  <c r="C688" i="10"/>
  <c r="C397" i="10" s="1"/>
  <c r="C677" i="10"/>
  <c r="C676" i="10"/>
  <c r="C675" i="10"/>
  <c r="C674" i="10"/>
  <c r="C673" i="10"/>
  <c r="C672" i="10"/>
  <c r="C671" i="10"/>
  <c r="C670" i="10"/>
  <c r="C669" i="10"/>
  <c r="C659" i="10"/>
  <c r="C375" i="10" s="1"/>
  <c r="C657" i="10"/>
  <c r="C373" i="10" s="1"/>
  <c r="C656" i="10"/>
  <c r="C372" i="10" s="1"/>
  <c r="C590" i="10"/>
  <c r="C591" i="10" s="1"/>
  <c r="C584" i="10"/>
  <c r="C585" i="10" s="1"/>
  <c r="C658" i="10"/>
  <c r="C374" i="10" s="1"/>
  <c r="C487" i="10"/>
  <c r="C486" i="10"/>
  <c r="C485" i="10"/>
  <c r="C484" i="10"/>
  <c r="C483" i="10"/>
  <c r="C367" i="10"/>
  <c r="C501" i="10"/>
  <c r="C426" i="10"/>
  <c r="C353" i="10"/>
  <c r="C352" i="10"/>
  <c r="C351" i="10"/>
  <c r="C350" i="10"/>
  <c r="C349" i="10"/>
  <c r="D2" i="10"/>
  <c r="D639" i="10" s="1"/>
  <c r="C177" i="10"/>
  <c r="C194" i="10"/>
  <c r="E177" i="10"/>
  <c r="E194" i="10"/>
  <c r="G177" i="10"/>
  <c r="G194" i="10"/>
  <c r="I177" i="10"/>
  <c r="I194" i="10"/>
  <c r="K177" i="10"/>
  <c r="K194" i="10"/>
  <c r="M177" i="10"/>
  <c r="M194" i="10"/>
  <c r="O177" i="10"/>
  <c r="O194" i="10"/>
  <c r="Q177" i="10"/>
  <c r="Q194" i="10"/>
  <c r="S177" i="10"/>
  <c r="S194" i="10"/>
  <c r="U177" i="10"/>
  <c r="U194" i="10"/>
  <c r="W177" i="10"/>
  <c r="W194" i="10"/>
  <c r="Y177" i="10"/>
  <c r="Y194" i="10"/>
  <c r="AA177" i="10"/>
  <c r="AA194" i="10"/>
  <c r="AC177" i="10"/>
  <c r="AC194" i="10"/>
  <c r="AE177" i="10"/>
  <c r="AE194" i="10"/>
  <c r="AG177" i="10"/>
  <c r="AG194" i="10"/>
  <c r="AI177" i="10"/>
  <c r="AI194" i="10"/>
  <c r="AK177" i="10"/>
  <c r="AK194" i="10"/>
  <c r="AM177" i="10"/>
  <c r="AM194" i="10"/>
  <c r="AO177" i="10"/>
  <c r="AO194" i="10"/>
  <c r="C19" i="10"/>
  <c r="C23" i="10"/>
  <c r="C25" i="10"/>
  <c r="C26" i="10"/>
  <c r="C30" i="10"/>
  <c r="A473" i="10"/>
  <c r="D108" i="10"/>
  <c r="F108" i="10"/>
  <c r="H108" i="10"/>
  <c r="J108" i="10"/>
  <c r="L108" i="10"/>
  <c r="N108" i="10"/>
  <c r="P108" i="10"/>
  <c r="R108" i="10"/>
  <c r="T108" i="10"/>
  <c r="V108" i="10"/>
  <c r="X108" i="10"/>
  <c r="Z108" i="10"/>
  <c r="AB108" i="10"/>
  <c r="AD108" i="10"/>
  <c r="AF108" i="10"/>
  <c r="AH108" i="10"/>
  <c r="AJ108" i="10"/>
  <c r="AL108" i="10"/>
  <c r="AN108" i="10"/>
  <c r="AP108" i="10"/>
  <c r="B118" i="10"/>
  <c r="A483" i="10"/>
  <c r="A490" i="10" s="1"/>
  <c r="A451" i="10"/>
  <c r="A350" i="10"/>
  <c r="A357" i="10" s="1"/>
  <c r="A485" i="10"/>
  <c r="A492" i="10" s="1"/>
  <c r="A453" i="10"/>
  <c r="A352" i="10"/>
  <c r="A359" i="10" s="1"/>
  <c r="A487" i="10"/>
  <c r="A494" i="10" s="1"/>
  <c r="A455" i="10"/>
  <c r="A354" i="10"/>
  <c r="A361" i="10" s="1"/>
  <c r="A461" i="10"/>
  <c r="A468" i="10"/>
  <c r="A469" i="10"/>
  <c r="A470" i="10"/>
  <c r="A471" i="10"/>
  <c r="A472" i="10"/>
  <c r="B122" i="10"/>
  <c r="A351" i="10"/>
  <c r="A358" i="10" s="1"/>
  <c r="A353" i="10"/>
  <c r="A360" i="10" s="1"/>
  <c r="A460" i="10"/>
  <c r="A462" i="10"/>
  <c r="A463" i="10"/>
  <c r="A464" i="10"/>
  <c r="A465" i="10"/>
  <c r="A466" i="10"/>
  <c r="A467" i="10"/>
  <c r="A474" i="10"/>
  <c r="A475" i="10"/>
  <c r="A476" i="10"/>
  <c r="A477" i="10"/>
  <c r="A478" i="10"/>
  <c r="C11" i="8"/>
  <c r="C85" i="10" l="1"/>
  <c r="C86" i="10" s="1"/>
  <c r="C56" i="10"/>
  <c r="D41" i="10"/>
  <c r="D183" i="10" s="1"/>
  <c r="D200" i="10" s="1"/>
  <c r="D629" i="10"/>
  <c r="D625" i="10"/>
  <c r="D621" i="10"/>
  <c r="D617" i="10"/>
  <c r="B75" i="10"/>
  <c r="B179" i="10"/>
  <c r="B196" i="10" s="1"/>
  <c r="C141" i="10"/>
  <c r="C153" i="10" s="1"/>
  <c r="C249" i="10"/>
  <c r="C221" i="10"/>
  <c r="D323" i="10"/>
  <c r="C59" i="10"/>
  <c r="C230" i="10"/>
  <c r="C27" i="10"/>
  <c r="D457" i="10"/>
  <c r="D450" i="10" s="1"/>
  <c r="E11" i="10"/>
  <c r="D645" i="10"/>
  <c r="D181" i="10" s="1"/>
  <c r="D198" i="10" s="1"/>
  <c r="C368" i="10"/>
  <c r="A488" i="10"/>
  <c r="A495" i="10" s="1"/>
  <c r="A486" i="10"/>
  <c r="A493" i="10" s="1"/>
  <c r="A484" i="10"/>
  <c r="A491" i="10" s="1"/>
  <c r="AP194" i="10"/>
  <c r="AP177" i="10"/>
  <c r="AL194" i="10"/>
  <c r="AL177" i="10"/>
  <c r="AH194" i="10"/>
  <c r="AH177" i="10"/>
  <c r="AD194" i="10"/>
  <c r="AD177" i="10"/>
  <c r="Z194" i="10"/>
  <c r="Z177" i="10"/>
  <c r="V194" i="10"/>
  <c r="V177" i="10"/>
  <c r="R194" i="10"/>
  <c r="R177" i="10"/>
  <c r="N194" i="10"/>
  <c r="N177" i="10"/>
  <c r="J194" i="10"/>
  <c r="J177" i="10"/>
  <c r="F194" i="10"/>
  <c r="F177" i="10"/>
  <c r="C509" i="10"/>
  <c r="C513" i="10"/>
  <c r="C533" i="10"/>
  <c r="C537" i="10"/>
  <c r="C541" i="10"/>
  <c r="C561" i="10"/>
  <c r="C565" i="10"/>
  <c r="C506" i="10"/>
  <c r="C510" i="10"/>
  <c r="C514" i="10"/>
  <c r="C534" i="10"/>
  <c r="C538" i="10"/>
  <c r="C558" i="10"/>
  <c r="C562" i="10"/>
  <c r="C566" i="10"/>
  <c r="C698" i="10"/>
  <c r="C683" i="10" s="1"/>
  <c r="C66" i="10" s="1"/>
  <c r="AN194" i="10"/>
  <c r="AN177" i="10"/>
  <c r="AJ194" i="10"/>
  <c r="AJ177" i="10"/>
  <c r="AF194" i="10"/>
  <c r="AF177" i="10"/>
  <c r="AB194" i="10"/>
  <c r="AB177" i="10"/>
  <c r="X194" i="10"/>
  <c r="X177" i="10"/>
  <c r="T194" i="10"/>
  <c r="T177" i="10"/>
  <c r="P194" i="10"/>
  <c r="P177" i="10"/>
  <c r="L194" i="10"/>
  <c r="L177" i="10"/>
  <c r="H194" i="10"/>
  <c r="H177" i="10"/>
  <c r="D194" i="10"/>
  <c r="D177" i="10"/>
  <c r="D741" i="10"/>
  <c r="D740" i="10"/>
  <c r="D739" i="10"/>
  <c r="D738" i="10"/>
  <c r="D737" i="10"/>
  <c r="D736" i="10"/>
  <c r="D735" i="10"/>
  <c r="D734" i="10"/>
  <c r="D733" i="10"/>
  <c r="D729" i="10"/>
  <c r="D432" i="10" s="1"/>
  <c r="D728" i="10"/>
  <c r="D431" i="10" s="1"/>
  <c r="D727" i="10"/>
  <c r="D430" i="10" s="1"/>
  <c r="D726" i="10"/>
  <c r="D429" i="10" s="1"/>
  <c r="D725" i="10"/>
  <c r="D428" i="10" s="1"/>
  <c r="D724" i="10"/>
  <c r="D427" i="10" s="1"/>
  <c r="D723" i="10"/>
  <c r="D426" i="10" s="1"/>
  <c r="D722" i="10"/>
  <c r="D425" i="10" s="1"/>
  <c r="D721" i="10"/>
  <c r="D424" i="10" s="1"/>
  <c r="D720" i="10"/>
  <c r="D423" i="10" s="1"/>
  <c r="D709" i="10"/>
  <c r="D708" i="10"/>
  <c r="D707" i="10"/>
  <c r="D706" i="10"/>
  <c r="D705" i="10"/>
  <c r="D704" i="10"/>
  <c r="D703" i="10"/>
  <c r="D702" i="10"/>
  <c r="D701" i="10"/>
  <c r="D697" i="10"/>
  <c r="D406" i="10" s="1"/>
  <c r="D696" i="10"/>
  <c r="D405" i="10" s="1"/>
  <c r="D695" i="10"/>
  <c r="D404" i="10" s="1"/>
  <c r="D694" i="10"/>
  <c r="D403" i="10" s="1"/>
  <c r="D693" i="10"/>
  <c r="D402" i="10" s="1"/>
  <c r="D692" i="10"/>
  <c r="D401" i="10" s="1"/>
  <c r="D691" i="10"/>
  <c r="D400" i="10" s="1"/>
  <c r="D690" i="10"/>
  <c r="D399" i="10" s="1"/>
  <c r="D689" i="10"/>
  <c r="D398" i="10" s="1"/>
  <c r="D688" i="10"/>
  <c r="D397" i="10" s="1"/>
  <c r="D677" i="10"/>
  <c r="D676" i="10"/>
  <c r="D675" i="10"/>
  <c r="D674" i="10"/>
  <c r="D673" i="10"/>
  <c r="D672" i="10"/>
  <c r="D671" i="10"/>
  <c r="D670" i="10"/>
  <c r="D669" i="10"/>
  <c r="D665" i="10"/>
  <c r="D381" i="10" s="1"/>
  <c r="D664" i="10"/>
  <c r="D380" i="10" s="1"/>
  <c r="D663" i="10"/>
  <c r="D379" i="10" s="1"/>
  <c r="D662" i="10"/>
  <c r="D378" i="10" s="1"/>
  <c r="D661" i="10"/>
  <c r="D377" i="10" s="1"/>
  <c r="D660" i="10"/>
  <c r="D376" i="10" s="1"/>
  <c r="D659" i="10"/>
  <c r="D375" i="10" s="1"/>
  <c r="D658" i="10"/>
  <c r="D374" i="10" s="1"/>
  <c r="D657" i="10"/>
  <c r="D373" i="10" s="1"/>
  <c r="D656" i="10"/>
  <c r="D590" i="10"/>
  <c r="D591" i="10" s="1"/>
  <c r="D584" i="10"/>
  <c r="D585" i="10" s="1"/>
  <c r="D501" i="10"/>
  <c r="D354" i="10"/>
  <c r="D353" i="10"/>
  <c r="D352" i="10"/>
  <c r="D351" i="10"/>
  <c r="D350" i="10"/>
  <c r="D349" i="10"/>
  <c r="D488" i="10"/>
  <c r="D487" i="10"/>
  <c r="D486" i="10"/>
  <c r="D485" i="10"/>
  <c r="D484" i="10"/>
  <c r="D483" i="10"/>
  <c r="D367" i="10"/>
  <c r="C34" i="10"/>
  <c r="E2" i="10"/>
  <c r="E639" i="10" s="1"/>
  <c r="D30" i="10"/>
  <c r="D26" i="10"/>
  <c r="D25" i="10"/>
  <c r="D23" i="10"/>
  <c r="D19" i="10"/>
  <c r="C507" i="10"/>
  <c r="C511" i="10"/>
  <c r="C515" i="10"/>
  <c r="C535" i="10"/>
  <c r="C539" i="10"/>
  <c r="C559" i="10"/>
  <c r="C563" i="10"/>
  <c r="C567" i="10"/>
  <c r="C508" i="10"/>
  <c r="C512" i="10"/>
  <c r="C532" i="10"/>
  <c r="C536" i="10"/>
  <c r="C540" i="10"/>
  <c r="C560" i="10"/>
  <c r="C564" i="10"/>
  <c r="C666" i="10"/>
  <c r="C651" i="10" s="1"/>
  <c r="C730" i="10"/>
  <c r="C715" i="10" s="1"/>
  <c r="C67" i="10" s="1"/>
  <c r="A692" i="8"/>
  <c r="A693" i="8" s="1"/>
  <c r="A694" i="8" s="1"/>
  <c r="A695" i="8" s="1"/>
  <c r="A696" i="8" s="1"/>
  <c r="A697" i="8" s="1"/>
  <c r="A698" i="8" s="1"/>
  <c r="A699" i="8" s="1"/>
  <c r="A700" i="8" s="1"/>
  <c r="A680" i="8"/>
  <c r="A681" i="8" s="1"/>
  <c r="A682" i="8" s="1"/>
  <c r="A683" i="8" s="1"/>
  <c r="A684" i="8" s="1"/>
  <c r="A685" i="8" s="1"/>
  <c r="A686" i="8" s="1"/>
  <c r="A687" i="8" s="1"/>
  <c r="A688" i="8" s="1"/>
  <c r="B675" i="8"/>
  <c r="C672" i="8" s="1"/>
  <c r="A660" i="8"/>
  <c r="A661" i="8" s="1"/>
  <c r="A662" i="8" s="1"/>
  <c r="A663" i="8" s="1"/>
  <c r="A664" i="8" s="1"/>
  <c r="A665" i="8" s="1"/>
  <c r="A666" i="8" s="1"/>
  <c r="A667" i="8" s="1"/>
  <c r="A668" i="8" s="1"/>
  <c r="A648" i="8"/>
  <c r="A649" i="8" s="1"/>
  <c r="A650" i="8" s="1"/>
  <c r="A651" i="8" s="1"/>
  <c r="A652" i="8" s="1"/>
  <c r="A653" i="8" s="1"/>
  <c r="A654" i="8" s="1"/>
  <c r="A655" i="8" s="1"/>
  <c r="A656" i="8" s="1"/>
  <c r="B643" i="8"/>
  <c r="C640" i="8" s="1"/>
  <c r="A628" i="8"/>
  <c r="A629" i="8" s="1"/>
  <c r="A630" i="8" s="1"/>
  <c r="A631" i="8" s="1"/>
  <c r="A632" i="8" s="1"/>
  <c r="A633" i="8" s="1"/>
  <c r="A634" i="8" s="1"/>
  <c r="A635" i="8" s="1"/>
  <c r="A636" i="8" s="1"/>
  <c r="A616" i="8"/>
  <c r="A617" i="8" s="1"/>
  <c r="A618" i="8" s="1"/>
  <c r="A619" i="8" s="1"/>
  <c r="A620" i="8" s="1"/>
  <c r="A621" i="8" s="1"/>
  <c r="A622" i="8" s="1"/>
  <c r="A623" i="8" s="1"/>
  <c r="A624" i="8" s="1"/>
  <c r="B611" i="8"/>
  <c r="C608" i="8" s="1"/>
  <c r="A601" i="8"/>
  <c r="A593" i="8"/>
  <c r="A589" i="8"/>
  <c r="A585" i="8"/>
  <c r="A581" i="8"/>
  <c r="A577" i="8"/>
  <c r="A308" i="8" s="1"/>
  <c r="A576" i="8"/>
  <c r="A307" i="8" s="1"/>
  <c r="A575" i="8"/>
  <c r="A306" i="8" s="1"/>
  <c r="A574" i="8"/>
  <c r="A305" i="8" s="1"/>
  <c r="A571" i="8"/>
  <c r="A302" i="8" s="1"/>
  <c r="A570" i="8"/>
  <c r="A301" i="8" s="1"/>
  <c r="A569" i="8"/>
  <c r="A300" i="8" s="1"/>
  <c r="A568" i="8"/>
  <c r="A299" i="8" s="1"/>
  <c r="A567" i="8"/>
  <c r="A298" i="8" s="1"/>
  <c r="C565" i="8"/>
  <c r="C214" i="8" s="1"/>
  <c r="A565" i="8"/>
  <c r="A296" i="8" s="1"/>
  <c r="C564" i="8"/>
  <c r="C213" i="8" s="1"/>
  <c r="A564" i="8"/>
  <c r="A295" i="8" s="1"/>
  <c r="C563" i="8"/>
  <c r="C212" i="8" s="1"/>
  <c r="A563" i="8"/>
  <c r="A294" i="8" s="1"/>
  <c r="C562" i="8"/>
  <c r="A562" i="8"/>
  <c r="A293" i="8" s="1"/>
  <c r="A561" i="8"/>
  <c r="A292" i="8" s="1"/>
  <c r="K422" i="8"/>
  <c r="K288" i="8"/>
  <c r="A536" i="8"/>
  <c r="A537" i="8" s="1"/>
  <c r="A538" i="8" s="1"/>
  <c r="A539" i="8" s="1"/>
  <c r="A540" i="8" s="1"/>
  <c r="A541" i="8" s="1"/>
  <c r="A542" i="8" s="1"/>
  <c r="A543" i="8" s="1"/>
  <c r="A544" i="8" s="1"/>
  <c r="A524" i="8"/>
  <c r="A525" i="8" s="1"/>
  <c r="A526" i="8" s="1"/>
  <c r="A527" i="8" s="1"/>
  <c r="A528" i="8" s="1"/>
  <c r="A529" i="8" s="1"/>
  <c r="A530" i="8" s="1"/>
  <c r="A531" i="8" s="1"/>
  <c r="A532" i="8" s="1"/>
  <c r="A510" i="8"/>
  <c r="A511" i="8" s="1"/>
  <c r="A512" i="8" s="1"/>
  <c r="A513" i="8" s="1"/>
  <c r="A514" i="8" s="1"/>
  <c r="A515" i="8" s="1"/>
  <c r="A516" i="8" s="1"/>
  <c r="A517" i="8" s="1"/>
  <c r="A518" i="8" s="1"/>
  <c r="A498" i="8"/>
  <c r="A499" i="8" s="1"/>
  <c r="A500" i="8" s="1"/>
  <c r="A501" i="8" s="1"/>
  <c r="A502" i="8" s="1"/>
  <c r="A503" i="8" s="1"/>
  <c r="A504" i="8" s="1"/>
  <c r="A505" i="8" s="1"/>
  <c r="A506" i="8" s="1"/>
  <c r="A484" i="8"/>
  <c r="A485" i="8" s="1"/>
  <c r="A486" i="8" s="1"/>
  <c r="A487" i="8" s="1"/>
  <c r="A488" i="8" s="1"/>
  <c r="A489" i="8" s="1"/>
  <c r="A490" i="8" s="1"/>
  <c r="A491" i="8" s="1"/>
  <c r="A492" i="8" s="1"/>
  <c r="A472" i="8"/>
  <c r="A473" i="8" s="1"/>
  <c r="A474" i="8" s="1"/>
  <c r="A475" i="8" s="1"/>
  <c r="A476" i="8" s="1"/>
  <c r="A477" i="8" s="1"/>
  <c r="A478" i="8" s="1"/>
  <c r="A479" i="8" s="1"/>
  <c r="A480" i="8" s="1"/>
  <c r="B466" i="8"/>
  <c r="B465" i="8"/>
  <c r="A444" i="8"/>
  <c r="B442" i="8"/>
  <c r="B441" i="8"/>
  <c r="B436" i="8"/>
  <c r="B435" i="8"/>
  <c r="B434" i="8"/>
  <c r="B433" i="8"/>
  <c r="B430" i="8"/>
  <c r="B429" i="8"/>
  <c r="B428" i="8"/>
  <c r="B427" i="8"/>
  <c r="P420" i="8"/>
  <c r="P419" i="8"/>
  <c r="P418" i="8"/>
  <c r="P417" i="8"/>
  <c r="A401" i="8"/>
  <c r="A402" i="8" s="1"/>
  <c r="A403" i="8" s="1"/>
  <c r="A404" i="8" s="1"/>
  <c r="A405" i="8" s="1"/>
  <c r="A406" i="8" s="1"/>
  <c r="A407" i="8" s="1"/>
  <c r="A408" i="8" s="1"/>
  <c r="A409" i="8" s="1"/>
  <c r="A389" i="8"/>
  <c r="A390" i="8" s="1"/>
  <c r="A391" i="8" s="1"/>
  <c r="A392" i="8" s="1"/>
  <c r="A393" i="8" s="1"/>
  <c r="A394" i="8" s="1"/>
  <c r="A395" i="8" s="1"/>
  <c r="A396" i="8" s="1"/>
  <c r="A397" i="8" s="1"/>
  <c r="A375" i="8"/>
  <c r="A376" i="8" s="1"/>
  <c r="A377" i="8" s="1"/>
  <c r="A378" i="8" s="1"/>
  <c r="A379" i="8" s="1"/>
  <c r="A380" i="8" s="1"/>
  <c r="A381" i="8" s="1"/>
  <c r="A382" i="8" s="1"/>
  <c r="A383" i="8" s="1"/>
  <c r="A363" i="8"/>
  <c r="A364" i="8" s="1"/>
  <c r="A365" i="8" s="1"/>
  <c r="A366" i="8" s="1"/>
  <c r="A367" i="8" s="1"/>
  <c r="A368" i="8" s="1"/>
  <c r="A369" i="8" s="1"/>
  <c r="A370" i="8" s="1"/>
  <c r="A371" i="8" s="1"/>
  <c r="A349" i="8"/>
  <c r="A350" i="8" s="1"/>
  <c r="A351" i="8" s="1"/>
  <c r="A352" i="8" s="1"/>
  <c r="A353" i="8" s="1"/>
  <c r="A354" i="8" s="1"/>
  <c r="A355" i="8" s="1"/>
  <c r="A356" i="8" s="1"/>
  <c r="A357" i="8" s="1"/>
  <c r="A338" i="8"/>
  <c r="A339" i="8" s="1"/>
  <c r="A340" i="8" s="1"/>
  <c r="A341" i="8" s="1"/>
  <c r="A342" i="8" s="1"/>
  <c r="A343" i="8" s="1"/>
  <c r="A344" i="8" s="1"/>
  <c r="A345" i="8" s="1"/>
  <c r="A346" i="8" s="1"/>
  <c r="B332" i="8"/>
  <c r="B331" i="8"/>
  <c r="A309" i="8"/>
  <c r="B308" i="8"/>
  <c r="B307" i="8"/>
  <c r="A304" i="8"/>
  <c r="A303" i="8"/>
  <c r="B302" i="8"/>
  <c r="B301" i="8"/>
  <c r="B300" i="8"/>
  <c r="B299" i="8"/>
  <c r="A297" i="8"/>
  <c r="B296" i="8"/>
  <c r="B295" i="8"/>
  <c r="B294" i="8"/>
  <c r="B293" i="8"/>
  <c r="A291" i="8"/>
  <c r="P286" i="8"/>
  <c r="A286" i="8"/>
  <c r="A420" i="8" s="1"/>
  <c r="P285" i="8"/>
  <c r="A285" i="8"/>
  <c r="A419" i="8" s="1"/>
  <c r="P284" i="8"/>
  <c r="A284" i="8"/>
  <c r="A418" i="8" s="1"/>
  <c r="P283" i="8"/>
  <c r="A283" i="8"/>
  <c r="A417" i="8" s="1"/>
  <c r="A282" i="8"/>
  <c r="A416" i="8" s="1"/>
  <c r="A281" i="8"/>
  <c r="A415" i="8" s="1"/>
  <c r="A270" i="8"/>
  <c r="A269" i="8"/>
  <c r="A268" i="8"/>
  <c r="A267" i="8"/>
  <c r="A266" i="8"/>
  <c r="A264" i="8"/>
  <c r="A263" i="8"/>
  <c r="A262" i="8"/>
  <c r="A261" i="8"/>
  <c r="A260" i="8"/>
  <c r="A258" i="8"/>
  <c r="A257" i="8"/>
  <c r="A256" i="8"/>
  <c r="A255" i="8"/>
  <c r="A254" i="8"/>
  <c r="A252" i="8"/>
  <c r="A251" i="8"/>
  <c r="A250" i="8"/>
  <c r="A249" i="8"/>
  <c r="A248" i="8"/>
  <c r="A247" i="8"/>
  <c r="A232" i="8"/>
  <c r="A231" i="8"/>
  <c r="A230" i="8"/>
  <c r="A229" i="8"/>
  <c r="A228" i="8"/>
  <c r="A226" i="8"/>
  <c r="A225" i="8"/>
  <c r="A224" i="8"/>
  <c r="A223" i="8"/>
  <c r="A222" i="8"/>
  <c r="A220" i="8"/>
  <c r="A219" i="8"/>
  <c r="A218" i="8"/>
  <c r="A217" i="8"/>
  <c r="A216" i="8"/>
  <c r="A214" i="8"/>
  <c r="A213" i="8"/>
  <c r="A212" i="8"/>
  <c r="A211" i="8"/>
  <c r="A210" i="8"/>
  <c r="A209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B181" i="8"/>
  <c r="B180" i="8"/>
  <c r="B143" i="8"/>
  <c r="B138" i="8"/>
  <c r="B137" i="8"/>
  <c r="B135" i="8"/>
  <c r="B121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99" i="8"/>
  <c r="B193" i="8" s="1"/>
  <c r="B98" i="8"/>
  <c r="B192" i="8" s="1"/>
  <c r="B95" i="8"/>
  <c r="B94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B92" i="8"/>
  <c r="AP77" i="8"/>
  <c r="AP86" i="8" s="1"/>
  <c r="AO77" i="8"/>
  <c r="AN77" i="8"/>
  <c r="AN86" i="8" s="1"/>
  <c r="AM77" i="8"/>
  <c r="AL77" i="8"/>
  <c r="AL86" i="8" s="1"/>
  <c r="AK77" i="8"/>
  <c r="AJ77" i="8"/>
  <c r="AJ86" i="8" s="1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62" i="8"/>
  <c r="B61" i="8"/>
  <c r="B60" i="8"/>
  <c r="B57" i="8"/>
  <c r="B56" i="8"/>
  <c r="B55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D36" i="8"/>
  <c r="E36" i="8" s="1"/>
  <c r="F36" i="8" s="1"/>
  <c r="G36" i="8" s="1"/>
  <c r="H36" i="8" s="1"/>
  <c r="I36" i="8" s="1"/>
  <c r="J36" i="8" s="1"/>
  <c r="K36" i="8" s="1"/>
  <c r="L36" i="8" s="1"/>
  <c r="M36" i="8" s="1"/>
  <c r="N36" i="8" s="1"/>
  <c r="O36" i="8" s="1"/>
  <c r="P36" i="8" s="1"/>
  <c r="Q36" i="8" s="1"/>
  <c r="R36" i="8" s="1"/>
  <c r="S36" i="8" s="1"/>
  <c r="T36" i="8" s="1"/>
  <c r="U36" i="8" s="1"/>
  <c r="V36" i="8" s="1"/>
  <c r="W36" i="8" s="1"/>
  <c r="X36" i="8" s="1"/>
  <c r="Y36" i="8" s="1"/>
  <c r="Z36" i="8" s="1"/>
  <c r="AA36" i="8" s="1"/>
  <c r="AB36" i="8" s="1"/>
  <c r="AC36" i="8" s="1"/>
  <c r="AD36" i="8" s="1"/>
  <c r="AE36" i="8" s="1"/>
  <c r="AF36" i="8" s="1"/>
  <c r="AG36" i="8" s="1"/>
  <c r="AH36" i="8" s="1"/>
  <c r="AI36" i="8" s="1"/>
  <c r="AJ36" i="8" s="1"/>
  <c r="AK36" i="8" s="1"/>
  <c r="AL36" i="8" s="1"/>
  <c r="AM36" i="8" s="1"/>
  <c r="AN36" i="8" s="1"/>
  <c r="AO36" i="8" s="1"/>
  <c r="AP36" i="8" s="1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A17" i="8"/>
  <c r="A16" i="8"/>
  <c r="A15" i="8"/>
  <c r="A14" i="8"/>
  <c r="C2" i="8"/>
  <c r="E85" i="1"/>
  <c r="C11" i="7"/>
  <c r="A688" i="7"/>
  <c r="A689" i="7" s="1"/>
  <c r="A690" i="7" s="1"/>
  <c r="A691" i="7" s="1"/>
  <c r="A692" i="7" s="1"/>
  <c r="A693" i="7" s="1"/>
  <c r="A694" i="7" s="1"/>
  <c r="A695" i="7" s="1"/>
  <c r="A696" i="7" s="1"/>
  <c r="A676" i="7"/>
  <c r="A677" i="7" s="1"/>
  <c r="A678" i="7" s="1"/>
  <c r="A679" i="7" s="1"/>
  <c r="A680" i="7" s="1"/>
  <c r="A681" i="7" s="1"/>
  <c r="A682" i="7" s="1"/>
  <c r="A683" i="7" s="1"/>
  <c r="A684" i="7" s="1"/>
  <c r="B671" i="7"/>
  <c r="C668" i="7" s="1"/>
  <c r="A656" i="7"/>
  <c r="A657" i="7" s="1"/>
  <c r="A658" i="7" s="1"/>
  <c r="A659" i="7" s="1"/>
  <c r="A660" i="7" s="1"/>
  <c r="A661" i="7" s="1"/>
  <c r="A662" i="7" s="1"/>
  <c r="A663" i="7" s="1"/>
  <c r="A664" i="7" s="1"/>
  <c r="A644" i="7"/>
  <c r="A645" i="7" s="1"/>
  <c r="A646" i="7" s="1"/>
  <c r="A647" i="7" s="1"/>
  <c r="A648" i="7" s="1"/>
  <c r="A649" i="7" s="1"/>
  <c r="A650" i="7" s="1"/>
  <c r="A651" i="7" s="1"/>
  <c r="A652" i="7" s="1"/>
  <c r="B639" i="7"/>
  <c r="C636" i="7" s="1"/>
  <c r="A624" i="7"/>
  <c r="A625" i="7" s="1"/>
  <c r="A626" i="7" s="1"/>
  <c r="A627" i="7" s="1"/>
  <c r="A628" i="7" s="1"/>
  <c r="A629" i="7" s="1"/>
  <c r="A630" i="7" s="1"/>
  <c r="A631" i="7" s="1"/>
  <c r="A632" i="7" s="1"/>
  <c r="A612" i="7"/>
  <c r="A613" i="7" s="1"/>
  <c r="A614" i="7" s="1"/>
  <c r="A615" i="7" s="1"/>
  <c r="A616" i="7" s="1"/>
  <c r="A617" i="7" s="1"/>
  <c r="A618" i="7" s="1"/>
  <c r="A619" i="7" s="1"/>
  <c r="A620" i="7" s="1"/>
  <c r="B607" i="7"/>
  <c r="C604" i="7" s="1"/>
  <c r="A597" i="7"/>
  <c r="A522" i="7"/>
  <c r="A518" i="7"/>
  <c r="A514" i="7"/>
  <c r="A510" i="7"/>
  <c r="A506" i="7"/>
  <c r="A237" i="7" s="1"/>
  <c r="A505" i="7"/>
  <c r="A236" i="7" s="1"/>
  <c r="A504" i="7"/>
  <c r="A235" i="7" s="1"/>
  <c r="A503" i="7"/>
  <c r="A234" i="7" s="1"/>
  <c r="A500" i="7"/>
  <c r="A231" i="7" s="1"/>
  <c r="A499" i="7"/>
  <c r="A230" i="7" s="1"/>
  <c r="A498" i="7"/>
  <c r="A229" i="7" s="1"/>
  <c r="A497" i="7"/>
  <c r="A228" i="7" s="1"/>
  <c r="A496" i="7"/>
  <c r="A227" i="7" s="1"/>
  <c r="C494" i="7"/>
  <c r="C142" i="7" s="1"/>
  <c r="A494" i="7"/>
  <c r="A225" i="7" s="1"/>
  <c r="C493" i="7"/>
  <c r="C141" i="7" s="1"/>
  <c r="A493" i="7"/>
  <c r="A224" i="7" s="1"/>
  <c r="C492" i="7"/>
  <c r="C140" i="7" s="1"/>
  <c r="A492" i="7"/>
  <c r="A223" i="7" s="1"/>
  <c r="C491" i="7"/>
  <c r="C495" i="7" s="1"/>
  <c r="A491" i="7"/>
  <c r="A222" i="7" s="1"/>
  <c r="A490" i="7"/>
  <c r="A221" i="7" s="1"/>
  <c r="K351" i="7"/>
  <c r="K217" i="7"/>
  <c r="A465" i="7"/>
  <c r="A466" i="7" s="1"/>
  <c r="A467" i="7" s="1"/>
  <c r="A468" i="7" s="1"/>
  <c r="A469" i="7" s="1"/>
  <c r="A470" i="7" s="1"/>
  <c r="A471" i="7" s="1"/>
  <c r="A472" i="7" s="1"/>
  <c r="A473" i="7" s="1"/>
  <c r="A453" i="7"/>
  <c r="A454" i="7" s="1"/>
  <c r="A455" i="7" s="1"/>
  <c r="A456" i="7" s="1"/>
  <c r="A457" i="7" s="1"/>
  <c r="A458" i="7" s="1"/>
  <c r="A459" i="7" s="1"/>
  <c r="A460" i="7" s="1"/>
  <c r="A461" i="7" s="1"/>
  <c r="A439" i="7"/>
  <c r="A440" i="7" s="1"/>
  <c r="A441" i="7" s="1"/>
  <c r="A442" i="7" s="1"/>
  <c r="A443" i="7" s="1"/>
  <c r="A444" i="7" s="1"/>
  <c r="A445" i="7" s="1"/>
  <c r="A446" i="7" s="1"/>
  <c r="A447" i="7" s="1"/>
  <c r="A427" i="7"/>
  <c r="A428" i="7" s="1"/>
  <c r="A429" i="7" s="1"/>
  <c r="A430" i="7" s="1"/>
  <c r="A431" i="7" s="1"/>
  <c r="A432" i="7" s="1"/>
  <c r="A433" i="7" s="1"/>
  <c r="A434" i="7" s="1"/>
  <c r="A435" i="7" s="1"/>
  <c r="A413" i="7"/>
  <c r="A414" i="7" s="1"/>
  <c r="A415" i="7" s="1"/>
  <c r="A416" i="7" s="1"/>
  <c r="A417" i="7" s="1"/>
  <c r="A418" i="7" s="1"/>
  <c r="A419" i="7" s="1"/>
  <c r="A420" i="7" s="1"/>
  <c r="A421" i="7" s="1"/>
  <c r="A401" i="7"/>
  <c r="A402" i="7" s="1"/>
  <c r="A403" i="7" s="1"/>
  <c r="A404" i="7" s="1"/>
  <c r="A405" i="7" s="1"/>
  <c r="A406" i="7" s="1"/>
  <c r="A407" i="7" s="1"/>
  <c r="A408" i="7" s="1"/>
  <c r="A409" i="7" s="1"/>
  <c r="B395" i="7"/>
  <c r="B394" i="7"/>
  <c r="A373" i="7"/>
  <c r="B371" i="7"/>
  <c r="B370" i="7"/>
  <c r="B365" i="7"/>
  <c r="B364" i="7"/>
  <c r="B363" i="7"/>
  <c r="B362" i="7"/>
  <c r="B359" i="7"/>
  <c r="B358" i="7"/>
  <c r="B357" i="7"/>
  <c r="B356" i="7"/>
  <c r="P349" i="7"/>
  <c r="P348" i="7"/>
  <c r="P347" i="7"/>
  <c r="P346" i="7"/>
  <c r="A330" i="7"/>
  <c r="A331" i="7" s="1"/>
  <c r="A332" i="7" s="1"/>
  <c r="A333" i="7" s="1"/>
  <c r="A334" i="7" s="1"/>
  <c r="A335" i="7" s="1"/>
  <c r="A336" i="7" s="1"/>
  <c r="A337" i="7" s="1"/>
  <c r="A338" i="7" s="1"/>
  <c r="A318" i="7"/>
  <c r="A319" i="7" s="1"/>
  <c r="A320" i="7" s="1"/>
  <c r="A321" i="7" s="1"/>
  <c r="A322" i="7" s="1"/>
  <c r="A323" i="7" s="1"/>
  <c r="A324" i="7" s="1"/>
  <c r="A325" i="7" s="1"/>
  <c r="A326" i="7" s="1"/>
  <c r="A304" i="7"/>
  <c r="A305" i="7" s="1"/>
  <c r="A306" i="7" s="1"/>
  <c r="A307" i="7" s="1"/>
  <c r="A308" i="7" s="1"/>
  <c r="A309" i="7" s="1"/>
  <c r="A310" i="7" s="1"/>
  <c r="A311" i="7" s="1"/>
  <c r="A312" i="7" s="1"/>
  <c r="A292" i="7"/>
  <c r="A293" i="7" s="1"/>
  <c r="A294" i="7" s="1"/>
  <c r="A295" i="7" s="1"/>
  <c r="A296" i="7" s="1"/>
  <c r="A297" i="7" s="1"/>
  <c r="A298" i="7" s="1"/>
  <c r="A299" i="7" s="1"/>
  <c r="A300" i="7" s="1"/>
  <c r="A278" i="7"/>
  <c r="A279" i="7" s="1"/>
  <c r="A280" i="7" s="1"/>
  <c r="A281" i="7" s="1"/>
  <c r="A282" i="7" s="1"/>
  <c r="A283" i="7" s="1"/>
  <c r="A284" i="7" s="1"/>
  <c r="A285" i="7" s="1"/>
  <c r="A286" i="7" s="1"/>
  <c r="A267" i="7"/>
  <c r="A268" i="7" s="1"/>
  <c r="A269" i="7" s="1"/>
  <c r="A270" i="7" s="1"/>
  <c r="A271" i="7" s="1"/>
  <c r="A272" i="7" s="1"/>
  <c r="A273" i="7" s="1"/>
  <c r="A274" i="7" s="1"/>
  <c r="A275" i="7" s="1"/>
  <c r="B261" i="7"/>
  <c r="B260" i="7"/>
  <c r="A238" i="7"/>
  <c r="B237" i="7"/>
  <c r="B236" i="7"/>
  <c r="A233" i="7"/>
  <c r="A232" i="7"/>
  <c r="B231" i="7"/>
  <c r="B230" i="7"/>
  <c r="B229" i="7"/>
  <c r="B228" i="7"/>
  <c r="A226" i="7"/>
  <c r="B225" i="7"/>
  <c r="B224" i="7"/>
  <c r="B223" i="7"/>
  <c r="B222" i="7"/>
  <c r="A220" i="7"/>
  <c r="P215" i="7"/>
  <c r="A215" i="7"/>
  <c r="A349" i="7" s="1"/>
  <c r="P214" i="7"/>
  <c r="A214" i="7"/>
  <c r="A348" i="7" s="1"/>
  <c r="P213" i="7"/>
  <c r="A213" i="7"/>
  <c r="A347" i="7" s="1"/>
  <c r="P212" i="7"/>
  <c r="A212" i="7"/>
  <c r="A346" i="7" s="1"/>
  <c r="A211" i="7"/>
  <c r="A345" i="7" s="1"/>
  <c r="A210" i="7"/>
  <c r="A344" i="7" s="1"/>
  <c r="A199" i="7"/>
  <c r="A198" i="7"/>
  <c r="A197" i="7"/>
  <c r="A196" i="7"/>
  <c r="A195" i="7"/>
  <c r="A193" i="7"/>
  <c r="A192" i="7"/>
  <c r="A191" i="7"/>
  <c r="A190" i="7"/>
  <c r="A189" i="7"/>
  <c r="A187" i="7"/>
  <c r="A186" i="7"/>
  <c r="A185" i="7"/>
  <c r="A184" i="7"/>
  <c r="A183" i="7"/>
  <c r="A181" i="7"/>
  <c r="A180" i="7"/>
  <c r="A179" i="7"/>
  <c r="A178" i="7"/>
  <c r="A177" i="7"/>
  <c r="A176" i="7"/>
  <c r="A160" i="7"/>
  <c r="A159" i="7"/>
  <c r="A158" i="7"/>
  <c r="A157" i="7"/>
  <c r="A156" i="7"/>
  <c r="A154" i="7"/>
  <c r="A153" i="7"/>
  <c r="A152" i="7"/>
  <c r="A151" i="7"/>
  <c r="A150" i="7"/>
  <c r="A148" i="7"/>
  <c r="A147" i="7"/>
  <c r="A146" i="7"/>
  <c r="A145" i="7"/>
  <c r="A144" i="7"/>
  <c r="A142" i="7"/>
  <c r="A141" i="7"/>
  <c r="A140" i="7"/>
  <c r="A139" i="7"/>
  <c r="A138" i="7"/>
  <c r="A137" i="7"/>
  <c r="B108" i="7"/>
  <c r="B107" i="7"/>
  <c r="B104" i="7"/>
  <c r="B103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B101" i="7"/>
  <c r="AP86" i="7"/>
  <c r="AP95" i="7" s="1"/>
  <c r="AO86" i="7"/>
  <c r="AN86" i="7"/>
  <c r="AN95" i="7" s="1"/>
  <c r="AM86" i="7"/>
  <c r="AL86" i="7"/>
  <c r="AL95" i="7" s="1"/>
  <c r="AK86" i="7"/>
  <c r="AJ86" i="7"/>
  <c r="AJ95" i="7" s="1"/>
  <c r="AI86" i="7"/>
  <c r="AH86" i="7"/>
  <c r="AH95" i="7" s="1"/>
  <c r="AG86" i="7"/>
  <c r="AF86" i="7"/>
  <c r="AF95" i="7" s="1"/>
  <c r="AE86" i="7"/>
  <c r="AD86" i="7"/>
  <c r="AD95" i="7" s="1"/>
  <c r="AC86" i="7"/>
  <c r="AB86" i="7"/>
  <c r="AB95" i="7" s="1"/>
  <c r="AA86" i="7"/>
  <c r="Z86" i="7"/>
  <c r="Z95" i="7" s="1"/>
  <c r="Y86" i="7"/>
  <c r="X86" i="7"/>
  <c r="X95" i="7" s="1"/>
  <c r="W86" i="7"/>
  <c r="V86" i="7"/>
  <c r="V95" i="7" s="1"/>
  <c r="U86" i="7"/>
  <c r="T86" i="7"/>
  <c r="T95" i="7" s="1"/>
  <c r="S86" i="7"/>
  <c r="R86" i="7"/>
  <c r="R95" i="7" s="1"/>
  <c r="Q86" i="7"/>
  <c r="P86" i="7"/>
  <c r="P95" i="7" s="1"/>
  <c r="O86" i="7"/>
  <c r="N86" i="7"/>
  <c r="N95" i="7" s="1"/>
  <c r="M86" i="7"/>
  <c r="L86" i="7"/>
  <c r="L95" i="7" s="1"/>
  <c r="K86" i="7"/>
  <c r="J86" i="7"/>
  <c r="J95" i="7" s="1"/>
  <c r="I86" i="7"/>
  <c r="H86" i="7"/>
  <c r="H95" i="7" s="1"/>
  <c r="G86" i="7"/>
  <c r="F86" i="7"/>
  <c r="F95" i="7" s="1"/>
  <c r="E86" i="7"/>
  <c r="D86" i="7"/>
  <c r="D95" i="7" s="1"/>
  <c r="C86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70" i="7"/>
  <c r="B69" i="7"/>
  <c r="B68" i="7"/>
  <c r="B65" i="7"/>
  <c r="B64" i="7"/>
  <c r="B63" i="7"/>
  <c r="B53" i="7"/>
  <c r="B56" i="7" s="1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D36" i="7"/>
  <c r="E36" i="7" s="1"/>
  <c r="F36" i="7" s="1"/>
  <c r="G36" i="7" s="1"/>
  <c r="H36" i="7" s="1"/>
  <c r="I36" i="7" s="1"/>
  <c r="J36" i="7" s="1"/>
  <c r="K36" i="7" s="1"/>
  <c r="L36" i="7" s="1"/>
  <c r="M36" i="7" s="1"/>
  <c r="N36" i="7" s="1"/>
  <c r="O36" i="7" s="1"/>
  <c r="P36" i="7" s="1"/>
  <c r="Q36" i="7" s="1"/>
  <c r="R36" i="7" s="1"/>
  <c r="S36" i="7" s="1"/>
  <c r="T36" i="7" s="1"/>
  <c r="U36" i="7" s="1"/>
  <c r="V36" i="7" s="1"/>
  <c r="W36" i="7" s="1"/>
  <c r="X36" i="7" s="1"/>
  <c r="Y36" i="7" s="1"/>
  <c r="Z36" i="7" s="1"/>
  <c r="AA36" i="7" s="1"/>
  <c r="AB36" i="7" s="1"/>
  <c r="AC36" i="7" s="1"/>
  <c r="AD36" i="7" s="1"/>
  <c r="AE36" i="7" s="1"/>
  <c r="AF36" i="7" s="1"/>
  <c r="AG36" i="7" s="1"/>
  <c r="AH36" i="7" s="1"/>
  <c r="AI36" i="7" s="1"/>
  <c r="AJ36" i="7" s="1"/>
  <c r="AK36" i="7" s="1"/>
  <c r="AL36" i="7" s="1"/>
  <c r="AM36" i="7" s="1"/>
  <c r="AN36" i="7" s="1"/>
  <c r="AO36" i="7" s="1"/>
  <c r="AP36" i="7" s="1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A17" i="7"/>
  <c r="A52" i="7" s="1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A16" i="7"/>
  <c r="A51" i="7" s="1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A15" i="7"/>
  <c r="A50" i="7" s="1"/>
  <c r="A14" i="7"/>
  <c r="A49" i="7" s="1"/>
  <c r="C2" i="7"/>
  <c r="C600" i="7" s="1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M10" i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B184" i="8" l="1"/>
  <c r="C566" i="8"/>
  <c r="B185" i="8"/>
  <c r="C249" i="8"/>
  <c r="C250" i="8"/>
  <c r="C251" i="8"/>
  <c r="C252" i="8"/>
  <c r="C594" i="7"/>
  <c r="D2" i="7"/>
  <c r="D594" i="7" s="1"/>
  <c r="C550" i="7"/>
  <c r="C523" i="7"/>
  <c r="C519" i="7"/>
  <c r="C515" i="7"/>
  <c r="C511" i="7"/>
  <c r="B297" i="8"/>
  <c r="D56" i="10"/>
  <c r="D85" i="10"/>
  <c r="D86" i="10" s="1"/>
  <c r="E629" i="10"/>
  <c r="E625" i="10"/>
  <c r="E621" i="10"/>
  <c r="E617" i="10"/>
  <c r="C594" i="8"/>
  <c r="C590" i="8"/>
  <c r="C586" i="8"/>
  <c r="C582" i="8"/>
  <c r="C65" i="10"/>
  <c r="C68" i="10" s="1"/>
  <c r="C75" i="10" s="1"/>
  <c r="D180" i="10"/>
  <c r="D197" i="10" s="1"/>
  <c r="D141" i="10"/>
  <c r="D153" i="10" s="1"/>
  <c r="D249" i="10"/>
  <c r="D221" i="10"/>
  <c r="D59" i="10"/>
  <c r="F11" i="10"/>
  <c r="E645" i="10"/>
  <c r="E181" i="10" s="1"/>
  <c r="E198" i="10" s="1"/>
  <c r="E41" i="10"/>
  <c r="E183" i="10" s="1"/>
  <c r="E200" i="10" s="1"/>
  <c r="D27" i="10"/>
  <c r="C178" i="7"/>
  <c r="C179" i="7"/>
  <c r="C180" i="7"/>
  <c r="C181" i="7"/>
  <c r="D666" i="10"/>
  <c r="D651" i="10" s="1"/>
  <c r="D509" i="10"/>
  <c r="D513" i="10"/>
  <c r="D561" i="10"/>
  <c r="D565" i="10"/>
  <c r="D533" i="10"/>
  <c r="D537" i="10"/>
  <c r="D541" i="10"/>
  <c r="E741" i="10"/>
  <c r="E740" i="10"/>
  <c r="E739" i="10"/>
  <c r="E738" i="10"/>
  <c r="E737" i="10"/>
  <c r="E736" i="10"/>
  <c r="E735" i="10"/>
  <c r="E733" i="10"/>
  <c r="E729" i="10"/>
  <c r="E432" i="10" s="1"/>
  <c r="E728" i="10"/>
  <c r="E431" i="10" s="1"/>
  <c r="E727" i="10"/>
  <c r="E430" i="10" s="1"/>
  <c r="E726" i="10"/>
  <c r="E429" i="10" s="1"/>
  <c r="E725" i="10"/>
  <c r="E428" i="10" s="1"/>
  <c r="E724" i="10"/>
  <c r="E427" i="10" s="1"/>
  <c r="E723" i="10"/>
  <c r="E426" i="10" s="1"/>
  <c r="E722" i="10"/>
  <c r="E425" i="10" s="1"/>
  <c r="E721" i="10"/>
  <c r="E424" i="10" s="1"/>
  <c r="E734" i="10"/>
  <c r="E697" i="10"/>
  <c r="E406" i="10" s="1"/>
  <c r="E696" i="10"/>
  <c r="E405" i="10" s="1"/>
  <c r="E695" i="10"/>
  <c r="E404" i="10" s="1"/>
  <c r="E694" i="10"/>
  <c r="E403" i="10" s="1"/>
  <c r="E693" i="10"/>
  <c r="E402" i="10" s="1"/>
  <c r="E692" i="10"/>
  <c r="E401" i="10" s="1"/>
  <c r="E691" i="10"/>
  <c r="E400" i="10" s="1"/>
  <c r="E720" i="10"/>
  <c r="E423" i="10" s="1"/>
  <c r="E709" i="10"/>
  <c r="E708" i="10"/>
  <c r="E707" i="10"/>
  <c r="E706" i="10"/>
  <c r="E705" i="10"/>
  <c r="E704" i="10"/>
  <c r="E703" i="10"/>
  <c r="E702" i="10"/>
  <c r="E701" i="10"/>
  <c r="E665" i="10"/>
  <c r="E381" i="10" s="1"/>
  <c r="E664" i="10"/>
  <c r="E380" i="10" s="1"/>
  <c r="E663" i="10"/>
  <c r="E379" i="10" s="1"/>
  <c r="E662" i="10"/>
  <c r="E378" i="10" s="1"/>
  <c r="E661" i="10"/>
  <c r="E377" i="10" s="1"/>
  <c r="E660" i="10"/>
  <c r="E376" i="10" s="1"/>
  <c r="E690" i="10"/>
  <c r="E399" i="10" s="1"/>
  <c r="E689" i="10"/>
  <c r="E398" i="10" s="1"/>
  <c r="E688" i="10"/>
  <c r="E397" i="10" s="1"/>
  <c r="E677" i="10"/>
  <c r="E676" i="10"/>
  <c r="E675" i="10"/>
  <c r="E674" i="10"/>
  <c r="E673" i="10"/>
  <c r="E672" i="10"/>
  <c r="E671" i="10"/>
  <c r="E670" i="10"/>
  <c r="E669" i="10"/>
  <c r="E658" i="10"/>
  <c r="E374" i="10" s="1"/>
  <c r="E656" i="10"/>
  <c r="E372" i="10" s="1"/>
  <c r="E590" i="10"/>
  <c r="E591" i="10" s="1"/>
  <c r="E584" i="10"/>
  <c r="E585" i="10" s="1"/>
  <c r="E659" i="10"/>
  <c r="E375" i="10" s="1"/>
  <c r="E657" i="10"/>
  <c r="E373" i="10" s="1"/>
  <c r="E488" i="10"/>
  <c r="E487" i="10"/>
  <c r="E486" i="10"/>
  <c r="E485" i="10"/>
  <c r="E484" i="10"/>
  <c r="E483" i="10"/>
  <c r="E367" i="10"/>
  <c r="E501" i="10"/>
  <c r="E354" i="10"/>
  <c r="E353" i="10"/>
  <c r="E352" i="10"/>
  <c r="E351" i="10"/>
  <c r="E350" i="10"/>
  <c r="E349" i="10"/>
  <c r="E30" i="10"/>
  <c r="E26" i="10"/>
  <c r="E25" i="10"/>
  <c r="E23" i="10"/>
  <c r="E19" i="10"/>
  <c r="F2" i="10"/>
  <c r="F639" i="10" s="1"/>
  <c r="D508" i="10"/>
  <c r="D512" i="10"/>
  <c r="D532" i="10"/>
  <c r="D536" i="10"/>
  <c r="D540" i="10"/>
  <c r="D560" i="10"/>
  <c r="D564" i="10"/>
  <c r="D502" i="10"/>
  <c r="D368" i="10"/>
  <c r="D507" i="10"/>
  <c r="D511" i="10"/>
  <c r="D515" i="10"/>
  <c r="D535" i="10"/>
  <c r="D539" i="10"/>
  <c r="D559" i="10"/>
  <c r="D563" i="10"/>
  <c r="D567" i="10"/>
  <c r="D510" i="10"/>
  <c r="D514" i="10"/>
  <c r="D534" i="10"/>
  <c r="D538" i="10"/>
  <c r="D558" i="10"/>
  <c r="D562" i="10"/>
  <c r="D566" i="10"/>
  <c r="D372" i="10"/>
  <c r="D698" i="10"/>
  <c r="D683" i="10" s="1"/>
  <c r="D66" i="10" s="1"/>
  <c r="D730" i="10"/>
  <c r="D715" i="10" s="1"/>
  <c r="D67" i="10" s="1"/>
  <c r="C502" i="10"/>
  <c r="C211" i="8"/>
  <c r="C215" i="8" s="1"/>
  <c r="B232" i="7"/>
  <c r="B303" i="8"/>
  <c r="D11" i="8"/>
  <c r="B431" i="8"/>
  <c r="B437" i="8"/>
  <c r="B139" i="8"/>
  <c r="B63" i="8"/>
  <c r="B182" i="8"/>
  <c r="C86" i="8"/>
  <c r="E86" i="8"/>
  <c r="G86" i="8"/>
  <c r="I86" i="8"/>
  <c r="K86" i="8"/>
  <c r="M86" i="8"/>
  <c r="O86" i="8"/>
  <c r="Q86" i="8"/>
  <c r="S86" i="8"/>
  <c r="U86" i="8"/>
  <c r="W86" i="8"/>
  <c r="Y86" i="8"/>
  <c r="AA86" i="8"/>
  <c r="AC86" i="8"/>
  <c r="AE86" i="8"/>
  <c r="AG86" i="8"/>
  <c r="AI86" i="8"/>
  <c r="AK86" i="8"/>
  <c r="AM86" i="8"/>
  <c r="AO86" i="8"/>
  <c r="D2" i="8"/>
  <c r="B186" i="8"/>
  <c r="B194" i="8"/>
  <c r="C700" i="8"/>
  <c r="C699" i="8"/>
  <c r="C698" i="8"/>
  <c r="C697" i="8"/>
  <c r="C696" i="8"/>
  <c r="C695" i="8"/>
  <c r="C694" i="8"/>
  <c r="C693" i="8"/>
  <c r="C692" i="8"/>
  <c r="C688" i="8"/>
  <c r="C397" i="8" s="1"/>
  <c r="C687" i="8"/>
  <c r="C396" i="8" s="1"/>
  <c r="C686" i="8"/>
  <c r="C395" i="8" s="1"/>
  <c r="C685" i="8"/>
  <c r="C394" i="8" s="1"/>
  <c r="C684" i="8"/>
  <c r="C393" i="8" s="1"/>
  <c r="C683" i="8"/>
  <c r="C682" i="8"/>
  <c r="C391" i="8" s="1"/>
  <c r="C681" i="8"/>
  <c r="C390" i="8" s="1"/>
  <c r="C680" i="8"/>
  <c r="C389" i="8" s="1"/>
  <c r="C679" i="8"/>
  <c r="C388" i="8" s="1"/>
  <c r="C667" i="8"/>
  <c r="C665" i="8"/>
  <c r="C663" i="8"/>
  <c r="C656" i="8"/>
  <c r="C371" i="8" s="1"/>
  <c r="C655" i="8"/>
  <c r="C370" i="8" s="1"/>
  <c r="C654" i="8"/>
  <c r="C369" i="8" s="1"/>
  <c r="C653" i="8"/>
  <c r="C368" i="8" s="1"/>
  <c r="C652" i="8"/>
  <c r="C367" i="8" s="1"/>
  <c r="C651" i="8"/>
  <c r="C366" i="8" s="1"/>
  <c r="C650" i="8"/>
  <c r="C365" i="8" s="1"/>
  <c r="C649" i="8"/>
  <c r="C364" i="8" s="1"/>
  <c r="C648" i="8"/>
  <c r="C363" i="8" s="1"/>
  <c r="C647" i="8"/>
  <c r="C362" i="8" s="1"/>
  <c r="C668" i="8"/>
  <c r="C666" i="8"/>
  <c r="C664" i="8"/>
  <c r="C662" i="8"/>
  <c r="C661" i="8"/>
  <c r="C660" i="8"/>
  <c r="C624" i="8"/>
  <c r="C346" i="8" s="1"/>
  <c r="C623" i="8"/>
  <c r="C345" i="8" s="1"/>
  <c r="C622" i="8"/>
  <c r="C344" i="8" s="1"/>
  <c r="C621" i="8"/>
  <c r="C343" i="8" s="1"/>
  <c r="C620" i="8"/>
  <c r="C342" i="8" s="1"/>
  <c r="C619" i="8"/>
  <c r="C341" i="8" s="1"/>
  <c r="C618" i="8"/>
  <c r="C340" i="8" s="1"/>
  <c r="C617" i="8"/>
  <c r="C339" i="8" s="1"/>
  <c r="C616" i="8"/>
  <c r="C338" i="8" s="1"/>
  <c r="C615" i="8"/>
  <c r="C337" i="8" s="1"/>
  <c r="C636" i="8"/>
  <c r="C635" i="8"/>
  <c r="C634" i="8"/>
  <c r="C633" i="8"/>
  <c r="C632" i="8"/>
  <c r="C631" i="8"/>
  <c r="C630" i="8"/>
  <c r="C629" i="8"/>
  <c r="C628" i="8"/>
  <c r="C604" i="8"/>
  <c r="C555" i="8"/>
  <c r="C556" i="8" s="1"/>
  <c r="C549" i="8"/>
  <c r="C550" i="8" s="1"/>
  <c r="C452" i="8"/>
  <c r="C451" i="8"/>
  <c r="C450" i="8"/>
  <c r="C449" i="8"/>
  <c r="C448" i="8"/>
  <c r="C392" i="8"/>
  <c r="C466" i="8"/>
  <c r="C332" i="8"/>
  <c r="C318" i="8"/>
  <c r="C317" i="8"/>
  <c r="C316" i="8"/>
  <c r="C315" i="8"/>
  <c r="C314" i="8"/>
  <c r="D86" i="8"/>
  <c r="F86" i="8"/>
  <c r="H86" i="8"/>
  <c r="J86" i="8"/>
  <c r="L86" i="8"/>
  <c r="N86" i="8"/>
  <c r="P86" i="8"/>
  <c r="R86" i="8"/>
  <c r="T86" i="8"/>
  <c r="V86" i="8"/>
  <c r="X86" i="8"/>
  <c r="Z86" i="8"/>
  <c r="AB86" i="8"/>
  <c r="AD86" i="8"/>
  <c r="AF86" i="8"/>
  <c r="AH86" i="8"/>
  <c r="AJ174" i="8"/>
  <c r="AJ159" i="8"/>
  <c r="AL174" i="8"/>
  <c r="AL159" i="8"/>
  <c r="AN174" i="8"/>
  <c r="AN159" i="8"/>
  <c r="AP174" i="8"/>
  <c r="AP159" i="8"/>
  <c r="C19" i="8"/>
  <c r="C23" i="8"/>
  <c r="C25" i="8"/>
  <c r="C26" i="8"/>
  <c r="C30" i="8"/>
  <c r="A449" i="8"/>
  <c r="A456" i="8" s="1"/>
  <c r="A451" i="8"/>
  <c r="A458" i="8" s="1"/>
  <c r="A453" i="8"/>
  <c r="A460" i="8" s="1"/>
  <c r="A426" i="8"/>
  <c r="A433" i="8"/>
  <c r="A434" i="8"/>
  <c r="A435" i="8"/>
  <c r="A436" i="8"/>
  <c r="A437" i="8"/>
  <c r="A438" i="8"/>
  <c r="B100" i="8"/>
  <c r="A314" i="8"/>
  <c r="A321" i="8" s="1"/>
  <c r="A315" i="8"/>
  <c r="A322" i="8" s="1"/>
  <c r="A316" i="8"/>
  <c r="A323" i="8" s="1"/>
  <c r="A317" i="8"/>
  <c r="A324" i="8" s="1"/>
  <c r="A318" i="8"/>
  <c r="A325" i="8" s="1"/>
  <c r="A319" i="8"/>
  <c r="A326" i="8" s="1"/>
  <c r="A448" i="8"/>
  <c r="A455" i="8" s="1"/>
  <c r="A450" i="8"/>
  <c r="A457" i="8" s="1"/>
  <c r="A452" i="8"/>
  <c r="A459" i="8" s="1"/>
  <c r="A425" i="8"/>
  <c r="A427" i="8"/>
  <c r="A428" i="8"/>
  <c r="A429" i="8"/>
  <c r="A430" i="8"/>
  <c r="A431" i="8"/>
  <c r="A432" i="8"/>
  <c r="A439" i="8"/>
  <c r="A440" i="8"/>
  <c r="A441" i="8"/>
  <c r="A442" i="8"/>
  <c r="A443" i="8"/>
  <c r="B96" i="8"/>
  <c r="B226" i="7"/>
  <c r="B71" i="7"/>
  <c r="C139" i="7"/>
  <c r="C143" i="7" s="1"/>
  <c r="B360" i="7"/>
  <c r="B366" i="7"/>
  <c r="D11" i="7"/>
  <c r="D543" i="7"/>
  <c r="D550" i="7"/>
  <c r="C543" i="7"/>
  <c r="C544" i="7" s="1"/>
  <c r="D544" i="7" s="1"/>
  <c r="D696" i="7"/>
  <c r="D695" i="7"/>
  <c r="D694" i="7"/>
  <c r="D693" i="7"/>
  <c r="D692" i="7"/>
  <c r="D691" i="7"/>
  <c r="D690" i="7"/>
  <c r="D689" i="7"/>
  <c r="D688" i="7"/>
  <c r="D684" i="7"/>
  <c r="D683" i="7"/>
  <c r="D682" i="7"/>
  <c r="D681" i="7"/>
  <c r="D680" i="7"/>
  <c r="D679" i="7"/>
  <c r="D678" i="7"/>
  <c r="D677" i="7"/>
  <c r="D676" i="7"/>
  <c r="D675" i="7"/>
  <c r="D664" i="7"/>
  <c r="D663" i="7"/>
  <c r="D662" i="7"/>
  <c r="D661" i="7"/>
  <c r="D660" i="7"/>
  <c r="D659" i="7"/>
  <c r="D658" i="7"/>
  <c r="D657" i="7"/>
  <c r="D656" i="7"/>
  <c r="D652" i="7"/>
  <c r="D651" i="7"/>
  <c r="D650" i="7"/>
  <c r="D649" i="7"/>
  <c r="D648" i="7"/>
  <c r="D647" i="7"/>
  <c r="D646" i="7"/>
  <c r="D645" i="7"/>
  <c r="D644" i="7"/>
  <c r="D643" i="7"/>
  <c r="D632" i="7"/>
  <c r="D631" i="7"/>
  <c r="D630" i="7"/>
  <c r="D629" i="7"/>
  <c r="D628" i="7"/>
  <c r="D627" i="7"/>
  <c r="D626" i="7"/>
  <c r="D625" i="7"/>
  <c r="D624" i="7"/>
  <c r="D620" i="7"/>
  <c r="D619" i="7"/>
  <c r="D618" i="7"/>
  <c r="D617" i="7"/>
  <c r="D616" i="7"/>
  <c r="D615" i="7"/>
  <c r="D614" i="7"/>
  <c r="D613" i="7"/>
  <c r="D612" i="7"/>
  <c r="D611" i="7"/>
  <c r="D484" i="7"/>
  <c r="D485" i="7" s="1"/>
  <c r="D478" i="7"/>
  <c r="D479" i="7" s="1"/>
  <c r="D395" i="7"/>
  <c r="D382" i="7"/>
  <c r="D381" i="7"/>
  <c r="D380" i="7"/>
  <c r="D379" i="7"/>
  <c r="D378" i="7"/>
  <c r="D377" i="7"/>
  <c r="D248" i="7"/>
  <c r="D247" i="7"/>
  <c r="D246" i="7"/>
  <c r="D245" i="7"/>
  <c r="D244" i="7"/>
  <c r="D243" i="7"/>
  <c r="D261" i="7"/>
  <c r="C696" i="7"/>
  <c r="C695" i="7"/>
  <c r="C694" i="7"/>
  <c r="C693" i="7"/>
  <c r="C692" i="7"/>
  <c r="C691" i="7"/>
  <c r="C690" i="7"/>
  <c r="C689" i="7"/>
  <c r="C684" i="7"/>
  <c r="C326" i="7" s="1"/>
  <c r="C683" i="7"/>
  <c r="C325" i="7" s="1"/>
  <c r="C682" i="7"/>
  <c r="C681" i="7"/>
  <c r="C323" i="7" s="1"/>
  <c r="C680" i="7"/>
  <c r="C322" i="7" s="1"/>
  <c r="C679" i="7"/>
  <c r="C678" i="7"/>
  <c r="C320" i="7" s="1"/>
  <c r="C688" i="7"/>
  <c r="C677" i="7"/>
  <c r="C319" i="7" s="1"/>
  <c r="C652" i="7"/>
  <c r="C300" i="7" s="1"/>
  <c r="C651" i="7"/>
  <c r="C299" i="7" s="1"/>
  <c r="C650" i="7"/>
  <c r="C298" i="7" s="1"/>
  <c r="C649" i="7"/>
  <c r="C297" i="7" s="1"/>
  <c r="C648" i="7"/>
  <c r="C647" i="7"/>
  <c r="C295" i="7" s="1"/>
  <c r="C676" i="7"/>
  <c r="C318" i="7" s="1"/>
  <c r="C675" i="7"/>
  <c r="C317" i="7" s="1"/>
  <c r="C664" i="7"/>
  <c r="C663" i="7"/>
  <c r="C662" i="7"/>
  <c r="C661" i="7"/>
  <c r="C660" i="7"/>
  <c r="C659" i="7"/>
  <c r="C658" i="7"/>
  <c r="C657" i="7"/>
  <c r="C656" i="7"/>
  <c r="C646" i="7"/>
  <c r="C294" i="7" s="1"/>
  <c r="C620" i="7"/>
  <c r="C275" i="7" s="1"/>
  <c r="C619" i="7"/>
  <c r="C274" i="7" s="1"/>
  <c r="C618" i="7"/>
  <c r="C273" i="7" s="1"/>
  <c r="C617" i="7"/>
  <c r="C272" i="7" s="1"/>
  <c r="C616" i="7"/>
  <c r="C271" i="7" s="1"/>
  <c r="C645" i="7"/>
  <c r="C293" i="7" s="1"/>
  <c r="C644" i="7"/>
  <c r="C292" i="7" s="1"/>
  <c r="C643" i="7"/>
  <c r="C632" i="7"/>
  <c r="C631" i="7"/>
  <c r="C630" i="7"/>
  <c r="C629" i="7"/>
  <c r="C628" i="7"/>
  <c r="C627" i="7"/>
  <c r="C626" i="7"/>
  <c r="C625" i="7"/>
  <c r="C624" i="7"/>
  <c r="C615" i="7"/>
  <c r="C270" i="7" s="1"/>
  <c r="C614" i="7"/>
  <c r="C269" i="7" s="1"/>
  <c r="C613" i="7"/>
  <c r="C268" i="7" s="1"/>
  <c r="C612" i="7"/>
  <c r="C611" i="7"/>
  <c r="C266" i="7" s="1"/>
  <c r="C484" i="7"/>
  <c r="C485" i="7" s="1"/>
  <c r="C478" i="7"/>
  <c r="C479" i="7" s="1"/>
  <c r="C381" i="7"/>
  <c r="C380" i="7"/>
  <c r="C379" i="7"/>
  <c r="C378" i="7"/>
  <c r="C377" i="7"/>
  <c r="C395" i="7"/>
  <c r="C261" i="7"/>
  <c r="C247" i="7"/>
  <c r="C246" i="7"/>
  <c r="C245" i="7"/>
  <c r="C244" i="7"/>
  <c r="C243" i="7"/>
  <c r="B109" i="7"/>
  <c r="E2" i="7"/>
  <c r="E600" i="7" s="1"/>
  <c r="C19" i="7"/>
  <c r="C23" i="7"/>
  <c r="C25" i="7"/>
  <c r="C26" i="7"/>
  <c r="C30" i="7"/>
  <c r="C34" i="7"/>
  <c r="C95" i="7"/>
  <c r="E95" i="7"/>
  <c r="G95" i="7"/>
  <c r="I95" i="7"/>
  <c r="K95" i="7"/>
  <c r="M95" i="7"/>
  <c r="O95" i="7"/>
  <c r="Q95" i="7"/>
  <c r="S95" i="7"/>
  <c r="U95" i="7"/>
  <c r="W95" i="7"/>
  <c r="Y95" i="7"/>
  <c r="AA95" i="7"/>
  <c r="AC95" i="7"/>
  <c r="AE95" i="7"/>
  <c r="AG95" i="7"/>
  <c r="AI95" i="7"/>
  <c r="AK95" i="7"/>
  <c r="AM95" i="7"/>
  <c r="AO95" i="7"/>
  <c r="D19" i="7"/>
  <c r="D23" i="7"/>
  <c r="D25" i="7"/>
  <c r="D26" i="7"/>
  <c r="D30" i="7"/>
  <c r="B105" i="7"/>
  <c r="A378" i="7"/>
  <c r="A385" i="7" s="1"/>
  <c r="A380" i="7"/>
  <c r="A387" i="7" s="1"/>
  <c r="A382" i="7"/>
  <c r="A389" i="7" s="1"/>
  <c r="A355" i="7"/>
  <c r="A362" i="7"/>
  <c r="A363" i="7"/>
  <c r="A364" i="7"/>
  <c r="A365" i="7"/>
  <c r="A366" i="7"/>
  <c r="A367" i="7"/>
  <c r="A243" i="7"/>
  <c r="A250" i="7" s="1"/>
  <c r="A244" i="7"/>
  <c r="A251" i="7" s="1"/>
  <c r="A245" i="7"/>
  <c r="A252" i="7" s="1"/>
  <c r="A246" i="7"/>
  <c r="A253" i="7" s="1"/>
  <c r="A247" i="7"/>
  <c r="A254" i="7" s="1"/>
  <c r="A248" i="7"/>
  <c r="A255" i="7" s="1"/>
  <c r="A377" i="7"/>
  <c r="A384" i="7" s="1"/>
  <c r="A379" i="7"/>
  <c r="A386" i="7" s="1"/>
  <c r="A381" i="7"/>
  <c r="A388" i="7" s="1"/>
  <c r="A354" i="7"/>
  <c r="A356" i="7"/>
  <c r="A357" i="7"/>
  <c r="A358" i="7"/>
  <c r="A359" i="7"/>
  <c r="A360" i="7"/>
  <c r="A361" i="7"/>
  <c r="A368" i="7"/>
  <c r="A369" i="7"/>
  <c r="A370" i="7"/>
  <c r="A371" i="7"/>
  <c r="A372" i="7"/>
  <c r="A539" i="2"/>
  <c r="A540" i="2" s="1"/>
  <c r="A541" i="2" s="1"/>
  <c r="A542" i="2" s="1"/>
  <c r="A543" i="2" s="1"/>
  <c r="A544" i="2" s="1"/>
  <c r="A545" i="2" s="1"/>
  <c r="A546" i="2" s="1"/>
  <c r="A547" i="2" s="1"/>
  <c r="A527" i="2"/>
  <c r="A528" i="2" s="1"/>
  <c r="A529" i="2" s="1"/>
  <c r="A530" i="2" s="1"/>
  <c r="A531" i="2" s="1"/>
  <c r="A532" i="2" s="1"/>
  <c r="A533" i="2" s="1"/>
  <c r="A534" i="2" s="1"/>
  <c r="A535" i="2" s="1"/>
  <c r="A513" i="2"/>
  <c r="A514" i="2" s="1"/>
  <c r="A515" i="2" s="1"/>
  <c r="A516" i="2" s="1"/>
  <c r="A517" i="2" s="1"/>
  <c r="A518" i="2" s="1"/>
  <c r="A519" i="2" s="1"/>
  <c r="A520" i="2" s="1"/>
  <c r="A521" i="2" s="1"/>
  <c r="A501" i="2"/>
  <c r="A502" i="2" s="1"/>
  <c r="A503" i="2" s="1"/>
  <c r="A504" i="2" s="1"/>
  <c r="A505" i="2" s="1"/>
  <c r="A506" i="2" s="1"/>
  <c r="A507" i="2" s="1"/>
  <c r="A508" i="2" s="1"/>
  <c r="A509" i="2" s="1"/>
  <c r="A404" i="2"/>
  <c r="A405" i="2" s="1"/>
  <c r="A406" i="2" s="1"/>
  <c r="A407" i="2" s="1"/>
  <c r="A408" i="2" s="1"/>
  <c r="A409" i="2" s="1"/>
  <c r="A410" i="2" s="1"/>
  <c r="A411" i="2" s="1"/>
  <c r="A412" i="2" s="1"/>
  <c r="A392" i="2"/>
  <c r="A393" i="2" s="1"/>
  <c r="A394" i="2" s="1"/>
  <c r="A395" i="2" s="1"/>
  <c r="A396" i="2" s="1"/>
  <c r="A397" i="2" s="1"/>
  <c r="A398" i="2" s="1"/>
  <c r="A399" i="2" s="1"/>
  <c r="A400" i="2" s="1"/>
  <c r="A378" i="2"/>
  <c r="A379" i="2" s="1"/>
  <c r="A380" i="2" s="1"/>
  <c r="A381" i="2" s="1"/>
  <c r="A382" i="2" s="1"/>
  <c r="A383" i="2" s="1"/>
  <c r="A384" i="2" s="1"/>
  <c r="A385" i="2" s="1"/>
  <c r="A386" i="2" s="1"/>
  <c r="A366" i="2"/>
  <c r="A367" i="2" s="1"/>
  <c r="A368" i="2" s="1"/>
  <c r="A369" i="2" s="1"/>
  <c r="A370" i="2" s="1"/>
  <c r="A371" i="2" s="1"/>
  <c r="A372" i="2" s="1"/>
  <c r="A373" i="2" s="1"/>
  <c r="A374" i="2" s="1"/>
  <c r="B70" i="2"/>
  <c r="B69" i="2"/>
  <c r="B65" i="2"/>
  <c r="B64" i="2"/>
  <c r="A762" i="2"/>
  <c r="A763" i="2" s="1"/>
  <c r="A764" i="2" s="1"/>
  <c r="A765" i="2" s="1"/>
  <c r="A766" i="2" s="1"/>
  <c r="A767" i="2" s="1"/>
  <c r="A768" i="2" s="1"/>
  <c r="A769" i="2" s="1"/>
  <c r="A770" i="2" s="1"/>
  <c r="A750" i="2"/>
  <c r="B745" i="2"/>
  <c r="C742" i="2" s="1"/>
  <c r="J25" i="1"/>
  <c r="J21" i="1"/>
  <c r="J17" i="1"/>
  <c r="A730" i="2"/>
  <c r="A731" i="2" s="1"/>
  <c r="A732" i="2" s="1"/>
  <c r="A733" i="2" s="1"/>
  <c r="A734" i="2" s="1"/>
  <c r="A735" i="2" s="1"/>
  <c r="A736" i="2" s="1"/>
  <c r="A737" i="2" s="1"/>
  <c r="A738" i="2" s="1"/>
  <c r="A718" i="2"/>
  <c r="B713" i="2"/>
  <c r="C710" i="2" s="1"/>
  <c r="D523" i="7" l="1"/>
  <c r="D600" i="7"/>
  <c r="C253" i="8"/>
  <c r="D515" i="7"/>
  <c r="E11" i="7"/>
  <c r="D422" i="8"/>
  <c r="D217" i="7"/>
  <c r="D511" i="7"/>
  <c r="D519" i="7"/>
  <c r="E523" i="7"/>
  <c r="E519" i="7"/>
  <c r="E515" i="7"/>
  <c r="E511" i="7"/>
  <c r="E594" i="7"/>
  <c r="D288" i="8"/>
  <c r="E56" i="10"/>
  <c r="E85" i="10"/>
  <c r="E86" i="10" s="1"/>
  <c r="F629" i="10"/>
  <c r="F625" i="10"/>
  <c r="F621" i="10"/>
  <c r="F617" i="10"/>
  <c r="D582" i="8"/>
  <c r="D594" i="8"/>
  <c r="D590" i="8"/>
  <c r="D586" i="8"/>
  <c r="D65" i="10"/>
  <c r="D68" i="10" s="1"/>
  <c r="D75" i="10" s="1"/>
  <c r="C179" i="10"/>
  <c r="C196" i="10" s="1"/>
  <c r="E180" i="10"/>
  <c r="E197" i="10" s="1"/>
  <c r="E141" i="10"/>
  <c r="E153" i="10" s="1"/>
  <c r="E249" i="10"/>
  <c r="E221" i="10"/>
  <c r="E59" i="10"/>
  <c r="G11" i="10"/>
  <c r="F645" i="10"/>
  <c r="F181" i="10" s="1"/>
  <c r="F198" i="10" s="1"/>
  <c r="F41" i="10"/>
  <c r="F183" i="10" s="1"/>
  <c r="F200" i="10" s="1"/>
  <c r="C182" i="7"/>
  <c r="E27" i="10"/>
  <c r="E509" i="10"/>
  <c r="D506" i="10"/>
  <c r="F741" i="10"/>
  <c r="F740" i="10"/>
  <c r="F739" i="10"/>
  <c r="F738" i="10"/>
  <c r="F737" i="10"/>
  <c r="F736" i="10"/>
  <c r="F735" i="10"/>
  <c r="F734" i="10"/>
  <c r="F729" i="10"/>
  <c r="F432" i="10" s="1"/>
  <c r="F728" i="10"/>
  <c r="F431" i="10" s="1"/>
  <c r="F727" i="10"/>
  <c r="F430" i="10" s="1"/>
  <c r="F726" i="10"/>
  <c r="F429" i="10" s="1"/>
  <c r="F725" i="10"/>
  <c r="F428" i="10" s="1"/>
  <c r="F724" i="10"/>
  <c r="F723" i="10"/>
  <c r="F426" i="10" s="1"/>
  <c r="F722" i="10"/>
  <c r="F425" i="10" s="1"/>
  <c r="F721" i="10"/>
  <c r="F424" i="10" s="1"/>
  <c r="F720" i="10"/>
  <c r="F423" i="10" s="1"/>
  <c r="F709" i="10"/>
  <c r="F708" i="10"/>
  <c r="F707" i="10"/>
  <c r="F706" i="10"/>
  <c r="F705" i="10"/>
  <c r="F704" i="10"/>
  <c r="F703" i="10"/>
  <c r="F702" i="10"/>
  <c r="F701" i="10"/>
  <c r="F697" i="10"/>
  <c r="F406" i="10" s="1"/>
  <c r="F696" i="10"/>
  <c r="F405" i="10" s="1"/>
  <c r="F695" i="10"/>
  <c r="F404" i="10" s="1"/>
  <c r="F694" i="10"/>
  <c r="F403" i="10" s="1"/>
  <c r="F693" i="10"/>
  <c r="F402" i="10" s="1"/>
  <c r="F692" i="10"/>
  <c r="F401" i="10" s="1"/>
  <c r="F691" i="10"/>
  <c r="F400" i="10" s="1"/>
  <c r="F690" i="10"/>
  <c r="F399" i="10" s="1"/>
  <c r="F689" i="10"/>
  <c r="F398" i="10" s="1"/>
  <c r="F688" i="10"/>
  <c r="F397" i="10" s="1"/>
  <c r="F677" i="10"/>
  <c r="F676" i="10"/>
  <c r="F675" i="10"/>
  <c r="F674" i="10"/>
  <c r="F673" i="10"/>
  <c r="F672" i="10"/>
  <c r="F671" i="10"/>
  <c r="F670" i="10"/>
  <c r="F669" i="10"/>
  <c r="F665" i="10"/>
  <c r="F381" i="10" s="1"/>
  <c r="F664" i="10"/>
  <c r="F380" i="10" s="1"/>
  <c r="F663" i="10"/>
  <c r="F379" i="10" s="1"/>
  <c r="F662" i="10"/>
  <c r="F661" i="10"/>
  <c r="F377" i="10" s="1"/>
  <c r="F660" i="10"/>
  <c r="F376" i="10" s="1"/>
  <c r="F659" i="10"/>
  <c r="F375" i="10" s="1"/>
  <c r="F658" i="10"/>
  <c r="F374" i="10" s="1"/>
  <c r="F657" i="10"/>
  <c r="F373" i="10" s="1"/>
  <c r="F656" i="10"/>
  <c r="F372" i="10" s="1"/>
  <c r="F590" i="10"/>
  <c r="F591" i="10" s="1"/>
  <c r="F584" i="10"/>
  <c r="F585" i="10" s="1"/>
  <c r="F501" i="10"/>
  <c r="F354" i="10"/>
  <c r="F353" i="10"/>
  <c r="F352" i="10"/>
  <c r="F351" i="10"/>
  <c r="F350" i="10"/>
  <c r="F349" i="10"/>
  <c r="F488" i="10"/>
  <c r="F487" i="10"/>
  <c r="F486" i="10"/>
  <c r="F485" i="10"/>
  <c r="F484" i="10"/>
  <c r="F483" i="10"/>
  <c r="F427" i="10"/>
  <c r="F378" i="10"/>
  <c r="F367" i="10"/>
  <c r="F30" i="10"/>
  <c r="F26" i="10"/>
  <c r="F25" i="10"/>
  <c r="F23" i="10"/>
  <c r="F19" i="10"/>
  <c r="G2" i="10"/>
  <c r="G639" i="10" s="1"/>
  <c r="E513" i="10"/>
  <c r="E533" i="10"/>
  <c r="E537" i="10"/>
  <c r="E541" i="10"/>
  <c r="E561" i="10"/>
  <c r="E565" i="10"/>
  <c r="E506" i="10"/>
  <c r="E510" i="10"/>
  <c r="E514" i="10"/>
  <c r="E534" i="10"/>
  <c r="E538" i="10"/>
  <c r="E558" i="10"/>
  <c r="E562" i="10"/>
  <c r="E566" i="10"/>
  <c r="D267" i="7"/>
  <c r="D291" i="7"/>
  <c r="D320" i="7"/>
  <c r="D324" i="7"/>
  <c r="E666" i="10"/>
  <c r="E651" i="10" s="1"/>
  <c r="E698" i="10"/>
  <c r="E683" i="10" s="1"/>
  <c r="E66" i="10" s="1"/>
  <c r="E368" i="10"/>
  <c r="E507" i="10"/>
  <c r="E511" i="10"/>
  <c r="E515" i="10"/>
  <c r="E535" i="10"/>
  <c r="E539" i="10"/>
  <c r="E559" i="10"/>
  <c r="E563" i="10"/>
  <c r="E567" i="10"/>
  <c r="E508" i="10"/>
  <c r="E512" i="10"/>
  <c r="E532" i="10"/>
  <c r="E536" i="10"/>
  <c r="E540" i="10"/>
  <c r="E560" i="10"/>
  <c r="E564" i="10"/>
  <c r="E502" i="10"/>
  <c r="E730" i="10"/>
  <c r="E715" i="10" s="1"/>
  <c r="E67" i="10" s="1"/>
  <c r="E11" i="8"/>
  <c r="C467" i="8"/>
  <c r="C396" i="7"/>
  <c r="D621" i="7"/>
  <c r="D606" i="7" s="1"/>
  <c r="D68" i="7" s="1"/>
  <c r="D685" i="7"/>
  <c r="D670" i="7" s="1"/>
  <c r="D70" i="7" s="1"/>
  <c r="D351" i="7"/>
  <c r="D344" i="7" s="1"/>
  <c r="C474" i="8"/>
  <c r="C478" i="8"/>
  <c r="C525" i="8"/>
  <c r="C529" i="8"/>
  <c r="C497" i="8"/>
  <c r="C501" i="8"/>
  <c r="C505" i="8"/>
  <c r="C473" i="8"/>
  <c r="C471" i="8"/>
  <c r="C498" i="8"/>
  <c r="C502" i="8"/>
  <c r="C506" i="8"/>
  <c r="C526" i="8"/>
  <c r="C530" i="8"/>
  <c r="C477" i="8"/>
  <c r="C625" i="8"/>
  <c r="C610" i="8" s="1"/>
  <c r="C60" i="8" s="1"/>
  <c r="D700" i="8"/>
  <c r="D699" i="8"/>
  <c r="D698" i="8"/>
  <c r="D697" i="8"/>
  <c r="D696" i="8"/>
  <c r="D695" i="8"/>
  <c r="D694" i="8"/>
  <c r="D693" i="8"/>
  <c r="D692" i="8"/>
  <c r="D688" i="8"/>
  <c r="D397" i="8" s="1"/>
  <c r="D687" i="8"/>
  <c r="D396" i="8" s="1"/>
  <c r="D686" i="8"/>
  <c r="D395" i="8" s="1"/>
  <c r="D685" i="8"/>
  <c r="D394" i="8" s="1"/>
  <c r="D684" i="8"/>
  <c r="D393" i="8" s="1"/>
  <c r="D683" i="8"/>
  <c r="D392" i="8" s="1"/>
  <c r="D682" i="8"/>
  <c r="D681" i="8"/>
  <c r="D390" i="8" s="1"/>
  <c r="D680" i="8"/>
  <c r="D389" i="8" s="1"/>
  <c r="D679" i="8"/>
  <c r="D388" i="8" s="1"/>
  <c r="D668" i="8"/>
  <c r="D667" i="8"/>
  <c r="D666" i="8"/>
  <c r="D665" i="8"/>
  <c r="D664" i="8"/>
  <c r="D663" i="8"/>
  <c r="D662" i="8"/>
  <c r="D661" i="8"/>
  <c r="D660" i="8"/>
  <c r="D656" i="8"/>
  <c r="D371" i="8" s="1"/>
  <c r="D655" i="8"/>
  <c r="D370" i="8" s="1"/>
  <c r="D654" i="8"/>
  <c r="D369" i="8" s="1"/>
  <c r="D653" i="8"/>
  <c r="D368" i="8" s="1"/>
  <c r="D652" i="8"/>
  <c r="D367" i="8" s="1"/>
  <c r="D651" i="8"/>
  <c r="D366" i="8" s="1"/>
  <c r="D650" i="8"/>
  <c r="D365" i="8" s="1"/>
  <c r="D649" i="8"/>
  <c r="D364" i="8" s="1"/>
  <c r="D648" i="8"/>
  <c r="D363" i="8" s="1"/>
  <c r="D647" i="8"/>
  <c r="D362" i="8" s="1"/>
  <c r="D636" i="8"/>
  <c r="D635" i="8"/>
  <c r="D634" i="8"/>
  <c r="D633" i="8"/>
  <c r="D632" i="8"/>
  <c r="D631" i="8"/>
  <c r="D630" i="8"/>
  <c r="D629" i="8"/>
  <c r="D628" i="8"/>
  <c r="D624" i="8"/>
  <c r="D346" i="8" s="1"/>
  <c r="D623" i="8"/>
  <c r="D345" i="8" s="1"/>
  <c r="D622" i="8"/>
  <c r="D344" i="8" s="1"/>
  <c r="D621" i="8"/>
  <c r="D343" i="8" s="1"/>
  <c r="D620" i="8"/>
  <c r="D342" i="8" s="1"/>
  <c r="D619" i="8"/>
  <c r="D341" i="8" s="1"/>
  <c r="D618" i="8"/>
  <c r="D340" i="8" s="1"/>
  <c r="D617" i="8"/>
  <c r="D339" i="8" s="1"/>
  <c r="D616" i="8"/>
  <c r="D338" i="8" s="1"/>
  <c r="D615" i="8"/>
  <c r="D337" i="8" s="1"/>
  <c r="D555" i="8"/>
  <c r="D556" i="8" s="1"/>
  <c r="D549" i="8"/>
  <c r="D550" i="8" s="1"/>
  <c r="D604" i="8"/>
  <c r="D466" i="8"/>
  <c r="D391" i="8"/>
  <c r="D453" i="8"/>
  <c r="D452" i="8"/>
  <c r="D451" i="8"/>
  <c r="D450" i="8"/>
  <c r="D449" i="8"/>
  <c r="D448" i="8"/>
  <c r="D332" i="8"/>
  <c r="D319" i="8"/>
  <c r="D318" i="8"/>
  <c r="D317" i="8"/>
  <c r="D316" i="8"/>
  <c r="D315" i="8"/>
  <c r="D314" i="8"/>
  <c r="C34" i="8"/>
  <c r="E2" i="8"/>
  <c r="D30" i="8"/>
  <c r="D26" i="8"/>
  <c r="D25" i="8"/>
  <c r="D23" i="8"/>
  <c r="D19" i="8"/>
  <c r="C324" i="7"/>
  <c r="C459" i="7" s="1"/>
  <c r="C333" i="8"/>
  <c r="C27" i="8"/>
  <c r="AH174" i="8"/>
  <c r="AH159" i="8"/>
  <c r="AF174" i="8"/>
  <c r="AF159" i="8"/>
  <c r="AD174" i="8"/>
  <c r="AD159" i="8"/>
  <c r="AB174" i="8"/>
  <c r="AB159" i="8"/>
  <c r="Z174" i="8"/>
  <c r="Z159" i="8"/>
  <c r="X174" i="8"/>
  <c r="X159" i="8"/>
  <c r="V174" i="8"/>
  <c r="V159" i="8"/>
  <c r="T174" i="8"/>
  <c r="T159" i="8"/>
  <c r="R174" i="8"/>
  <c r="R159" i="8"/>
  <c r="P174" i="8"/>
  <c r="P159" i="8"/>
  <c r="N174" i="8"/>
  <c r="N159" i="8"/>
  <c r="L174" i="8"/>
  <c r="L159" i="8"/>
  <c r="J174" i="8"/>
  <c r="J159" i="8"/>
  <c r="H174" i="8"/>
  <c r="H159" i="8"/>
  <c r="F174" i="8"/>
  <c r="F159" i="8"/>
  <c r="D174" i="8"/>
  <c r="D159" i="8"/>
  <c r="C472" i="8"/>
  <c r="C476" i="8"/>
  <c r="C480" i="8"/>
  <c r="C500" i="8"/>
  <c r="C504" i="8"/>
  <c r="C524" i="8"/>
  <c r="C528" i="8"/>
  <c r="C532" i="8"/>
  <c r="C475" i="8"/>
  <c r="C479" i="8"/>
  <c r="C499" i="8"/>
  <c r="C503" i="8"/>
  <c r="C523" i="8"/>
  <c r="C527" i="8"/>
  <c r="C531" i="8"/>
  <c r="C657" i="8"/>
  <c r="C642" i="8" s="1"/>
  <c r="C61" i="8" s="1"/>
  <c r="C689" i="8"/>
  <c r="C674" i="8" s="1"/>
  <c r="C62" i="8" s="1"/>
  <c r="AO174" i="8"/>
  <c r="AO159" i="8"/>
  <c r="AM174" i="8"/>
  <c r="AM159" i="8"/>
  <c r="AK174" i="8"/>
  <c r="AK159" i="8"/>
  <c r="AI174" i="8"/>
  <c r="AI159" i="8"/>
  <c r="AG174" i="8"/>
  <c r="AG159" i="8"/>
  <c r="AE174" i="8"/>
  <c r="AE159" i="8"/>
  <c r="AC174" i="8"/>
  <c r="AC159" i="8"/>
  <c r="AA174" i="8"/>
  <c r="AA159" i="8"/>
  <c r="Y174" i="8"/>
  <c r="Y159" i="8"/>
  <c r="W174" i="8"/>
  <c r="W159" i="8"/>
  <c r="U174" i="8"/>
  <c r="U159" i="8"/>
  <c r="S174" i="8"/>
  <c r="S159" i="8"/>
  <c r="Q174" i="8"/>
  <c r="Q159" i="8"/>
  <c r="O174" i="8"/>
  <c r="O159" i="8"/>
  <c r="M174" i="8"/>
  <c r="M159" i="8"/>
  <c r="K174" i="8"/>
  <c r="K159" i="8"/>
  <c r="I174" i="8"/>
  <c r="I159" i="8"/>
  <c r="G174" i="8"/>
  <c r="G159" i="8"/>
  <c r="E174" i="8"/>
  <c r="E159" i="8"/>
  <c r="C174" i="8"/>
  <c r="C159" i="8"/>
  <c r="C262" i="7"/>
  <c r="C291" i="7"/>
  <c r="C426" i="7" s="1"/>
  <c r="D296" i="7"/>
  <c r="D431" i="7" s="1"/>
  <c r="D300" i="7"/>
  <c r="D435" i="7" s="1"/>
  <c r="D321" i="7"/>
  <c r="D456" i="7" s="1"/>
  <c r="D325" i="7"/>
  <c r="D460" i="7" s="1"/>
  <c r="D396" i="7"/>
  <c r="D27" i="7"/>
  <c r="C27" i="7"/>
  <c r="C296" i="7"/>
  <c r="C431" i="7" s="1"/>
  <c r="C321" i="7"/>
  <c r="C456" i="7" s="1"/>
  <c r="D272" i="7"/>
  <c r="D406" i="7" s="1"/>
  <c r="D653" i="7"/>
  <c r="D638" i="7" s="1"/>
  <c r="D69" i="7" s="1"/>
  <c r="E550" i="7"/>
  <c r="E543" i="7"/>
  <c r="E544" i="7" s="1"/>
  <c r="F11" i="7"/>
  <c r="D401" i="7"/>
  <c r="D426" i="7"/>
  <c r="D455" i="7"/>
  <c r="D459" i="7"/>
  <c r="E696" i="7"/>
  <c r="E695" i="7"/>
  <c r="E694" i="7"/>
  <c r="E693" i="7"/>
  <c r="E692" i="7"/>
  <c r="E691" i="7"/>
  <c r="E690" i="7"/>
  <c r="E688" i="7"/>
  <c r="E684" i="7"/>
  <c r="E326" i="7" s="1"/>
  <c r="E683" i="7"/>
  <c r="E325" i="7" s="1"/>
  <c r="E682" i="7"/>
  <c r="E324" i="7" s="1"/>
  <c r="E681" i="7"/>
  <c r="E323" i="7" s="1"/>
  <c r="E680" i="7"/>
  <c r="E322" i="7" s="1"/>
  <c r="E679" i="7"/>
  <c r="E321" i="7" s="1"/>
  <c r="E678" i="7"/>
  <c r="E320" i="7" s="1"/>
  <c r="E677" i="7"/>
  <c r="E319" i="7" s="1"/>
  <c r="E689" i="7"/>
  <c r="E676" i="7"/>
  <c r="E318" i="7" s="1"/>
  <c r="E652" i="7"/>
  <c r="E300" i="7" s="1"/>
  <c r="E651" i="7"/>
  <c r="E299" i="7" s="1"/>
  <c r="E650" i="7"/>
  <c r="E298" i="7" s="1"/>
  <c r="E649" i="7"/>
  <c r="E297" i="7" s="1"/>
  <c r="E648" i="7"/>
  <c r="E296" i="7" s="1"/>
  <c r="E647" i="7"/>
  <c r="E295" i="7" s="1"/>
  <c r="E675" i="7"/>
  <c r="E664" i="7"/>
  <c r="E663" i="7"/>
  <c r="E662" i="7"/>
  <c r="E661" i="7"/>
  <c r="E660" i="7"/>
  <c r="E659" i="7"/>
  <c r="E658" i="7"/>
  <c r="E657" i="7"/>
  <c r="E656" i="7"/>
  <c r="E620" i="7"/>
  <c r="E275" i="7" s="1"/>
  <c r="E619" i="7"/>
  <c r="E274" i="7" s="1"/>
  <c r="E618" i="7"/>
  <c r="E273" i="7" s="1"/>
  <c r="E617" i="7"/>
  <c r="E272" i="7" s="1"/>
  <c r="E616" i="7"/>
  <c r="E271" i="7" s="1"/>
  <c r="E646" i="7"/>
  <c r="E294" i="7" s="1"/>
  <c r="E645" i="7"/>
  <c r="E293" i="7" s="1"/>
  <c r="E644" i="7"/>
  <c r="E292" i="7" s="1"/>
  <c r="E643" i="7"/>
  <c r="E291" i="7" s="1"/>
  <c r="E632" i="7"/>
  <c r="E631" i="7"/>
  <c r="E630" i="7"/>
  <c r="E629" i="7"/>
  <c r="E628" i="7"/>
  <c r="E627" i="7"/>
  <c r="E626" i="7"/>
  <c r="E625" i="7"/>
  <c r="E624" i="7"/>
  <c r="E614" i="7"/>
  <c r="E269" i="7" s="1"/>
  <c r="E615" i="7"/>
  <c r="E270" i="7" s="1"/>
  <c r="E613" i="7"/>
  <c r="E268" i="7" s="1"/>
  <c r="E612" i="7"/>
  <c r="E267" i="7" s="1"/>
  <c r="E611" i="7"/>
  <c r="E266" i="7" s="1"/>
  <c r="E484" i="7"/>
  <c r="E485" i="7" s="1"/>
  <c r="E478" i="7"/>
  <c r="E479" i="7" s="1"/>
  <c r="E382" i="7"/>
  <c r="E381" i="7"/>
  <c r="E380" i="7"/>
  <c r="E379" i="7"/>
  <c r="E378" i="7"/>
  <c r="E377" i="7"/>
  <c r="E395" i="7"/>
  <c r="E261" i="7"/>
  <c r="E248" i="7"/>
  <c r="E247" i="7"/>
  <c r="E246" i="7"/>
  <c r="E245" i="7"/>
  <c r="E244" i="7"/>
  <c r="E243" i="7"/>
  <c r="F2" i="7"/>
  <c r="F600" i="7" s="1"/>
  <c r="E30" i="7"/>
  <c r="E26" i="7"/>
  <c r="E25" i="7"/>
  <c r="E23" i="7"/>
  <c r="E19" i="7"/>
  <c r="C402" i="7"/>
  <c r="C404" i="7"/>
  <c r="C405" i="7"/>
  <c r="C409" i="7"/>
  <c r="C429" i="7"/>
  <c r="C433" i="7"/>
  <c r="C453" i="7"/>
  <c r="C457" i="7"/>
  <c r="C461" i="7"/>
  <c r="C430" i="7"/>
  <c r="C434" i="7"/>
  <c r="C454" i="7"/>
  <c r="C458" i="7"/>
  <c r="C621" i="7"/>
  <c r="C606" i="7" s="1"/>
  <c r="C68" i="7" s="1"/>
  <c r="C685" i="7"/>
  <c r="C670" i="7" s="1"/>
  <c r="C70" i="7" s="1"/>
  <c r="D262" i="7"/>
  <c r="C267" i="7"/>
  <c r="D275" i="7"/>
  <c r="D273" i="7"/>
  <c r="D268" i="7"/>
  <c r="D295" i="7"/>
  <c r="D299" i="7"/>
  <c r="D319" i="7"/>
  <c r="D323" i="7"/>
  <c r="D292" i="7"/>
  <c r="C406" i="7"/>
  <c r="C400" i="7"/>
  <c r="C408" i="7"/>
  <c r="C403" i="7"/>
  <c r="C407" i="7"/>
  <c r="C427" i="7"/>
  <c r="C435" i="7"/>
  <c r="C455" i="7"/>
  <c r="C428" i="7"/>
  <c r="C432" i="7"/>
  <c r="C452" i="7"/>
  <c r="C460" i="7"/>
  <c r="C653" i="7"/>
  <c r="C638" i="7" s="1"/>
  <c r="C69" i="7" s="1"/>
  <c r="D271" i="7"/>
  <c r="D269" i="7"/>
  <c r="D266" i="7"/>
  <c r="D270" i="7"/>
  <c r="D274" i="7"/>
  <c r="D293" i="7"/>
  <c r="D297" i="7"/>
  <c r="D317" i="7"/>
  <c r="D294" i="7"/>
  <c r="D298" i="7"/>
  <c r="D318" i="7"/>
  <c r="D322" i="7"/>
  <c r="D326" i="7"/>
  <c r="A751" i="2"/>
  <c r="A719" i="2"/>
  <c r="E134" i="1"/>
  <c r="D134" i="1"/>
  <c r="C134" i="1"/>
  <c r="B134" i="1"/>
  <c r="C205" i="1"/>
  <c r="D205" i="1"/>
  <c r="E205" i="1"/>
  <c r="B205" i="1"/>
  <c r="F523" i="7" l="1"/>
  <c r="F519" i="7"/>
  <c r="F515" i="7"/>
  <c r="F511" i="7"/>
  <c r="F594" i="7"/>
  <c r="E317" i="7"/>
  <c r="F56" i="10"/>
  <c r="F85" i="10"/>
  <c r="F86" i="10" s="1"/>
  <c r="G629" i="10"/>
  <c r="G625" i="10"/>
  <c r="G621" i="10"/>
  <c r="G617" i="10"/>
  <c r="E594" i="8"/>
  <c r="E590" i="8"/>
  <c r="E586" i="8"/>
  <c r="E582" i="8"/>
  <c r="E65" i="10"/>
  <c r="E68" i="10" s="1"/>
  <c r="E75" i="10" s="1"/>
  <c r="D179" i="10"/>
  <c r="D196" i="10" s="1"/>
  <c r="F180" i="10"/>
  <c r="F197" i="10" s="1"/>
  <c r="F141" i="10"/>
  <c r="F153" i="10" s="1"/>
  <c r="F249" i="10"/>
  <c r="F221" i="10"/>
  <c r="F59" i="10"/>
  <c r="H11" i="10"/>
  <c r="G645" i="10"/>
  <c r="G181" i="10" s="1"/>
  <c r="G198" i="10" s="1"/>
  <c r="G41" i="10"/>
  <c r="G183" i="10" s="1"/>
  <c r="G200" i="10" s="1"/>
  <c r="F730" i="10"/>
  <c r="F715" i="10" s="1"/>
  <c r="F67" i="10" s="1"/>
  <c r="G741" i="10"/>
  <c r="G740" i="10"/>
  <c r="G739" i="10"/>
  <c r="G738" i="10"/>
  <c r="G737" i="10"/>
  <c r="G736" i="10"/>
  <c r="G735" i="10"/>
  <c r="G734" i="10"/>
  <c r="G729" i="10"/>
  <c r="G432" i="10" s="1"/>
  <c r="G728" i="10"/>
  <c r="G431" i="10" s="1"/>
  <c r="G727" i="10"/>
  <c r="G430" i="10" s="1"/>
  <c r="G726" i="10"/>
  <c r="G429" i="10" s="1"/>
  <c r="G725" i="10"/>
  <c r="G428" i="10" s="1"/>
  <c r="G724" i="10"/>
  <c r="G427" i="10" s="1"/>
  <c r="G723" i="10"/>
  <c r="G426" i="10" s="1"/>
  <c r="G722" i="10"/>
  <c r="G425" i="10" s="1"/>
  <c r="G721" i="10"/>
  <c r="G424" i="10" s="1"/>
  <c r="G697" i="10"/>
  <c r="G406" i="10" s="1"/>
  <c r="G696" i="10"/>
  <c r="G405" i="10" s="1"/>
  <c r="G695" i="10"/>
  <c r="G404" i="10" s="1"/>
  <c r="G694" i="10"/>
  <c r="G403" i="10" s="1"/>
  <c r="G693" i="10"/>
  <c r="G402" i="10" s="1"/>
  <c r="G692" i="10"/>
  <c r="G691" i="10"/>
  <c r="G400" i="10" s="1"/>
  <c r="G720" i="10"/>
  <c r="G423" i="10" s="1"/>
  <c r="G709" i="10"/>
  <c r="G708" i="10"/>
  <c r="G707" i="10"/>
  <c r="G706" i="10"/>
  <c r="G705" i="10"/>
  <c r="G704" i="10"/>
  <c r="G703" i="10"/>
  <c r="G702" i="10"/>
  <c r="G701" i="10"/>
  <c r="G690" i="10"/>
  <c r="G399" i="10" s="1"/>
  <c r="G665" i="10"/>
  <c r="G381" i="10" s="1"/>
  <c r="G664" i="10"/>
  <c r="G380" i="10" s="1"/>
  <c r="G663" i="10"/>
  <c r="G379" i="10" s="1"/>
  <c r="G662" i="10"/>
  <c r="G378" i="10" s="1"/>
  <c r="G661" i="10"/>
  <c r="G377" i="10" s="1"/>
  <c r="G660" i="10"/>
  <c r="G376" i="10" s="1"/>
  <c r="G689" i="10"/>
  <c r="G398" i="10" s="1"/>
  <c r="G688" i="10"/>
  <c r="G397" i="10" s="1"/>
  <c r="G677" i="10"/>
  <c r="G676" i="10"/>
  <c r="G675" i="10"/>
  <c r="G674" i="10"/>
  <c r="G673" i="10"/>
  <c r="G672" i="10"/>
  <c r="G671" i="10"/>
  <c r="G670" i="10"/>
  <c r="G669" i="10"/>
  <c r="G659" i="10"/>
  <c r="G375" i="10" s="1"/>
  <c r="G657" i="10"/>
  <c r="G373" i="10" s="1"/>
  <c r="G656" i="10"/>
  <c r="G372" i="10" s="1"/>
  <c r="G590" i="10"/>
  <c r="G591" i="10" s="1"/>
  <c r="G584" i="10"/>
  <c r="G585" i="10" s="1"/>
  <c r="G658" i="10"/>
  <c r="G374" i="10" s="1"/>
  <c r="G488" i="10"/>
  <c r="G487" i="10"/>
  <c r="G486" i="10"/>
  <c r="G485" i="10"/>
  <c r="G484" i="10"/>
  <c r="G483" i="10"/>
  <c r="G401" i="10"/>
  <c r="G367" i="10"/>
  <c r="G501" i="10"/>
  <c r="G354" i="10"/>
  <c r="G353" i="10"/>
  <c r="G352" i="10"/>
  <c r="G351" i="10"/>
  <c r="G350" i="10"/>
  <c r="G349" i="10"/>
  <c r="G30" i="10"/>
  <c r="G26" i="10"/>
  <c r="G25" i="10"/>
  <c r="G23" i="10"/>
  <c r="G19" i="10"/>
  <c r="H2" i="10"/>
  <c r="H639" i="10" s="1"/>
  <c r="F508" i="10"/>
  <c r="F512" i="10"/>
  <c r="F532" i="10"/>
  <c r="F536" i="10"/>
  <c r="F540" i="10"/>
  <c r="F560" i="10"/>
  <c r="F564" i="10"/>
  <c r="F502" i="10"/>
  <c r="F368" i="10"/>
  <c r="F507" i="10"/>
  <c r="F511" i="10"/>
  <c r="F515" i="10"/>
  <c r="F535" i="10"/>
  <c r="F539" i="10"/>
  <c r="F559" i="10"/>
  <c r="F563" i="10"/>
  <c r="F567" i="10"/>
  <c r="F666" i="10"/>
  <c r="F651" i="10" s="1"/>
  <c r="F27" i="10"/>
  <c r="F506" i="10"/>
  <c r="F510" i="10"/>
  <c r="F514" i="10"/>
  <c r="F534" i="10"/>
  <c r="F538" i="10"/>
  <c r="F558" i="10"/>
  <c r="F562" i="10"/>
  <c r="F566" i="10"/>
  <c r="F509" i="10"/>
  <c r="F513" i="10"/>
  <c r="F533" i="10"/>
  <c r="F537" i="10"/>
  <c r="F541" i="10"/>
  <c r="F561" i="10"/>
  <c r="F565" i="10"/>
  <c r="F698" i="10"/>
  <c r="F683" i="10" s="1"/>
  <c r="F66" i="10" s="1"/>
  <c r="D71" i="7"/>
  <c r="F11" i="8"/>
  <c r="E700" i="8"/>
  <c r="E699" i="8"/>
  <c r="E698" i="8"/>
  <c r="E697" i="8"/>
  <c r="E696" i="8"/>
  <c r="E695" i="8"/>
  <c r="E694" i="8"/>
  <c r="E693" i="8"/>
  <c r="E692" i="8"/>
  <c r="E688" i="8"/>
  <c r="E397" i="8" s="1"/>
  <c r="E687" i="8"/>
  <c r="E396" i="8" s="1"/>
  <c r="E686" i="8"/>
  <c r="E395" i="8" s="1"/>
  <c r="E685" i="8"/>
  <c r="E394" i="8" s="1"/>
  <c r="E684" i="8"/>
  <c r="E393" i="8" s="1"/>
  <c r="E683" i="8"/>
  <c r="E392" i="8" s="1"/>
  <c r="E682" i="8"/>
  <c r="E391" i="8" s="1"/>
  <c r="E681" i="8"/>
  <c r="E390" i="8" s="1"/>
  <c r="E680" i="8"/>
  <c r="E389" i="8" s="1"/>
  <c r="E679" i="8"/>
  <c r="E388" i="8" s="1"/>
  <c r="E668" i="8"/>
  <c r="E666" i="8"/>
  <c r="E664" i="8"/>
  <c r="E656" i="8"/>
  <c r="E371" i="8" s="1"/>
  <c r="E655" i="8"/>
  <c r="E654" i="8"/>
  <c r="E369" i="8" s="1"/>
  <c r="E653" i="8"/>
  <c r="E368" i="8" s="1"/>
  <c r="E652" i="8"/>
  <c r="E367" i="8" s="1"/>
  <c r="E651" i="8"/>
  <c r="E366" i="8" s="1"/>
  <c r="E650" i="8"/>
  <c r="E365" i="8" s="1"/>
  <c r="E649" i="8"/>
  <c r="E364" i="8" s="1"/>
  <c r="E648" i="8"/>
  <c r="E363" i="8" s="1"/>
  <c r="E647" i="8"/>
  <c r="E362" i="8" s="1"/>
  <c r="E667" i="8"/>
  <c r="E665" i="8"/>
  <c r="E663" i="8"/>
  <c r="E662" i="8"/>
  <c r="E661" i="8"/>
  <c r="E660" i="8"/>
  <c r="E624" i="8"/>
  <c r="E346" i="8" s="1"/>
  <c r="E623" i="8"/>
  <c r="E345" i="8" s="1"/>
  <c r="E622" i="8"/>
  <c r="E344" i="8" s="1"/>
  <c r="E621" i="8"/>
  <c r="E343" i="8" s="1"/>
  <c r="E620" i="8"/>
  <c r="E342" i="8" s="1"/>
  <c r="E619" i="8"/>
  <c r="E341" i="8" s="1"/>
  <c r="E618" i="8"/>
  <c r="E340" i="8" s="1"/>
  <c r="E617" i="8"/>
  <c r="E339" i="8" s="1"/>
  <c r="E616" i="8"/>
  <c r="E338" i="8" s="1"/>
  <c r="E615" i="8"/>
  <c r="E337" i="8" s="1"/>
  <c r="E636" i="8"/>
  <c r="E635" i="8"/>
  <c r="E634" i="8"/>
  <c r="E633" i="8"/>
  <c r="E632" i="8"/>
  <c r="E631" i="8"/>
  <c r="E630" i="8"/>
  <c r="E629" i="8"/>
  <c r="E628" i="8"/>
  <c r="E604" i="8"/>
  <c r="E555" i="8"/>
  <c r="E556" i="8" s="1"/>
  <c r="E549" i="8"/>
  <c r="E550" i="8" s="1"/>
  <c r="E453" i="8"/>
  <c r="E452" i="8"/>
  <c r="E451" i="8"/>
  <c r="E450" i="8"/>
  <c r="E449" i="8"/>
  <c r="E448" i="8"/>
  <c r="E370" i="8"/>
  <c r="E466" i="8"/>
  <c r="E332" i="8"/>
  <c r="E319" i="8"/>
  <c r="E318" i="8"/>
  <c r="E317" i="8"/>
  <c r="E316" i="8"/>
  <c r="E315" i="8"/>
  <c r="E314" i="8"/>
  <c r="E30" i="8"/>
  <c r="E26" i="8"/>
  <c r="E25" i="8"/>
  <c r="E23" i="8"/>
  <c r="E19" i="8"/>
  <c r="F2" i="8"/>
  <c r="D472" i="8"/>
  <c r="D473" i="8"/>
  <c r="D477" i="8"/>
  <c r="D497" i="8"/>
  <c r="D501" i="8"/>
  <c r="D505" i="8"/>
  <c r="D525" i="8"/>
  <c r="D529" i="8"/>
  <c r="D467" i="8"/>
  <c r="D476" i="8"/>
  <c r="D480" i="8"/>
  <c r="D500" i="8"/>
  <c r="D504" i="8"/>
  <c r="D524" i="8"/>
  <c r="D528" i="8"/>
  <c r="D532" i="8"/>
  <c r="D27" i="8"/>
  <c r="D625" i="8"/>
  <c r="D610" i="8" s="1"/>
  <c r="D60" i="8" s="1"/>
  <c r="D657" i="8"/>
  <c r="D642" i="8" s="1"/>
  <c r="D61" i="8" s="1"/>
  <c r="D689" i="8"/>
  <c r="D674" i="8" s="1"/>
  <c r="D62" i="8" s="1"/>
  <c r="C63" i="8"/>
  <c r="D333" i="8"/>
  <c r="D474" i="8"/>
  <c r="D471" i="8"/>
  <c r="D475" i="8"/>
  <c r="D479" i="8"/>
  <c r="D499" i="8"/>
  <c r="D503" i="8"/>
  <c r="D523" i="8"/>
  <c r="D527" i="8"/>
  <c r="D531" i="8"/>
  <c r="D478" i="8"/>
  <c r="D498" i="8"/>
  <c r="D502" i="8"/>
  <c r="D506" i="8"/>
  <c r="D526" i="8"/>
  <c r="D530" i="8"/>
  <c r="E27" i="7"/>
  <c r="E685" i="7"/>
  <c r="E670" i="7" s="1"/>
  <c r="E70" i="7" s="1"/>
  <c r="G11" i="7"/>
  <c r="F550" i="7"/>
  <c r="F543" i="7"/>
  <c r="F544" i="7" s="1"/>
  <c r="E621" i="7"/>
  <c r="E606" i="7" s="1"/>
  <c r="E68" i="7" s="1"/>
  <c r="D433" i="7"/>
  <c r="D432" i="7"/>
  <c r="D408" i="7"/>
  <c r="D461" i="7"/>
  <c r="D453" i="7"/>
  <c r="D429" i="7"/>
  <c r="D452" i="7"/>
  <c r="D428" i="7"/>
  <c r="D404" i="7"/>
  <c r="D403" i="7"/>
  <c r="D405" i="7"/>
  <c r="D454" i="7"/>
  <c r="D430" i="7"/>
  <c r="D407" i="7"/>
  <c r="D409" i="7"/>
  <c r="C401" i="7"/>
  <c r="E404" i="7"/>
  <c r="E406" i="7"/>
  <c r="E403" i="7"/>
  <c r="E407" i="7"/>
  <c r="E427" i="7"/>
  <c r="E431" i="7"/>
  <c r="E435" i="7"/>
  <c r="E455" i="7"/>
  <c r="E459" i="7"/>
  <c r="E428" i="7"/>
  <c r="E432" i="7"/>
  <c r="E452" i="7"/>
  <c r="E456" i="7"/>
  <c r="E460" i="7"/>
  <c r="C71" i="7"/>
  <c r="E653" i="7"/>
  <c r="E638" i="7" s="1"/>
  <c r="E69" i="7" s="1"/>
  <c r="D457" i="7"/>
  <c r="D400" i="7"/>
  <c r="D427" i="7"/>
  <c r="D458" i="7"/>
  <c r="D434" i="7"/>
  <c r="D402" i="7"/>
  <c r="F696" i="7"/>
  <c r="F695" i="7"/>
  <c r="F694" i="7"/>
  <c r="F693" i="7"/>
  <c r="F692" i="7"/>
  <c r="F691" i="7"/>
  <c r="F690" i="7"/>
  <c r="F689" i="7"/>
  <c r="F684" i="7"/>
  <c r="F683" i="7"/>
  <c r="F325" i="7" s="1"/>
  <c r="F682" i="7"/>
  <c r="F324" i="7" s="1"/>
  <c r="F681" i="7"/>
  <c r="F323" i="7" s="1"/>
  <c r="F680" i="7"/>
  <c r="F322" i="7" s="1"/>
  <c r="F679" i="7"/>
  <c r="F321" i="7" s="1"/>
  <c r="F678" i="7"/>
  <c r="F320" i="7" s="1"/>
  <c r="F677" i="7"/>
  <c r="F319" i="7" s="1"/>
  <c r="F676" i="7"/>
  <c r="F318" i="7" s="1"/>
  <c r="F675" i="7"/>
  <c r="F317" i="7" s="1"/>
  <c r="F664" i="7"/>
  <c r="F663" i="7"/>
  <c r="F662" i="7"/>
  <c r="F661" i="7"/>
  <c r="F660" i="7"/>
  <c r="F659" i="7"/>
  <c r="F658" i="7"/>
  <c r="F657" i="7"/>
  <c r="F656" i="7"/>
  <c r="F652" i="7"/>
  <c r="F300" i="7" s="1"/>
  <c r="F651" i="7"/>
  <c r="F299" i="7" s="1"/>
  <c r="F650" i="7"/>
  <c r="F298" i="7" s="1"/>
  <c r="F649" i="7"/>
  <c r="F297" i="7" s="1"/>
  <c r="F648" i="7"/>
  <c r="F296" i="7" s="1"/>
  <c r="F647" i="7"/>
  <c r="F295" i="7" s="1"/>
  <c r="F646" i="7"/>
  <c r="F294" i="7" s="1"/>
  <c r="F645" i="7"/>
  <c r="F293" i="7" s="1"/>
  <c r="F644" i="7"/>
  <c r="F292" i="7" s="1"/>
  <c r="F643" i="7"/>
  <c r="F291" i="7" s="1"/>
  <c r="F632" i="7"/>
  <c r="F631" i="7"/>
  <c r="F630" i="7"/>
  <c r="F629" i="7"/>
  <c r="F628" i="7"/>
  <c r="F627" i="7"/>
  <c r="F626" i="7"/>
  <c r="F625" i="7"/>
  <c r="F624" i="7"/>
  <c r="F620" i="7"/>
  <c r="F275" i="7" s="1"/>
  <c r="F619" i="7"/>
  <c r="F274" i="7" s="1"/>
  <c r="F618" i="7"/>
  <c r="F273" i="7" s="1"/>
  <c r="F617" i="7"/>
  <c r="F272" i="7" s="1"/>
  <c r="F616" i="7"/>
  <c r="F271" i="7" s="1"/>
  <c r="F615" i="7"/>
  <c r="F270" i="7" s="1"/>
  <c r="F614" i="7"/>
  <c r="F269" i="7" s="1"/>
  <c r="F613" i="7"/>
  <c r="F268" i="7" s="1"/>
  <c r="F612" i="7"/>
  <c r="F267" i="7" s="1"/>
  <c r="F611" i="7"/>
  <c r="F266" i="7" s="1"/>
  <c r="F484" i="7"/>
  <c r="F485" i="7" s="1"/>
  <c r="F478" i="7"/>
  <c r="F479" i="7" s="1"/>
  <c r="F395" i="7"/>
  <c r="F326" i="7"/>
  <c r="F382" i="7"/>
  <c r="F381" i="7"/>
  <c r="F380" i="7"/>
  <c r="F379" i="7"/>
  <c r="F378" i="7"/>
  <c r="F377" i="7"/>
  <c r="F248" i="7"/>
  <c r="F247" i="7"/>
  <c r="F246" i="7"/>
  <c r="F245" i="7"/>
  <c r="F244" i="7"/>
  <c r="F243" i="7"/>
  <c r="F261" i="7"/>
  <c r="F30" i="7"/>
  <c r="F26" i="7"/>
  <c r="F25" i="7"/>
  <c r="F23" i="7"/>
  <c r="F19" i="7"/>
  <c r="G2" i="7"/>
  <c r="G600" i="7" s="1"/>
  <c r="E262" i="7"/>
  <c r="E400" i="7"/>
  <c r="E408" i="7"/>
  <c r="E402" i="7"/>
  <c r="E401" i="7"/>
  <c r="E405" i="7"/>
  <c r="E409" i="7"/>
  <c r="E429" i="7"/>
  <c r="E433" i="7"/>
  <c r="E453" i="7"/>
  <c r="E457" i="7"/>
  <c r="E461" i="7"/>
  <c r="E426" i="7"/>
  <c r="E430" i="7"/>
  <c r="E434" i="7"/>
  <c r="E454" i="7"/>
  <c r="E458" i="7"/>
  <c r="E396" i="7"/>
  <c r="A752" i="2"/>
  <c r="A720" i="2"/>
  <c r="G523" i="7" l="1"/>
  <c r="G519" i="7"/>
  <c r="G515" i="7"/>
  <c r="G511" i="7"/>
  <c r="G594" i="7"/>
  <c r="E71" i="7"/>
  <c r="G56" i="10"/>
  <c r="G85" i="10"/>
  <c r="G86" i="10" s="1"/>
  <c r="H629" i="10"/>
  <c r="H625" i="10"/>
  <c r="H621" i="10"/>
  <c r="H617" i="10"/>
  <c r="F594" i="8"/>
  <c r="F590" i="8"/>
  <c r="F586" i="8"/>
  <c r="F582" i="8"/>
  <c r="F65" i="10"/>
  <c r="F68" i="10" s="1"/>
  <c r="F75" i="10" s="1"/>
  <c r="E179" i="10"/>
  <c r="E196" i="10" s="1"/>
  <c r="G180" i="10"/>
  <c r="G197" i="10" s="1"/>
  <c r="G141" i="10"/>
  <c r="G153" i="10" s="1"/>
  <c r="G249" i="10"/>
  <c r="G221" i="10"/>
  <c r="G59" i="10"/>
  <c r="I11" i="10"/>
  <c r="H645" i="10"/>
  <c r="H181" i="10" s="1"/>
  <c r="H198" i="10" s="1"/>
  <c r="H41" i="10"/>
  <c r="H183" i="10" s="1"/>
  <c r="H200" i="10" s="1"/>
  <c r="G698" i="10"/>
  <c r="G683" i="10" s="1"/>
  <c r="G66" i="10" s="1"/>
  <c r="H741" i="10"/>
  <c r="H740" i="10"/>
  <c r="H739" i="10"/>
  <c r="H738" i="10"/>
  <c r="H737" i="10"/>
  <c r="H736" i="10"/>
  <c r="H735" i="10"/>
  <c r="H734" i="10"/>
  <c r="H729" i="10"/>
  <c r="H728" i="10"/>
  <c r="H431" i="10" s="1"/>
  <c r="H727" i="10"/>
  <c r="H430" i="10" s="1"/>
  <c r="H726" i="10"/>
  <c r="H429" i="10" s="1"/>
  <c r="H725" i="10"/>
  <c r="H428" i="10" s="1"/>
  <c r="H724" i="10"/>
  <c r="H427" i="10" s="1"/>
  <c r="H723" i="10"/>
  <c r="H426" i="10" s="1"/>
  <c r="H722" i="10"/>
  <c r="H425" i="10" s="1"/>
  <c r="H721" i="10"/>
  <c r="H424" i="10" s="1"/>
  <c r="H720" i="10"/>
  <c r="H423" i="10" s="1"/>
  <c r="H709" i="10"/>
  <c r="H708" i="10"/>
  <c r="H707" i="10"/>
  <c r="H706" i="10"/>
  <c r="H705" i="10"/>
  <c r="H704" i="10"/>
  <c r="H703" i="10"/>
  <c r="H702" i="10"/>
  <c r="H701" i="10"/>
  <c r="H697" i="10"/>
  <c r="H406" i="10" s="1"/>
  <c r="H696" i="10"/>
  <c r="H405" i="10" s="1"/>
  <c r="H695" i="10"/>
  <c r="H404" i="10" s="1"/>
  <c r="H694" i="10"/>
  <c r="H403" i="10" s="1"/>
  <c r="H693" i="10"/>
  <c r="H402" i="10" s="1"/>
  <c r="H692" i="10"/>
  <c r="H401" i="10" s="1"/>
  <c r="H691" i="10"/>
  <c r="H400" i="10" s="1"/>
  <c r="H690" i="10"/>
  <c r="H399" i="10" s="1"/>
  <c r="H689" i="10"/>
  <c r="H398" i="10" s="1"/>
  <c r="H688" i="10"/>
  <c r="H397" i="10" s="1"/>
  <c r="H677" i="10"/>
  <c r="H676" i="10"/>
  <c r="H675" i="10"/>
  <c r="H674" i="10"/>
  <c r="H673" i="10"/>
  <c r="H672" i="10"/>
  <c r="H671" i="10"/>
  <c r="H670" i="10"/>
  <c r="H669" i="10"/>
  <c r="H665" i="10"/>
  <c r="H381" i="10" s="1"/>
  <c r="H664" i="10"/>
  <c r="H380" i="10" s="1"/>
  <c r="H663" i="10"/>
  <c r="H379" i="10" s="1"/>
  <c r="H662" i="10"/>
  <c r="H378" i="10" s="1"/>
  <c r="H661" i="10"/>
  <c r="H377" i="10" s="1"/>
  <c r="H660" i="10"/>
  <c r="H376" i="10" s="1"/>
  <c r="H659" i="10"/>
  <c r="H375" i="10" s="1"/>
  <c r="H658" i="10"/>
  <c r="H374" i="10" s="1"/>
  <c r="H657" i="10"/>
  <c r="H373" i="10" s="1"/>
  <c r="H656" i="10"/>
  <c r="H372" i="10" s="1"/>
  <c r="H590" i="10"/>
  <c r="H591" i="10" s="1"/>
  <c r="H584" i="10"/>
  <c r="H585" i="10" s="1"/>
  <c r="H501" i="10"/>
  <c r="H432" i="10"/>
  <c r="H354" i="10"/>
  <c r="H353" i="10"/>
  <c r="H352" i="10"/>
  <c r="H351" i="10"/>
  <c r="H350" i="10"/>
  <c r="H349" i="10"/>
  <c r="H488" i="10"/>
  <c r="H487" i="10"/>
  <c r="H486" i="10"/>
  <c r="H485" i="10"/>
  <c r="H484" i="10"/>
  <c r="H483" i="10"/>
  <c r="H367" i="10"/>
  <c r="H30" i="10"/>
  <c r="H26" i="10"/>
  <c r="H25" i="10"/>
  <c r="H23" i="10"/>
  <c r="H19" i="10"/>
  <c r="I2" i="10"/>
  <c r="I639" i="10" s="1"/>
  <c r="G368" i="10"/>
  <c r="G507" i="10"/>
  <c r="G511" i="10"/>
  <c r="G515" i="10"/>
  <c r="G535" i="10"/>
  <c r="G539" i="10"/>
  <c r="G559" i="10"/>
  <c r="G563" i="10"/>
  <c r="G567" i="10"/>
  <c r="G508" i="10"/>
  <c r="G512" i="10"/>
  <c r="G532" i="10"/>
  <c r="G536" i="10"/>
  <c r="G540" i="10"/>
  <c r="G560" i="10"/>
  <c r="G564" i="10"/>
  <c r="G502" i="10"/>
  <c r="G730" i="10"/>
  <c r="G715" i="10" s="1"/>
  <c r="G67" i="10" s="1"/>
  <c r="G27" i="10"/>
  <c r="G666" i="10"/>
  <c r="G651" i="10" s="1"/>
  <c r="G509" i="10"/>
  <c r="G513" i="10"/>
  <c r="G533" i="10"/>
  <c r="G537" i="10"/>
  <c r="G541" i="10"/>
  <c r="G561" i="10"/>
  <c r="G565" i="10"/>
  <c r="G506" i="10"/>
  <c r="G510" i="10"/>
  <c r="G514" i="10"/>
  <c r="G534" i="10"/>
  <c r="G538" i="10"/>
  <c r="G558" i="10"/>
  <c r="G562" i="10"/>
  <c r="G566" i="10"/>
  <c r="G11" i="8"/>
  <c r="E27" i="8"/>
  <c r="E625" i="8"/>
  <c r="E610" i="8" s="1"/>
  <c r="E60" i="8" s="1"/>
  <c r="E471" i="8"/>
  <c r="E472" i="8"/>
  <c r="E476" i="8"/>
  <c r="E480" i="8"/>
  <c r="E500" i="8"/>
  <c r="E504" i="8"/>
  <c r="E524" i="8"/>
  <c r="E528" i="8"/>
  <c r="E532" i="8"/>
  <c r="E475" i="8"/>
  <c r="E479" i="8"/>
  <c r="E499" i="8"/>
  <c r="E503" i="8"/>
  <c r="E523" i="8"/>
  <c r="E527" i="8"/>
  <c r="E531" i="8"/>
  <c r="E657" i="8"/>
  <c r="E642" i="8" s="1"/>
  <c r="E61" i="8" s="1"/>
  <c r="E689" i="8"/>
  <c r="E674" i="8" s="1"/>
  <c r="E62" i="8" s="1"/>
  <c r="F700" i="8"/>
  <c r="F699" i="8"/>
  <c r="F698" i="8"/>
  <c r="F697" i="8"/>
  <c r="F696" i="8"/>
  <c r="F695" i="8"/>
  <c r="F694" i="8"/>
  <c r="F693" i="8"/>
  <c r="F688" i="8"/>
  <c r="F687" i="8"/>
  <c r="F396" i="8" s="1"/>
  <c r="F686" i="8"/>
  <c r="F395" i="8" s="1"/>
  <c r="F685" i="8"/>
  <c r="F394" i="8" s="1"/>
  <c r="F684" i="8"/>
  <c r="F393" i="8" s="1"/>
  <c r="F683" i="8"/>
  <c r="F392" i="8" s="1"/>
  <c r="F682" i="8"/>
  <c r="F391" i="8" s="1"/>
  <c r="F681" i="8"/>
  <c r="F390" i="8" s="1"/>
  <c r="F680" i="8"/>
  <c r="F389" i="8" s="1"/>
  <c r="F679" i="8"/>
  <c r="F668" i="8"/>
  <c r="F667" i="8"/>
  <c r="F666" i="8"/>
  <c r="F665" i="8"/>
  <c r="F664" i="8"/>
  <c r="F663" i="8"/>
  <c r="F662" i="8"/>
  <c r="F661" i="8"/>
  <c r="F660" i="8"/>
  <c r="F656" i="8"/>
  <c r="F371" i="8" s="1"/>
  <c r="F655" i="8"/>
  <c r="F370" i="8" s="1"/>
  <c r="F654" i="8"/>
  <c r="F369" i="8" s="1"/>
  <c r="F653" i="8"/>
  <c r="F368" i="8" s="1"/>
  <c r="F652" i="8"/>
  <c r="F367" i="8" s="1"/>
  <c r="F651" i="8"/>
  <c r="F366" i="8" s="1"/>
  <c r="F650" i="8"/>
  <c r="F649" i="8"/>
  <c r="F364" i="8" s="1"/>
  <c r="F648" i="8"/>
  <c r="F363" i="8" s="1"/>
  <c r="F647" i="8"/>
  <c r="F362" i="8" s="1"/>
  <c r="F636" i="8"/>
  <c r="F635" i="8"/>
  <c r="F634" i="8"/>
  <c r="F633" i="8"/>
  <c r="F632" i="8"/>
  <c r="F631" i="8"/>
  <c r="F630" i="8"/>
  <c r="F629" i="8"/>
  <c r="F628" i="8"/>
  <c r="F624" i="8"/>
  <c r="F346" i="8" s="1"/>
  <c r="F623" i="8"/>
  <c r="F345" i="8" s="1"/>
  <c r="F622" i="8"/>
  <c r="F344" i="8" s="1"/>
  <c r="F621" i="8"/>
  <c r="F343" i="8" s="1"/>
  <c r="F620" i="8"/>
  <c r="F342" i="8" s="1"/>
  <c r="F619" i="8"/>
  <c r="F341" i="8" s="1"/>
  <c r="F618" i="8"/>
  <c r="F340" i="8" s="1"/>
  <c r="F617" i="8"/>
  <c r="F339" i="8" s="1"/>
  <c r="F616" i="8"/>
  <c r="F338" i="8" s="1"/>
  <c r="F615" i="8"/>
  <c r="F337" i="8" s="1"/>
  <c r="F555" i="8"/>
  <c r="F556" i="8" s="1"/>
  <c r="F549" i="8"/>
  <c r="F550" i="8" s="1"/>
  <c r="F604" i="8"/>
  <c r="F466" i="8"/>
  <c r="F397" i="8"/>
  <c r="F365" i="8"/>
  <c r="F453" i="8"/>
  <c r="F452" i="8"/>
  <c r="F451" i="8"/>
  <c r="F450" i="8"/>
  <c r="F449" i="8"/>
  <c r="F448" i="8"/>
  <c r="F332" i="8"/>
  <c r="F319" i="8"/>
  <c r="F318" i="8"/>
  <c r="F317" i="8"/>
  <c r="F316" i="8"/>
  <c r="F315" i="8"/>
  <c r="F314" i="8"/>
  <c r="G2" i="8"/>
  <c r="F30" i="8"/>
  <c r="F26" i="8"/>
  <c r="F25" i="8"/>
  <c r="F23" i="8"/>
  <c r="F19" i="8"/>
  <c r="E333" i="8"/>
  <c r="E473" i="8"/>
  <c r="E474" i="8"/>
  <c r="E478" i="8"/>
  <c r="E498" i="8"/>
  <c r="E502" i="8"/>
  <c r="E506" i="8"/>
  <c r="E526" i="8"/>
  <c r="E530" i="8"/>
  <c r="E477" i="8"/>
  <c r="E497" i="8"/>
  <c r="E501" i="8"/>
  <c r="E505" i="8"/>
  <c r="E525" i="8"/>
  <c r="E529" i="8"/>
  <c r="E467" i="8"/>
  <c r="D63" i="8"/>
  <c r="F27" i="7"/>
  <c r="G550" i="7"/>
  <c r="G543" i="7"/>
  <c r="G544" i="7" s="1"/>
  <c r="H11" i="7"/>
  <c r="F407" i="7"/>
  <c r="F405" i="7"/>
  <c r="F400" i="7"/>
  <c r="F404" i="7"/>
  <c r="F408" i="7"/>
  <c r="F428" i="7"/>
  <c r="F432" i="7"/>
  <c r="F452" i="7"/>
  <c r="F456" i="7"/>
  <c r="F460" i="7"/>
  <c r="F429" i="7"/>
  <c r="F433" i="7"/>
  <c r="F453" i="7"/>
  <c r="F457" i="7"/>
  <c r="F461" i="7"/>
  <c r="F621" i="7"/>
  <c r="F606" i="7" s="1"/>
  <c r="F68" i="7" s="1"/>
  <c r="F653" i="7"/>
  <c r="F638" i="7" s="1"/>
  <c r="F69" i="7" s="1"/>
  <c r="F685" i="7"/>
  <c r="F670" i="7" s="1"/>
  <c r="F70" i="7" s="1"/>
  <c r="G696" i="7"/>
  <c r="G695" i="7"/>
  <c r="G694" i="7"/>
  <c r="G693" i="7"/>
  <c r="G692" i="7"/>
  <c r="G691" i="7"/>
  <c r="G690" i="7"/>
  <c r="G689" i="7"/>
  <c r="G684" i="7"/>
  <c r="G326" i="7" s="1"/>
  <c r="G683" i="7"/>
  <c r="G325" i="7" s="1"/>
  <c r="G682" i="7"/>
  <c r="G324" i="7" s="1"/>
  <c r="G681" i="7"/>
  <c r="G323" i="7" s="1"/>
  <c r="G680" i="7"/>
  <c r="G322" i="7" s="1"/>
  <c r="G679" i="7"/>
  <c r="G321" i="7" s="1"/>
  <c r="G678" i="7"/>
  <c r="G320" i="7" s="1"/>
  <c r="G677" i="7"/>
  <c r="G319" i="7" s="1"/>
  <c r="G652" i="7"/>
  <c r="G300" i="7" s="1"/>
  <c r="G651" i="7"/>
  <c r="G299" i="7" s="1"/>
  <c r="G650" i="7"/>
  <c r="G298" i="7" s="1"/>
  <c r="G649" i="7"/>
  <c r="G297" i="7" s="1"/>
  <c r="G648" i="7"/>
  <c r="G296" i="7" s="1"/>
  <c r="G647" i="7"/>
  <c r="G295" i="7" s="1"/>
  <c r="G676" i="7"/>
  <c r="G318" i="7" s="1"/>
  <c r="G675" i="7"/>
  <c r="G317" i="7" s="1"/>
  <c r="G664" i="7"/>
  <c r="G663" i="7"/>
  <c r="G662" i="7"/>
  <c r="G661" i="7"/>
  <c r="G660" i="7"/>
  <c r="G659" i="7"/>
  <c r="G658" i="7"/>
  <c r="G657" i="7"/>
  <c r="G656" i="7"/>
  <c r="G646" i="7"/>
  <c r="G294" i="7" s="1"/>
  <c r="G620" i="7"/>
  <c r="G275" i="7" s="1"/>
  <c r="G619" i="7"/>
  <c r="G274" i="7" s="1"/>
  <c r="G618" i="7"/>
  <c r="G273" i="7" s="1"/>
  <c r="G617" i="7"/>
  <c r="G272" i="7" s="1"/>
  <c r="G616" i="7"/>
  <c r="G271" i="7" s="1"/>
  <c r="G645" i="7"/>
  <c r="G293" i="7" s="1"/>
  <c r="G644" i="7"/>
  <c r="G292" i="7" s="1"/>
  <c r="G643" i="7"/>
  <c r="G291" i="7" s="1"/>
  <c r="G632" i="7"/>
  <c r="G631" i="7"/>
  <c r="G630" i="7"/>
  <c r="G629" i="7"/>
  <c r="G628" i="7"/>
  <c r="G627" i="7"/>
  <c r="G626" i="7"/>
  <c r="G625" i="7"/>
  <c r="G624" i="7"/>
  <c r="G615" i="7"/>
  <c r="G270" i="7" s="1"/>
  <c r="G614" i="7"/>
  <c r="G269" i="7" s="1"/>
  <c r="G613" i="7"/>
  <c r="G268" i="7" s="1"/>
  <c r="G612" i="7"/>
  <c r="G267" i="7" s="1"/>
  <c r="G611" i="7"/>
  <c r="G266" i="7" s="1"/>
  <c r="G484" i="7"/>
  <c r="G485" i="7" s="1"/>
  <c r="G478" i="7"/>
  <c r="G479" i="7" s="1"/>
  <c r="G382" i="7"/>
  <c r="G381" i="7"/>
  <c r="G380" i="7"/>
  <c r="G379" i="7"/>
  <c r="G378" i="7"/>
  <c r="G377" i="7"/>
  <c r="G395" i="7"/>
  <c r="G261" i="7"/>
  <c r="G248" i="7"/>
  <c r="G247" i="7"/>
  <c r="G246" i="7"/>
  <c r="G245" i="7"/>
  <c r="G244" i="7"/>
  <c r="G243" i="7"/>
  <c r="G30" i="7"/>
  <c r="G26" i="7"/>
  <c r="G25" i="7"/>
  <c r="G23" i="7"/>
  <c r="G19" i="7"/>
  <c r="H2" i="7"/>
  <c r="H600" i="7" s="1"/>
  <c r="F403" i="7"/>
  <c r="F262" i="7"/>
  <c r="F401" i="7"/>
  <c r="F409" i="7"/>
  <c r="F402" i="7"/>
  <c r="F406" i="7"/>
  <c r="F426" i="7"/>
  <c r="F430" i="7"/>
  <c r="F434" i="7"/>
  <c r="F454" i="7"/>
  <c r="F458" i="7"/>
  <c r="F396" i="7"/>
  <c r="F427" i="7"/>
  <c r="F431" i="7"/>
  <c r="F435" i="7"/>
  <c r="F455" i="7"/>
  <c r="F459" i="7"/>
  <c r="A753" i="2"/>
  <c r="A721" i="2"/>
  <c r="H523" i="7" l="1"/>
  <c r="H519" i="7"/>
  <c r="H515" i="7"/>
  <c r="H511" i="7"/>
  <c r="H594" i="7"/>
  <c r="H56" i="10"/>
  <c r="H85" i="10"/>
  <c r="H86" i="10" s="1"/>
  <c r="I629" i="10"/>
  <c r="I625" i="10"/>
  <c r="I621" i="10"/>
  <c r="I617" i="10"/>
  <c r="G594" i="8"/>
  <c r="G590" i="8"/>
  <c r="G586" i="8"/>
  <c r="G582" i="8"/>
  <c r="G65" i="10"/>
  <c r="G68" i="10" s="1"/>
  <c r="G75" i="10" s="1"/>
  <c r="F179" i="10"/>
  <c r="F196" i="10" s="1"/>
  <c r="H180" i="10"/>
  <c r="H197" i="10" s="1"/>
  <c r="H141" i="10"/>
  <c r="H153" i="10" s="1"/>
  <c r="H249" i="10"/>
  <c r="H221" i="10"/>
  <c r="H59" i="10"/>
  <c r="J11" i="10"/>
  <c r="I645" i="10"/>
  <c r="I181" i="10" s="1"/>
  <c r="I198" i="10" s="1"/>
  <c r="I41" i="10"/>
  <c r="I183" i="10" s="1"/>
  <c r="I200" i="10" s="1"/>
  <c r="E63" i="8"/>
  <c r="H27" i="10"/>
  <c r="I741" i="10"/>
  <c r="I740" i="10"/>
  <c r="I739" i="10"/>
  <c r="I738" i="10"/>
  <c r="I737" i="10"/>
  <c r="I736" i="10"/>
  <c r="I735" i="10"/>
  <c r="I733" i="10"/>
  <c r="I729" i="10"/>
  <c r="I432" i="10" s="1"/>
  <c r="I728" i="10"/>
  <c r="I431" i="10" s="1"/>
  <c r="I727" i="10"/>
  <c r="I430" i="10" s="1"/>
  <c r="I726" i="10"/>
  <c r="I429" i="10" s="1"/>
  <c r="I725" i="10"/>
  <c r="I428" i="10" s="1"/>
  <c r="I724" i="10"/>
  <c r="I427" i="10" s="1"/>
  <c r="I723" i="10"/>
  <c r="I426" i="10" s="1"/>
  <c r="I722" i="10"/>
  <c r="I425" i="10" s="1"/>
  <c r="I721" i="10"/>
  <c r="I424" i="10" s="1"/>
  <c r="I720" i="10"/>
  <c r="I423" i="10" s="1"/>
  <c r="I697" i="10"/>
  <c r="I406" i="10" s="1"/>
  <c r="I696" i="10"/>
  <c r="I405" i="10" s="1"/>
  <c r="I695" i="10"/>
  <c r="I404" i="10" s="1"/>
  <c r="I694" i="10"/>
  <c r="I403" i="10" s="1"/>
  <c r="I693" i="10"/>
  <c r="I402" i="10" s="1"/>
  <c r="I692" i="10"/>
  <c r="I401" i="10" s="1"/>
  <c r="I691" i="10"/>
  <c r="I400" i="10" s="1"/>
  <c r="I709" i="10"/>
  <c r="I708" i="10"/>
  <c r="I707" i="10"/>
  <c r="I706" i="10"/>
  <c r="I705" i="10"/>
  <c r="I704" i="10"/>
  <c r="I703" i="10"/>
  <c r="I702" i="10"/>
  <c r="I701" i="10"/>
  <c r="I665" i="10"/>
  <c r="I381" i="10" s="1"/>
  <c r="I664" i="10"/>
  <c r="I380" i="10" s="1"/>
  <c r="I663" i="10"/>
  <c r="I379" i="10" s="1"/>
  <c r="I662" i="10"/>
  <c r="I378" i="10" s="1"/>
  <c r="I661" i="10"/>
  <c r="I377" i="10" s="1"/>
  <c r="I660" i="10"/>
  <c r="I376" i="10" s="1"/>
  <c r="I690" i="10"/>
  <c r="I399" i="10" s="1"/>
  <c r="I689" i="10"/>
  <c r="I398" i="10" s="1"/>
  <c r="I688" i="10"/>
  <c r="I397" i="10" s="1"/>
  <c r="I677" i="10"/>
  <c r="I676" i="10"/>
  <c r="I675" i="10"/>
  <c r="I674" i="10"/>
  <c r="I673" i="10"/>
  <c r="I672" i="10"/>
  <c r="I671" i="10"/>
  <c r="I670" i="10"/>
  <c r="I669" i="10"/>
  <c r="I658" i="10"/>
  <c r="I374" i="10" s="1"/>
  <c r="I656" i="10"/>
  <c r="I372" i="10" s="1"/>
  <c r="I590" i="10"/>
  <c r="I591" i="10" s="1"/>
  <c r="I584" i="10"/>
  <c r="I585" i="10" s="1"/>
  <c r="I659" i="10"/>
  <c r="I375" i="10" s="1"/>
  <c r="I657" i="10"/>
  <c r="I373" i="10" s="1"/>
  <c r="I488" i="10"/>
  <c r="I487" i="10"/>
  <c r="I486" i="10"/>
  <c r="I485" i="10"/>
  <c r="I484" i="10"/>
  <c r="I483" i="10"/>
  <c r="I367" i="10"/>
  <c r="I501" i="10"/>
  <c r="I354" i="10"/>
  <c r="I353" i="10"/>
  <c r="I352" i="10"/>
  <c r="I351" i="10"/>
  <c r="I350" i="10"/>
  <c r="I349" i="10"/>
  <c r="I30" i="10"/>
  <c r="I26" i="10"/>
  <c r="I25" i="10"/>
  <c r="I23" i="10"/>
  <c r="I19" i="10"/>
  <c r="J2" i="10"/>
  <c r="J639" i="10" s="1"/>
  <c r="H508" i="10"/>
  <c r="H512" i="10"/>
  <c r="H532" i="10"/>
  <c r="H536" i="10"/>
  <c r="H540" i="10"/>
  <c r="H560" i="10"/>
  <c r="H564" i="10"/>
  <c r="H502" i="10"/>
  <c r="H368" i="10"/>
  <c r="H507" i="10"/>
  <c r="H511" i="10"/>
  <c r="H515" i="10"/>
  <c r="H535" i="10"/>
  <c r="H539" i="10"/>
  <c r="H559" i="10"/>
  <c r="H563" i="10"/>
  <c r="H567" i="10"/>
  <c r="H666" i="10"/>
  <c r="H651" i="10" s="1"/>
  <c r="H506" i="10"/>
  <c r="H510" i="10"/>
  <c r="H514" i="10"/>
  <c r="H534" i="10"/>
  <c r="H538" i="10"/>
  <c r="H558" i="10"/>
  <c r="H562" i="10"/>
  <c r="H566" i="10"/>
  <c r="H509" i="10"/>
  <c r="H513" i="10"/>
  <c r="H533" i="10"/>
  <c r="H537" i="10"/>
  <c r="H541" i="10"/>
  <c r="H561" i="10"/>
  <c r="H565" i="10"/>
  <c r="H698" i="10"/>
  <c r="H683" i="10" s="1"/>
  <c r="H66" i="10" s="1"/>
  <c r="H730" i="10"/>
  <c r="H715" i="10" s="1"/>
  <c r="H67" i="10" s="1"/>
  <c r="H11" i="8"/>
  <c r="F689" i="8"/>
  <c r="F674" i="8" s="1"/>
  <c r="F62" i="8" s="1"/>
  <c r="F388" i="8"/>
  <c r="F523" i="8" s="1"/>
  <c r="F657" i="8"/>
  <c r="F642" i="8" s="1"/>
  <c r="F61" i="8" s="1"/>
  <c r="G700" i="8"/>
  <c r="G699" i="8"/>
  <c r="G698" i="8"/>
  <c r="G697" i="8"/>
  <c r="G696" i="8"/>
  <c r="G695" i="8"/>
  <c r="G694" i="8"/>
  <c r="G693" i="8"/>
  <c r="G688" i="8"/>
  <c r="G397" i="8" s="1"/>
  <c r="G687" i="8"/>
  <c r="G686" i="8"/>
  <c r="G395" i="8" s="1"/>
  <c r="G685" i="8"/>
  <c r="G394" i="8" s="1"/>
  <c r="G684" i="8"/>
  <c r="G393" i="8" s="1"/>
  <c r="G683" i="8"/>
  <c r="G392" i="8" s="1"/>
  <c r="G682" i="8"/>
  <c r="G391" i="8" s="1"/>
  <c r="G681" i="8"/>
  <c r="G390" i="8" s="1"/>
  <c r="G680" i="8"/>
  <c r="G389" i="8" s="1"/>
  <c r="G679" i="8"/>
  <c r="G667" i="8"/>
  <c r="G665" i="8"/>
  <c r="G663" i="8"/>
  <c r="G656" i="8"/>
  <c r="G371" i="8" s="1"/>
  <c r="G655" i="8"/>
  <c r="G370" i="8" s="1"/>
  <c r="G654" i="8"/>
  <c r="G369" i="8" s="1"/>
  <c r="G653" i="8"/>
  <c r="G368" i="8" s="1"/>
  <c r="G652" i="8"/>
  <c r="G367" i="8" s="1"/>
  <c r="G651" i="8"/>
  <c r="G366" i="8" s="1"/>
  <c r="G650" i="8"/>
  <c r="G365" i="8" s="1"/>
  <c r="G649" i="8"/>
  <c r="G364" i="8" s="1"/>
  <c r="G648" i="8"/>
  <c r="G647" i="8"/>
  <c r="G668" i="8"/>
  <c r="G666" i="8"/>
  <c r="G664" i="8"/>
  <c r="G662" i="8"/>
  <c r="G661" i="8"/>
  <c r="G660" i="8"/>
  <c r="G624" i="8"/>
  <c r="G346" i="8" s="1"/>
  <c r="G623" i="8"/>
  <c r="G345" i="8" s="1"/>
  <c r="G622" i="8"/>
  <c r="G344" i="8" s="1"/>
  <c r="G621" i="8"/>
  <c r="G343" i="8" s="1"/>
  <c r="G620" i="8"/>
  <c r="G342" i="8" s="1"/>
  <c r="G619" i="8"/>
  <c r="G341" i="8" s="1"/>
  <c r="G618" i="8"/>
  <c r="G340" i="8" s="1"/>
  <c r="G617" i="8"/>
  <c r="G339" i="8" s="1"/>
  <c r="G616" i="8"/>
  <c r="G338" i="8" s="1"/>
  <c r="G615" i="8"/>
  <c r="G337" i="8" s="1"/>
  <c r="G636" i="8"/>
  <c r="G635" i="8"/>
  <c r="G634" i="8"/>
  <c r="G633" i="8"/>
  <c r="G632" i="8"/>
  <c r="G631" i="8"/>
  <c r="G630" i="8"/>
  <c r="G629" i="8"/>
  <c r="G628" i="8"/>
  <c r="G604" i="8"/>
  <c r="G555" i="8"/>
  <c r="G556" i="8" s="1"/>
  <c r="G549" i="8"/>
  <c r="G550" i="8" s="1"/>
  <c r="G453" i="8"/>
  <c r="G452" i="8"/>
  <c r="G451" i="8"/>
  <c r="G450" i="8"/>
  <c r="G449" i="8"/>
  <c r="G448" i="8"/>
  <c r="G396" i="8"/>
  <c r="G466" i="8"/>
  <c r="G363" i="8"/>
  <c r="G332" i="8"/>
  <c r="G319" i="8"/>
  <c r="G318" i="8"/>
  <c r="G317" i="8"/>
  <c r="G316" i="8"/>
  <c r="G315" i="8"/>
  <c r="G314" i="8"/>
  <c r="G30" i="8"/>
  <c r="G26" i="8"/>
  <c r="G25" i="8"/>
  <c r="G23" i="8"/>
  <c r="G19" i="8"/>
  <c r="H2" i="8"/>
  <c r="F333" i="8"/>
  <c r="F472" i="8"/>
  <c r="F471" i="8"/>
  <c r="F475" i="8"/>
  <c r="F479" i="8"/>
  <c r="F499" i="8"/>
  <c r="F503" i="8"/>
  <c r="F527" i="8"/>
  <c r="F531" i="8"/>
  <c r="F478" i="8"/>
  <c r="F498" i="8"/>
  <c r="F502" i="8"/>
  <c r="F506" i="8"/>
  <c r="F526" i="8"/>
  <c r="F530" i="8"/>
  <c r="F27" i="8"/>
  <c r="F474" i="8"/>
  <c r="F473" i="8"/>
  <c r="F477" i="8"/>
  <c r="F497" i="8"/>
  <c r="F501" i="8"/>
  <c r="F505" i="8"/>
  <c r="F525" i="8"/>
  <c r="F529" i="8"/>
  <c r="F467" i="8"/>
  <c r="F476" i="8"/>
  <c r="F480" i="8"/>
  <c r="F500" i="8"/>
  <c r="F504" i="8"/>
  <c r="F524" i="8"/>
  <c r="F528" i="8"/>
  <c r="F532" i="8"/>
  <c r="F625" i="8"/>
  <c r="F610" i="8" s="1"/>
  <c r="F60" i="8" s="1"/>
  <c r="G653" i="7"/>
  <c r="G638" i="7" s="1"/>
  <c r="G69" i="7" s="1"/>
  <c r="I11" i="7"/>
  <c r="H550" i="7"/>
  <c r="H543" i="7"/>
  <c r="H544" i="7" s="1"/>
  <c r="G27" i="7"/>
  <c r="G406" i="7"/>
  <c r="G400" i="7"/>
  <c r="G408" i="7"/>
  <c r="G403" i="7"/>
  <c r="G407" i="7"/>
  <c r="G427" i="7"/>
  <c r="G431" i="7"/>
  <c r="G435" i="7"/>
  <c r="G455" i="7"/>
  <c r="G459" i="7"/>
  <c r="G428" i="7"/>
  <c r="G432" i="7"/>
  <c r="G452" i="7"/>
  <c r="G456" i="7"/>
  <c r="G460" i="7"/>
  <c r="F71" i="7"/>
  <c r="H696" i="7"/>
  <c r="H695" i="7"/>
  <c r="H694" i="7"/>
  <c r="H693" i="7"/>
  <c r="H692" i="7"/>
  <c r="H691" i="7"/>
  <c r="H690" i="7"/>
  <c r="H689" i="7"/>
  <c r="H684" i="7"/>
  <c r="H326" i="7" s="1"/>
  <c r="H683" i="7"/>
  <c r="H325" i="7" s="1"/>
  <c r="H682" i="7"/>
  <c r="H324" i="7" s="1"/>
  <c r="H681" i="7"/>
  <c r="H323" i="7" s="1"/>
  <c r="H680" i="7"/>
  <c r="H322" i="7" s="1"/>
  <c r="H679" i="7"/>
  <c r="H321" i="7" s="1"/>
  <c r="H678" i="7"/>
  <c r="H320" i="7" s="1"/>
  <c r="H677" i="7"/>
  <c r="H319" i="7" s="1"/>
  <c r="H676" i="7"/>
  <c r="H318" i="7" s="1"/>
  <c r="H675" i="7"/>
  <c r="H317" i="7" s="1"/>
  <c r="H664" i="7"/>
  <c r="H663" i="7"/>
  <c r="H662" i="7"/>
  <c r="H661" i="7"/>
  <c r="H660" i="7"/>
  <c r="H659" i="7"/>
  <c r="H658" i="7"/>
  <c r="H657" i="7"/>
  <c r="H656" i="7"/>
  <c r="H652" i="7"/>
  <c r="H300" i="7" s="1"/>
  <c r="H651" i="7"/>
  <c r="H299" i="7" s="1"/>
  <c r="H650" i="7"/>
  <c r="H298" i="7" s="1"/>
  <c r="H649" i="7"/>
  <c r="H297" i="7" s="1"/>
  <c r="H648" i="7"/>
  <c r="H296" i="7" s="1"/>
  <c r="H647" i="7"/>
  <c r="H295" i="7" s="1"/>
  <c r="H646" i="7"/>
  <c r="H294" i="7" s="1"/>
  <c r="H645" i="7"/>
  <c r="H293" i="7" s="1"/>
  <c r="H644" i="7"/>
  <c r="H292" i="7" s="1"/>
  <c r="H643" i="7"/>
  <c r="H291" i="7" s="1"/>
  <c r="H632" i="7"/>
  <c r="H631" i="7"/>
  <c r="H630" i="7"/>
  <c r="H629" i="7"/>
  <c r="H628" i="7"/>
  <c r="H627" i="7"/>
  <c r="H626" i="7"/>
  <c r="H625" i="7"/>
  <c r="H624" i="7"/>
  <c r="H620" i="7"/>
  <c r="H275" i="7" s="1"/>
  <c r="H619" i="7"/>
  <c r="H274" i="7" s="1"/>
  <c r="H618" i="7"/>
  <c r="H273" i="7" s="1"/>
  <c r="H617" i="7"/>
  <c r="H272" i="7" s="1"/>
  <c r="H616" i="7"/>
  <c r="H271" i="7" s="1"/>
  <c r="H615" i="7"/>
  <c r="H270" i="7" s="1"/>
  <c r="H614" i="7"/>
  <c r="H269" i="7" s="1"/>
  <c r="H613" i="7"/>
  <c r="H268" i="7" s="1"/>
  <c r="H612" i="7"/>
  <c r="H267" i="7" s="1"/>
  <c r="H611" i="7"/>
  <c r="H266" i="7" s="1"/>
  <c r="H484" i="7"/>
  <c r="H485" i="7" s="1"/>
  <c r="H478" i="7"/>
  <c r="H479" i="7" s="1"/>
  <c r="H395" i="7"/>
  <c r="H382" i="7"/>
  <c r="H381" i="7"/>
  <c r="H380" i="7"/>
  <c r="H379" i="7"/>
  <c r="H378" i="7"/>
  <c r="H377" i="7"/>
  <c r="H248" i="7"/>
  <c r="H247" i="7"/>
  <c r="H246" i="7"/>
  <c r="H245" i="7"/>
  <c r="H244" i="7"/>
  <c r="H243" i="7"/>
  <c r="H261" i="7"/>
  <c r="H30" i="7"/>
  <c r="H26" i="7"/>
  <c r="H25" i="7"/>
  <c r="H23" i="7"/>
  <c r="H19" i="7"/>
  <c r="I2" i="7"/>
  <c r="I600" i="7" s="1"/>
  <c r="G262" i="7"/>
  <c r="G402" i="7"/>
  <c r="G404" i="7"/>
  <c r="G401" i="7"/>
  <c r="G405" i="7"/>
  <c r="G409" i="7"/>
  <c r="G429" i="7"/>
  <c r="G433" i="7"/>
  <c r="G453" i="7"/>
  <c r="G457" i="7"/>
  <c r="G461" i="7"/>
  <c r="G426" i="7"/>
  <c r="G430" i="7"/>
  <c r="G434" i="7"/>
  <c r="G454" i="7"/>
  <c r="G458" i="7"/>
  <c r="G396" i="7"/>
  <c r="G621" i="7"/>
  <c r="G606" i="7" s="1"/>
  <c r="G68" i="7" s="1"/>
  <c r="G685" i="7"/>
  <c r="G670" i="7" s="1"/>
  <c r="G70" i="7" s="1"/>
  <c r="A754" i="2"/>
  <c r="A722" i="2"/>
  <c r="I523" i="7" l="1"/>
  <c r="I519" i="7"/>
  <c r="I515" i="7"/>
  <c r="I511" i="7"/>
  <c r="I594" i="7"/>
  <c r="G388" i="8"/>
  <c r="I56" i="10"/>
  <c r="I85" i="10"/>
  <c r="I86" i="10" s="1"/>
  <c r="J629" i="10"/>
  <c r="J625" i="10"/>
  <c r="J621" i="10"/>
  <c r="J617" i="10"/>
  <c r="H594" i="8"/>
  <c r="H590" i="8"/>
  <c r="H586" i="8"/>
  <c r="H582" i="8"/>
  <c r="H65" i="10"/>
  <c r="H68" i="10" s="1"/>
  <c r="H75" i="10" s="1"/>
  <c r="G179" i="10"/>
  <c r="G196" i="10" s="1"/>
  <c r="I180" i="10"/>
  <c r="I197" i="10" s="1"/>
  <c r="I141" i="10"/>
  <c r="I153" i="10" s="1"/>
  <c r="I249" i="10"/>
  <c r="I221" i="10"/>
  <c r="I59" i="10"/>
  <c r="K11" i="10"/>
  <c r="J645" i="10"/>
  <c r="J181" i="10" s="1"/>
  <c r="J198" i="10" s="1"/>
  <c r="J41" i="10"/>
  <c r="J183" i="10" s="1"/>
  <c r="J200" i="10" s="1"/>
  <c r="I698" i="10"/>
  <c r="I683" i="10" s="1"/>
  <c r="I66" i="10" s="1"/>
  <c r="I368" i="10"/>
  <c r="I507" i="10"/>
  <c r="I511" i="10"/>
  <c r="I515" i="10"/>
  <c r="I535" i="10"/>
  <c r="I539" i="10"/>
  <c r="I559" i="10"/>
  <c r="I563" i="10"/>
  <c r="I567" i="10"/>
  <c r="I508" i="10"/>
  <c r="I512" i="10"/>
  <c r="I532" i="10"/>
  <c r="I536" i="10"/>
  <c r="I540" i="10"/>
  <c r="I560" i="10"/>
  <c r="I564" i="10"/>
  <c r="I502" i="10"/>
  <c r="I27" i="10"/>
  <c r="J741" i="10"/>
  <c r="J740" i="10"/>
  <c r="J739" i="10"/>
  <c r="J738" i="10"/>
  <c r="J737" i="10"/>
  <c r="J736" i="10"/>
  <c r="J735" i="10"/>
  <c r="J733" i="10"/>
  <c r="J729" i="10"/>
  <c r="J432" i="10" s="1"/>
  <c r="J728" i="10"/>
  <c r="J431" i="10" s="1"/>
  <c r="J727" i="10"/>
  <c r="J430" i="10" s="1"/>
  <c r="J726" i="10"/>
  <c r="J429" i="10" s="1"/>
  <c r="J725" i="10"/>
  <c r="J428" i="10" s="1"/>
  <c r="J724" i="10"/>
  <c r="J427" i="10" s="1"/>
  <c r="J723" i="10"/>
  <c r="J426" i="10" s="1"/>
  <c r="J722" i="10"/>
  <c r="J425" i="10" s="1"/>
  <c r="J721" i="10"/>
  <c r="J424" i="10" s="1"/>
  <c r="J720" i="10"/>
  <c r="J423" i="10" s="1"/>
  <c r="J709" i="10"/>
  <c r="J708" i="10"/>
  <c r="J707" i="10"/>
  <c r="J706" i="10"/>
  <c r="J705" i="10"/>
  <c r="J704" i="10"/>
  <c r="J703" i="10"/>
  <c r="J702" i="10"/>
  <c r="J701" i="10"/>
  <c r="J697" i="10"/>
  <c r="J406" i="10" s="1"/>
  <c r="J696" i="10"/>
  <c r="J405" i="10" s="1"/>
  <c r="J695" i="10"/>
  <c r="J404" i="10" s="1"/>
  <c r="J694" i="10"/>
  <c r="J403" i="10" s="1"/>
  <c r="J693" i="10"/>
  <c r="J402" i="10" s="1"/>
  <c r="J692" i="10"/>
  <c r="J401" i="10" s="1"/>
  <c r="J691" i="10"/>
  <c r="J400" i="10" s="1"/>
  <c r="J690" i="10"/>
  <c r="J399" i="10" s="1"/>
  <c r="J689" i="10"/>
  <c r="J398" i="10" s="1"/>
  <c r="J688" i="10"/>
  <c r="J397" i="10" s="1"/>
  <c r="J677" i="10"/>
  <c r="J676" i="10"/>
  <c r="J675" i="10"/>
  <c r="J674" i="10"/>
  <c r="J673" i="10"/>
  <c r="J672" i="10"/>
  <c r="J671" i="10"/>
  <c r="J670" i="10"/>
  <c r="J669" i="10"/>
  <c r="J665" i="10"/>
  <c r="J381" i="10" s="1"/>
  <c r="J664" i="10"/>
  <c r="J380" i="10" s="1"/>
  <c r="J663" i="10"/>
  <c r="J379" i="10" s="1"/>
  <c r="J662" i="10"/>
  <c r="J378" i="10" s="1"/>
  <c r="J661" i="10"/>
  <c r="J377" i="10" s="1"/>
  <c r="J660" i="10"/>
  <c r="J376" i="10" s="1"/>
  <c r="J659" i="10"/>
  <c r="J375" i="10" s="1"/>
  <c r="J658" i="10"/>
  <c r="J374" i="10" s="1"/>
  <c r="J657" i="10"/>
  <c r="J373" i="10" s="1"/>
  <c r="J656" i="10"/>
  <c r="J372" i="10" s="1"/>
  <c r="J590" i="10"/>
  <c r="J591" i="10" s="1"/>
  <c r="J584" i="10"/>
  <c r="J585" i="10" s="1"/>
  <c r="J501" i="10"/>
  <c r="J354" i="10"/>
  <c r="J353" i="10"/>
  <c r="J352" i="10"/>
  <c r="J351" i="10"/>
  <c r="J350" i="10"/>
  <c r="J349" i="10"/>
  <c r="J488" i="10"/>
  <c r="J487" i="10"/>
  <c r="J486" i="10"/>
  <c r="J485" i="10"/>
  <c r="J484" i="10"/>
  <c r="J483" i="10"/>
  <c r="J367" i="10"/>
  <c r="K2" i="10"/>
  <c r="K639" i="10" s="1"/>
  <c r="J30" i="10"/>
  <c r="J26" i="10"/>
  <c r="J25" i="10"/>
  <c r="J23" i="10"/>
  <c r="J19" i="10"/>
  <c r="I509" i="10"/>
  <c r="I513" i="10"/>
  <c r="I533" i="10"/>
  <c r="I537" i="10"/>
  <c r="I541" i="10"/>
  <c r="I561" i="10"/>
  <c r="I565" i="10"/>
  <c r="I506" i="10"/>
  <c r="I510" i="10"/>
  <c r="I514" i="10"/>
  <c r="I534" i="10"/>
  <c r="I538" i="10"/>
  <c r="I558" i="10"/>
  <c r="I562" i="10"/>
  <c r="I566" i="10"/>
  <c r="I730" i="10"/>
  <c r="I715" i="10" s="1"/>
  <c r="I67" i="10" s="1"/>
  <c r="I666" i="10"/>
  <c r="I651" i="10" s="1"/>
  <c r="F63" i="8"/>
  <c r="I11" i="8"/>
  <c r="G689" i="8"/>
  <c r="G674" i="8" s="1"/>
  <c r="G62" i="8" s="1"/>
  <c r="G657" i="8"/>
  <c r="G642" i="8" s="1"/>
  <c r="G61" i="8" s="1"/>
  <c r="G501" i="8"/>
  <c r="G474" i="8"/>
  <c r="G478" i="8"/>
  <c r="G525" i="8"/>
  <c r="G529" i="8"/>
  <c r="G505" i="8"/>
  <c r="G472" i="8"/>
  <c r="G476" i="8"/>
  <c r="G480" i="8"/>
  <c r="G500" i="8"/>
  <c r="G504" i="8"/>
  <c r="G524" i="8"/>
  <c r="G528" i="8"/>
  <c r="G532" i="8"/>
  <c r="G475" i="8"/>
  <c r="G479" i="8"/>
  <c r="G499" i="8"/>
  <c r="G503" i="8"/>
  <c r="G523" i="8"/>
  <c r="G527" i="8"/>
  <c r="G531" i="8"/>
  <c r="H700" i="8"/>
  <c r="H699" i="8"/>
  <c r="H698" i="8"/>
  <c r="H697" i="8"/>
  <c r="H696" i="8"/>
  <c r="H695" i="8"/>
  <c r="H694" i="8"/>
  <c r="H693" i="8"/>
  <c r="H688" i="8"/>
  <c r="H687" i="8"/>
  <c r="H396" i="8" s="1"/>
  <c r="H686" i="8"/>
  <c r="H395" i="8" s="1"/>
  <c r="H685" i="8"/>
  <c r="H394" i="8" s="1"/>
  <c r="H684" i="8"/>
  <c r="H393" i="8" s="1"/>
  <c r="H683" i="8"/>
  <c r="H392" i="8" s="1"/>
  <c r="H682" i="8"/>
  <c r="H391" i="8" s="1"/>
  <c r="H681" i="8"/>
  <c r="H390" i="8" s="1"/>
  <c r="H680" i="8"/>
  <c r="H389" i="8" s="1"/>
  <c r="H679" i="8"/>
  <c r="H388" i="8" s="1"/>
  <c r="H668" i="8"/>
  <c r="H667" i="8"/>
  <c r="H666" i="8"/>
  <c r="H665" i="8"/>
  <c r="H664" i="8"/>
  <c r="H663" i="8"/>
  <c r="H662" i="8"/>
  <c r="H661" i="8"/>
  <c r="H660" i="8"/>
  <c r="H656" i="8"/>
  <c r="H371" i="8" s="1"/>
  <c r="H655" i="8"/>
  <c r="H370" i="8" s="1"/>
  <c r="H654" i="8"/>
  <c r="H369" i="8" s="1"/>
  <c r="H653" i="8"/>
  <c r="H368" i="8" s="1"/>
  <c r="H652" i="8"/>
  <c r="H367" i="8" s="1"/>
  <c r="H651" i="8"/>
  <c r="H366" i="8" s="1"/>
  <c r="H650" i="8"/>
  <c r="H365" i="8" s="1"/>
  <c r="H649" i="8"/>
  <c r="H364" i="8" s="1"/>
  <c r="H648" i="8"/>
  <c r="H363" i="8" s="1"/>
  <c r="H647" i="8"/>
  <c r="H362" i="8" s="1"/>
  <c r="H636" i="8"/>
  <c r="H635" i="8"/>
  <c r="H634" i="8"/>
  <c r="H633" i="8"/>
  <c r="H632" i="8"/>
  <c r="H631" i="8"/>
  <c r="H630" i="8"/>
  <c r="H629" i="8"/>
  <c r="H628" i="8"/>
  <c r="H624" i="8"/>
  <c r="H346" i="8" s="1"/>
  <c r="H623" i="8"/>
  <c r="H345" i="8" s="1"/>
  <c r="H622" i="8"/>
  <c r="H344" i="8" s="1"/>
  <c r="H621" i="8"/>
  <c r="H343" i="8" s="1"/>
  <c r="H620" i="8"/>
  <c r="H342" i="8" s="1"/>
  <c r="H619" i="8"/>
  <c r="H341" i="8" s="1"/>
  <c r="H618" i="8"/>
  <c r="H340" i="8" s="1"/>
  <c r="H617" i="8"/>
  <c r="H339" i="8" s="1"/>
  <c r="H616" i="8"/>
  <c r="H338" i="8" s="1"/>
  <c r="H615" i="8"/>
  <c r="H337" i="8" s="1"/>
  <c r="H555" i="8"/>
  <c r="H556" i="8" s="1"/>
  <c r="H549" i="8"/>
  <c r="H550" i="8" s="1"/>
  <c r="H604" i="8"/>
  <c r="H466" i="8"/>
  <c r="H397" i="8"/>
  <c r="H453" i="8"/>
  <c r="H452" i="8"/>
  <c r="H451" i="8"/>
  <c r="H450" i="8"/>
  <c r="H449" i="8"/>
  <c r="H448" i="8"/>
  <c r="H332" i="8"/>
  <c r="H319" i="8"/>
  <c r="H318" i="8"/>
  <c r="H317" i="8"/>
  <c r="H316" i="8"/>
  <c r="H315" i="8"/>
  <c r="H314" i="8"/>
  <c r="I2" i="8"/>
  <c r="H30" i="8"/>
  <c r="H26" i="8"/>
  <c r="H25" i="8"/>
  <c r="H23" i="8"/>
  <c r="H19" i="8"/>
  <c r="G333" i="8"/>
  <c r="G473" i="8"/>
  <c r="G471" i="8"/>
  <c r="G498" i="8"/>
  <c r="G502" i="8"/>
  <c r="G506" i="8"/>
  <c r="G526" i="8"/>
  <c r="G530" i="8"/>
  <c r="G477" i="8"/>
  <c r="G467" i="8"/>
  <c r="G27" i="8"/>
  <c r="G362" i="8"/>
  <c r="G625" i="8"/>
  <c r="G610" i="8" s="1"/>
  <c r="G60" i="8" s="1"/>
  <c r="H27" i="7"/>
  <c r="H653" i="7"/>
  <c r="H638" i="7" s="1"/>
  <c r="H69" i="7" s="1"/>
  <c r="I550" i="7"/>
  <c r="I543" i="7"/>
  <c r="I544" i="7" s="1"/>
  <c r="J11" i="7"/>
  <c r="H621" i="7"/>
  <c r="H606" i="7" s="1"/>
  <c r="H68" i="7" s="1"/>
  <c r="H685" i="7"/>
  <c r="H670" i="7" s="1"/>
  <c r="H70" i="7" s="1"/>
  <c r="H401" i="7"/>
  <c r="H409" i="7"/>
  <c r="H407" i="7"/>
  <c r="H402" i="7"/>
  <c r="H406" i="7"/>
  <c r="H426" i="7"/>
  <c r="H430" i="7"/>
  <c r="H434" i="7"/>
  <c r="H454" i="7"/>
  <c r="H458" i="7"/>
  <c r="H396" i="7"/>
  <c r="H427" i="7"/>
  <c r="H431" i="7"/>
  <c r="H435" i="7"/>
  <c r="H455" i="7"/>
  <c r="H459" i="7"/>
  <c r="G71" i="7"/>
  <c r="I696" i="7"/>
  <c r="I695" i="7"/>
  <c r="I694" i="7"/>
  <c r="I693" i="7"/>
  <c r="I692" i="7"/>
  <c r="I691" i="7"/>
  <c r="I690" i="7"/>
  <c r="I688" i="7"/>
  <c r="I684" i="7"/>
  <c r="I326" i="7" s="1"/>
  <c r="I683" i="7"/>
  <c r="I325" i="7" s="1"/>
  <c r="I682" i="7"/>
  <c r="I324" i="7" s="1"/>
  <c r="I681" i="7"/>
  <c r="I323" i="7" s="1"/>
  <c r="I680" i="7"/>
  <c r="I322" i="7" s="1"/>
  <c r="I679" i="7"/>
  <c r="I321" i="7" s="1"/>
  <c r="I678" i="7"/>
  <c r="I320" i="7" s="1"/>
  <c r="I677" i="7"/>
  <c r="I319" i="7" s="1"/>
  <c r="I676" i="7"/>
  <c r="I318" i="7" s="1"/>
  <c r="I652" i="7"/>
  <c r="I300" i="7" s="1"/>
  <c r="I651" i="7"/>
  <c r="I299" i="7" s="1"/>
  <c r="I650" i="7"/>
  <c r="I298" i="7" s="1"/>
  <c r="I649" i="7"/>
  <c r="I297" i="7" s="1"/>
  <c r="I648" i="7"/>
  <c r="I296" i="7" s="1"/>
  <c r="I647" i="7"/>
  <c r="I295" i="7" s="1"/>
  <c r="I675" i="7"/>
  <c r="I317" i="7" s="1"/>
  <c r="I664" i="7"/>
  <c r="I663" i="7"/>
  <c r="I662" i="7"/>
  <c r="I661" i="7"/>
  <c r="I660" i="7"/>
  <c r="I659" i="7"/>
  <c r="I658" i="7"/>
  <c r="I657" i="7"/>
  <c r="I656" i="7"/>
  <c r="I620" i="7"/>
  <c r="I275" i="7" s="1"/>
  <c r="I619" i="7"/>
  <c r="I274" i="7" s="1"/>
  <c r="I618" i="7"/>
  <c r="I273" i="7" s="1"/>
  <c r="I617" i="7"/>
  <c r="I272" i="7" s="1"/>
  <c r="I616" i="7"/>
  <c r="I271" i="7" s="1"/>
  <c r="I615" i="7"/>
  <c r="I270" i="7" s="1"/>
  <c r="I646" i="7"/>
  <c r="I294" i="7" s="1"/>
  <c r="I645" i="7"/>
  <c r="I644" i="7"/>
  <c r="I292" i="7" s="1"/>
  <c r="I643" i="7"/>
  <c r="I291" i="7" s="1"/>
  <c r="I632" i="7"/>
  <c r="I631" i="7"/>
  <c r="I630" i="7"/>
  <c r="I629" i="7"/>
  <c r="I628" i="7"/>
  <c r="I627" i="7"/>
  <c r="I626" i="7"/>
  <c r="I625" i="7"/>
  <c r="I624" i="7"/>
  <c r="I614" i="7"/>
  <c r="I269" i="7" s="1"/>
  <c r="I613" i="7"/>
  <c r="I268" i="7" s="1"/>
  <c r="I612" i="7"/>
  <c r="I267" i="7" s="1"/>
  <c r="I611" i="7"/>
  <c r="I266" i="7" s="1"/>
  <c r="I484" i="7"/>
  <c r="I485" i="7" s="1"/>
  <c r="I478" i="7"/>
  <c r="I479" i="7" s="1"/>
  <c r="I382" i="7"/>
  <c r="I381" i="7"/>
  <c r="I380" i="7"/>
  <c r="I379" i="7"/>
  <c r="I378" i="7"/>
  <c r="I377" i="7"/>
  <c r="I293" i="7"/>
  <c r="I395" i="7"/>
  <c r="I261" i="7"/>
  <c r="I248" i="7"/>
  <c r="I247" i="7"/>
  <c r="I246" i="7"/>
  <c r="I245" i="7"/>
  <c r="I244" i="7"/>
  <c r="I243" i="7"/>
  <c r="I30" i="7"/>
  <c r="I26" i="7"/>
  <c r="I25" i="7"/>
  <c r="I23" i="7"/>
  <c r="I19" i="7"/>
  <c r="J2" i="7"/>
  <c r="J600" i="7" s="1"/>
  <c r="H405" i="7"/>
  <c r="H262" i="7"/>
  <c r="H403" i="7"/>
  <c r="H400" i="7"/>
  <c r="H404" i="7"/>
  <c r="H408" i="7"/>
  <c r="H428" i="7"/>
  <c r="H432" i="7"/>
  <c r="H452" i="7"/>
  <c r="H456" i="7"/>
  <c r="H460" i="7"/>
  <c r="H429" i="7"/>
  <c r="H433" i="7"/>
  <c r="H453" i="7"/>
  <c r="H457" i="7"/>
  <c r="H461" i="7"/>
  <c r="A755" i="2"/>
  <c r="A723" i="2"/>
  <c r="J523" i="7" l="1"/>
  <c r="J519" i="7"/>
  <c r="J515" i="7"/>
  <c r="J511" i="7"/>
  <c r="J594" i="7"/>
  <c r="J56" i="10"/>
  <c r="J85" i="10"/>
  <c r="J86" i="10" s="1"/>
  <c r="K629" i="10"/>
  <c r="K625" i="10"/>
  <c r="K621" i="10"/>
  <c r="K617" i="10"/>
  <c r="I594" i="8"/>
  <c r="I590" i="8"/>
  <c r="I586" i="8"/>
  <c r="I582" i="8"/>
  <c r="I65" i="10"/>
  <c r="I68" i="10" s="1"/>
  <c r="I75" i="10" s="1"/>
  <c r="H179" i="10"/>
  <c r="H196" i="10" s="1"/>
  <c r="J180" i="10"/>
  <c r="J197" i="10" s="1"/>
  <c r="J141" i="10"/>
  <c r="J153" i="10" s="1"/>
  <c r="J249" i="10"/>
  <c r="J221" i="10"/>
  <c r="J59" i="10"/>
  <c r="L11" i="10"/>
  <c r="K645" i="10"/>
  <c r="K181" i="10" s="1"/>
  <c r="K198" i="10" s="1"/>
  <c r="K41" i="10"/>
  <c r="K183" i="10" s="1"/>
  <c r="K200" i="10" s="1"/>
  <c r="J730" i="10"/>
  <c r="J715" i="10" s="1"/>
  <c r="J67" i="10" s="1"/>
  <c r="G63" i="8"/>
  <c r="J27" i="10"/>
  <c r="J508" i="10"/>
  <c r="J512" i="10"/>
  <c r="J532" i="10"/>
  <c r="J536" i="10"/>
  <c r="J540" i="10"/>
  <c r="J560" i="10"/>
  <c r="J564" i="10"/>
  <c r="J502" i="10"/>
  <c r="J368" i="10"/>
  <c r="J507" i="10"/>
  <c r="J511" i="10"/>
  <c r="J515" i="10"/>
  <c r="J535" i="10"/>
  <c r="J539" i="10"/>
  <c r="J559" i="10"/>
  <c r="J563" i="10"/>
  <c r="J567" i="10"/>
  <c r="J666" i="10"/>
  <c r="J651" i="10" s="1"/>
  <c r="K741" i="10"/>
  <c r="K740" i="10"/>
  <c r="K739" i="10"/>
  <c r="K738" i="10"/>
  <c r="K737" i="10"/>
  <c r="K736" i="10"/>
  <c r="K735" i="10"/>
  <c r="K729" i="10"/>
  <c r="K728" i="10"/>
  <c r="K431" i="10" s="1"/>
  <c r="K727" i="10"/>
  <c r="K430" i="10" s="1"/>
  <c r="K726" i="10"/>
  <c r="K429" i="10" s="1"/>
  <c r="K725" i="10"/>
  <c r="K428" i="10" s="1"/>
  <c r="K724" i="10"/>
  <c r="K427" i="10" s="1"/>
  <c r="K723" i="10"/>
  <c r="K426" i="10" s="1"/>
  <c r="K722" i="10"/>
  <c r="K425" i="10" s="1"/>
  <c r="K721" i="10"/>
  <c r="K424" i="10" s="1"/>
  <c r="K733" i="10"/>
  <c r="K697" i="10"/>
  <c r="K406" i="10" s="1"/>
  <c r="K696" i="10"/>
  <c r="K405" i="10" s="1"/>
  <c r="K695" i="10"/>
  <c r="K404" i="10" s="1"/>
  <c r="K694" i="10"/>
  <c r="K403" i="10" s="1"/>
  <c r="K693" i="10"/>
  <c r="K402" i="10" s="1"/>
  <c r="K692" i="10"/>
  <c r="K401" i="10" s="1"/>
  <c r="K691" i="10"/>
  <c r="K400" i="10" s="1"/>
  <c r="K720" i="10"/>
  <c r="K423" i="10" s="1"/>
  <c r="K709" i="10"/>
  <c r="K708" i="10"/>
  <c r="K707" i="10"/>
  <c r="K706" i="10"/>
  <c r="K705" i="10"/>
  <c r="K704" i="10"/>
  <c r="K703" i="10"/>
  <c r="K702" i="10"/>
  <c r="K701" i="10"/>
  <c r="K690" i="10"/>
  <c r="K399" i="10" s="1"/>
  <c r="K665" i="10"/>
  <c r="K381" i="10" s="1"/>
  <c r="K664" i="10"/>
  <c r="K380" i="10" s="1"/>
  <c r="K663" i="10"/>
  <c r="K379" i="10" s="1"/>
  <c r="K662" i="10"/>
  <c r="K378" i="10" s="1"/>
  <c r="K661" i="10"/>
  <c r="K377" i="10" s="1"/>
  <c r="K660" i="10"/>
  <c r="K376" i="10" s="1"/>
  <c r="K689" i="10"/>
  <c r="K398" i="10" s="1"/>
  <c r="K688" i="10"/>
  <c r="K397" i="10" s="1"/>
  <c r="K677" i="10"/>
  <c r="K676" i="10"/>
  <c r="K675" i="10"/>
  <c r="K674" i="10"/>
  <c r="K673" i="10"/>
  <c r="K672" i="10"/>
  <c r="K671" i="10"/>
  <c r="K670" i="10"/>
  <c r="K669" i="10"/>
  <c r="K659" i="10"/>
  <c r="K375" i="10" s="1"/>
  <c r="K657" i="10"/>
  <c r="K373" i="10" s="1"/>
  <c r="K656" i="10"/>
  <c r="K372" i="10" s="1"/>
  <c r="K590" i="10"/>
  <c r="K591" i="10" s="1"/>
  <c r="K584" i="10"/>
  <c r="K585" i="10" s="1"/>
  <c r="K658" i="10"/>
  <c r="K374" i="10" s="1"/>
  <c r="K488" i="10"/>
  <c r="K487" i="10"/>
  <c r="K486" i="10"/>
  <c r="K485" i="10"/>
  <c r="K484" i="10"/>
  <c r="K483" i="10"/>
  <c r="K367" i="10"/>
  <c r="K501" i="10"/>
  <c r="K432" i="10"/>
  <c r="K354" i="10"/>
  <c r="K353" i="10"/>
  <c r="K352" i="10"/>
  <c r="K351" i="10"/>
  <c r="K350" i="10"/>
  <c r="K349" i="10"/>
  <c r="K30" i="10"/>
  <c r="K26" i="10"/>
  <c r="K25" i="10"/>
  <c r="K23" i="10"/>
  <c r="K19" i="10"/>
  <c r="L2" i="10"/>
  <c r="L639" i="10" s="1"/>
  <c r="J506" i="10"/>
  <c r="J510" i="10"/>
  <c r="J514" i="10"/>
  <c r="J534" i="10"/>
  <c r="J538" i="10"/>
  <c r="J558" i="10"/>
  <c r="J562" i="10"/>
  <c r="J566" i="10"/>
  <c r="J509" i="10"/>
  <c r="J513" i="10"/>
  <c r="J533" i="10"/>
  <c r="J537" i="10"/>
  <c r="J541" i="10"/>
  <c r="J561" i="10"/>
  <c r="J565" i="10"/>
  <c r="J698" i="10"/>
  <c r="J683" i="10" s="1"/>
  <c r="J66" i="10" s="1"/>
  <c r="J11" i="8"/>
  <c r="H689" i="8"/>
  <c r="H674" i="8" s="1"/>
  <c r="H62" i="8" s="1"/>
  <c r="H471" i="8"/>
  <c r="H475" i="8"/>
  <c r="H479" i="8"/>
  <c r="H499" i="8"/>
  <c r="H503" i="8"/>
  <c r="G497" i="8"/>
  <c r="I700" i="8"/>
  <c r="I699" i="8"/>
  <c r="I698" i="8"/>
  <c r="I697" i="8"/>
  <c r="I696" i="8"/>
  <c r="I695" i="8"/>
  <c r="I694" i="8"/>
  <c r="I692" i="8"/>
  <c r="I688" i="8"/>
  <c r="I397" i="8" s="1"/>
  <c r="I687" i="8"/>
  <c r="I686" i="8"/>
  <c r="I395" i="8" s="1"/>
  <c r="I685" i="8"/>
  <c r="I394" i="8" s="1"/>
  <c r="I684" i="8"/>
  <c r="I393" i="8" s="1"/>
  <c r="I683" i="8"/>
  <c r="I392" i="8" s="1"/>
  <c r="I682" i="8"/>
  <c r="I391" i="8" s="1"/>
  <c r="I681" i="8"/>
  <c r="I390" i="8" s="1"/>
  <c r="I680" i="8"/>
  <c r="I389" i="8" s="1"/>
  <c r="I679" i="8"/>
  <c r="I388" i="8" s="1"/>
  <c r="I668" i="8"/>
  <c r="I666" i="8"/>
  <c r="I664" i="8"/>
  <c r="I656" i="8"/>
  <c r="I371" i="8" s="1"/>
  <c r="I655" i="8"/>
  <c r="I370" i="8" s="1"/>
  <c r="I654" i="8"/>
  <c r="I369" i="8" s="1"/>
  <c r="I653" i="8"/>
  <c r="I368" i="8" s="1"/>
  <c r="I652" i="8"/>
  <c r="I367" i="8" s="1"/>
  <c r="I651" i="8"/>
  <c r="I366" i="8" s="1"/>
  <c r="I650" i="8"/>
  <c r="I365" i="8" s="1"/>
  <c r="I649" i="8"/>
  <c r="I364" i="8" s="1"/>
  <c r="I648" i="8"/>
  <c r="I647" i="8"/>
  <c r="I362" i="8" s="1"/>
  <c r="I667" i="8"/>
  <c r="I665" i="8"/>
  <c r="I663" i="8"/>
  <c r="I662" i="8"/>
  <c r="I661" i="8"/>
  <c r="I660" i="8"/>
  <c r="I624" i="8"/>
  <c r="I346" i="8" s="1"/>
  <c r="I623" i="8"/>
  <c r="I345" i="8" s="1"/>
  <c r="I622" i="8"/>
  <c r="I344" i="8" s="1"/>
  <c r="I621" i="8"/>
  <c r="I343" i="8" s="1"/>
  <c r="I620" i="8"/>
  <c r="I342" i="8" s="1"/>
  <c r="I619" i="8"/>
  <c r="I341" i="8" s="1"/>
  <c r="I618" i="8"/>
  <c r="I340" i="8" s="1"/>
  <c r="I617" i="8"/>
  <c r="I339" i="8" s="1"/>
  <c r="I616" i="8"/>
  <c r="I338" i="8" s="1"/>
  <c r="I615" i="8"/>
  <c r="I337" i="8" s="1"/>
  <c r="I636" i="8"/>
  <c r="I635" i="8"/>
  <c r="I634" i="8"/>
  <c r="I633" i="8"/>
  <c r="I632" i="8"/>
  <c r="I631" i="8"/>
  <c r="I630" i="8"/>
  <c r="I629" i="8"/>
  <c r="I628" i="8"/>
  <c r="I604" i="8"/>
  <c r="I555" i="8"/>
  <c r="I556" i="8" s="1"/>
  <c r="I549" i="8"/>
  <c r="I550" i="8" s="1"/>
  <c r="I453" i="8"/>
  <c r="I452" i="8"/>
  <c r="I451" i="8"/>
  <c r="I450" i="8"/>
  <c r="I449" i="8"/>
  <c r="I448" i="8"/>
  <c r="I396" i="8"/>
  <c r="I466" i="8"/>
  <c r="I363" i="8"/>
  <c r="I332" i="8"/>
  <c r="I319" i="8"/>
  <c r="I318" i="8"/>
  <c r="I317" i="8"/>
  <c r="I316" i="8"/>
  <c r="I315" i="8"/>
  <c r="I314" i="8"/>
  <c r="I30" i="8"/>
  <c r="I26" i="8"/>
  <c r="I25" i="8"/>
  <c r="I23" i="8"/>
  <c r="I19" i="8"/>
  <c r="J2" i="8"/>
  <c r="H333" i="8"/>
  <c r="H474" i="8"/>
  <c r="H523" i="8"/>
  <c r="H527" i="8"/>
  <c r="H531" i="8"/>
  <c r="H478" i="8"/>
  <c r="H498" i="8"/>
  <c r="H502" i="8"/>
  <c r="H506" i="8"/>
  <c r="H526" i="8"/>
  <c r="H530" i="8"/>
  <c r="H27" i="8"/>
  <c r="H472" i="8"/>
  <c r="H473" i="8"/>
  <c r="H477" i="8"/>
  <c r="H497" i="8"/>
  <c r="H501" i="8"/>
  <c r="H505" i="8"/>
  <c r="H525" i="8"/>
  <c r="H529" i="8"/>
  <c r="H467" i="8"/>
  <c r="H476" i="8"/>
  <c r="H480" i="8"/>
  <c r="H500" i="8"/>
  <c r="H504" i="8"/>
  <c r="H524" i="8"/>
  <c r="H528" i="8"/>
  <c r="H532" i="8"/>
  <c r="H625" i="8"/>
  <c r="H610" i="8" s="1"/>
  <c r="H60" i="8" s="1"/>
  <c r="H657" i="8"/>
  <c r="H642" i="8" s="1"/>
  <c r="H61" i="8" s="1"/>
  <c r="H71" i="7"/>
  <c r="K11" i="7"/>
  <c r="J550" i="7"/>
  <c r="J543" i="7"/>
  <c r="J544" i="7" s="1"/>
  <c r="I404" i="7"/>
  <c r="I406" i="7"/>
  <c r="I403" i="7"/>
  <c r="I407" i="7"/>
  <c r="I427" i="7"/>
  <c r="I431" i="7"/>
  <c r="I435" i="7"/>
  <c r="I455" i="7"/>
  <c r="I459" i="7"/>
  <c r="I428" i="7"/>
  <c r="I432" i="7"/>
  <c r="I452" i="7"/>
  <c r="I456" i="7"/>
  <c r="I460" i="7"/>
  <c r="I27" i="7"/>
  <c r="J696" i="7"/>
  <c r="J695" i="7"/>
  <c r="J694" i="7"/>
  <c r="J693" i="7"/>
  <c r="J692" i="7"/>
  <c r="J691" i="7"/>
  <c r="J690" i="7"/>
  <c r="J688" i="7"/>
  <c r="J684" i="7"/>
  <c r="J326" i="7" s="1"/>
  <c r="J683" i="7"/>
  <c r="J325" i="7" s="1"/>
  <c r="J682" i="7"/>
  <c r="J681" i="7"/>
  <c r="J323" i="7" s="1"/>
  <c r="J680" i="7"/>
  <c r="J322" i="7" s="1"/>
  <c r="J679" i="7"/>
  <c r="J321" i="7" s="1"/>
  <c r="J678" i="7"/>
  <c r="J320" i="7" s="1"/>
  <c r="J677" i="7"/>
  <c r="J319" i="7" s="1"/>
  <c r="J676" i="7"/>
  <c r="J318" i="7" s="1"/>
  <c r="J675" i="7"/>
  <c r="J317" i="7" s="1"/>
  <c r="J664" i="7"/>
  <c r="J663" i="7"/>
  <c r="J662" i="7"/>
  <c r="J661" i="7"/>
  <c r="J660" i="7"/>
  <c r="J659" i="7"/>
  <c r="J658" i="7"/>
  <c r="J657" i="7"/>
  <c r="J656" i="7"/>
  <c r="J652" i="7"/>
  <c r="J300" i="7" s="1"/>
  <c r="J651" i="7"/>
  <c r="J299" i="7" s="1"/>
  <c r="J650" i="7"/>
  <c r="J298" i="7" s="1"/>
  <c r="J649" i="7"/>
  <c r="J297" i="7" s="1"/>
  <c r="J648" i="7"/>
  <c r="J296" i="7" s="1"/>
  <c r="J647" i="7"/>
  <c r="J295" i="7" s="1"/>
  <c r="J646" i="7"/>
  <c r="J294" i="7" s="1"/>
  <c r="J645" i="7"/>
  <c r="J293" i="7" s="1"/>
  <c r="J644" i="7"/>
  <c r="J292" i="7" s="1"/>
  <c r="J643" i="7"/>
  <c r="J291" i="7" s="1"/>
  <c r="J632" i="7"/>
  <c r="J631" i="7"/>
  <c r="J630" i="7"/>
  <c r="J629" i="7"/>
  <c r="J628" i="7"/>
  <c r="J627" i="7"/>
  <c r="J626" i="7"/>
  <c r="J625" i="7"/>
  <c r="J624" i="7"/>
  <c r="J620" i="7"/>
  <c r="J275" i="7" s="1"/>
  <c r="J619" i="7"/>
  <c r="J274" i="7" s="1"/>
  <c r="J618" i="7"/>
  <c r="J273" i="7" s="1"/>
  <c r="J617" i="7"/>
  <c r="J272" i="7" s="1"/>
  <c r="J616" i="7"/>
  <c r="J271" i="7" s="1"/>
  <c r="J615" i="7"/>
  <c r="J270" i="7" s="1"/>
  <c r="J614" i="7"/>
  <c r="J269" i="7" s="1"/>
  <c r="J613" i="7"/>
  <c r="J268" i="7" s="1"/>
  <c r="J612" i="7"/>
  <c r="J267" i="7" s="1"/>
  <c r="J611" i="7"/>
  <c r="J266" i="7" s="1"/>
  <c r="J484" i="7"/>
  <c r="J485" i="7" s="1"/>
  <c r="J478" i="7"/>
  <c r="J479" i="7" s="1"/>
  <c r="J395" i="7"/>
  <c r="J324" i="7"/>
  <c r="J382" i="7"/>
  <c r="J381" i="7"/>
  <c r="J380" i="7"/>
  <c r="J379" i="7"/>
  <c r="J378" i="7"/>
  <c r="J377" i="7"/>
  <c r="J248" i="7"/>
  <c r="J247" i="7"/>
  <c r="J246" i="7"/>
  <c r="J245" i="7"/>
  <c r="J244" i="7"/>
  <c r="J243" i="7"/>
  <c r="J261" i="7"/>
  <c r="J30" i="7"/>
  <c r="J26" i="7"/>
  <c r="J25" i="7"/>
  <c r="J23" i="7"/>
  <c r="J19" i="7"/>
  <c r="K2" i="7"/>
  <c r="K600" i="7" s="1"/>
  <c r="I262" i="7"/>
  <c r="I400" i="7"/>
  <c r="I408" i="7"/>
  <c r="I402" i="7"/>
  <c r="I401" i="7"/>
  <c r="I405" i="7"/>
  <c r="I409" i="7"/>
  <c r="I429" i="7"/>
  <c r="I433" i="7"/>
  <c r="I453" i="7"/>
  <c r="I457" i="7"/>
  <c r="I461" i="7"/>
  <c r="I426" i="7"/>
  <c r="I430" i="7"/>
  <c r="I434" i="7"/>
  <c r="I454" i="7"/>
  <c r="I458" i="7"/>
  <c r="I396" i="7"/>
  <c r="I621" i="7"/>
  <c r="I606" i="7" s="1"/>
  <c r="I68" i="7" s="1"/>
  <c r="I653" i="7"/>
  <c r="I638" i="7" s="1"/>
  <c r="I69" i="7" s="1"/>
  <c r="I685" i="7"/>
  <c r="I670" i="7" s="1"/>
  <c r="I70" i="7" s="1"/>
  <c r="A756" i="2"/>
  <c r="A724" i="2"/>
  <c r="K523" i="7" l="1"/>
  <c r="K519" i="7"/>
  <c r="K515" i="7"/>
  <c r="K511" i="7"/>
  <c r="K594" i="7"/>
  <c r="K56" i="10"/>
  <c r="K85" i="10"/>
  <c r="K86" i="10" s="1"/>
  <c r="L629" i="10"/>
  <c r="L625" i="10"/>
  <c r="L621" i="10"/>
  <c r="L617" i="10"/>
  <c r="J582" i="8"/>
  <c r="J594" i="8"/>
  <c r="J590" i="8"/>
  <c r="J586" i="8"/>
  <c r="J65" i="10"/>
  <c r="J68" i="10" s="1"/>
  <c r="J75" i="10" s="1"/>
  <c r="I179" i="10"/>
  <c r="I196" i="10" s="1"/>
  <c r="K180" i="10"/>
  <c r="K197" i="10" s="1"/>
  <c r="K141" i="10"/>
  <c r="K153" i="10" s="1"/>
  <c r="K249" i="10"/>
  <c r="K221" i="10"/>
  <c r="K59" i="10"/>
  <c r="M11" i="10"/>
  <c r="L645" i="10"/>
  <c r="L181" i="10" s="1"/>
  <c r="L198" i="10" s="1"/>
  <c r="L41" i="10"/>
  <c r="L183" i="10" s="1"/>
  <c r="L200" i="10" s="1"/>
  <c r="K698" i="10"/>
  <c r="K683" i="10" s="1"/>
  <c r="K66" i="10" s="1"/>
  <c r="K508" i="10"/>
  <c r="L741" i="10"/>
  <c r="L740" i="10"/>
  <c r="L739" i="10"/>
  <c r="L738" i="10"/>
  <c r="L737" i="10"/>
  <c r="L736" i="10"/>
  <c r="L734" i="10"/>
  <c r="L733" i="10"/>
  <c r="L729" i="10"/>
  <c r="L728" i="10"/>
  <c r="L431" i="10" s="1"/>
  <c r="L727" i="10"/>
  <c r="L430" i="10" s="1"/>
  <c r="L726" i="10"/>
  <c r="L429" i="10" s="1"/>
  <c r="L725" i="10"/>
  <c r="L428" i="10" s="1"/>
  <c r="L724" i="10"/>
  <c r="L427" i="10" s="1"/>
  <c r="L723" i="10"/>
  <c r="L426" i="10" s="1"/>
  <c r="L722" i="10"/>
  <c r="L425" i="10" s="1"/>
  <c r="L721" i="10"/>
  <c r="L424" i="10" s="1"/>
  <c r="L720" i="10"/>
  <c r="L423" i="10" s="1"/>
  <c r="L709" i="10"/>
  <c r="L708" i="10"/>
  <c r="L707" i="10"/>
  <c r="L706" i="10"/>
  <c r="L705" i="10"/>
  <c r="L704" i="10"/>
  <c r="L703" i="10"/>
  <c r="L702" i="10"/>
  <c r="L701" i="10"/>
  <c r="L697" i="10"/>
  <c r="L696" i="10"/>
  <c r="L405" i="10" s="1"/>
  <c r="L695" i="10"/>
  <c r="L404" i="10" s="1"/>
  <c r="L694" i="10"/>
  <c r="L403" i="10" s="1"/>
  <c r="L693" i="10"/>
  <c r="L402" i="10" s="1"/>
  <c r="L692" i="10"/>
  <c r="L401" i="10" s="1"/>
  <c r="L691" i="10"/>
  <c r="L400" i="10" s="1"/>
  <c r="L690" i="10"/>
  <c r="L399" i="10" s="1"/>
  <c r="L689" i="10"/>
  <c r="L398" i="10" s="1"/>
  <c r="L688" i="10"/>
  <c r="L397" i="10" s="1"/>
  <c r="L677" i="10"/>
  <c r="L676" i="10"/>
  <c r="L675" i="10"/>
  <c r="L674" i="10"/>
  <c r="L673" i="10"/>
  <c r="L672" i="10"/>
  <c r="L671" i="10"/>
  <c r="L670" i="10"/>
  <c r="L669" i="10"/>
  <c r="L665" i="10"/>
  <c r="L381" i="10" s="1"/>
  <c r="L664" i="10"/>
  <c r="L380" i="10" s="1"/>
  <c r="L663" i="10"/>
  <c r="L379" i="10" s="1"/>
  <c r="L662" i="10"/>
  <c r="L378" i="10" s="1"/>
  <c r="L661" i="10"/>
  <c r="L377" i="10" s="1"/>
  <c r="L660" i="10"/>
  <c r="L376" i="10" s="1"/>
  <c r="L659" i="10"/>
  <c r="L375" i="10" s="1"/>
  <c r="L658" i="10"/>
  <c r="L374" i="10" s="1"/>
  <c r="L657" i="10"/>
  <c r="L373" i="10" s="1"/>
  <c r="L656" i="10"/>
  <c r="L372" i="10" s="1"/>
  <c r="L590" i="10"/>
  <c r="L591" i="10" s="1"/>
  <c r="L584" i="10"/>
  <c r="L585" i="10" s="1"/>
  <c r="L501" i="10"/>
  <c r="L432" i="10"/>
  <c r="L406" i="10"/>
  <c r="L354" i="10"/>
  <c r="L353" i="10"/>
  <c r="L352" i="10"/>
  <c r="L351" i="10"/>
  <c r="L350" i="10"/>
  <c r="L349" i="10"/>
  <c r="L488" i="10"/>
  <c r="L487" i="10"/>
  <c r="L486" i="10"/>
  <c r="L485" i="10"/>
  <c r="L484" i="10"/>
  <c r="L483" i="10"/>
  <c r="L367" i="10"/>
  <c r="L30" i="10"/>
  <c r="L26" i="10"/>
  <c r="L25" i="10"/>
  <c r="L23" i="10"/>
  <c r="L19" i="10"/>
  <c r="M2" i="10"/>
  <c r="M639" i="10" s="1"/>
  <c r="K368" i="10"/>
  <c r="K507" i="10"/>
  <c r="K511" i="10"/>
  <c r="K515" i="10"/>
  <c r="K535" i="10"/>
  <c r="K539" i="10"/>
  <c r="K559" i="10"/>
  <c r="K563" i="10"/>
  <c r="K567" i="10"/>
  <c r="K512" i="10"/>
  <c r="K532" i="10"/>
  <c r="K536" i="10"/>
  <c r="K540" i="10"/>
  <c r="K560" i="10"/>
  <c r="K564" i="10"/>
  <c r="K502" i="10"/>
  <c r="K730" i="10"/>
  <c r="K715" i="10" s="1"/>
  <c r="K67" i="10" s="1"/>
  <c r="K27" i="10"/>
  <c r="K666" i="10"/>
  <c r="K651" i="10" s="1"/>
  <c r="K509" i="10"/>
  <c r="K513" i="10"/>
  <c r="K533" i="10"/>
  <c r="K537" i="10"/>
  <c r="K541" i="10"/>
  <c r="K561" i="10"/>
  <c r="K565" i="10"/>
  <c r="K506" i="10"/>
  <c r="K510" i="10"/>
  <c r="K514" i="10"/>
  <c r="K534" i="10"/>
  <c r="K538" i="10"/>
  <c r="K558" i="10"/>
  <c r="K562" i="10"/>
  <c r="K566" i="10"/>
  <c r="K11" i="8"/>
  <c r="I657" i="8"/>
  <c r="I642" i="8" s="1"/>
  <c r="I61" i="8" s="1"/>
  <c r="J700" i="8"/>
  <c r="J699" i="8"/>
  <c r="J698" i="8"/>
  <c r="J697" i="8"/>
  <c r="J696" i="8"/>
  <c r="J695" i="8"/>
  <c r="J694" i="8"/>
  <c r="J692" i="8"/>
  <c r="J688" i="8"/>
  <c r="J687" i="8"/>
  <c r="J396" i="8" s="1"/>
  <c r="J686" i="8"/>
  <c r="J395" i="8" s="1"/>
  <c r="J685" i="8"/>
  <c r="J394" i="8" s="1"/>
  <c r="J684" i="8"/>
  <c r="J393" i="8" s="1"/>
  <c r="J683" i="8"/>
  <c r="J392" i="8" s="1"/>
  <c r="J682" i="8"/>
  <c r="J391" i="8" s="1"/>
  <c r="J681" i="8"/>
  <c r="J390" i="8" s="1"/>
  <c r="J680" i="8"/>
  <c r="J389" i="8" s="1"/>
  <c r="J679" i="8"/>
  <c r="J388" i="8" s="1"/>
  <c r="J668" i="8"/>
  <c r="J667" i="8"/>
  <c r="J666" i="8"/>
  <c r="J665" i="8"/>
  <c r="J664" i="8"/>
  <c r="J663" i="8"/>
  <c r="J662" i="8"/>
  <c r="J661" i="8"/>
  <c r="J660" i="8"/>
  <c r="J656" i="8"/>
  <c r="J655" i="8"/>
  <c r="J370" i="8" s="1"/>
  <c r="J654" i="8"/>
  <c r="J369" i="8" s="1"/>
  <c r="J653" i="8"/>
  <c r="J368" i="8" s="1"/>
  <c r="J652" i="8"/>
  <c r="J367" i="8" s="1"/>
  <c r="J651" i="8"/>
  <c r="J366" i="8" s="1"/>
  <c r="J650" i="8"/>
  <c r="J365" i="8" s="1"/>
  <c r="J649" i="8"/>
  <c r="J364" i="8" s="1"/>
  <c r="J648" i="8"/>
  <c r="J363" i="8" s="1"/>
  <c r="J647" i="8"/>
  <c r="J362" i="8" s="1"/>
  <c r="J636" i="8"/>
  <c r="J635" i="8"/>
  <c r="J634" i="8"/>
  <c r="J633" i="8"/>
  <c r="J632" i="8"/>
  <c r="J631" i="8"/>
  <c r="J630" i="8"/>
  <c r="J629" i="8"/>
  <c r="J628" i="8"/>
  <c r="J624" i="8"/>
  <c r="J346" i="8" s="1"/>
  <c r="J623" i="8"/>
  <c r="J345" i="8" s="1"/>
  <c r="J622" i="8"/>
  <c r="J344" i="8" s="1"/>
  <c r="J621" i="8"/>
  <c r="J343" i="8" s="1"/>
  <c r="J620" i="8"/>
  <c r="J342" i="8" s="1"/>
  <c r="J619" i="8"/>
  <c r="J341" i="8" s="1"/>
  <c r="J618" i="8"/>
  <c r="J340" i="8" s="1"/>
  <c r="J617" i="8"/>
  <c r="J339" i="8" s="1"/>
  <c r="J616" i="8"/>
  <c r="J338" i="8" s="1"/>
  <c r="J615" i="8"/>
  <c r="J337" i="8" s="1"/>
  <c r="J555" i="8"/>
  <c r="J556" i="8" s="1"/>
  <c r="J549" i="8"/>
  <c r="J550" i="8" s="1"/>
  <c r="J604" i="8"/>
  <c r="J466" i="8"/>
  <c r="J397" i="8"/>
  <c r="J371" i="8"/>
  <c r="J453" i="8"/>
  <c r="J452" i="8"/>
  <c r="J451" i="8"/>
  <c r="J450" i="8"/>
  <c r="J449" i="8"/>
  <c r="J448" i="8"/>
  <c r="J332" i="8"/>
  <c r="J319" i="8"/>
  <c r="J318" i="8"/>
  <c r="J317" i="8"/>
  <c r="J316" i="8"/>
  <c r="J315" i="8"/>
  <c r="J314" i="8"/>
  <c r="K2" i="8"/>
  <c r="J30" i="8"/>
  <c r="J26" i="8"/>
  <c r="J25" i="8"/>
  <c r="J23" i="8"/>
  <c r="J19" i="8"/>
  <c r="I333" i="8"/>
  <c r="I473" i="8"/>
  <c r="I474" i="8"/>
  <c r="I478" i="8"/>
  <c r="I498" i="8"/>
  <c r="I502" i="8"/>
  <c r="I506" i="8"/>
  <c r="I526" i="8"/>
  <c r="I530" i="8"/>
  <c r="I477" i="8"/>
  <c r="I497" i="8"/>
  <c r="I501" i="8"/>
  <c r="I505" i="8"/>
  <c r="I525" i="8"/>
  <c r="I529" i="8"/>
  <c r="I467" i="8"/>
  <c r="I27" i="8"/>
  <c r="I625" i="8"/>
  <c r="I610" i="8" s="1"/>
  <c r="I60" i="8" s="1"/>
  <c r="I471" i="8"/>
  <c r="I472" i="8"/>
  <c r="I476" i="8"/>
  <c r="I480" i="8"/>
  <c r="I500" i="8"/>
  <c r="I504" i="8"/>
  <c r="I524" i="8"/>
  <c r="I528" i="8"/>
  <c r="I532" i="8"/>
  <c r="I475" i="8"/>
  <c r="I479" i="8"/>
  <c r="I499" i="8"/>
  <c r="I503" i="8"/>
  <c r="I523" i="8"/>
  <c r="I527" i="8"/>
  <c r="I531" i="8"/>
  <c r="I689" i="8"/>
  <c r="I674" i="8" s="1"/>
  <c r="I62" i="8" s="1"/>
  <c r="H63" i="8"/>
  <c r="K550" i="7"/>
  <c r="K543" i="7"/>
  <c r="K544" i="7" s="1"/>
  <c r="L11" i="7"/>
  <c r="J407" i="7"/>
  <c r="J405" i="7"/>
  <c r="J400" i="7"/>
  <c r="J404" i="7"/>
  <c r="J408" i="7"/>
  <c r="J428" i="7"/>
  <c r="J432" i="7"/>
  <c r="J452" i="7"/>
  <c r="J456" i="7"/>
  <c r="J460" i="7"/>
  <c r="J429" i="7"/>
  <c r="J433" i="7"/>
  <c r="J453" i="7"/>
  <c r="J457" i="7"/>
  <c r="J461" i="7"/>
  <c r="I71" i="7"/>
  <c r="J27" i="7"/>
  <c r="J621" i="7"/>
  <c r="J606" i="7" s="1"/>
  <c r="J68" i="7" s="1"/>
  <c r="J653" i="7"/>
  <c r="J638" i="7" s="1"/>
  <c r="J69" i="7" s="1"/>
  <c r="J685" i="7"/>
  <c r="J670" i="7" s="1"/>
  <c r="J70" i="7" s="1"/>
  <c r="K696" i="7"/>
  <c r="K695" i="7"/>
  <c r="K694" i="7"/>
  <c r="K693" i="7"/>
  <c r="K692" i="7"/>
  <c r="K691" i="7"/>
  <c r="K690" i="7"/>
  <c r="K684" i="7"/>
  <c r="K326" i="7" s="1"/>
  <c r="K683" i="7"/>
  <c r="K325" i="7" s="1"/>
  <c r="K682" i="7"/>
  <c r="K681" i="7"/>
  <c r="K323" i="7" s="1"/>
  <c r="K680" i="7"/>
  <c r="K322" i="7" s="1"/>
  <c r="K679" i="7"/>
  <c r="K321" i="7" s="1"/>
  <c r="K678" i="7"/>
  <c r="K320" i="7" s="1"/>
  <c r="K677" i="7"/>
  <c r="K319" i="7" s="1"/>
  <c r="K688" i="7"/>
  <c r="K652" i="7"/>
  <c r="K300" i="7" s="1"/>
  <c r="K651" i="7"/>
  <c r="K650" i="7"/>
  <c r="K298" i="7" s="1"/>
  <c r="K649" i="7"/>
  <c r="K297" i="7" s="1"/>
  <c r="K648" i="7"/>
  <c r="K296" i="7" s="1"/>
  <c r="K647" i="7"/>
  <c r="K295" i="7" s="1"/>
  <c r="K676" i="7"/>
  <c r="K318" i="7" s="1"/>
  <c r="K675" i="7"/>
  <c r="K664" i="7"/>
  <c r="K663" i="7"/>
  <c r="K662" i="7"/>
  <c r="K661" i="7"/>
  <c r="K660" i="7"/>
  <c r="K659" i="7"/>
  <c r="K658" i="7"/>
  <c r="K657" i="7"/>
  <c r="K656" i="7"/>
  <c r="K646" i="7"/>
  <c r="K294" i="7" s="1"/>
  <c r="K620" i="7"/>
  <c r="K275" i="7" s="1"/>
  <c r="K619" i="7"/>
  <c r="K274" i="7" s="1"/>
  <c r="K618" i="7"/>
  <c r="K273" i="7" s="1"/>
  <c r="K617" i="7"/>
  <c r="K272" i="7" s="1"/>
  <c r="K616" i="7"/>
  <c r="K271" i="7" s="1"/>
  <c r="K615" i="7"/>
  <c r="K270" i="7" s="1"/>
  <c r="K645" i="7"/>
  <c r="K293" i="7" s="1"/>
  <c r="K644" i="7"/>
  <c r="K292" i="7" s="1"/>
  <c r="K643" i="7"/>
  <c r="K291" i="7" s="1"/>
  <c r="K632" i="7"/>
  <c r="K631" i="7"/>
  <c r="K630" i="7"/>
  <c r="K629" i="7"/>
  <c r="K628" i="7"/>
  <c r="K627" i="7"/>
  <c r="K626" i="7"/>
  <c r="K625" i="7"/>
  <c r="K624" i="7"/>
  <c r="K613" i="7"/>
  <c r="K268" i="7" s="1"/>
  <c r="K614" i="7"/>
  <c r="K269" i="7" s="1"/>
  <c r="K612" i="7"/>
  <c r="K267" i="7" s="1"/>
  <c r="K611" i="7"/>
  <c r="K484" i="7"/>
  <c r="K485" i="7" s="1"/>
  <c r="K478" i="7"/>
  <c r="K479" i="7" s="1"/>
  <c r="K382" i="7"/>
  <c r="K381" i="7"/>
  <c r="K380" i="7"/>
  <c r="K379" i="7"/>
  <c r="K378" i="7"/>
  <c r="K377" i="7"/>
  <c r="K299" i="7"/>
  <c r="K395" i="7"/>
  <c r="K324" i="7"/>
  <c r="K261" i="7"/>
  <c r="K248" i="7"/>
  <c r="K247" i="7"/>
  <c r="K246" i="7"/>
  <c r="K245" i="7"/>
  <c r="K244" i="7"/>
  <c r="K243" i="7"/>
  <c r="L2" i="7"/>
  <c r="L600" i="7" s="1"/>
  <c r="K30" i="7"/>
  <c r="K26" i="7"/>
  <c r="K25" i="7"/>
  <c r="K23" i="7"/>
  <c r="K19" i="7"/>
  <c r="J403" i="7"/>
  <c r="J262" i="7"/>
  <c r="J401" i="7"/>
  <c r="J409" i="7"/>
  <c r="J402" i="7"/>
  <c r="J406" i="7"/>
  <c r="J426" i="7"/>
  <c r="J430" i="7"/>
  <c r="J434" i="7"/>
  <c r="J454" i="7"/>
  <c r="J458" i="7"/>
  <c r="J396" i="7"/>
  <c r="J427" i="7"/>
  <c r="J431" i="7"/>
  <c r="J435" i="7"/>
  <c r="J455" i="7"/>
  <c r="J459" i="7"/>
  <c r="A757" i="2"/>
  <c r="A725" i="2"/>
  <c r="L523" i="7" l="1"/>
  <c r="L519" i="7"/>
  <c r="L515" i="7"/>
  <c r="L511" i="7"/>
  <c r="L56" i="10"/>
  <c r="L85" i="10"/>
  <c r="L86" i="10" s="1"/>
  <c r="M629" i="10"/>
  <c r="M625" i="10"/>
  <c r="M621" i="10"/>
  <c r="M617" i="10"/>
  <c r="K594" i="8"/>
  <c r="K590" i="8"/>
  <c r="K586" i="8"/>
  <c r="K582" i="8"/>
  <c r="K65" i="10"/>
  <c r="K68" i="10" s="1"/>
  <c r="K75" i="10" s="1"/>
  <c r="J179" i="10"/>
  <c r="J196" i="10" s="1"/>
  <c r="L180" i="10"/>
  <c r="L197" i="10" s="1"/>
  <c r="L141" i="10"/>
  <c r="L153" i="10" s="1"/>
  <c r="L249" i="10"/>
  <c r="L221" i="10"/>
  <c r="L59" i="10"/>
  <c r="N11" i="10"/>
  <c r="M645" i="10"/>
  <c r="M181" i="10" s="1"/>
  <c r="M198" i="10" s="1"/>
  <c r="M41" i="10"/>
  <c r="M183" i="10" s="1"/>
  <c r="M200" i="10" s="1"/>
  <c r="L730" i="10"/>
  <c r="L715" i="10" s="1"/>
  <c r="L67" i="10" s="1"/>
  <c r="L698" i="10"/>
  <c r="L683" i="10" s="1"/>
  <c r="L66" i="10" s="1"/>
  <c r="M741" i="10"/>
  <c r="M740" i="10"/>
  <c r="M739" i="10"/>
  <c r="M738" i="10"/>
  <c r="M737" i="10"/>
  <c r="M736" i="10"/>
  <c r="M734" i="10"/>
  <c r="M733" i="10"/>
  <c r="M729" i="10"/>
  <c r="M432" i="10" s="1"/>
  <c r="M728" i="10"/>
  <c r="M727" i="10"/>
  <c r="M430" i="10" s="1"/>
  <c r="M726" i="10"/>
  <c r="M429" i="10" s="1"/>
  <c r="M725" i="10"/>
  <c r="M428" i="10" s="1"/>
  <c r="M724" i="10"/>
  <c r="M427" i="10" s="1"/>
  <c r="M723" i="10"/>
  <c r="M426" i="10" s="1"/>
  <c r="M722" i="10"/>
  <c r="M425" i="10" s="1"/>
  <c r="M721" i="10"/>
  <c r="M424" i="10" s="1"/>
  <c r="M720" i="10"/>
  <c r="M423" i="10" s="1"/>
  <c r="M697" i="10"/>
  <c r="M406" i="10" s="1"/>
  <c r="M696" i="10"/>
  <c r="M405" i="10" s="1"/>
  <c r="M695" i="10"/>
  <c r="M694" i="10"/>
  <c r="M403" i="10" s="1"/>
  <c r="M693" i="10"/>
  <c r="M402" i="10" s="1"/>
  <c r="M692" i="10"/>
  <c r="M401" i="10" s="1"/>
  <c r="M691" i="10"/>
  <c r="M400" i="10" s="1"/>
  <c r="M690" i="10"/>
  <c r="M399" i="10" s="1"/>
  <c r="M709" i="10"/>
  <c r="M708" i="10"/>
  <c r="M707" i="10"/>
  <c r="M706" i="10"/>
  <c r="M705" i="10"/>
  <c r="M704" i="10"/>
  <c r="M703" i="10"/>
  <c r="M702" i="10"/>
  <c r="M701" i="10"/>
  <c r="M665" i="10"/>
  <c r="M381" i="10" s="1"/>
  <c r="M664" i="10"/>
  <c r="M380" i="10" s="1"/>
  <c r="M663" i="10"/>
  <c r="M379" i="10" s="1"/>
  <c r="M662" i="10"/>
  <c r="M378" i="10" s="1"/>
  <c r="M661" i="10"/>
  <c r="M377" i="10" s="1"/>
  <c r="M660" i="10"/>
  <c r="M376" i="10" s="1"/>
  <c r="M689" i="10"/>
  <c r="M398" i="10" s="1"/>
  <c r="M688" i="10"/>
  <c r="M397" i="10" s="1"/>
  <c r="M677" i="10"/>
  <c r="M676" i="10"/>
  <c r="M675" i="10"/>
  <c r="M674" i="10"/>
  <c r="M673" i="10"/>
  <c r="M672" i="10"/>
  <c r="M671" i="10"/>
  <c r="M670" i="10"/>
  <c r="M669" i="10"/>
  <c r="M658" i="10"/>
  <c r="M374" i="10" s="1"/>
  <c r="M656" i="10"/>
  <c r="M372" i="10" s="1"/>
  <c r="M590" i="10"/>
  <c r="M591" i="10" s="1"/>
  <c r="M584" i="10"/>
  <c r="M585" i="10" s="1"/>
  <c r="M659" i="10"/>
  <c r="M375" i="10" s="1"/>
  <c r="M657" i="10"/>
  <c r="M373" i="10" s="1"/>
  <c r="M488" i="10"/>
  <c r="M487" i="10"/>
  <c r="M486" i="10"/>
  <c r="M485" i="10"/>
  <c r="M484" i="10"/>
  <c r="M483" i="10"/>
  <c r="M431" i="10"/>
  <c r="M367" i="10"/>
  <c r="M501" i="10"/>
  <c r="M404" i="10"/>
  <c r="M354" i="10"/>
  <c r="M353" i="10"/>
  <c r="M352" i="10"/>
  <c r="M351" i="10"/>
  <c r="M350" i="10"/>
  <c r="M349" i="10"/>
  <c r="M30" i="10"/>
  <c r="M26" i="10"/>
  <c r="M25" i="10"/>
  <c r="M23" i="10"/>
  <c r="M19" i="10"/>
  <c r="N2" i="10"/>
  <c r="N639" i="10" s="1"/>
  <c r="L508" i="10"/>
  <c r="L512" i="10"/>
  <c r="L532" i="10"/>
  <c r="L536" i="10"/>
  <c r="L540" i="10"/>
  <c r="L560" i="10"/>
  <c r="L564" i="10"/>
  <c r="L502" i="10"/>
  <c r="L368" i="10"/>
  <c r="L507" i="10"/>
  <c r="L511" i="10"/>
  <c r="L515" i="10"/>
  <c r="L535" i="10"/>
  <c r="L539" i="10"/>
  <c r="L559" i="10"/>
  <c r="L563" i="10"/>
  <c r="L567" i="10"/>
  <c r="L27" i="10"/>
  <c r="L666" i="10"/>
  <c r="L651" i="10" s="1"/>
  <c r="L506" i="10"/>
  <c r="L510" i="10"/>
  <c r="L514" i="10"/>
  <c r="L534" i="10"/>
  <c r="L538" i="10"/>
  <c r="L558" i="10"/>
  <c r="L562" i="10"/>
  <c r="L566" i="10"/>
  <c r="L509" i="10"/>
  <c r="L513" i="10"/>
  <c r="L533" i="10"/>
  <c r="L537" i="10"/>
  <c r="L541" i="10"/>
  <c r="L561" i="10"/>
  <c r="L565" i="10"/>
  <c r="L11" i="8"/>
  <c r="J689" i="8"/>
  <c r="J674" i="8" s="1"/>
  <c r="J62" i="8" s="1"/>
  <c r="K700" i="8"/>
  <c r="K699" i="8"/>
  <c r="K698" i="8"/>
  <c r="K697" i="8"/>
  <c r="K696" i="8"/>
  <c r="K695" i="8"/>
  <c r="K694" i="8"/>
  <c r="K692" i="8"/>
  <c r="K688" i="8"/>
  <c r="K397" i="8" s="1"/>
  <c r="K687" i="8"/>
  <c r="K686" i="8"/>
  <c r="K395" i="8" s="1"/>
  <c r="K685" i="8"/>
  <c r="K394" i="8" s="1"/>
  <c r="K684" i="8"/>
  <c r="K393" i="8" s="1"/>
  <c r="K683" i="8"/>
  <c r="K392" i="8" s="1"/>
  <c r="K682" i="8"/>
  <c r="K391" i="8" s="1"/>
  <c r="K681" i="8"/>
  <c r="K390" i="8" s="1"/>
  <c r="K680" i="8"/>
  <c r="K389" i="8" s="1"/>
  <c r="K679" i="8"/>
  <c r="K388" i="8" s="1"/>
  <c r="K667" i="8"/>
  <c r="K665" i="8"/>
  <c r="K663" i="8"/>
  <c r="K656" i="8"/>
  <c r="K371" i="8" s="1"/>
  <c r="K655" i="8"/>
  <c r="K370" i="8" s="1"/>
  <c r="K654" i="8"/>
  <c r="K369" i="8" s="1"/>
  <c r="K653" i="8"/>
  <c r="K368" i="8" s="1"/>
  <c r="K652" i="8"/>
  <c r="K651" i="8"/>
  <c r="K366" i="8" s="1"/>
  <c r="K650" i="8"/>
  <c r="K365" i="8" s="1"/>
  <c r="K649" i="8"/>
  <c r="K364" i="8" s="1"/>
  <c r="K648" i="8"/>
  <c r="K363" i="8" s="1"/>
  <c r="K647" i="8"/>
  <c r="K362" i="8" s="1"/>
  <c r="K668" i="8"/>
  <c r="K666" i="8"/>
  <c r="K664" i="8"/>
  <c r="K662" i="8"/>
  <c r="K661" i="8"/>
  <c r="K660" i="8"/>
  <c r="K624" i="8"/>
  <c r="K346" i="8" s="1"/>
  <c r="K623" i="8"/>
  <c r="K345" i="8" s="1"/>
  <c r="K622" i="8"/>
  <c r="K344" i="8" s="1"/>
  <c r="K621" i="8"/>
  <c r="K343" i="8" s="1"/>
  <c r="K620" i="8"/>
  <c r="K342" i="8" s="1"/>
  <c r="K619" i="8"/>
  <c r="K341" i="8" s="1"/>
  <c r="K618" i="8"/>
  <c r="K340" i="8" s="1"/>
  <c r="K617" i="8"/>
  <c r="K339" i="8" s="1"/>
  <c r="K616" i="8"/>
  <c r="K338" i="8" s="1"/>
  <c r="K615" i="8"/>
  <c r="K337" i="8" s="1"/>
  <c r="K636" i="8"/>
  <c r="K635" i="8"/>
  <c r="K634" i="8"/>
  <c r="K633" i="8"/>
  <c r="K632" i="8"/>
  <c r="K631" i="8"/>
  <c r="K630" i="8"/>
  <c r="K629" i="8"/>
  <c r="K628" i="8"/>
  <c r="K604" i="8"/>
  <c r="K555" i="8"/>
  <c r="K556" i="8" s="1"/>
  <c r="K549" i="8"/>
  <c r="K550" i="8" s="1"/>
  <c r="K453" i="8"/>
  <c r="K452" i="8"/>
  <c r="K451" i="8"/>
  <c r="K450" i="8"/>
  <c r="K449" i="8"/>
  <c r="K448" i="8"/>
  <c r="K396" i="8"/>
  <c r="K466" i="8"/>
  <c r="K367" i="8"/>
  <c r="K332" i="8"/>
  <c r="K319" i="8"/>
  <c r="K318" i="8"/>
  <c r="K317" i="8"/>
  <c r="K316" i="8"/>
  <c r="K315" i="8"/>
  <c r="K314" i="8"/>
  <c r="K30" i="8"/>
  <c r="K26" i="8"/>
  <c r="K25" i="8"/>
  <c r="K23" i="8"/>
  <c r="K19" i="8"/>
  <c r="L2" i="8"/>
  <c r="J333" i="8"/>
  <c r="J472" i="8"/>
  <c r="J471" i="8"/>
  <c r="J475" i="8"/>
  <c r="J479" i="8"/>
  <c r="J499" i="8"/>
  <c r="J503" i="8"/>
  <c r="J523" i="8"/>
  <c r="J527" i="8"/>
  <c r="J531" i="8"/>
  <c r="J478" i="8"/>
  <c r="J498" i="8"/>
  <c r="J502" i="8"/>
  <c r="J506" i="8"/>
  <c r="J526" i="8"/>
  <c r="J530" i="8"/>
  <c r="J27" i="8"/>
  <c r="J474" i="8"/>
  <c r="J473" i="8"/>
  <c r="J477" i="8"/>
  <c r="J497" i="8"/>
  <c r="J501" i="8"/>
  <c r="J505" i="8"/>
  <c r="J525" i="8"/>
  <c r="J529" i="8"/>
  <c r="J467" i="8"/>
  <c r="J476" i="8"/>
  <c r="J480" i="8"/>
  <c r="J500" i="8"/>
  <c r="J504" i="8"/>
  <c r="J524" i="8"/>
  <c r="J528" i="8"/>
  <c r="J532" i="8"/>
  <c r="J625" i="8"/>
  <c r="J610" i="8" s="1"/>
  <c r="J60" i="8" s="1"/>
  <c r="J657" i="8"/>
  <c r="J642" i="8" s="1"/>
  <c r="J61" i="8" s="1"/>
  <c r="I63" i="8"/>
  <c r="M11" i="7"/>
  <c r="L550" i="7"/>
  <c r="L543" i="7"/>
  <c r="L544" i="7" s="1"/>
  <c r="K428" i="7"/>
  <c r="K407" i="7"/>
  <c r="K456" i="7"/>
  <c r="K460" i="7"/>
  <c r="K403" i="7"/>
  <c r="K432" i="7"/>
  <c r="K262" i="7"/>
  <c r="K404" i="7"/>
  <c r="K621" i="7"/>
  <c r="K606" i="7" s="1"/>
  <c r="K68" i="7" s="1"/>
  <c r="K653" i="7"/>
  <c r="K638" i="7" s="1"/>
  <c r="K69" i="7" s="1"/>
  <c r="K685" i="7"/>
  <c r="K670" i="7" s="1"/>
  <c r="K70" i="7" s="1"/>
  <c r="L696" i="7"/>
  <c r="L695" i="7"/>
  <c r="L694" i="7"/>
  <c r="L693" i="7"/>
  <c r="L692" i="7"/>
  <c r="L691" i="7"/>
  <c r="L689" i="7"/>
  <c r="L688" i="7"/>
  <c r="L684" i="7"/>
  <c r="L683" i="7"/>
  <c r="L325" i="7" s="1"/>
  <c r="L682" i="7"/>
  <c r="L324" i="7" s="1"/>
  <c r="L681" i="7"/>
  <c r="L323" i="7" s="1"/>
  <c r="L680" i="7"/>
  <c r="L322" i="7" s="1"/>
  <c r="L679" i="7"/>
  <c r="L321" i="7" s="1"/>
  <c r="L678" i="7"/>
  <c r="L320" i="7" s="1"/>
  <c r="L677" i="7"/>
  <c r="L319" i="7" s="1"/>
  <c r="L676" i="7"/>
  <c r="L318" i="7" s="1"/>
  <c r="L675" i="7"/>
  <c r="L664" i="7"/>
  <c r="L663" i="7"/>
  <c r="L662" i="7"/>
  <c r="L661" i="7"/>
  <c r="L660" i="7"/>
  <c r="L659" i="7"/>
  <c r="L658" i="7"/>
  <c r="L657" i="7"/>
  <c r="L656" i="7"/>
  <c r="L652" i="7"/>
  <c r="L651" i="7"/>
  <c r="L299" i="7" s="1"/>
  <c r="L650" i="7"/>
  <c r="L298" i="7" s="1"/>
  <c r="L649" i="7"/>
  <c r="L297" i="7" s="1"/>
  <c r="L648" i="7"/>
  <c r="L296" i="7" s="1"/>
  <c r="L647" i="7"/>
  <c r="L295" i="7" s="1"/>
  <c r="L646" i="7"/>
  <c r="L294" i="7" s="1"/>
  <c r="L645" i="7"/>
  <c r="L293" i="7" s="1"/>
  <c r="L644" i="7"/>
  <c r="L292" i="7" s="1"/>
  <c r="L643" i="7"/>
  <c r="L291" i="7" s="1"/>
  <c r="L632" i="7"/>
  <c r="L631" i="7"/>
  <c r="L630" i="7"/>
  <c r="L629" i="7"/>
  <c r="L628" i="7"/>
  <c r="L627" i="7"/>
  <c r="L626" i="7"/>
  <c r="L625" i="7"/>
  <c r="L624" i="7"/>
  <c r="L620" i="7"/>
  <c r="L275" i="7" s="1"/>
  <c r="L619" i="7"/>
  <c r="L274" i="7" s="1"/>
  <c r="L618" i="7"/>
  <c r="L273" i="7" s="1"/>
  <c r="L617" i="7"/>
  <c r="L272" i="7" s="1"/>
  <c r="L616" i="7"/>
  <c r="L271" i="7" s="1"/>
  <c r="L615" i="7"/>
  <c r="L270" i="7" s="1"/>
  <c r="L614" i="7"/>
  <c r="L269" i="7" s="1"/>
  <c r="L613" i="7"/>
  <c r="L268" i="7" s="1"/>
  <c r="L612" i="7"/>
  <c r="L267" i="7" s="1"/>
  <c r="L611" i="7"/>
  <c r="L484" i="7"/>
  <c r="L485" i="7" s="1"/>
  <c r="L478" i="7"/>
  <c r="L479" i="7" s="1"/>
  <c r="L395" i="7"/>
  <c r="L326" i="7"/>
  <c r="L300" i="7"/>
  <c r="L382" i="7"/>
  <c r="L381" i="7"/>
  <c r="L380" i="7"/>
  <c r="L379" i="7"/>
  <c r="L378" i="7"/>
  <c r="L377" i="7"/>
  <c r="L248" i="7"/>
  <c r="L247" i="7"/>
  <c r="L246" i="7"/>
  <c r="L245" i="7"/>
  <c r="L244" i="7"/>
  <c r="L243" i="7"/>
  <c r="L261" i="7"/>
  <c r="L30" i="7"/>
  <c r="L26" i="7"/>
  <c r="L25" i="7"/>
  <c r="L23" i="7"/>
  <c r="L19" i="7"/>
  <c r="M2" i="7"/>
  <c r="M600" i="7" s="1"/>
  <c r="K406" i="7"/>
  <c r="K408" i="7"/>
  <c r="K427" i="7"/>
  <c r="K431" i="7"/>
  <c r="K435" i="7"/>
  <c r="K455" i="7"/>
  <c r="K459" i="7"/>
  <c r="K27" i="7"/>
  <c r="K266" i="7"/>
  <c r="K317" i="7"/>
  <c r="K402" i="7"/>
  <c r="K401" i="7"/>
  <c r="K405" i="7"/>
  <c r="K409" i="7"/>
  <c r="K429" i="7"/>
  <c r="K433" i="7"/>
  <c r="K453" i="7"/>
  <c r="K457" i="7"/>
  <c r="K461" i="7"/>
  <c r="K426" i="7"/>
  <c r="K430" i="7"/>
  <c r="K434" i="7"/>
  <c r="K454" i="7"/>
  <c r="K458" i="7"/>
  <c r="K396" i="7"/>
  <c r="J71" i="7"/>
  <c r="A758" i="2"/>
  <c r="A726" i="2"/>
  <c r="M523" i="7" l="1"/>
  <c r="M519" i="7"/>
  <c r="M515" i="7"/>
  <c r="M511" i="7"/>
  <c r="M594" i="7"/>
  <c r="M56" i="10"/>
  <c r="M85" i="10"/>
  <c r="M86" i="10" s="1"/>
  <c r="N629" i="10"/>
  <c r="N625" i="10"/>
  <c r="N621" i="10"/>
  <c r="N617" i="10"/>
  <c r="L317" i="7"/>
  <c r="L582" i="8"/>
  <c r="L594" i="8"/>
  <c r="L590" i="8"/>
  <c r="L586" i="8"/>
  <c r="L65" i="10"/>
  <c r="L68" i="10" s="1"/>
  <c r="L75" i="10" s="1"/>
  <c r="K179" i="10"/>
  <c r="K196" i="10" s="1"/>
  <c r="M180" i="10"/>
  <c r="M197" i="10" s="1"/>
  <c r="M141" i="10"/>
  <c r="M153" i="10" s="1"/>
  <c r="M249" i="10"/>
  <c r="M221" i="10"/>
  <c r="M59" i="10"/>
  <c r="O11" i="10"/>
  <c r="N645" i="10"/>
  <c r="N181" i="10" s="1"/>
  <c r="N198" i="10" s="1"/>
  <c r="N41" i="10"/>
  <c r="N183" i="10" s="1"/>
  <c r="N200" i="10" s="1"/>
  <c r="M730" i="10"/>
  <c r="M715" i="10" s="1"/>
  <c r="M67" i="10" s="1"/>
  <c r="M698" i="10"/>
  <c r="M683" i="10" s="1"/>
  <c r="M66" i="10" s="1"/>
  <c r="M368" i="10"/>
  <c r="M507" i="10"/>
  <c r="M511" i="10"/>
  <c r="M515" i="10"/>
  <c r="M535" i="10"/>
  <c r="M539" i="10"/>
  <c r="M559" i="10"/>
  <c r="M563" i="10"/>
  <c r="M567" i="10"/>
  <c r="M508" i="10"/>
  <c r="M512" i="10"/>
  <c r="M532" i="10"/>
  <c r="M536" i="10"/>
  <c r="M540" i="10"/>
  <c r="M560" i="10"/>
  <c r="M564" i="10"/>
  <c r="M502" i="10"/>
  <c r="M27" i="10"/>
  <c r="N741" i="10"/>
  <c r="N740" i="10"/>
  <c r="N739" i="10"/>
  <c r="N738" i="10"/>
  <c r="N737" i="10"/>
  <c r="N736" i="10"/>
  <c r="N734" i="10"/>
  <c r="N733" i="10"/>
  <c r="N729" i="10"/>
  <c r="N432" i="10" s="1"/>
  <c r="N728" i="10"/>
  <c r="N431" i="10" s="1"/>
  <c r="N727" i="10"/>
  <c r="N430" i="10" s="1"/>
  <c r="N726" i="10"/>
  <c r="N429" i="10" s="1"/>
  <c r="N725" i="10"/>
  <c r="N428" i="10" s="1"/>
  <c r="N724" i="10"/>
  <c r="N427" i="10" s="1"/>
  <c r="N723" i="10"/>
  <c r="N426" i="10" s="1"/>
  <c r="N722" i="10"/>
  <c r="N425" i="10" s="1"/>
  <c r="N721" i="10"/>
  <c r="N424" i="10" s="1"/>
  <c r="N720" i="10"/>
  <c r="N423" i="10" s="1"/>
  <c r="N709" i="10"/>
  <c r="N708" i="10"/>
  <c r="N707" i="10"/>
  <c r="N706" i="10"/>
  <c r="N705" i="10"/>
  <c r="N704" i="10"/>
  <c r="N703" i="10"/>
  <c r="N702" i="10"/>
  <c r="N701" i="10"/>
  <c r="N697" i="10"/>
  <c r="N406" i="10" s="1"/>
  <c r="N696" i="10"/>
  <c r="N405" i="10" s="1"/>
  <c r="N695" i="10"/>
  <c r="N404" i="10" s="1"/>
  <c r="N694" i="10"/>
  <c r="N403" i="10" s="1"/>
  <c r="N693" i="10"/>
  <c r="N402" i="10" s="1"/>
  <c r="N692" i="10"/>
  <c r="N401" i="10" s="1"/>
  <c r="N691" i="10"/>
  <c r="N400" i="10" s="1"/>
  <c r="N690" i="10"/>
  <c r="N399" i="10" s="1"/>
  <c r="N689" i="10"/>
  <c r="N398" i="10" s="1"/>
  <c r="N688" i="10"/>
  <c r="N397" i="10" s="1"/>
  <c r="N677" i="10"/>
  <c r="N676" i="10"/>
  <c r="N675" i="10"/>
  <c r="N674" i="10"/>
  <c r="N673" i="10"/>
  <c r="N672" i="10"/>
  <c r="N671" i="10"/>
  <c r="N670" i="10"/>
  <c r="N669" i="10"/>
  <c r="N665" i="10"/>
  <c r="N381" i="10" s="1"/>
  <c r="N664" i="10"/>
  <c r="N380" i="10" s="1"/>
  <c r="N663" i="10"/>
  <c r="N379" i="10" s="1"/>
  <c r="N662" i="10"/>
  <c r="N378" i="10" s="1"/>
  <c r="N661" i="10"/>
  <c r="N377" i="10" s="1"/>
  <c r="N660" i="10"/>
  <c r="N376" i="10" s="1"/>
  <c r="N659" i="10"/>
  <c r="N375" i="10" s="1"/>
  <c r="N658" i="10"/>
  <c r="N374" i="10" s="1"/>
  <c r="N657" i="10"/>
  <c r="N373" i="10" s="1"/>
  <c r="N656" i="10"/>
  <c r="N372" i="10" s="1"/>
  <c r="N590" i="10"/>
  <c r="N591" i="10" s="1"/>
  <c r="N584" i="10"/>
  <c r="N585" i="10" s="1"/>
  <c r="N501" i="10"/>
  <c r="N354" i="10"/>
  <c r="N353" i="10"/>
  <c r="N352" i="10"/>
  <c r="N351" i="10"/>
  <c r="N350" i="10"/>
  <c r="N349" i="10"/>
  <c r="N488" i="10"/>
  <c r="N487" i="10"/>
  <c r="N486" i="10"/>
  <c r="N485" i="10"/>
  <c r="N484" i="10"/>
  <c r="N483" i="10"/>
  <c r="N367" i="10"/>
  <c r="O2" i="10"/>
  <c r="O639" i="10" s="1"/>
  <c r="N30" i="10"/>
  <c r="N26" i="10"/>
  <c r="N25" i="10"/>
  <c r="N23" i="10"/>
  <c r="N19" i="10"/>
  <c r="M509" i="10"/>
  <c r="M513" i="10"/>
  <c r="M533" i="10"/>
  <c r="M537" i="10"/>
  <c r="M541" i="10"/>
  <c r="M561" i="10"/>
  <c r="M565" i="10"/>
  <c r="M506" i="10"/>
  <c r="M510" i="10"/>
  <c r="M514" i="10"/>
  <c r="M534" i="10"/>
  <c r="M538" i="10"/>
  <c r="M558" i="10"/>
  <c r="M562" i="10"/>
  <c r="M566" i="10"/>
  <c r="M666" i="10"/>
  <c r="M651" i="10" s="1"/>
  <c r="M11" i="8"/>
  <c r="K27" i="8"/>
  <c r="K657" i="8"/>
  <c r="K642" i="8" s="1"/>
  <c r="K61" i="8" s="1"/>
  <c r="K689" i="8"/>
  <c r="K674" i="8" s="1"/>
  <c r="K62" i="8" s="1"/>
  <c r="L700" i="8"/>
  <c r="L699" i="8"/>
  <c r="L698" i="8"/>
  <c r="L697" i="8"/>
  <c r="L696" i="8"/>
  <c r="L695" i="8"/>
  <c r="L693" i="8"/>
  <c r="L692" i="8"/>
  <c r="L688" i="8"/>
  <c r="L687" i="8"/>
  <c r="L396" i="8" s="1"/>
  <c r="L686" i="8"/>
  <c r="L395" i="8" s="1"/>
  <c r="L685" i="8"/>
  <c r="L394" i="8" s="1"/>
  <c r="L684" i="8"/>
  <c r="L393" i="8" s="1"/>
  <c r="L683" i="8"/>
  <c r="L392" i="8" s="1"/>
  <c r="L682" i="8"/>
  <c r="L391" i="8" s="1"/>
  <c r="L681" i="8"/>
  <c r="L390" i="8" s="1"/>
  <c r="L680" i="8"/>
  <c r="L389" i="8" s="1"/>
  <c r="L679" i="8"/>
  <c r="L388" i="8" s="1"/>
  <c r="L668" i="8"/>
  <c r="L667" i="8"/>
  <c r="L666" i="8"/>
  <c r="L665" i="8"/>
  <c r="L664" i="8"/>
  <c r="L663" i="8"/>
  <c r="L662" i="8"/>
  <c r="L661" i="8"/>
  <c r="L660" i="8"/>
  <c r="L656" i="8"/>
  <c r="L655" i="8"/>
  <c r="L370" i="8" s="1"/>
  <c r="L654" i="8"/>
  <c r="L369" i="8" s="1"/>
  <c r="L653" i="8"/>
  <c r="L368" i="8" s="1"/>
  <c r="L652" i="8"/>
  <c r="L367" i="8" s="1"/>
  <c r="L651" i="8"/>
  <c r="L366" i="8" s="1"/>
  <c r="L650" i="8"/>
  <c r="L365" i="8" s="1"/>
  <c r="L649" i="8"/>
  <c r="L364" i="8" s="1"/>
  <c r="L648" i="8"/>
  <c r="L363" i="8" s="1"/>
  <c r="L647" i="8"/>
  <c r="L362" i="8" s="1"/>
  <c r="L636" i="8"/>
  <c r="L635" i="8"/>
  <c r="L634" i="8"/>
  <c r="L633" i="8"/>
  <c r="L632" i="8"/>
  <c r="L631" i="8"/>
  <c r="L630" i="8"/>
  <c r="L629" i="8"/>
  <c r="L628" i="8"/>
  <c r="L624" i="8"/>
  <c r="L346" i="8" s="1"/>
  <c r="L623" i="8"/>
  <c r="L345" i="8" s="1"/>
  <c r="L622" i="8"/>
  <c r="L344" i="8" s="1"/>
  <c r="L621" i="8"/>
  <c r="L343" i="8" s="1"/>
  <c r="L620" i="8"/>
  <c r="L342" i="8" s="1"/>
  <c r="L619" i="8"/>
  <c r="L341" i="8" s="1"/>
  <c r="L618" i="8"/>
  <c r="L340" i="8" s="1"/>
  <c r="L617" i="8"/>
  <c r="L339" i="8" s="1"/>
  <c r="L616" i="8"/>
  <c r="L338" i="8" s="1"/>
  <c r="L615" i="8"/>
  <c r="L337" i="8" s="1"/>
  <c r="L555" i="8"/>
  <c r="L556" i="8" s="1"/>
  <c r="L549" i="8"/>
  <c r="L550" i="8" s="1"/>
  <c r="L604" i="8"/>
  <c r="L466" i="8"/>
  <c r="L397" i="8"/>
  <c r="L371" i="8"/>
  <c r="L453" i="8"/>
  <c r="L452" i="8"/>
  <c r="L451" i="8"/>
  <c r="L450" i="8"/>
  <c r="L449" i="8"/>
  <c r="L448" i="8"/>
  <c r="L332" i="8"/>
  <c r="L319" i="8"/>
  <c r="L318" i="8"/>
  <c r="L317" i="8"/>
  <c r="L316" i="8"/>
  <c r="L315" i="8"/>
  <c r="L314" i="8"/>
  <c r="M2" i="8"/>
  <c r="L30" i="8"/>
  <c r="L26" i="8"/>
  <c r="L25" i="8"/>
  <c r="L23" i="8"/>
  <c r="L19" i="8"/>
  <c r="K333" i="8"/>
  <c r="K473" i="8"/>
  <c r="K471" i="8"/>
  <c r="K474" i="8"/>
  <c r="K478" i="8"/>
  <c r="K498" i="8"/>
  <c r="K502" i="8"/>
  <c r="K506" i="8"/>
  <c r="K526" i="8"/>
  <c r="K530" i="8"/>
  <c r="K477" i="8"/>
  <c r="K497" i="8"/>
  <c r="K501" i="8"/>
  <c r="K505" i="8"/>
  <c r="K525" i="8"/>
  <c r="K529" i="8"/>
  <c r="K467" i="8"/>
  <c r="K625" i="8"/>
  <c r="K610" i="8" s="1"/>
  <c r="K60" i="8" s="1"/>
  <c r="K472" i="8"/>
  <c r="K476" i="8"/>
  <c r="K480" i="8"/>
  <c r="K500" i="8"/>
  <c r="K504" i="8"/>
  <c r="K524" i="8"/>
  <c r="K528" i="8"/>
  <c r="K532" i="8"/>
  <c r="K475" i="8"/>
  <c r="K479" i="8"/>
  <c r="K499" i="8"/>
  <c r="K503" i="8"/>
  <c r="K523" i="8"/>
  <c r="K527" i="8"/>
  <c r="K531" i="8"/>
  <c r="L621" i="7"/>
  <c r="L606" i="7" s="1"/>
  <c r="L68" i="7" s="1"/>
  <c r="L685" i="7"/>
  <c r="L670" i="7" s="1"/>
  <c r="L70" i="7" s="1"/>
  <c r="J63" i="8"/>
  <c r="L266" i="7"/>
  <c r="L400" i="7" s="1"/>
  <c r="L27" i="7"/>
  <c r="L653" i="7"/>
  <c r="L638" i="7" s="1"/>
  <c r="L69" i="7" s="1"/>
  <c r="M550" i="7"/>
  <c r="M543" i="7"/>
  <c r="M544" i="7" s="1"/>
  <c r="N11" i="7"/>
  <c r="K452" i="7"/>
  <c r="L405" i="7"/>
  <c r="L262" i="7"/>
  <c r="L403" i="7"/>
  <c r="L404" i="7"/>
  <c r="L408" i="7"/>
  <c r="L428" i="7"/>
  <c r="L432" i="7"/>
  <c r="L452" i="7"/>
  <c r="L456" i="7"/>
  <c r="L460" i="7"/>
  <c r="L429" i="7"/>
  <c r="L433" i="7"/>
  <c r="L453" i="7"/>
  <c r="L457" i="7"/>
  <c r="L461" i="7"/>
  <c r="K400" i="7"/>
  <c r="M696" i="7"/>
  <c r="M695" i="7"/>
  <c r="M694" i="7"/>
  <c r="M693" i="7"/>
  <c r="M692" i="7"/>
  <c r="M691" i="7"/>
  <c r="M688" i="7"/>
  <c r="M684" i="7"/>
  <c r="M326" i="7" s="1"/>
  <c r="M683" i="7"/>
  <c r="M325" i="7" s="1"/>
  <c r="M682" i="7"/>
  <c r="M324" i="7" s="1"/>
  <c r="M681" i="7"/>
  <c r="M323" i="7" s="1"/>
  <c r="M680" i="7"/>
  <c r="M322" i="7" s="1"/>
  <c r="M679" i="7"/>
  <c r="M321" i="7" s="1"/>
  <c r="M678" i="7"/>
  <c r="M320" i="7" s="1"/>
  <c r="M677" i="7"/>
  <c r="M319" i="7" s="1"/>
  <c r="M689" i="7"/>
  <c r="M676" i="7"/>
  <c r="M318" i="7" s="1"/>
  <c r="M652" i="7"/>
  <c r="M300" i="7" s="1"/>
  <c r="M651" i="7"/>
  <c r="M299" i="7" s="1"/>
  <c r="M650" i="7"/>
  <c r="M298" i="7" s="1"/>
  <c r="M649" i="7"/>
  <c r="M297" i="7" s="1"/>
  <c r="M648" i="7"/>
  <c r="M296" i="7" s="1"/>
  <c r="M647" i="7"/>
  <c r="M295" i="7" s="1"/>
  <c r="M646" i="7"/>
  <c r="M294" i="7" s="1"/>
  <c r="M675" i="7"/>
  <c r="M664" i="7"/>
  <c r="M663" i="7"/>
  <c r="M662" i="7"/>
  <c r="M661" i="7"/>
  <c r="M660" i="7"/>
  <c r="M659" i="7"/>
  <c r="M658" i="7"/>
  <c r="M657" i="7"/>
  <c r="M656" i="7"/>
  <c r="M620" i="7"/>
  <c r="M275" i="7" s="1"/>
  <c r="M619" i="7"/>
  <c r="M274" i="7" s="1"/>
  <c r="M618" i="7"/>
  <c r="M273" i="7" s="1"/>
  <c r="M617" i="7"/>
  <c r="M272" i="7" s="1"/>
  <c r="M616" i="7"/>
  <c r="M271" i="7" s="1"/>
  <c r="M615" i="7"/>
  <c r="M270" i="7" s="1"/>
  <c r="M645" i="7"/>
  <c r="M293" i="7" s="1"/>
  <c r="M644" i="7"/>
  <c r="M292" i="7" s="1"/>
  <c r="M643" i="7"/>
  <c r="M291" i="7" s="1"/>
  <c r="M632" i="7"/>
  <c r="M631" i="7"/>
  <c r="M630" i="7"/>
  <c r="M629" i="7"/>
  <c r="M628" i="7"/>
  <c r="M627" i="7"/>
  <c r="M626" i="7"/>
  <c r="M625" i="7"/>
  <c r="M624" i="7"/>
  <c r="M614" i="7"/>
  <c r="M269" i="7" s="1"/>
  <c r="M613" i="7"/>
  <c r="M268" i="7" s="1"/>
  <c r="M612" i="7"/>
  <c r="M267" i="7" s="1"/>
  <c r="M611" i="7"/>
  <c r="M266" i="7" s="1"/>
  <c r="M484" i="7"/>
  <c r="M485" i="7" s="1"/>
  <c r="M478" i="7"/>
  <c r="M479" i="7" s="1"/>
  <c r="M382" i="7"/>
  <c r="M381" i="7"/>
  <c r="M380" i="7"/>
  <c r="M379" i="7"/>
  <c r="M378" i="7"/>
  <c r="M377" i="7"/>
  <c r="M395" i="7"/>
  <c r="M261" i="7"/>
  <c r="M248" i="7"/>
  <c r="M247" i="7"/>
  <c r="M246" i="7"/>
  <c r="M245" i="7"/>
  <c r="M244" i="7"/>
  <c r="M243" i="7"/>
  <c r="M30" i="7"/>
  <c r="M26" i="7"/>
  <c r="M25" i="7"/>
  <c r="M23" i="7"/>
  <c r="M19" i="7"/>
  <c r="N2" i="7"/>
  <c r="N600" i="7" s="1"/>
  <c r="L401" i="7"/>
  <c r="L409" i="7"/>
  <c r="L407" i="7"/>
  <c r="L402" i="7"/>
  <c r="L406" i="7"/>
  <c r="L426" i="7"/>
  <c r="L430" i="7"/>
  <c r="L434" i="7"/>
  <c r="L454" i="7"/>
  <c r="L458" i="7"/>
  <c r="L396" i="7"/>
  <c r="L427" i="7"/>
  <c r="L431" i="7"/>
  <c r="L435" i="7"/>
  <c r="L455" i="7"/>
  <c r="L459" i="7"/>
  <c r="K71" i="7"/>
  <c r="M317" i="7" l="1"/>
  <c r="M452" i="7" s="1"/>
  <c r="N523" i="7"/>
  <c r="N519" i="7"/>
  <c r="N515" i="7"/>
  <c r="N511" i="7"/>
  <c r="K63" i="8"/>
  <c r="N56" i="10"/>
  <c r="N85" i="10"/>
  <c r="N86" i="10" s="1"/>
  <c r="O629" i="10"/>
  <c r="O625" i="10"/>
  <c r="O621" i="10"/>
  <c r="O617" i="10"/>
  <c r="M594" i="8"/>
  <c r="M590" i="8"/>
  <c r="M586" i="8"/>
  <c r="M582" i="8"/>
  <c r="M65" i="10"/>
  <c r="M68" i="10" s="1"/>
  <c r="M75" i="10" s="1"/>
  <c r="L179" i="10"/>
  <c r="L196" i="10" s="1"/>
  <c r="N180" i="10"/>
  <c r="N197" i="10" s="1"/>
  <c r="N141" i="10"/>
  <c r="N153" i="10" s="1"/>
  <c r="N249" i="10"/>
  <c r="N221" i="10"/>
  <c r="N59" i="10"/>
  <c r="P11" i="10"/>
  <c r="O645" i="10"/>
  <c r="O181" i="10" s="1"/>
  <c r="O198" i="10" s="1"/>
  <c r="O41" i="10"/>
  <c r="O183" i="10" s="1"/>
  <c r="O200" i="10" s="1"/>
  <c r="N666" i="10"/>
  <c r="N651" i="10" s="1"/>
  <c r="N508" i="10"/>
  <c r="N512" i="10"/>
  <c r="N532" i="10"/>
  <c r="N536" i="10"/>
  <c r="N540" i="10"/>
  <c r="N560" i="10"/>
  <c r="N564" i="10"/>
  <c r="N502" i="10"/>
  <c r="N368" i="10"/>
  <c r="N507" i="10"/>
  <c r="N511" i="10"/>
  <c r="N515" i="10"/>
  <c r="N535" i="10"/>
  <c r="N539" i="10"/>
  <c r="N559" i="10"/>
  <c r="N563" i="10"/>
  <c r="N567" i="10"/>
  <c r="O741" i="10"/>
  <c r="O740" i="10"/>
  <c r="O739" i="10"/>
  <c r="O738" i="10"/>
  <c r="O737" i="10"/>
  <c r="O735" i="10"/>
  <c r="O734" i="10"/>
  <c r="O729" i="10"/>
  <c r="O432" i="10" s="1"/>
  <c r="O728" i="10"/>
  <c r="O431" i="10" s="1"/>
  <c r="O727" i="10"/>
  <c r="O430" i="10" s="1"/>
  <c r="O726" i="10"/>
  <c r="O429" i="10" s="1"/>
  <c r="O725" i="10"/>
  <c r="O428" i="10" s="1"/>
  <c r="O724" i="10"/>
  <c r="O427" i="10" s="1"/>
  <c r="O723" i="10"/>
  <c r="O426" i="10" s="1"/>
  <c r="O722" i="10"/>
  <c r="O425" i="10" s="1"/>
  <c r="O721" i="10"/>
  <c r="O424" i="10" s="1"/>
  <c r="O733" i="10"/>
  <c r="O697" i="10"/>
  <c r="O406" i="10" s="1"/>
  <c r="O696" i="10"/>
  <c r="O405" i="10" s="1"/>
  <c r="O695" i="10"/>
  <c r="O404" i="10" s="1"/>
  <c r="O694" i="10"/>
  <c r="O403" i="10" s="1"/>
  <c r="O693" i="10"/>
  <c r="O402" i="10" s="1"/>
  <c r="O692" i="10"/>
  <c r="O401" i="10" s="1"/>
  <c r="O691" i="10"/>
  <c r="O400" i="10" s="1"/>
  <c r="O690" i="10"/>
  <c r="O399" i="10" s="1"/>
  <c r="O720" i="10"/>
  <c r="O423" i="10" s="1"/>
  <c r="O709" i="10"/>
  <c r="O708" i="10"/>
  <c r="O707" i="10"/>
  <c r="O706" i="10"/>
  <c r="O705" i="10"/>
  <c r="O704" i="10"/>
  <c r="O703" i="10"/>
  <c r="O702" i="10"/>
  <c r="O701" i="10"/>
  <c r="O665" i="10"/>
  <c r="O381" i="10" s="1"/>
  <c r="O664" i="10"/>
  <c r="O380" i="10" s="1"/>
  <c r="O663" i="10"/>
  <c r="O379" i="10" s="1"/>
  <c r="O662" i="10"/>
  <c r="O378" i="10" s="1"/>
  <c r="O661" i="10"/>
  <c r="O377" i="10" s="1"/>
  <c r="O660" i="10"/>
  <c r="O376" i="10" s="1"/>
  <c r="O689" i="10"/>
  <c r="O398" i="10" s="1"/>
  <c r="O688" i="10"/>
  <c r="O397" i="10" s="1"/>
  <c r="O677" i="10"/>
  <c r="O676" i="10"/>
  <c r="O675" i="10"/>
  <c r="O674" i="10"/>
  <c r="O673" i="10"/>
  <c r="O672" i="10"/>
  <c r="O671" i="10"/>
  <c r="O670" i="10"/>
  <c r="O668" i="10"/>
  <c r="O659" i="10"/>
  <c r="O375" i="10" s="1"/>
  <c r="O657" i="10"/>
  <c r="O373" i="10" s="1"/>
  <c r="O656" i="10"/>
  <c r="O372" i="10" s="1"/>
  <c r="O590" i="10"/>
  <c r="O591" i="10" s="1"/>
  <c r="O584" i="10"/>
  <c r="O585" i="10" s="1"/>
  <c r="O658" i="10"/>
  <c r="O374" i="10" s="1"/>
  <c r="O488" i="10"/>
  <c r="O487" i="10"/>
  <c r="O486" i="10"/>
  <c r="O485" i="10"/>
  <c r="O484" i="10"/>
  <c r="O483" i="10"/>
  <c r="O367" i="10"/>
  <c r="O501" i="10"/>
  <c r="O354" i="10"/>
  <c r="O353" i="10"/>
  <c r="O352" i="10"/>
  <c r="O351" i="10"/>
  <c r="O350" i="10"/>
  <c r="O349" i="10"/>
  <c r="O30" i="10"/>
  <c r="O26" i="10"/>
  <c r="O25" i="10"/>
  <c r="O23" i="10"/>
  <c r="O19" i="10"/>
  <c r="P2" i="10"/>
  <c r="P639" i="10" s="1"/>
  <c r="N506" i="10"/>
  <c r="N510" i="10"/>
  <c r="N514" i="10"/>
  <c r="N534" i="10"/>
  <c r="N538" i="10"/>
  <c r="N558" i="10"/>
  <c r="N562" i="10"/>
  <c r="N566" i="10"/>
  <c r="N509" i="10"/>
  <c r="N513" i="10"/>
  <c r="N533" i="10"/>
  <c r="N537" i="10"/>
  <c r="N541" i="10"/>
  <c r="N561" i="10"/>
  <c r="N565" i="10"/>
  <c r="N27" i="10"/>
  <c r="N698" i="10"/>
  <c r="N683" i="10" s="1"/>
  <c r="N66" i="10" s="1"/>
  <c r="N730" i="10"/>
  <c r="N715" i="10" s="1"/>
  <c r="N67" i="10" s="1"/>
  <c r="N11" i="8"/>
  <c r="L71" i="7"/>
  <c r="L27" i="8"/>
  <c r="L472" i="8"/>
  <c r="L473" i="8"/>
  <c r="L477" i="8"/>
  <c r="L497" i="8"/>
  <c r="L501" i="8"/>
  <c r="L505" i="8"/>
  <c r="L525" i="8"/>
  <c r="L529" i="8"/>
  <c r="L467" i="8"/>
  <c r="L476" i="8"/>
  <c r="L480" i="8"/>
  <c r="L500" i="8"/>
  <c r="L504" i="8"/>
  <c r="L524" i="8"/>
  <c r="L528" i="8"/>
  <c r="L532" i="8"/>
  <c r="L625" i="8"/>
  <c r="L610" i="8" s="1"/>
  <c r="L60" i="8" s="1"/>
  <c r="L657" i="8"/>
  <c r="L642" i="8" s="1"/>
  <c r="L61" i="8" s="1"/>
  <c r="L689" i="8"/>
  <c r="L674" i="8" s="1"/>
  <c r="L62" i="8" s="1"/>
  <c r="M700" i="8"/>
  <c r="M699" i="8"/>
  <c r="M698" i="8"/>
  <c r="M697" i="8"/>
  <c r="M696" i="8"/>
  <c r="M695" i="8"/>
  <c r="M693" i="8"/>
  <c r="M692" i="8"/>
  <c r="M688" i="8"/>
  <c r="M397" i="8" s="1"/>
  <c r="M687" i="8"/>
  <c r="M686" i="8"/>
  <c r="M395" i="8" s="1"/>
  <c r="M685" i="8"/>
  <c r="M394" i="8" s="1"/>
  <c r="M684" i="8"/>
  <c r="M683" i="8"/>
  <c r="M392" i="8" s="1"/>
  <c r="M682" i="8"/>
  <c r="M391" i="8" s="1"/>
  <c r="M681" i="8"/>
  <c r="M390" i="8" s="1"/>
  <c r="M680" i="8"/>
  <c r="M389" i="8" s="1"/>
  <c r="M679" i="8"/>
  <c r="M388" i="8" s="1"/>
  <c r="M668" i="8"/>
  <c r="M666" i="8"/>
  <c r="M664" i="8"/>
  <c r="M662" i="8"/>
  <c r="M656" i="8"/>
  <c r="M371" i="8" s="1"/>
  <c r="M655" i="8"/>
  <c r="M370" i="8" s="1"/>
  <c r="M654" i="8"/>
  <c r="M369" i="8" s="1"/>
  <c r="M653" i="8"/>
  <c r="M368" i="8" s="1"/>
  <c r="M652" i="8"/>
  <c r="M367" i="8" s="1"/>
  <c r="M651" i="8"/>
  <c r="M366" i="8" s="1"/>
  <c r="M650" i="8"/>
  <c r="M365" i="8" s="1"/>
  <c r="M649" i="8"/>
  <c r="M364" i="8" s="1"/>
  <c r="M648" i="8"/>
  <c r="M363" i="8" s="1"/>
  <c r="M647" i="8"/>
  <c r="M362" i="8" s="1"/>
  <c r="M667" i="8"/>
  <c r="M665" i="8"/>
  <c r="M663" i="8"/>
  <c r="M661" i="8"/>
  <c r="M660" i="8"/>
  <c r="M624" i="8"/>
  <c r="M346" i="8" s="1"/>
  <c r="M623" i="8"/>
  <c r="M622" i="8"/>
  <c r="M344" i="8" s="1"/>
  <c r="M621" i="8"/>
  <c r="M343" i="8" s="1"/>
  <c r="M620" i="8"/>
  <c r="M342" i="8" s="1"/>
  <c r="M619" i="8"/>
  <c r="M341" i="8" s="1"/>
  <c r="M618" i="8"/>
  <c r="M340" i="8" s="1"/>
  <c r="M617" i="8"/>
  <c r="M339" i="8" s="1"/>
  <c r="M616" i="8"/>
  <c r="M338" i="8" s="1"/>
  <c r="M615" i="8"/>
  <c r="M337" i="8" s="1"/>
  <c r="M636" i="8"/>
  <c r="M635" i="8"/>
  <c r="M634" i="8"/>
  <c r="M633" i="8"/>
  <c r="M632" i="8"/>
  <c r="M631" i="8"/>
  <c r="M630" i="8"/>
  <c r="M629" i="8"/>
  <c r="M628" i="8"/>
  <c r="M604" i="8"/>
  <c r="M555" i="8"/>
  <c r="M556" i="8" s="1"/>
  <c r="M549" i="8"/>
  <c r="M550" i="8" s="1"/>
  <c r="M453" i="8"/>
  <c r="M452" i="8"/>
  <c r="M451" i="8"/>
  <c r="M450" i="8"/>
  <c r="M449" i="8"/>
  <c r="M448" i="8"/>
  <c r="M396" i="8"/>
  <c r="M345" i="8"/>
  <c r="M466" i="8"/>
  <c r="M393" i="8"/>
  <c r="M332" i="8"/>
  <c r="M319" i="8"/>
  <c r="M318" i="8"/>
  <c r="M317" i="8"/>
  <c r="M316" i="8"/>
  <c r="M315" i="8"/>
  <c r="M314" i="8"/>
  <c r="M30" i="8"/>
  <c r="M26" i="8"/>
  <c r="M25" i="8"/>
  <c r="M23" i="8"/>
  <c r="M19" i="8"/>
  <c r="N2" i="8"/>
  <c r="L333" i="8"/>
  <c r="L474" i="8"/>
  <c r="L471" i="8"/>
  <c r="L475" i="8"/>
  <c r="L479" i="8"/>
  <c r="L499" i="8"/>
  <c r="L503" i="8"/>
  <c r="L523" i="8"/>
  <c r="L527" i="8"/>
  <c r="L531" i="8"/>
  <c r="L478" i="8"/>
  <c r="L498" i="8"/>
  <c r="L502" i="8"/>
  <c r="L506" i="8"/>
  <c r="L526" i="8"/>
  <c r="L530" i="8"/>
  <c r="M685" i="7"/>
  <c r="M670" i="7" s="1"/>
  <c r="M70" i="7" s="1"/>
  <c r="O11" i="7"/>
  <c r="N550" i="7"/>
  <c r="N543" i="7"/>
  <c r="N544" i="7" s="1"/>
  <c r="M27" i="7"/>
  <c r="M401" i="7"/>
  <c r="M430" i="7"/>
  <c r="M434" i="7"/>
  <c r="M453" i="7"/>
  <c r="M408" i="7"/>
  <c r="M457" i="7"/>
  <c r="M461" i="7"/>
  <c r="M404" i="7"/>
  <c r="M406" i="7"/>
  <c r="M403" i="7"/>
  <c r="M407" i="7"/>
  <c r="M427" i="7"/>
  <c r="M431" i="7"/>
  <c r="M435" i="7"/>
  <c r="M455" i="7"/>
  <c r="M459" i="7"/>
  <c r="M428" i="7"/>
  <c r="M432" i="7"/>
  <c r="M456" i="7"/>
  <c r="M460" i="7"/>
  <c r="N696" i="7"/>
  <c r="N695" i="7"/>
  <c r="N694" i="7"/>
  <c r="N693" i="7"/>
  <c r="N692" i="7"/>
  <c r="N691" i="7"/>
  <c r="N689" i="7"/>
  <c r="N688" i="7"/>
  <c r="N684" i="7"/>
  <c r="N326" i="7" s="1"/>
  <c r="N683" i="7"/>
  <c r="N682" i="7"/>
  <c r="N681" i="7"/>
  <c r="N323" i="7" s="1"/>
  <c r="N680" i="7"/>
  <c r="N322" i="7" s="1"/>
  <c r="N679" i="7"/>
  <c r="N321" i="7" s="1"/>
  <c r="N678" i="7"/>
  <c r="N320" i="7" s="1"/>
  <c r="N677" i="7"/>
  <c r="N319" i="7" s="1"/>
  <c r="N676" i="7"/>
  <c r="N318" i="7" s="1"/>
  <c r="N675" i="7"/>
  <c r="N317" i="7" s="1"/>
  <c r="N664" i="7"/>
  <c r="N663" i="7"/>
  <c r="N662" i="7"/>
  <c r="N661" i="7"/>
  <c r="N660" i="7"/>
  <c r="N659" i="7"/>
  <c r="N658" i="7"/>
  <c r="N657" i="7"/>
  <c r="N656" i="7"/>
  <c r="N652" i="7"/>
  <c r="N300" i="7" s="1"/>
  <c r="N651" i="7"/>
  <c r="N299" i="7" s="1"/>
  <c r="N650" i="7"/>
  <c r="N298" i="7" s="1"/>
  <c r="N649" i="7"/>
  <c r="N297" i="7" s="1"/>
  <c r="N648" i="7"/>
  <c r="N296" i="7" s="1"/>
  <c r="N647" i="7"/>
  <c r="N295" i="7" s="1"/>
  <c r="N646" i="7"/>
  <c r="N294" i="7" s="1"/>
  <c r="N645" i="7"/>
  <c r="N293" i="7" s="1"/>
  <c r="N644" i="7"/>
  <c r="N292" i="7" s="1"/>
  <c r="N643" i="7"/>
  <c r="N291" i="7" s="1"/>
  <c r="N632" i="7"/>
  <c r="N631" i="7"/>
  <c r="N630" i="7"/>
  <c r="N629" i="7"/>
  <c r="N628" i="7"/>
  <c r="N627" i="7"/>
  <c r="N626" i="7"/>
  <c r="N625" i="7"/>
  <c r="N624" i="7"/>
  <c r="N620" i="7"/>
  <c r="N619" i="7"/>
  <c r="N274" i="7" s="1"/>
  <c r="N618" i="7"/>
  <c r="N273" i="7" s="1"/>
  <c r="N617" i="7"/>
  <c r="N272" i="7" s="1"/>
  <c r="N616" i="7"/>
  <c r="N271" i="7" s="1"/>
  <c r="N615" i="7"/>
  <c r="N270" i="7" s="1"/>
  <c r="N614" i="7"/>
  <c r="N269" i="7" s="1"/>
  <c r="N613" i="7"/>
  <c r="N268" i="7" s="1"/>
  <c r="N612" i="7"/>
  <c r="N267" i="7" s="1"/>
  <c r="N611" i="7"/>
  <c r="N266" i="7" s="1"/>
  <c r="N484" i="7"/>
  <c r="N485" i="7" s="1"/>
  <c r="N478" i="7"/>
  <c r="N479" i="7" s="1"/>
  <c r="N395" i="7"/>
  <c r="N324" i="7"/>
  <c r="N382" i="7"/>
  <c r="N381" i="7"/>
  <c r="N380" i="7"/>
  <c r="N379" i="7"/>
  <c r="N378" i="7"/>
  <c r="N377" i="7"/>
  <c r="N325" i="7"/>
  <c r="N275" i="7"/>
  <c r="N248" i="7"/>
  <c r="N247" i="7"/>
  <c r="N246" i="7"/>
  <c r="N245" i="7"/>
  <c r="N244" i="7"/>
  <c r="N243" i="7"/>
  <c r="N261" i="7"/>
  <c r="N30" i="7"/>
  <c r="N26" i="7"/>
  <c r="N25" i="7"/>
  <c r="N23" i="7"/>
  <c r="N19" i="7"/>
  <c r="O2" i="7"/>
  <c r="O600" i="7" s="1"/>
  <c r="M262" i="7"/>
  <c r="M400" i="7"/>
  <c r="M402" i="7"/>
  <c r="M405" i="7"/>
  <c r="M409" i="7"/>
  <c r="M429" i="7"/>
  <c r="M433" i="7"/>
  <c r="M426" i="7"/>
  <c r="M454" i="7"/>
  <c r="M458" i="7"/>
  <c r="M396" i="7"/>
  <c r="M621" i="7"/>
  <c r="M606" i="7" s="1"/>
  <c r="M68" i="7" s="1"/>
  <c r="M653" i="7"/>
  <c r="M638" i="7" s="1"/>
  <c r="M69" i="7" s="1"/>
  <c r="B16" i="1"/>
  <c r="B7" i="1"/>
  <c r="B10" i="1" s="1"/>
  <c r="P420" i="2"/>
  <c r="P421" i="2"/>
  <c r="P422" i="2"/>
  <c r="P423" i="2"/>
  <c r="P286" i="2"/>
  <c r="P287" i="2"/>
  <c r="P288" i="2"/>
  <c r="P289" i="2"/>
  <c r="O523" i="7" l="1"/>
  <c r="O519" i="7"/>
  <c r="O515" i="7"/>
  <c r="O511" i="7"/>
  <c r="O56" i="10"/>
  <c r="O85" i="10"/>
  <c r="O86" i="10" s="1"/>
  <c r="P629" i="10"/>
  <c r="P625" i="10"/>
  <c r="P621" i="10"/>
  <c r="P617" i="10"/>
  <c r="N582" i="8"/>
  <c r="N594" i="8"/>
  <c r="N590" i="8"/>
  <c r="N586" i="8"/>
  <c r="N65" i="10"/>
  <c r="N68" i="10" s="1"/>
  <c r="N75" i="10" s="1"/>
  <c r="M179" i="10"/>
  <c r="M196" i="10" s="1"/>
  <c r="O180" i="10"/>
  <c r="O197" i="10" s="1"/>
  <c r="O141" i="10"/>
  <c r="O153" i="10" s="1"/>
  <c r="O249" i="10"/>
  <c r="O221" i="10"/>
  <c r="O59" i="10"/>
  <c r="Q11" i="10"/>
  <c r="P645" i="10"/>
  <c r="P181" i="10" s="1"/>
  <c r="P198" i="10" s="1"/>
  <c r="P41" i="10"/>
  <c r="P183" i="10" s="1"/>
  <c r="P200" i="10" s="1"/>
  <c r="O27" i="10"/>
  <c r="O666" i="10"/>
  <c r="O651" i="10" s="1"/>
  <c r="O509" i="10"/>
  <c r="O513" i="10"/>
  <c r="O533" i="10"/>
  <c r="O537" i="10"/>
  <c r="O541" i="10"/>
  <c r="O561" i="10"/>
  <c r="O565" i="10"/>
  <c r="O506" i="10"/>
  <c r="O510" i="10"/>
  <c r="O514" i="10"/>
  <c r="O534" i="10"/>
  <c r="O538" i="10"/>
  <c r="O558" i="10"/>
  <c r="O562" i="10"/>
  <c r="O566" i="10"/>
  <c r="O698" i="10"/>
  <c r="O683" i="10" s="1"/>
  <c r="O66" i="10" s="1"/>
  <c r="O730" i="10"/>
  <c r="O715" i="10" s="1"/>
  <c r="O67" i="10" s="1"/>
  <c r="P741" i="10"/>
  <c r="P740" i="10"/>
  <c r="P739" i="10"/>
  <c r="P738" i="10"/>
  <c r="P737" i="10"/>
  <c r="P735" i="10"/>
  <c r="P734" i="10"/>
  <c r="P733" i="10"/>
  <c r="P729" i="10"/>
  <c r="P728" i="10"/>
  <c r="P431" i="10" s="1"/>
  <c r="P727" i="10"/>
  <c r="P430" i="10" s="1"/>
  <c r="P726" i="10"/>
  <c r="P429" i="10" s="1"/>
  <c r="P725" i="10"/>
  <c r="P428" i="10" s="1"/>
  <c r="P724" i="10"/>
  <c r="P427" i="10" s="1"/>
  <c r="P723" i="10"/>
  <c r="P426" i="10" s="1"/>
  <c r="P722" i="10"/>
  <c r="P425" i="10" s="1"/>
  <c r="P721" i="10"/>
  <c r="P424" i="10" s="1"/>
  <c r="P720" i="10"/>
  <c r="P423" i="10" s="1"/>
  <c r="P709" i="10"/>
  <c r="P708" i="10"/>
  <c r="P707" i="10"/>
  <c r="P706" i="10"/>
  <c r="P705" i="10"/>
  <c r="P704" i="10"/>
  <c r="P703" i="10"/>
  <c r="P702" i="10"/>
  <c r="P701" i="10"/>
  <c r="P697" i="10"/>
  <c r="P406" i="10" s="1"/>
  <c r="P696" i="10"/>
  <c r="P405" i="10" s="1"/>
  <c r="P695" i="10"/>
  <c r="P404" i="10" s="1"/>
  <c r="P694" i="10"/>
  <c r="P403" i="10" s="1"/>
  <c r="P693" i="10"/>
  <c r="P402" i="10" s="1"/>
  <c r="P692" i="10"/>
  <c r="P401" i="10" s="1"/>
  <c r="P691" i="10"/>
  <c r="P400" i="10" s="1"/>
  <c r="P690" i="10"/>
  <c r="P399" i="10" s="1"/>
  <c r="P689" i="10"/>
  <c r="P398" i="10" s="1"/>
  <c r="P688" i="10"/>
  <c r="P397" i="10" s="1"/>
  <c r="P677" i="10"/>
  <c r="P676" i="10"/>
  <c r="P675" i="10"/>
  <c r="P674" i="10"/>
  <c r="P673" i="10"/>
  <c r="P672" i="10"/>
  <c r="P671" i="10"/>
  <c r="P670" i="10"/>
  <c r="P668" i="10"/>
  <c r="P665" i="10"/>
  <c r="P381" i="10" s="1"/>
  <c r="P664" i="10"/>
  <c r="P380" i="10" s="1"/>
  <c r="P663" i="10"/>
  <c r="P379" i="10" s="1"/>
  <c r="P662" i="10"/>
  <c r="P378" i="10" s="1"/>
  <c r="P661" i="10"/>
  <c r="P377" i="10" s="1"/>
  <c r="P660" i="10"/>
  <c r="P376" i="10" s="1"/>
  <c r="P659" i="10"/>
  <c r="P375" i="10" s="1"/>
  <c r="P658" i="10"/>
  <c r="P374" i="10" s="1"/>
  <c r="P657" i="10"/>
  <c r="P373" i="10" s="1"/>
  <c r="P656" i="10"/>
  <c r="P372" i="10" s="1"/>
  <c r="P590" i="10"/>
  <c r="P591" i="10" s="1"/>
  <c r="P584" i="10"/>
  <c r="P585" i="10" s="1"/>
  <c r="P501" i="10"/>
  <c r="P432" i="10"/>
  <c r="P354" i="10"/>
  <c r="P353" i="10"/>
  <c r="P352" i="10"/>
  <c r="P351" i="10"/>
  <c r="P350" i="10"/>
  <c r="P349" i="10"/>
  <c r="P488" i="10"/>
  <c r="P487" i="10"/>
  <c r="P486" i="10"/>
  <c r="P485" i="10"/>
  <c r="P484" i="10"/>
  <c r="P483" i="10"/>
  <c r="P367" i="10"/>
  <c r="P30" i="10"/>
  <c r="P26" i="10"/>
  <c r="P25" i="10"/>
  <c r="P23" i="10"/>
  <c r="P19" i="10"/>
  <c r="Q2" i="10"/>
  <c r="Q639" i="10" s="1"/>
  <c r="O368" i="10"/>
  <c r="O507" i="10"/>
  <c r="O511" i="10"/>
  <c r="O515" i="10"/>
  <c r="O535" i="10"/>
  <c r="O539" i="10"/>
  <c r="O559" i="10"/>
  <c r="O563" i="10"/>
  <c r="O567" i="10"/>
  <c r="O508" i="10"/>
  <c r="O512" i="10"/>
  <c r="O532" i="10"/>
  <c r="O536" i="10"/>
  <c r="O540" i="10"/>
  <c r="O560" i="10"/>
  <c r="O564" i="10"/>
  <c r="O502" i="10"/>
  <c r="O11" i="8"/>
  <c r="M689" i="8"/>
  <c r="M674" i="8" s="1"/>
  <c r="M62" i="8" s="1"/>
  <c r="N700" i="8"/>
  <c r="N699" i="8"/>
  <c r="N698" i="8"/>
  <c r="N697" i="8"/>
  <c r="N696" i="8"/>
  <c r="N695" i="8"/>
  <c r="N693" i="8"/>
  <c r="N692" i="8"/>
  <c r="N688" i="8"/>
  <c r="N687" i="8"/>
  <c r="N396" i="8" s="1"/>
  <c r="N686" i="8"/>
  <c r="N395" i="8" s="1"/>
  <c r="N685" i="8"/>
  <c r="N394" i="8" s="1"/>
  <c r="N684" i="8"/>
  <c r="N393" i="8" s="1"/>
  <c r="N683" i="8"/>
  <c r="N392" i="8" s="1"/>
  <c r="N682" i="8"/>
  <c r="N391" i="8" s="1"/>
  <c r="N681" i="8"/>
  <c r="N680" i="8"/>
  <c r="N389" i="8" s="1"/>
  <c r="N679" i="8"/>
  <c r="N388" i="8" s="1"/>
  <c r="N668" i="8"/>
  <c r="N667" i="8"/>
  <c r="N666" i="8"/>
  <c r="N665" i="8"/>
  <c r="N664" i="8"/>
  <c r="N663" i="8"/>
  <c r="N662" i="8"/>
  <c r="N661" i="8"/>
  <c r="N660" i="8"/>
  <c r="N656" i="8"/>
  <c r="N371" i="8" s="1"/>
  <c r="N655" i="8"/>
  <c r="N370" i="8" s="1"/>
  <c r="N654" i="8"/>
  <c r="N369" i="8" s="1"/>
  <c r="N653" i="8"/>
  <c r="N368" i="8" s="1"/>
  <c r="N652" i="8"/>
  <c r="N367" i="8" s="1"/>
  <c r="N651" i="8"/>
  <c r="N366" i="8" s="1"/>
  <c r="N650" i="8"/>
  <c r="N365" i="8" s="1"/>
  <c r="N649" i="8"/>
  <c r="N648" i="8"/>
  <c r="N363" i="8" s="1"/>
  <c r="N647" i="8"/>
  <c r="N362" i="8" s="1"/>
  <c r="N636" i="8"/>
  <c r="N635" i="8"/>
  <c r="N634" i="8"/>
  <c r="N633" i="8"/>
  <c r="N632" i="8"/>
  <c r="N631" i="8"/>
  <c r="N630" i="8"/>
  <c r="N629" i="8"/>
  <c r="N628" i="8"/>
  <c r="N624" i="8"/>
  <c r="N346" i="8" s="1"/>
  <c r="N623" i="8"/>
  <c r="N345" i="8" s="1"/>
  <c r="N622" i="8"/>
  <c r="N344" i="8" s="1"/>
  <c r="N621" i="8"/>
  <c r="N620" i="8"/>
  <c r="N342" i="8" s="1"/>
  <c r="N619" i="8"/>
  <c r="N341" i="8" s="1"/>
  <c r="N618" i="8"/>
  <c r="N340" i="8" s="1"/>
  <c r="N617" i="8"/>
  <c r="N339" i="8" s="1"/>
  <c r="N616" i="8"/>
  <c r="N338" i="8" s="1"/>
  <c r="N615" i="8"/>
  <c r="N337" i="8" s="1"/>
  <c r="N555" i="8"/>
  <c r="N556" i="8" s="1"/>
  <c r="N549" i="8"/>
  <c r="N550" i="8" s="1"/>
  <c r="N604" i="8"/>
  <c r="N466" i="8"/>
  <c r="N397" i="8"/>
  <c r="N453" i="8"/>
  <c r="N452" i="8"/>
  <c r="N451" i="8"/>
  <c r="N450" i="8"/>
  <c r="N449" i="8"/>
  <c r="N448" i="8"/>
  <c r="N390" i="8"/>
  <c r="N364" i="8"/>
  <c r="N343" i="8"/>
  <c r="N332" i="8"/>
  <c r="N319" i="8"/>
  <c r="N318" i="8"/>
  <c r="N317" i="8"/>
  <c r="N316" i="8"/>
  <c r="N315" i="8"/>
  <c r="N314" i="8"/>
  <c r="O2" i="8"/>
  <c r="N30" i="8"/>
  <c r="N26" i="8"/>
  <c r="N25" i="8"/>
  <c r="N23" i="8"/>
  <c r="N19" i="8"/>
  <c r="M333" i="8"/>
  <c r="M473" i="8"/>
  <c r="M474" i="8"/>
  <c r="M478" i="8"/>
  <c r="M498" i="8"/>
  <c r="M502" i="8"/>
  <c r="M506" i="8"/>
  <c r="M526" i="8"/>
  <c r="M530" i="8"/>
  <c r="M477" i="8"/>
  <c r="M497" i="8"/>
  <c r="M501" i="8"/>
  <c r="M505" i="8"/>
  <c r="M525" i="8"/>
  <c r="M529" i="8"/>
  <c r="M467" i="8"/>
  <c r="M27" i="8"/>
  <c r="M625" i="8"/>
  <c r="M610" i="8" s="1"/>
  <c r="M60" i="8" s="1"/>
  <c r="M657" i="8"/>
  <c r="M642" i="8" s="1"/>
  <c r="M61" i="8" s="1"/>
  <c r="L63" i="8"/>
  <c r="M471" i="8"/>
  <c r="M472" i="8"/>
  <c r="M476" i="8"/>
  <c r="M480" i="8"/>
  <c r="M500" i="8"/>
  <c r="M504" i="8"/>
  <c r="M524" i="8"/>
  <c r="M528" i="8"/>
  <c r="M532" i="8"/>
  <c r="M475" i="8"/>
  <c r="M479" i="8"/>
  <c r="M499" i="8"/>
  <c r="M503" i="8"/>
  <c r="M523" i="8"/>
  <c r="M527" i="8"/>
  <c r="M531" i="8"/>
  <c r="O550" i="7"/>
  <c r="O543" i="7"/>
  <c r="O544" i="7" s="1"/>
  <c r="P11" i="7"/>
  <c r="N429" i="7"/>
  <c r="N405" i="7"/>
  <c r="N407" i="7"/>
  <c r="N453" i="7"/>
  <c r="N457" i="7"/>
  <c r="N461" i="7"/>
  <c r="N433" i="7"/>
  <c r="N403" i="7"/>
  <c r="N262" i="7"/>
  <c r="N401" i="7"/>
  <c r="N409" i="7"/>
  <c r="N402" i="7"/>
  <c r="N406" i="7"/>
  <c r="N426" i="7"/>
  <c r="N430" i="7"/>
  <c r="N434" i="7"/>
  <c r="N454" i="7"/>
  <c r="N458" i="7"/>
  <c r="N396" i="7"/>
  <c r="N427" i="7"/>
  <c r="N431" i="7"/>
  <c r="N435" i="7"/>
  <c r="N455" i="7"/>
  <c r="N459" i="7"/>
  <c r="O696" i="7"/>
  <c r="O695" i="7"/>
  <c r="O694" i="7"/>
  <c r="O693" i="7"/>
  <c r="O692" i="7"/>
  <c r="O690" i="7"/>
  <c r="O689" i="7"/>
  <c r="O684" i="7"/>
  <c r="O326" i="7" s="1"/>
  <c r="O683" i="7"/>
  <c r="O325" i="7" s="1"/>
  <c r="O682" i="7"/>
  <c r="O324" i="7" s="1"/>
  <c r="O681" i="7"/>
  <c r="O323" i="7" s="1"/>
  <c r="O680" i="7"/>
  <c r="O322" i="7" s="1"/>
  <c r="O679" i="7"/>
  <c r="O321" i="7" s="1"/>
  <c r="O678" i="7"/>
  <c r="O320" i="7" s="1"/>
  <c r="O677" i="7"/>
  <c r="O319" i="7" s="1"/>
  <c r="O688" i="7"/>
  <c r="O675" i="7"/>
  <c r="O317" i="7" s="1"/>
  <c r="O652" i="7"/>
  <c r="O300" i="7" s="1"/>
  <c r="O651" i="7"/>
  <c r="O299" i="7" s="1"/>
  <c r="O650" i="7"/>
  <c r="O298" i="7" s="1"/>
  <c r="O649" i="7"/>
  <c r="O297" i="7" s="1"/>
  <c r="O648" i="7"/>
  <c r="O296" i="7" s="1"/>
  <c r="O647" i="7"/>
  <c r="O295" i="7" s="1"/>
  <c r="O646" i="7"/>
  <c r="O294" i="7" s="1"/>
  <c r="O676" i="7"/>
  <c r="O318" i="7" s="1"/>
  <c r="O664" i="7"/>
  <c r="O663" i="7"/>
  <c r="O662" i="7"/>
  <c r="O661" i="7"/>
  <c r="O660" i="7"/>
  <c r="O659" i="7"/>
  <c r="O658" i="7"/>
  <c r="O657" i="7"/>
  <c r="O656" i="7"/>
  <c r="O620" i="7"/>
  <c r="O275" i="7" s="1"/>
  <c r="O619" i="7"/>
  <c r="O274" i="7" s="1"/>
  <c r="O618" i="7"/>
  <c r="O273" i="7" s="1"/>
  <c r="O617" i="7"/>
  <c r="O272" i="7" s="1"/>
  <c r="O616" i="7"/>
  <c r="O271" i="7" s="1"/>
  <c r="O615" i="7"/>
  <c r="O270" i="7" s="1"/>
  <c r="O645" i="7"/>
  <c r="O293" i="7" s="1"/>
  <c r="O644" i="7"/>
  <c r="O292" i="7" s="1"/>
  <c r="O643" i="7"/>
  <c r="O291" i="7" s="1"/>
  <c r="O632" i="7"/>
  <c r="O631" i="7"/>
  <c r="O630" i="7"/>
  <c r="O629" i="7"/>
  <c r="O628" i="7"/>
  <c r="O627" i="7"/>
  <c r="O626" i="7"/>
  <c r="O625" i="7"/>
  <c r="O623" i="7"/>
  <c r="O613" i="7"/>
  <c r="O268" i="7" s="1"/>
  <c r="O614" i="7"/>
  <c r="O269" i="7" s="1"/>
  <c r="O612" i="7"/>
  <c r="O267" i="7" s="1"/>
  <c r="O611" i="7"/>
  <c r="O484" i="7"/>
  <c r="O485" i="7" s="1"/>
  <c r="O478" i="7"/>
  <c r="O479" i="7" s="1"/>
  <c r="O382" i="7"/>
  <c r="O381" i="7"/>
  <c r="O380" i="7"/>
  <c r="O379" i="7"/>
  <c r="O378" i="7"/>
  <c r="O377" i="7"/>
  <c r="O395" i="7"/>
  <c r="O261" i="7"/>
  <c r="O248" i="7"/>
  <c r="O247" i="7"/>
  <c r="O246" i="7"/>
  <c r="O245" i="7"/>
  <c r="O244" i="7"/>
  <c r="O243" i="7"/>
  <c r="O30" i="7"/>
  <c r="O26" i="7"/>
  <c r="O25" i="7"/>
  <c r="O23" i="7"/>
  <c r="O19" i="7"/>
  <c r="P2" i="7"/>
  <c r="P600" i="7" s="1"/>
  <c r="N400" i="7"/>
  <c r="N404" i="7"/>
  <c r="N408" i="7"/>
  <c r="N428" i="7"/>
  <c r="N432" i="7"/>
  <c r="N452" i="7"/>
  <c r="N456" i="7"/>
  <c r="N460" i="7"/>
  <c r="M71" i="7"/>
  <c r="N27" i="7"/>
  <c r="N621" i="7"/>
  <c r="N606" i="7" s="1"/>
  <c r="N68" i="7" s="1"/>
  <c r="N653" i="7"/>
  <c r="N638" i="7" s="1"/>
  <c r="N69" i="7" s="1"/>
  <c r="N685" i="7"/>
  <c r="N670" i="7" s="1"/>
  <c r="N70" i="7" s="1"/>
  <c r="B11" i="1"/>
  <c r="L29" i="1"/>
  <c r="L10" i="1"/>
  <c r="L30" i="1" s="1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S38" i="2"/>
  <c r="T38" i="2"/>
  <c r="U38" i="2"/>
  <c r="V38" i="2"/>
  <c r="W38" i="2"/>
  <c r="X38" i="2"/>
  <c r="L38" i="2"/>
  <c r="M38" i="2"/>
  <c r="N38" i="2"/>
  <c r="O38" i="2"/>
  <c r="P38" i="2"/>
  <c r="Q38" i="2"/>
  <c r="R38" i="2"/>
  <c r="G38" i="2"/>
  <c r="H38" i="2"/>
  <c r="I38" i="2"/>
  <c r="J38" i="2"/>
  <c r="K38" i="2"/>
  <c r="E38" i="2"/>
  <c r="F38" i="2"/>
  <c r="D38" i="2"/>
  <c r="C38" i="2"/>
  <c r="D36" i="2"/>
  <c r="E36" i="2" s="1"/>
  <c r="F36" i="2" s="1"/>
  <c r="G36" i="2" s="1"/>
  <c r="H36" i="2" s="1"/>
  <c r="P547" i="7" l="1"/>
  <c r="P595" i="7"/>
  <c r="P546" i="7"/>
  <c r="P548" i="7" s="1"/>
  <c r="P581" i="7"/>
  <c r="P585" i="7" s="1"/>
  <c r="P586" i="7"/>
  <c r="P523" i="7"/>
  <c r="P519" i="7"/>
  <c r="P515" i="7"/>
  <c r="P511" i="7"/>
  <c r="P594" i="7"/>
  <c r="P56" i="10"/>
  <c r="P85" i="10"/>
  <c r="P86" i="10" s="1"/>
  <c r="Q629" i="10"/>
  <c r="Q625" i="10"/>
  <c r="Q621" i="10"/>
  <c r="Q617" i="10"/>
  <c r="O594" i="8"/>
  <c r="O590" i="8"/>
  <c r="O586" i="8"/>
  <c r="O582" i="8"/>
  <c r="O65" i="10"/>
  <c r="O68" i="10" s="1"/>
  <c r="O179" i="10" s="1"/>
  <c r="O196" i="10" s="1"/>
  <c r="N179" i="10"/>
  <c r="N196" i="10" s="1"/>
  <c r="P180" i="10"/>
  <c r="P197" i="10" s="1"/>
  <c r="P141" i="10"/>
  <c r="P153" i="10" s="1"/>
  <c r="P249" i="10"/>
  <c r="P221" i="10"/>
  <c r="P59" i="10"/>
  <c r="R11" i="10"/>
  <c r="Q645" i="10"/>
  <c r="Q181" i="10" s="1"/>
  <c r="Q198" i="10" s="1"/>
  <c r="Q41" i="10"/>
  <c r="Q183" i="10" s="1"/>
  <c r="Q200" i="10" s="1"/>
  <c r="P27" i="10"/>
  <c r="P666" i="10"/>
  <c r="P651" i="10" s="1"/>
  <c r="Q741" i="10"/>
  <c r="Q740" i="10"/>
  <c r="Q739" i="10"/>
  <c r="Q738" i="10"/>
  <c r="Q737" i="10"/>
  <c r="Q735" i="10"/>
  <c r="Q734" i="10"/>
  <c r="Q733" i="10"/>
  <c r="Q729" i="10"/>
  <c r="Q432" i="10" s="1"/>
  <c r="Q728" i="10"/>
  <c r="Q727" i="10"/>
  <c r="Q430" i="10" s="1"/>
  <c r="Q726" i="10"/>
  <c r="Q429" i="10" s="1"/>
  <c r="Q725" i="10"/>
  <c r="Q428" i="10" s="1"/>
  <c r="Q724" i="10"/>
  <c r="Q427" i="10" s="1"/>
  <c r="Q723" i="10"/>
  <c r="Q426" i="10" s="1"/>
  <c r="Q722" i="10"/>
  <c r="Q425" i="10" s="1"/>
  <c r="Q721" i="10"/>
  <c r="Q424" i="10" s="1"/>
  <c r="Q720" i="10"/>
  <c r="Q423" i="10" s="1"/>
  <c r="Q697" i="10"/>
  <c r="Q406" i="10" s="1"/>
  <c r="Q696" i="10"/>
  <c r="Q405" i="10" s="1"/>
  <c r="Q695" i="10"/>
  <c r="Q404" i="10" s="1"/>
  <c r="Q694" i="10"/>
  <c r="Q403" i="10" s="1"/>
  <c r="Q693" i="10"/>
  <c r="Q402" i="10" s="1"/>
  <c r="Q692" i="10"/>
  <c r="Q401" i="10" s="1"/>
  <c r="Q691" i="10"/>
  <c r="Q400" i="10" s="1"/>
  <c r="Q690" i="10"/>
  <c r="Q399" i="10" s="1"/>
  <c r="Q709" i="10"/>
  <c r="Q708" i="10"/>
  <c r="Q707" i="10"/>
  <c r="Q706" i="10"/>
  <c r="Q705" i="10"/>
  <c r="Q704" i="10"/>
  <c r="Q703" i="10"/>
  <c r="Q702" i="10"/>
  <c r="Q701" i="10"/>
  <c r="Q665" i="10"/>
  <c r="Q381" i="10" s="1"/>
  <c r="Q664" i="10"/>
  <c r="Q663" i="10"/>
  <c r="Q379" i="10" s="1"/>
  <c r="Q662" i="10"/>
  <c r="Q378" i="10" s="1"/>
  <c r="Q661" i="10"/>
  <c r="Q377" i="10" s="1"/>
  <c r="Q660" i="10"/>
  <c r="Q376" i="10" s="1"/>
  <c r="Q659" i="10"/>
  <c r="Q375" i="10" s="1"/>
  <c r="Q689" i="10"/>
  <c r="Q398" i="10" s="1"/>
  <c r="Q688" i="10"/>
  <c r="Q397" i="10" s="1"/>
  <c r="Q677" i="10"/>
  <c r="Q676" i="10"/>
  <c r="Q675" i="10"/>
  <c r="Q674" i="10"/>
  <c r="Q673" i="10"/>
  <c r="Q672" i="10"/>
  <c r="Q671" i="10"/>
  <c r="Q670" i="10"/>
  <c r="Q668" i="10"/>
  <c r="Q658" i="10"/>
  <c r="Q374" i="10" s="1"/>
  <c r="Q656" i="10"/>
  <c r="Q372" i="10" s="1"/>
  <c r="Q590" i="10"/>
  <c r="Q591" i="10" s="1"/>
  <c r="Q584" i="10"/>
  <c r="Q585" i="10" s="1"/>
  <c r="Q657" i="10"/>
  <c r="Q373" i="10" s="1"/>
  <c r="Q488" i="10"/>
  <c r="Q487" i="10"/>
  <c r="Q486" i="10"/>
  <c r="Q485" i="10"/>
  <c r="Q484" i="10"/>
  <c r="Q483" i="10"/>
  <c r="Q431" i="10"/>
  <c r="Q380" i="10"/>
  <c r="Q367" i="10"/>
  <c r="Q501" i="10"/>
  <c r="Q354" i="10"/>
  <c r="Q353" i="10"/>
  <c r="Q352" i="10"/>
  <c r="Q351" i="10"/>
  <c r="Q350" i="10"/>
  <c r="Q349" i="10"/>
  <c r="Q30" i="10"/>
  <c r="Q26" i="10"/>
  <c r="Q25" i="10"/>
  <c r="Q23" i="10"/>
  <c r="Q19" i="10"/>
  <c r="R2" i="10"/>
  <c r="R639" i="10" s="1"/>
  <c r="P508" i="10"/>
  <c r="P512" i="10"/>
  <c r="P532" i="10"/>
  <c r="P536" i="10"/>
  <c r="P540" i="10"/>
  <c r="P560" i="10"/>
  <c r="P564" i="10"/>
  <c r="P502" i="10"/>
  <c r="P368" i="10"/>
  <c r="P507" i="10"/>
  <c r="P511" i="10"/>
  <c r="P515" i="10"/>
  <c r="P535" i="10"/>
  <c r="P539" i="10"/>
  <c r="P559" i="10"/>
  <c r="P563" i="10"/>
  <c r="P567" i="10"/>
  <c r="P506" i="10"/>
  <c r="P510" i="10"/>
  <c r="P514" i="10"/>
  <c r="P534" i="10"/>
  <c r="P538" i="10"/>
  <c r="P558" i="10"/>
  <c r="P562" i="10"/>
  <c r="P566" i="10"/>
  <c r="P509" i="10"/>
  <c r="P513" i="10"/>
  <c r="P533" i="10"/>
  <c r="P537" i="10"/>
  <c r="P541" i="10"/>
  <c r="P561" i="10"/>
  <c r="P565" i="10"/>
  <c r="P698" i="10"/>
  <c r="P683" i="10" s="1"/>
  <c r="P66" i="10" s="1"/>
  <c r="P730" i="10"/>
  <c r="P715" i="10" s="1"/>
  <c r="P67" i="10" s="1"/>
  <c r="P11" i="8"/>
  <c r="M63" i="8"/>
  <c r="N625" i="8"/>
  <c r="N610" i="8" s="1"/>
  <c r="N60" i="8" s="1"/>
  <c r="N689" i="8"/>
  <c r="N674" i="8" s="1"/>
  <c r="N62" i="8" s="1"/>
  <c r="N657" i="8"/>
  <c r="N642" i="8" s="1"/>
  <c r="N61" i="8" s="1"/>
  <c r="M72" i="8"/>
  <c r="O700" i="8"/>
  <c r="O699" i="8"/>
  <c r="O698" i="8"/>
  <c r="O697" i="8"/>
  <c r="O696" i="8"/>
  <c r="O694" i="8"/>
  <c r="O693" i="8"/>
  <c r="O692" i="8"/>
  <c r="O688" i="8"/>
  <c r="O397" i="8" s="1"/>
  <c r="O687" i="8"/>
  <c r="O686" i="8"/>
  <c r="O395" i="8" s="1"/>
  <c r="O685" i="8"/>
  <c r="O394" i="8" s="1"/>
  <c r="O684" i="8"/>
  <c r="O393" i="8" s="1"/>
  <c r="O683" i="8"/>
  <c r="O392" i="8" s="1"/>
  <c r="O682" i="8"/>
  <c r="O391" i="8" s="1"/>
  <c r="O681" i="8"/>
  <c r="O390" i="8" s="1"/>
  <c r="O680" i="8"/>
  <c r="O389" i="8" s="1"/>
  <c r="O679" i="8"/>
  <c r="O667" i="8"/>
  <c r="O665" i="8"/>
  <c r="O663" i="8"/>
  <c r="O656" i="8"/>
  <c r="O655" i="8"/>
  <c r="O370" i="8" s="1"/>
  <c r="O654" i="8"/>
  <c r="O369" i="8" s="1"/>
  <c r="O653" i="8"/>
  <c r="O368" i="8" s="1"/>
  <c r="O652" i="8"/>
  <c r="O367" i="8" s="1"/>
  <c r="O651" i="8"/>
  <c r="O366" i="8" s="1"/>
  <c r="O650" i="8"/>
  <c r="O365" i="8" s="1"/>
  <c r="O649" i="8"/>
  <c r="O364" i="8" s="1"/>
  <c r="O648" i="8"/>
  <c r="O363" i="8" s="1"/>
  <c r="O647" i="8"/>
  <c r="O362" i="8" s="1"/>
  <c r="O668" i="8"/>
  <c r="O666" i="8"/>
  <c r="O664" i="8"/>
  <c r="O662" i="8"/>
  <c r="O661" i="8"/>
  <c r="O660" i="8"/>
  <c r="O624" i="8"/>
  <c r="O346" i="8" s="1"/>
  <c r="O623" i="8"/>
  <c r="O345" i="8" s="1"/>
  <c r="O622" i="8"/>
  <c r="O344" i="8" s="1"/>
  <c r="O621" i="8"/>
  <c r="O343" i="8" s="1"/>
  <c r="O620" i="8"/>
  <c r="O342" i="8" s="1"/>
  <c r="O619" i="8"/>
  <c r="O341" i="8" s="1"/>
  <c r="O618" i="8"/>
  <c r="O340" i="8" s="1"/>
  <c r="O617" i="8"/>
  <c r="O339" i="8" s="1"/>
  <c r="O616" i="8"/>
  <c r="O338" i="8" s="1"/>
  <c r="O615" i="8"/>
  <c r="O337" i="8" s="1"/>
  <c r="O636" i="8"/>
  <c r="O635" i="8"/>
  <c r="O634" i="8"/>
  <c r="O633" i="8"/>
  <c r="O632" i="8"/>
  <c r="O631" i="8"/>
  <c r="O630" i="8"/>
  <c r="O629" i="8"/>
  <c r="O627" i="8"/>
  <c r="O604" i="8"/>
  <c r="O555" i="8"/>
  <c r="O556" i="8" s="1"/>
  <c r="O549" i="8"/>
  <c r="O550" i="8" s="1"/>
  <c r="O453" i="8"/>
  <c r="O452" i="8"/>
  <c r="O451" i="8"/>
  <c r="O450" i="8"/>
  <c r="O449" i="8"/>
  <c r="O448" i="8"/>
  <c r="O396" i="8"/>
  <c r="O388" i="8"/>
  <c r="O466" i="8"/>
  <c r="O371" i="8"/>
  <c r="O332" i="8"/>
  <c r="O319" i="8"/>
  <c r="O318" i="8"/>
  <c r="O317" i="8"/>
  <c r="O316" i="8"/>
  <c r="O315" i="8"/>
  <c r="O314" i="8"/>
  <c r="O30" i="8"/>
  <c r="O26" i="8"/>
  <c r="O25" i="8"/>
  <c r="O23" i="8"/>
  <c r="O19" i="8"/>
  <c r="P2" i="8"/>
  <c r="N333" i="8"/>
  <c r="N472" i="8"/>
  <c r="N471" i="8"/>
  <c r="N475" i="8"/>
  <c r="N479" i="8"/>
  <c r="N499" i="8"/>
  <c r="N503" i="8"/>
  <c r="N523" i="8"/>
  <c r="N527" i="8"/>
  <c r="N531" i="8"/>
  <c r="N478" i="8"/>
  <c r="N498" i="8"/>
  <c r="N502" i="8"/>
  <c r="N506" i="8"/>
  <c r="N526" i="8"/>
  <c r="N530" i="8"/>
  <c r="O27" i="7"/>
  <c r="N27" i="8"/>
  <c r="N474" i="8"/>
  <c r="N473" i="8"/>
  <c r="N477" i="8"/>
  <c r="N497" i="8"/>
  <c r="N501" i="8"/>
  <c r="N505" i="8"/>
  <c r="N525" i="8"/>
  <c r="N529" i="8"/>
  <c r="N467" i="8"/>
  <c r="N476" i="8"/>
  <c r="N480" i="8"/>
  <c r="N500" i="8"/>
  <c r="N504" i="8"/>
  <c r="N524" i="8"/>
  <c r="N528" i="8"/>
  <c r="N532" i="8"/>
  <c r="Q11" i="7"/>
  <c r="P550" i="7"/>
  <c r="P543" i="7"/>
  <c r="P544" i="7" s="1"/>
  <c r="O621" i="7"/>
  <c r="O606" i="7" s="1"/>
  <c r="O68" i="7" s="1"/>
  <c r="O653" i="7"/>
  <c r="O638" i="7" s="1"/>
  <c r="O69" i="7" s="1"/>
  <c r="O428" i="7"/>
  <c r="O407" i="7"/>
  <c r="O456" i="7"/>
  <c r="O403" i="7"/>
  <c r="O431" i="7"/>
  <c r="P696" i="7"/>
  <c r="P695" i="7"/>
  <c r="P694" i="7"/>
  <c r="P693" i="7"/>
  <c r="P692" i="7"/>
  <c r="P690" i="7"/>
  <c r="P689" i="7"/>
  <c r="P688" i="7"/>
  <c r="P684" i="7"/>
  <c r="P683" i="7"/>
  <c r="P325" i="7" s="1"/>
  <c r="P682" i="7"/>
  <c r="P324" i="7" s="1"/>
  <c r="P681" i="7"/>
  <c r="P323" i="7" s="1"/>
  <c r="P680" i="7"/>
  <c r="P322" i="7" s="1"/>
  <c r="P679" i="7"/>
  <c r="P321" i="7" s="1"/>
  <c r="P678" i="7"/>
  <c r="P320" i="7" s="1"/>
  <c r="P677" i="7"/>
  <c r="P319" i="7" s="1"/>
  <c r="P676" i="7"/>
  <c r="P318" i="7" s="1"/>
  <c r="P675" i="7"/>
  <c r="P317" i="7" s="1"/>
  <c r="P664" i="7"/>
  <c r="P663" i="7"/>
  <c r="P662" i="7"/>
  <c r="P661" i="7"/>
  <c r="P660" i="7"/>
  <c r="P659" i="7"/>
  <c r="P658" i="7"/>
  <c r="P657" i="7"/>
  <c r="P656" i="7"/>
  <c r="P652" i="7"/>
  <c r="P651" i="7"/>
  <c r="P299" i="7" s="1"/>
  <c r="P650" i="7"/>
  <c r="P298" i="7" s="1"/>
  <c r="P649" i="7"/>
  <c r="P297" i="7" s="1"/>
  <c r="P648" i="7"/>
  <c r="P296" i="7" s="1"/>
  <c r="P647" i="7"/>
  <c r="P295" i="7" s="1"/>
  <c r="P646" i="7"/>
  <c r="P294" i="7" s="1"/>
  <c r="P645" i="7"/>
  <c r="P293" i="7" s="1"/>
  <c r="P644" i="7"/>
  <c r="P292" i="7" s="1"/>
  <c r="P643" i="7"/>
  <c r="P291" i="7" s="1"/>
  <c r="P632" i="7"/>
  <c r="P631" i="7"/>
  <c r="P630" i="7"/>
  <c r="P629" i="7"/>
  <c r="P628" i="7"/>
  <c r="P627" i="7"/>
  <c r="P626" i="7"/>
  <c r="P625" i="7"/>
  <c r="P623" i="7"/>
  <c r="P620" i="7"/>
  <c r="P275" i="7" s="1"/>
  <c r="P619" i="7"/>
  <c r="P274" i="7" s="1"/>
  <c r="P618" i="7"/>
  <c r="P273" i="7" s="1"/>
  <c r="P617" i="7"/>
  <c r="P272" i="7" s="1"/>
  <c r="P616" i="7"/>
  <c r="P271" i="7" s="1"/>
  <c r="P615" i="7"/>
  <c r="P270" i="7" s="1"/>
  <c r="P614" i="7"/>
  <c r="P269" i="7" s="1"/>
  <c r="P613" i="7"/>
  <c r="P268" i="7" s="1"/>
  <c r="P612" i="7"/>
  <c r="P267" i="7" s="1"/>
  <c r="P611" i="7"/>
  <c r="P484" i="7"/>
  <c r="P485" i="7" s="1"/>
  <c r="P478" i="7"/>
  <c r="P479" i="7" s="1"/>
  <c r="P395" i="7"/>
  <c r="P326" i="7"/>
  <c r="P300" i="7"/>
  <c r="P382" i="7"/>
  <c r="P381" i="7"/>
  <c r="P380" i="7"/>
  <c r="P379" i="7"/>
  <c r="P378" i="7"/>
  <c r="P377" i="7"/>
  <c r="P248" i="7"/>
  <c r="P247" i="7"/>
  <c r="P246" i="7"/>
  <c r="P245" i="7"/>
  <c r="P244" i="7"/>
  <c r="P243" i="7"/>
  <c r="P261" i="7"/>
  <c r="P30" i="7"/>
  <c r="P26" i="7"/>
  <c r="P25" i="7"/>
  <c r="P23" i="7"/>
  <c r="P19" i="7"/>
  <c r="Q2" i="7"/>
  <c r="Q600" i="7" s="1"/>
  <c r="O404" i="7"/>
  <c r="O405" i="7"/>
  <c r="O429" i="7"/>
  <c r="O453" i="7"/>
  <c r="O457" i="7"/>
  <c r="O461" i="7"/>
  <c r="O430" i="7"/>
  <c r="O434" i="7"/>
  <c r="O458" i="7"/>
  <c r="O396" i="7"/>
  <c r="O406" i="7"/>
  <c r="O408" i="7"/>
  <c r="O427" i="7"/>
  <c r="O435" i="7"/>
  <c r="O455" i="7"/>
  <c r="O459" i="7"/>
  <c r="O432" i="7"/>
  <c r="O452" i="7"/>
  <c r="O460" i="7"/>
  <c r="N71" i="7"/>
  <c r="O266" i="7"/>
  <c r="O685" i="7"/>
  <c r="O670" i="7" s="1"/>
  <c r="O70" i="7" s="1"/>
  <c r="O262" i="7"/>
  <c r="O402" i="7"/>
  <c r="O401" i="7"/>
  <c r="O409" i="7"/>
  <c r="O433" i="7"/>
  <c r="O426" i="7"/>
  <c r="O454" i="7"/>
  <c r="B19" i="1"/>
  <c r="B20" i="1" s="1"/>
  <c r="D184" i="1"/>
  <c r="B184" i="1"/>
  <c r="C184" i="1"/>
  <c r="E184" i="1"/>
  <c r="L11" i="1"/>
  <c r="I36" i="2"/>
  <c r="C11" i="2"/>
  <c r="Q595" i="7" l="1"/>
  <c r="Q546" i="7"/>
  <c r="Q547" i="7"/>
  <c r="Q586" i="7"/>
  <c r="Q581" i="7"/>
  <c r="Q585" i="7" s="1"/>
  <c r="Q523" i="7"/>
  <c r="Q519" i="7"/>
  <c r="Q515" i="7"/>
  <c r="Q511" i="7"/>
  <c r="O75" i="10"/>
  <c r="Q56" i="10"/>
  <c r="Q85" i="10"/>
  <c r="Q86" i="10" s="1"/>
  <c r="R629" i="10"/>
  <c r="R625" i="10"/>
  <c r="R621" i="10"/>
  <c r="R617" i="10"/>
  <c r="P582" i="8"/>
  <c r="P594" i="8"/>
  <c r="P590" i="8"/>
  <c r="P586" i="8"/>
  <c r="P65" i="10"/>
  <c r="P68" i="10" s="1"/>
  <c r="P75" i="10" s="1"/>
  <c r="Q180" i="10"/>
  <c r="Q197" i="10" s="1"/>
  <c r="Q141" i="10"/>
  <c r="Q153" i="10" s="1"/>
  <c r="Q249" i="10"/>
  <c r="Q221" i="10"/>
  <c r="Q59" i="10"/>
  <c r="S11" i="10"/>
  <c r="R645" i="10"/>
  <c r="R181" i="10" s="1"/>
  <c r="R198" i="10" s="1"/>
  <c r="R41" i="10"/>
  <c r="R183" i="10" s="1"/>
  <c r="R200" i="10" s="1"/>
  <c r="Q730" i="10"/>
  <c r="Q715" i="10" s="1"/>
  <c r="Q67" i="10" s="1"/>
  <c r="Q368" i="10"/>
  <c r="Q507" i="10"/>
  <c r="Q511" i="10"/>
  <c r="Q515" i="10"/>
  <c r="Q535" i="10"/>
  <c r="Q539" i="10"/>
  <c r="Q559" i="10"/>
  <c r="Q563" i="10"/>
  <c r="Q567" i="10"/>
  <c r="Q508" i="10"/>
  <c r="Q512" i="10"/>
  <c r="Q532" i="10"/>
  <c r="Q536" i="10"/>
  <c r="Q540" i="10"/>
  <c r="Q560" i="10"/>
  <c r="Q564" i="10"/>
  <c r="Q502" i="10"/>
  <c r="Q27" i="10"/>
  <c r="Q666" i="10"/>
  <c r="Q651" i="10" s="1"/>
  <c r="Q698" i="10"/>
  <c r="Q683" i="10" s="1"/>
  <c r="Q66" i="10" s="1"/>
  <c r="R741" i="10"/>
  <c r="R740" i="10"/>
  <c r="R739" i="10"/>
  <c r="R738" i="10"/>
  <c r="R736" i="10"/>
  <c r="R735" i="10"/>
  <c r="R734" i="10"/>
  <c r="R733" i="10"/>
  <c r="R729" i="10"/>
  <c r="R432" i="10" s="1"/>
  <c r="R728" i="10"/>
  <c r="R431" i="10" s="1"/>
  <c r="R727" i="10"/>
  <c r="R430" i="10" s="1"/>
  <c r="R726" i="10"/>
  <c r="R429" i="10" s="1"/>
  <c r="R725" i="10"/>
  <c r="R428" i="10" s="1"/>
  <c r="R724" i="10"/>
  <c r="R427" i="10" s="1"/>
  <c r="R723" i="10"/>
  <c r="R426" i="10" s="1"/>
  <c r="R722" i="10"/>
  <c r="R425" i="10" s="1"/>
  <c r="R721" i="10"/>
  <c r="R424" i="10" s="1"/>
  <c r="R720" i="10"/>
  <c r="R423" i="10" s="1"/>
  <c r="R709" i="10"/>
  <c r="R708" i="10"/>
  <c r="R707" i="10"/>
  <c r="R706" i="10"/>
  <c r="R705" i="10"/>
  <c r="R704" i="10"/>
  <c r="R703" i="10"/>
  <c r="R702" i="10"/>
  <c r="R700" i="10"/>
  <c r="R697" i="10"/>
  <c r="R696" i="10"/>
  <c r="R405" i="10" s="1"/>
  <c r="R695" i="10"/>
  <c r="R404" i="10" s="1"/>
  <c r="R694" i="10"/>
  <c r="R403" i="10" s="1"/>
  <c r="R693" i="10"/>
  <c r="R402" i="10" s="1"/>
  <c r="R692" i="10"/>
  <c r="R401" i="10" s="1"/>
  <c r="R691" i="10"/>
  <c r="R400" i="10" s="1"/>
  <c r="R690" i="10"/>
  <c r="R399" i="10" s="1"/>
  <c r="R689" i="10"/>
  <c r="R398" i="10" s="1"/>
  <c r="R688" i="10"/>
  <c r="R397" i="10" s="1"/>
  <c r="R677" i="10"/>
  <c r="R676" i="10"/>
  <c r="R675" i="10"/>
  <c r="R674" i="10"/>
  <c r="R673" i="10"/>
  <c r="R672" i="10"/>
  <c r="R671" i="10"/>
  <c r="R670" i="10"/>
  <c r="R668" i="10"/>
  <c r="R665" i="10"/>
  <c r="R381" i="10" s="1"/>
  <c r="R664" i="10"/>
  <c r="R380" i="10" s="1"/>
  <c r="R663" i="10"/>
  <c r="R379" i="10" s="1"/>
  <c r="R662" i="10"/>
  <c r="R378" i="10" s="1"/>
  <c r="R661" i="10"/>
  <c r="R377" i="10" s="1"/>
  <c r="R660" i="10"/>
  <c r="R376" i="10" s="1"/>
  <c r="R659" i="10"/>
  <c r="R375" i="10" s="1"/>
  <c r="R658" i="10"/>
  <c r="R374" i="10" s="1"/>
  <c r="R657" i="10"/>
  <c r="R373" i="10" s="1"/>
  <c r="R656" i="10"/>
  <c r="R590" i="10"/>
  <c r="R591" i="10" s="1"/>
  <c r="R584" i="10"/>
  <c r="R585" i="10" s="1"/>
  <c r="R501" i="10"/>
  <c r="R406" i="10"/>
  <c r="R354" i="10"/>
  <c r="R353" i="10"/>
  <c r="R352" i="10"/>
  <c r="R351" i="10"/>
  <c r="R350" i="10"/>
  <c r="R349" i="10"/>
  <c r="R488" i="10"/>
  <c r="R487" i="10"/>
  <c r="R486" i="10"/>
  <c r="R485" i="10"/>
  <c r="R484" i="10"/>
  <c r="R483" i="10"/>
  <c r="R367" i="10"/>
  <c r="S2" i="10"/>
  <c r="S639" i="10" s="1"/>
  <c r="R30" i="10"/>
  <c r="R26" i="10"/>
  <c r="R25" i="10"/>
  <c r="R23" i="10"/>
  <c r="R19" i="10"/>
  <c r="Q509" i="10"/>
  <c r="Q513" i="10"/>
  <c r="Q533" i="10"/>
  <c r="Q537" i="10"/>
  <c r="Q541" i="10"/>
  <c r="Q561" i="10"/>
  <c r="Q565" i="10"/>
  <c r="Q506" i="10"/>
  <c r="Q510" i="10"/>
  <c r="Q514" i="10"/>
  <c r="Q534" i="10"/>
  <c r="Q538" i="10"/>
  <c r="Q558" i="10"/>
  <c r="Q562" i="10"/>
  <c r="Q566" i="10"/>
  <c r="N63" i="8"/>
  <c r="Q11" i="8"/>
  <c r="O657" i="8"/>
  <c r="O642" i="8" s="1"/>
  <c r="O61" i="8" s="1"/>
  <c r="O689" i="8"/>
  <c r="O674" i="8" s="1"/>
  <c r="O62" i="8" s="1"/>
  <c r="P700" i="8"/>
  <c r="P699" i="8"/>
  <c r="P698" i="8"/>
  <c r="P697" i="8"/>
  <c r="P696" i="8"/>
  <c r="P694" i="8"/>
  <c r="P693" i="8"/>
  <c r="P692" i="8"/>
  <c r="P688" i="8"/>
  <c r="P687" i="8"/>
  <c r="P396" i="8" s="1"/>
  <c r="P686" i="8"/>
  <c r="P395" i="8" s="1"/>
  <c r="P685" i="8"/>
  <c r="P394" i="8" s="1"/>
  <c r="P684" i="8"/>
  <c r="P393" i="8" s="1"/>
  <c r="P683" i="8"/>
  <c r="P392" i="8" s="1"/>
  <c r="P682" i="8"/>
  <c r="P391" i="8" s="1"/>
  <c r="P681" i="8"/>
  <c r="P390" i="8" s="1"/>
  <c r="P680" i="8"/>
  <c r="P389" i="8" s="1"/>
  <c r="P679" i="8"/>
  <c r="P388" i="8" s="1"/>
  <c r="P668" i="8"/>
  <c r="P667" i="8"/>
  <c r="P666" i="8"/>
  <c r="P665" i="8"/>
  <c r="P664" i="8"/>
  <c r="P663" i="8"/>
  <c r="P662" i="8"/>
  <c r="P661" i="8"/>
  <c r="P660" i="8"/>
  <c r="P656" i="8"/>
  <c r="P371" i="8" s="1"/>
  <c r="P655" i="8"/>
  <c r="P370" i="8" s="1"/>
  <c r="P654" i="8"/>
  <c r="P369" i="8" s="1"/>
  <c r="P653" i="8"/>
  <c r="P368" i="8" s="1"/>
  <c r="P652" i="8"/>
  <c r="P367" i="8" s="1"/>
  <c r="P651" i="8"/>
  <c r="P366" i="8" s="1"/>
  <c r="P650" i="8"/>
  <c r="P365" i="8" s="1"/>
  <c r="P649" i="8"/>
  <c r="P364" i="8" s="1"/>
  <c r="P648" i="8"/>
  <c r="P647" i="8"/>
  <c r="P362" i="8" s="1"/>
  <c r="P636" i="8"/>
  <c r="P635" i="8"/>
  <c r="P634" i="8"/>
  <c r="P633" i="8"/>
  <c r="P632" i="8"/>
  <c r="P631" i="8"/>
  <c r="P630" i="8"/>
  <c r="P629" i="8"/>
  <c r="P627" i="8"/>
  <c r="P624" i="8"/>
  <c r="P346" i="8" s="1"/>
  <c r="P623" i="8"/>
  <c r="P345" i="8" s="1"/>
  <c r="P622" i="8"/>
  <c r="P344" i="8" s="1"/>
  <c r="P621" i="8"/>
  <c r="P343" i="8" s="1"/>
  <c r="P620" i="8"/>
  <c r="P342" i="8" s="1"/>
  <c r="P619" i="8"/>
  <c r="P341" i="8" s="1"/>
  <c r="P618" i="8"/>
  <c r="P340" i="8" s="1"/>
  <c r="P617" i="8"/>
  <c r="P339" i="8" s="1"/>
  <c r="P616" i="8"/>
  <c r="P338" i="8" s="1"/>
  <c r="P615" i="8"/>
  <c r="P337" i="8" s="1"/>
  <c r="P555" i="8"/>
  <c r="P556" i="8" s="1"/>
  <c r="P549" i="8"/>
  <c r="P550" i="8" s="1"/>
  <c r="P604" i="8"/>
  <c r="P466" i="8"/>
  <c r="P397" i="8"/>
  <c r="P363" i="8"/>
  <c r="P453" i="8"/>
  <c r="P452" i="8"/>
  <c r="P451" i="8"/>
  <c r="P450" i="8"/>
  <c r="P449" i="8"/>
  <c r="P448" i="8"/>
  <c r="P332" i="8"/>
  <c r="P319" i="8"/>
  <c r="P318" i="8"/>
  <c r="P317" i="8"/>
  <c r="P316" i="8"/>
  <c r="P315" i="8"/>
  <c r="P314" i="8"/>
  <c r="Q2" i="8"/>
  <c r="P30" i="8"/>
  <c r="P26" i="8"/>
  <c r="P25" i="8"/>
  <c r="P23" i="8"/>
  <c r="P19" i="8"/>
  <c r="O333" i="8"/>
  <c r="O473" i="8"/>
  <c r="O471" i="8"/>
  <c r="O474" i="8"/>
  <c r="O478" i="8"/>
  <c r="O498" i="8"/>
  <c r="O502" i="8"/>
  <c r="O506" i="8"/>
  <c r="O526" i="8"/>
  <c r="O530" i="8"/>
  <c r="O477" i="8"/>
  <c r="O497" i="8"/>
  <c r="O501" i="8"/>
  <c r="O505" i="8"/>
  <c r="O525" i="8"/>
  <c r="O529" i="8"/>
  <c r="O467" i="8"/>
  <c r="O27" i="8"/>
  <c r="O625" i="8"/>
  <c r="O610" i="8" s="1"/>
  <c r="O60" i="8" s="1"/>
  <c r="N72" i="8"/>
  <c r="O472" i="8"/>
  <c r="O476" i="8"/>
  <c r="O480" i="8"/>
  <c r="O500" i="8"/>
  <c r="O504" i="8"/>
  <c r="O524" i="8"/>
  <c r="O528" i="8"/>
  <c r="O532" i="8"/>
  <c r="O475" i="8"/>
  <c r="O479" i="8"/>
  <c r="O499" i="8"/>
  <c r="O503" i="8"/>
  <c r="O523" i="8"/>
  <c r="O527" i="8"/>
  <c r="O531" i="8"/>
  <c r="O71" i="7"/>
  <c r="Q550" i="7"/>
  <c r="Q543" i="7"/>
  <c r="Q544" i="7" s="1"/>
  <c r="R11" i="7"/>
  <c r="O400" i="7"/>
  <c r="P405" i="7"/>
  <c r="P262" i="7"/>
  <c r="P403" i="7"/>
  <c r="P404" i="7"/>
  <c r="P408" i="7"/>
  <c r="P428" i="7"/>
  <c r="P432" i="7"/>
  <c r="P452" i="7"/>
  <c r="P456" i="7"/>
  <c r="P460" i="7"/>
  <c r="P429" i="7"/>
  <c r="P433" i="7"/>
  <c r="P453" i="7"/>
  <c r="P457" i="7"/>
  <c r="P461" i="7"/>
  <c r="P27" i="7"/>
  <c r="P266" i="7"/>
  <c r="P621" i="7"/>
  <c r="P606" i="7" s="1"/>
  <c r="P68" i="7" s="1"/>
  <c r="P653" i="7"/>
  <c r="P638" i="7" s="1"/>
  <c r="P69" i="7" s="1"/>
  <c r="P685" i="7"/>
  <c r="P670" i="7" s="1"/>
  <c r="P70" i="7" s="1"/>
  <c r="Q696" i="7"/>
  <c r="Q695" i="7"/>
  <c r="Q694" i="7"/>
  <c r="Q693" i="7"/>
  <c r="Q692" i="7"/>
  <c r="Q690" i="7"/>
  <c r="Q688" i="7"/>
  <c r="Q684" i="7"/>
  <c r="Q326" i="7" s="1"/>
  <c r="Q683" i="7"/>
  <c r="Q325" i="7" s="1"/>
  <c r="Q682" i="7"/>
  <c r="Q324" i="7" s="1"/>
  <c r="Q681" i="7"/>
  <c r="Q323" i="7" s="1"/>
  <c r="Q680" i="7"/>
  <c r="Q322" i="7" s="1"/>
  <c r="Q679" i="7"/>
  <c r="Q321" i="7" s="1"/>
  <c r="Q678" i="7"/>
  <c r="Q320" i="7" s="1"/>
  <c r="Q677" i="7"/>
  <c r="Q319" i="7" s="1"/>
  <c r="Q689" i="7"/>
  <c r="Q676" i="7"/>
  <c r="Q318" i="7" s="1"/>
  <c r="Q652" i="7"/>
  <c r="Q300" i="7" s="1"/>
  <c r="Q651" i="7"/>
  <c r="Q299" i="7" s="1"/>
  <c r="Q650" i="7"/>
  <c r="Q298" i="7" s="1"/>
  <c r="Q649" i="7"/>
  <c r="Q297" i="7" s="1"/>
  <c r="Q648" i="7"/>
  <c r="Q296" i="7" s="1"/>
  <c r="Q647" i="7"/>
  <c r="Q295" i="7" s="1"/>
  <c r="Q646" i="7"/>
  <c r="Q294" i="7" s="1"/>
  <c r="Q675" i="7"/>
  <c r="Q317" i="7" s="1"/>
  <c r="Q664" i="7"/>
  <c r="Q663" i="7"/>
  <c r="Q662" i="7"/>
  <c r="Q661" i="7"/>
  <c r="Q660" i="7"/>
  <c r="Q659" i="7"/>
  <c r="Q658" i="7"/>
  <c r="Q657" i="7"/>
  <c r="Q656" i="7"/>
  <c r="Q645" i="7"/>
  <c r="Q293" i="7" s="1"/>
  <c r="Q620" i="7"/>
  <c r="Q275" i="7" s="1"/>
  <c r="Q619" i="7"/>
  <c r="Q274" i="7" s="1"/>
  <c r="Q618" i="7"/>
  <c r="Q273" i="7" s="1"/>
  <c r="Q617" i="7"/>
  <c r="Q272" i="7" s="1"/>
  <c r="Q616" i="7"/>
  <c r="Q271" i="7" s="1"/>
  <c r="Q615" i="7"/>
  <c r="Q270" i="7" s="1"/>
  <c r="Q644" i="7"/>
  <c r="Q292" i="7" s="1"/>
  <c r="Q643" i="7"/>
  <c r="Q632" i="7"/>
  <c r="Q631" i="7"/>
  <c r="Q630" i="7"/>
  <c r="Q629" i="7"/>
  <c r="Q628" i="7"/>
  <c r="Q627" i="7"/>
  <c r="Q626" i="7"/>
  <c r="Q625" i="7"/>
  <c r="Q623" i="7"/>
  <c r="Q614" i="7"/>
  <c r="Q269" i="7" s="1"/>
  <c r="Q613" i="7"/>
  <c r="Q268" i="7" s="1"/>
  <c r="Q612" i="7"/>
  <c r="Q267" i="7" s="1"/>
  <c r="Q611" i="7"/>
  <c r="Q484" i="7"/>
  <c r="Q485" i="7" s="1"/>
  <c r="Q478" i="7"/>
  <c r="Q479" i="7" s="1"/>
  <c r="Q382" i="7"/>
  <c r="Q381" i="7"/>
  <c r="Q380" i="7"/>
  <c r="Q379" i="7"/>
  <c r="Q378" i="7"/>
  <c r="Q377" i="7"/>
  <c r="Q395" i="7"/>
  <c r="Q261" i="7"/>
  <c r="Q248" i="7"/>
  <c r="Q247" i="7"/>
  <c r="Q246" i="7"/>
  <c r="Q245" i="7"/>
  <c r="Q244" i="7"/>
  <c r="Q243" i="7"/>
  <c r="R2" i="7"/>
  <c r="R600" i="7" s="1"/>
  <c r="Q30" i="7"/>
  <c r="Q26" i="7"/>
  <c r="Q25" i="7"/>
  <c r="Q23" i="7"/>
  <c r="Q19" i="7"/>
  <c r="P401" i="7"/>
  <c r="P409" i="7"/>
  <c r="P407" i="7"/>
  <c r="P402" i="7"/>
  <c r="P406" i="7"/>
  <c r="P426" i="7"/>
  <c r="P430" i="7"/>
  <c r="P434" i="7"/>
  <c r="P454" i="7"/>
  <c r="P458" i="7"/>
  <c r="P396" i="7"/>
  <c r="P427" i="7"/>
  <c r="P431" i="7"/>
  <c r="P435" i="7"/>
  <c r="P455" i="7"/>
  <c r="P459" i="7"/>
  <c r="C185" i="1"/>
  <c r="E185" i="1"/>
  <c r="D185" i="1"/>
  <c r="B185" i="1"/>
  <c r="B21" i="1"/>
  <c r="C154" i="1" s="1"/>
  <c r="B649" i="2" s="1"/>
  <c r="L31" i="1"/>
  <c r="L12" i="1"/>
  <c r="J36" i="2"/>
  <c r="B66" i="1"/>
  <c r="B67" i="1"/>
  <c r="C611" i="10" s="1"/>
  <c r="B68" i="1"/>
  <c r="C612" i="10" s="1"/>
  <c r="B65" i="1"/>
  <c r="C85" i="1"/>
  <c r="B182" i="2"/>
  <c r="B181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B130" i="2"/>
  <c r="C241" i="1"/>
  <c r="D241" i="1"/>
  <c r="E241" i="1"/>
  <c r="B241" i="1"/>
  <c r="C231" i="1"/>
  <c r="C230" i="1"/>
  <c r="B230" i="1"/>
  <c r="C223" i="1"/>
  <c r="C224" i="1"/>
  <c r="B224" i="1"/>
  <c r="B223" i="1"/>
  <c r="B231" i="1"/>
  <c r="C212" i="1"/>
  <c r="B212" i="1"/>
  <c r="B147" i="2"/>
  <c r="B146" i="2"/>
  <c r="B144" i="2"/>
  <c r="B108" i="2"/>
  <c r="B194" i="2" s="1"/>
  <c r="B107" i="2"/>
  <c r="B193" i="2" s="1"/>
  <c r="B104" i="2"/>
  <c r="B103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B101" i="2"/>
  <c r="D101" i="2"/>
  <c r="G86" i="2"/>
  <c r="G95" i="2" s="1"/>
  <c r="H86" i="2"/>
  <c r="H95" i="2" s="1"/>
  <c r="I86" i="2"/>
  <c r="I95" i="2" s="1"/>
  <c r="J86" i="2"/>
  <c r="J95" i="2" s="1"/>
  <c r="K86" i="2"/>
  <c r="K95" i="2" s="1"/>
  <c r="L86" i="2"/>
  <c r="L95" i="2" s="1"/>
  <c r="M86" i="2"/>
  <c r="M95" i="2" s="1"/>
  <c r="N86" i="2"/>
  <c r="N95" i="2" s="1"/>
  <c r="O86" i="2"/>
  <c r="O95" i="2" s="1"/>
  <c r="P86" i="2"/>
  <c r="P95" i="2" s="1"/>
  <c r="Q86" i="2"/>
  <c r="Q95" i="2" s="1"/>
  <c r="R86" i="2"/>
  <c r="R95" i="2" s="1"/>
  <c r="S86" i="2"/>
  <c r="S95" i="2" s="1"/>
  <c r="T86" i="2"/>
  <c r="T95" i="2" s="1"/>
  <c r="U86" i="2"/>
  <c r="U95" i="2" s="1"/>
  <c r="V86" i="2"/>
  <c r="V95" i="2" s="1"/>
  <c r="W86" i="2"/>
  <c r="W95" i="2" s="1"/>
  <c r="X86" i="2"/>
  <c r="X95" i="2" s="1"/>
  <c r="Y86" i="2"/>
  <c r="Y95" i="2" s="1"/>
  <c r="Z86" i="2"/>
  <c r="Z95" i="2" s="1"/>
  <c r="AA86" i="2"/>
  <c r="AA95" i="2" s="1"/>
  <c r="AB86" i="2"/>
  <c r="AB95" i="2" s="1"/>
  <c r="AC86" i="2"/>
  <c r="AC95" i="2" s="1"/>
  <c r="AD86" i="2"/>
  <c r="AD95" i="2" s="1"/>
  <c r="AE86" i="2"/>
  <c r="AE95" i="2" s="1"/>
  <c r="AF86" i="2"/>
  <c r="AF95" i="2" s="1"/>
  <c r="AG86" i="2"/>
  <c r="AG95" i="2" s="1"/>
  <c r="AH86" i="2"/>
  <c r="AH95" i="2" s="1"/>
  <c r="AI86" i="2"/>
  <c r="AI95" i="2" s="1"/>
  <c r="AJ86" i="2"/>
  <c r="AJ95" i="2" s="1"/>
  <c r="AK86" i="2"/>
  <c r="AK95" i="2" s="1"/>
  <c r="AL86" i="2"/>
  <c r="AL95" i="2" s="1"/>
  <c r="AM86" i="2"/>
  <c r="AM95" i="2" s="1"/>
  <c r="AN86" i="2"/>
  <c r="AN95" i="2" s="1"/>
  <c r="AO86" i="2"/>
  <c r="AO95" i="2" s="1"/>
  <c r="AP86" i="2"/>
  <c r="AP95" i="2" s="1"/>
  <c r="C86" i="2"/>
  <c r="C95" i="2" s="1"/>
  <c r="D86" i="2"/>
  <c r="D95" i="2" s="1"/>
  <c r="E86" i="2"/>
  <c r="E95" i="2" s="1"/>
  <c r="F86" i="2"/>
  <c r="F95" i="2" s="1"/>
  <c r="B53" i="2"/>
  <c r="B56" i="2" s="1"/>
  <c r="B469" i="2"/>
  <c r="B468" i="2"/>
  <c r="A487" i="2"/>
  <c r="A488" i="2" s="1"/>
  <c r="A489" i="2" s="1"/>
  <c r="A490" i="2" s="1"/>
  <c r="A491" i="2" s="1"/>
  <c r="A492" i="2" s="1"/>
  <c r="A493" i="2" s="1"/>
  <c r="A494" i="2" s="1"/>
  <c r="A495" i="2" s="1"/>
  <c r="A475" i="2"/>
  <c r="A476" i="2" s="1"/>
  <c r="A477" i="2" s="1"/>
  <c r="A478" i="2" s="1"/>
  <c r="A479" i="2" s="1"/>
  <c r="A480" i="2" s="1"/>
  <c r="A481" i="2" s="1"/>
  <c r="A482" i="2" s="1"/>
  <c r="A483" i="2" s="1"/>
  <c r="A352" i="2"/>
  <c r="A353" i="2" s="1"/>
  <c r="A354" i="2" s="1"/>
  <c r="A355" i="2" s="1"/>
  <c r="A356" i="2" s="1"/>
  <c r="A357" i="2" s="1"/>
  <c r="A358" i="2" s="1"/>
  <c r="A359" i="2" s="1"/>
  <c r="A360" i="2" s="1"/>
  <c r="B335" i="2"/>
  <c r="Q548" i="7" l="1"/>
  <c r="R547" i="7"/>
  <c r="R595" i="7"/>
  <c r="R546" i="7"/>
  <c r="R548" i="7" s="1"/>
  <c r="R581" i="7"/>
  <c r="R586" i="7"/>
  <c r="R580" i="7"/>
  <c r="R564" i="7"/>
  <c r="R584" i="7" s="1"/>
  <c r="R40" i="10"/>
  <c r="E154" i="1"/>
  <c r="R523" i="7"/>
  <c r="R519" i="7"/>
  <c r="R515" i="7"/>
  <c r="R511" i="7"/>
  <c r="R594" i="7"/>
  <c r="C610" i="10"/>
  <c r="C270" i="10" s="1"/>
  <c r="B475" i="10"/>
  <c r="B341" i="10"/>
  <c r="B306" i="8"/>
  <c r="B235" i="7"/>
  <c r="B440" i="8"/>
  <c r="B369" i="7"/>
  <c r="C609" i="10"/>
  <c r="C269" i="10" s="1"/>
  <c r="B340" i="10"/>
  <c r="B344" i="10" s="1"/>
  <c r="B474" i="10"/>
  <c r="B478" i="10" s="1"/>
  <c r="B439" i="8"/>
  <c r="B368" i="7"/>
  <c r="B305" i="8"/>
  <c r="B234" i="7"/>
  <c r="R56" i="10"/>
  <c r="R85" i="10"/>
  <c r="R86" i="10" s="1"/>
  <c r="S629" i="10"/>
  <c r="S625" i="10"/>
  <c r="S621" i="10"/>
  <c r="S617" i="10"/>
  <c r="Q594" i="8"/>
  <c r="Q590" i="8"/>
  <c r="Q586" i="8"/>
  <c r="Q582" i="8"/>
  <c r="Q65" i="10"/>
  <c r="P179" i="10"/>
  <c r="P196" i="10" s="1"/>
  <c r="R180" i="10"/>
  <c r="R197" i="10" s="1"/>
  <c r="R141" i="10"/>
  <c r="R153" i="10" s="1"/>
  <c r="R249" i="10"/>
  <c r="R221" i="10"/>
  <c r="R59" i="10"/>
  <c r="T11" i="10"/>
  <c r="S645" i="10"/>
  <c r="S181" i="10" s="1"/>
  <c r="S198" i="10" s="1"/>
  <c r="S41" i="10"/>
  <c r="S183" i="10" s="1"/>
  <c r="S200" i="10" s="1"/>
  <c r="R666" i="10"/>
  <c r="R651" i="10" s="1"/>
  <c r="Q266" i="7"/>
  <c r="Q400" i="7" s="1"/>
  <c r="R372" i="10"/>
  <c r="R506" i="10" s="1"/>
  <c r="C271" i="10"/>
  <c r="C240" i="10"/>
  <c r="S741" i="10"/>
  <c r="S740" i="10"/>
  <c r="S739" i="10"/>
  <c r="S738" i="10"/>
  <c r="S736" i="10"/>
  <c r="S735" i="10"/>
  <c r="S734" i="10"/>
  <c r="S729" i="10"/>
  <c r="S432" i="10" s="1"/>
  <c r="S728" i="10"/>
  <c r="S431" i="10" s="1"/>
  <c r="S727" i="10"/>
  <c r="S430" i="10" s="1"/>
  <c r="S726" i="10"/>
  <c r="S429" i="10" s="1"/>
  <c r="S725" i="10"/>
  <c r="S428" i="10" s="1"/>
  <c r="S724" i="10"/>
  <c r="S427" i="10" s="1"/>
  <c r="S723" i="10"/>
  <c r="S426" i="10" s="1"/>
  <c r="S722" i="10"/>
  <c r="S425" i="10" s="1"/>
  <c r="S721" i="10"/>
  <c r="S424" i="10" s="1"/>
  <c r="S733" i="10"/>
  <c r="S697" i="10"/>
  <c r="S406" i="10" s="1"/>
  <c r="S696" i="10"/>
  <c r="S405" i="10" s="1"/>
  <c r="S695" i="10"/>
  <c r="S404" i="10" s="1"/>
  <c r="S694" i="10"/>
  <c r="S403" i="10" s="1"/>
  <c r="S693" i="10"/>
  <c r="S402" i="10" s="1"/>
  <c r="S692" i="10"/>
  <c r="S401" i="10" s="1"/>
  <c r="S691" i="10"/>
  <c r="S400" i="10" s="1"/>
  <c r="S690" i="10"/>
  <c r="S399" i="10" s="1"/>
  <c r="S720" i="10"/>
  <c r="S423" i="10" s="1"/>
  <c r="S709" i="10"/>
  <c r="S708" i="10"/>
  <c r="S707" i="10"/>
  <c r="S706" i="10"/>
  <c r="S705" i="10"/>
  <c r="S704" i="10"/>
  <c r="S703" i="10"/>
  <c r="S702" i="10"/>
  <c r="S700" i="10"/>
  <c r="S665" i="10"/>
  <c r="S381" i="10" s="1"/>
  <c r="S664" i="10"/>
  <c r="S380" i="10" s="1"/>
  <c r="S663" i="10"/>
  <c r="S379" i="10" s="1"/>
  <c r="S662" i="10"/>
  <c r="S378" i="10" s="1"/>
  <c r="S661" i="10"/>
  <c r="S377" i="10" s="1"/>
  <c r="S660" i="10"/>
  <c r="S376" i="10" s="1"/>
  <c r="S659" i="10"/>
  <c r="S375" i="10" s="1"/>
  <c r="S689" i="10"/>
  <c r="S398" i="10" s="1"/>
  <c r="S688" i="10"/>
  <c r="S397" i="10" s="1"/>
  <c r="S677" i="10"/>
  <c r="S676" i="10"/>
  <c r="S675" i="10"/>
  <c r="S674" i="10"/>
  <c r="S673" i="10"/>
  <c r="S672" i="10"/>
  <c r="S671" i="10"/>
  <c r="S670" i="10"/>
  <c r="S668" i="10"/>
  <c r="S657" i="10"/>
  <c r="S373" i="10" s="1"/>
  <c r="S656" i="10"/>
  <c r="S590" i="10"/>
  <c r="S591" i="10" s="1"/>
  <c r="S584" i="10"/>
  <c r="S585" i="10" s="1"/>
  <c r="S658" i="10"/>
  <c r="S374" i="10" s="1"/>
  <c r="S488" i="10"/>
  <c r="S487" i="10"/>
  <c r="S486" i="10"/>
  <c r="S485" i="10"/>
  <c r="S484" i="10"/>
  <c r="S483" i="10"/>
  <c r="S367" i="10"/>
  <c r="S501" i="10"/>
  <c r="S354" i="10"/>
  <c r="S353" i="10"/>
  <c r="S352" i="10"/>
  <c r="S351" i="10"/>
  <c r="S350" i="10"/>
  <c r="S349" i="10"/>
  <c r="S30" i="10"/>
  <c r="S26" i="10"/>
  <c r="S25" i="10"/>
  <c r="S23" i="10"/>
  <c r="S19" i="10"/>
  <c r="S40" i="10"/>
  <c r="T2" i="10"/>
  <c r="T639" i="10" s="1"/>
  <c r="R510" i="10"/>
  <c r="R514" i="10"/>
  <c r="R534" i="10"/>
  <c r="R538" i="10"/>
  <c r="R558" i="10"/>
  <c r="R562" i="10"/>
  <c r="R566" i="10"/>
  <c r="R509" i="10"/>
  <c r="R513" i="10"/>
  <c r="R533" i="10"/>
  <c r="R537" i="10"/>
  <c r="R541" i="10"/>
  <c r="R561" i="10"/>
  <c r="R565" i="10"/>
  <c r="R27" i="10"/>
  <c r="R698" i="10"/>
  <c r="R683" i="10" s="1"/>
  <c r="R66" i="10" s="1"/>
  <c r="R730" i="10"/>
  <c r="R715" i="10" s="1"/>
  <c r="R67" i="10" s="1"/>
  <c r="C272" i="10"/>
  <c r="C241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508" i="10"/>
  <c r="R512" i="10"/>
  <c r="R532" i="10"/>
  <c r="R536" i="10"/>
  <c r="R540" i="10"/>
  <c r="R560" i="10"/>
  <c r="R564" i="10"/>
  <c r="R502" i="10"/>
  <c r="R368" i="10"/>
  <c r="R507" i="10"/>
  <c r="R511" i="10"/>
  <c r="R515" i="10"/>
  <c r="R535" i="10"/>
  <c r="R539" i="10"/>
  <c r="R559" i="10"/>
  <c r="R563" i="10"/>
  <c r="R567" i="10"/>
  <c r="Q68" i="10"/>
  <c r="Q75" i="10" s="1"/>
  <c r="O63" i="8"/>
  <c r="R11" i="8"/>
  <c r="P625" i="8"/>
  <c r="P610" i="8" s="1"/>
  <c r="P60" i="8" s="1"/>
  <c r="P689" i="8"/>
  <c r="P674" i="8" s="1"/>
  <c r="P62" i="8" s="1"/>
  <c r="Q653" i="7"/>
  <c r="Q638" i="7" s="1"/>
  <c r="Q69" i="7" s="1"/>
  <c r="P657" i="8"/>
  <c r="P642" i="8" s="1"/>
  <c r="P61" i="8" s="1"/>
  <c r="C504" i="7"/>
  <c r="C191" i="7" s="1"/>
  <c r="C575" i="8"/>
  <c r="Q40" i="7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C503" i="7"/>
  <c r="C190" i="7" s="1"/>
  <c r="C574" i="8"/>
  <c r="C505" i="7"/>
  <c r="C192" i="7" s="1"/>
  <c r="C576" i="8"/>
  <c r="O72" i="8"/>
  <c r="Q700" i="8"/>
  <c r="Q699" i="8"/>
  <c r="Q698" i="8"/>
  <c r="Q697" i="8"/>
  <c r="Q696" i="8"/>
  <c r="Q694" i="8"/>
  <c r="Q693" i="8"/>
  <c r="Q692" i="8"/>
  <c r="Q688" i="8"/>
  <c r="Q397" i="8" s="1"/>
  <c r="Q687" i="8"/>
  <c r="Q686" i="8"/>
  <c r="Q395" i="8" s="1"/>
  <c r="Q685" i="8"/>
  <c r="Q394" i="8" s="1"/>
  <c r="Q684" i="8"/>
  <c r="Q393" i="8" s="1"/>
  <c r="Q683" i="8"/>
  <c r="Q392" i="8" s="1"/>
  <c r="Q682" i="8"/>
  <c r="Q391" i="8" s="1"/>
  <c r="Q681" i="8"/>
  <c r="Q390" i="8" s="1"/>
  <c r="Q680" i="8"/>
  <c r="Q389" i="8" s="1"/>
  <c r="Q679" i="8"/>
  <c r="Q388" i="8" s="1"/>
  <c r="Q668" i="8"/>
  <c r="Q666" i="8"/>
  <c r="Q664" i="8"/>
  <c r="Q662" i="8"/>
  <c r="Q656" i="8"/>
  <c r="Q371" i="8" s="1"/>
  <c r="Q655" i="8"/>
  <c r="Q370" i="8" s="1"/>
  <c r="Q654" i="8"/>
  <c r="Q369" i="8" s="1"/>
  <c r="Q653" i="8"/>
  <c r="Q368" i="8" s="1"/>
  <c r="Q652" i="8"/>
  <c r="Q367" i="8" s="1"/>
  <c r="Q651" i="8"/>
  <c r="Q366" i="8" s="1"/>
  <c r="Q650" i="8"/>
  <c r="Q365" i="8" s="1"/>
  <c r="Q649" i="8"/>
  <c r="Q364" i="8" s="1"/>
  <c r="Q648" i="8"/>
  <c r="Q363" i="8" s="1"/>
  <c r="Q647" i="8"/>
  <c r="Q362" i="8" s="1"/>
  <c r="Q667" i="8"/>
  <c r="Q665" i="8"/>
  <c r="Q663" i="8"/>
  <c r="Q661" i="8"/>
  <c r="Q660" i="8"/>
  <c r="Q624" i="8"/>
  <c r="Q346" i="8" s="1"/>
  <c r="Q623" i="8"/>
  <c r="Q345" i="8" s="1"/>
  <c r="Q622" i="8"/>
  <c r="Q344" i="8" s="1"/>
  <c r="Q621" i="8"/>
  <c r="Q343" i="8" s="1"/>
  <c r="Q620" i="8"/>
  <c r="Q342" i="8" s="1"/>
  <c r="Q619" i="8"/>
  <c r="Q341" i="8" s="1"/>
  <c r="Q618" i="8"/>
  <c r="Q340" i="8" s="1"/>
  <c r="Q617" i="8"/>
  <c r="Q339" i="8" s="1"/>
  <c r="Q616" i="8"/>
  <c r="Q338" i="8" s="1"/>
  <c r="Q615" i="8"/>
  <c r="Q337" i="8" s="1"/>
  <c r="Q636" i="8"/>
  <c r="Q635" i="8"/>
  <c r="Q634" i="8"/>
  <c r="Q633" i="8"/>
  <c r="Q632" i="8"/>
  <c r="Q631" i="8"/>
  <c r="Q630" i="8"/>
  <c r="Q629" i="8"/>
  <c r="Q627" i="8"/>
  <c r="Q604" i="8"/>
  <c r="Q555" i="8"/>
  <c r="Q556" i="8" s="1"/>
  <c r="Q549" i="8"/>
  <c r="Q550" i="8" s="1"/>
  <c r="Q453" i="8"/>
  <c r="Q452" i="8"/>
  <c r="Q451" i="8"/>
  <c r="Q450" i="8"/>
  <c r="Q449" i="8"/>
  <c r="Q448" i="8"/>
  <c r="Q396" i="8"/>
  <c r="Q466" i="8"/>
  <c r="Q332" i="8"/>
  <c r="Q319" i="8"/>
  <c r="Q318" i="8"/>
  <c r="Q317" i="8"/>
  <c r="Q316" i="8"/>
  <c r="Q315" i="8"/>
  <c r="Q314" i="8"/>
  <c r="Q30" i="8"/>
  <c r="Q26" i="8"/>
  <c r="Q25" i="8"/>
  <c r="Q23" i="8"/>
  <c r="Q19" i="8"/>
  <c r="Q40" i="8"/>
  <c r="R2" i="8"/>
  <c r="P333" i="8"/>
  <c r="P474" i="8"/>
  <c r="P471" i="8"/>
  <c r="P475" i="8"/>
  <c r="P479" i="8"/>
  <c r="P499" i="8"/>
  <c r="P503" i="8"/>
  <c r="P523" i="8"/>
  <c r="P527" i="8"/>
  <c r="P531" i="8"/>
  <c r="P478" i="8"/>
  <c r="P498" i="8"/>
  <c r="P502" i="8"/>
  <c r="P506" i="8"/>
  <c r="P526" i="8"/>
  <c r="P530" i="8"/>
  <c r="P27" i="8"/>
  <c r="P40" i="8"/>
  <c r="C506" i="7"/>
  <c r="C154" i="7" s="1"/>
  <c r="C577" i="8"/>
  <c r="P472" i="8"/>
  <c r="P473" i="8"/>
  <c r="P477" i="8"/>
  <c r="P497" i="8"/>
  <c r="P501" i="8"/>
  <c r="P505" i="8"/>
  <c r="P525" i="8"/>
  <c r="P529" i="8"/>
  <c r="P467" i="8"/>
  <c r="P476" i="8"/>
  <c r="P480" i="8"/>
  <c r="P500" i="8"/>
  <c r="P504" i="8"/>
  <c r="P524" i="8"/>
  <c r="P528" i="8"/>
  <c r="P532" i="8"/>
  <c r="Q27" i="7"/>
  <c r="Q291" i="7"/>
  <c r="Q426" i="7" s="1"/>
  <c r="Q621" i="7"/>
  <c r="Q606" i="7" s="1"/>
  <c r="Q68" i="7" s="1"/>
  <c r="S11" i="7"/>
  <c r="R550" i="7"/>
  <c r="R543" i="7"/>
  <c r="R544" i="7" s="1"/>
  <c r="C152" i="7"/>
  <c r="Q404" i="7"/>
  <c r="Q406" i="7"/>
  <c r="Q403" i="7"/>
  <c r="Q407" i="7"/>
  <c r="Q427" i="7"/>
  <c r="Q431" i="7"/>
  <c r="Q435" i="7"/>
  <c r="Q455" i="7"/>
  <c r="Q459" i="7"/>
  <c r="Q428" i="7"/>
  <c r="Q432" i="7"/>
  <c r="Q452" i="7"/>
  <c r="Q456" i="7"/>
  <c r="Q460" i="7"/>
  <c r="P400" i="7"/>
  <c r="Q685" i="7"/>
  <c r="Q670" i="7" s="1"/>
  <c r="Q70" i="7" s="1"/>
  <c r="P71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R696" i="7"/>
  <c r="R695" i="7"/>
  <c r="R694" i="7"/>
  <c r="R693" i="7"/>
  <c r="R691" i="7"/>
  <c r="R690" i="7"/>
  <c r="R689" i="7"/>
  <c r="R688" i="7"/>
  <c r="R684" i="7"/>
  <c r="R683" i="7"/>
  <c r="R325" i="7" s="1"/>
  <c r="R682" i="7"/>
  <c r="R324" i="7" s="1"/>
  <c r="R681" i="7"/>
  <c r="R323" i="7" s="1"/>
  <c r="R680" i="7"/>
  <c r="R322" i="7" s="1"/>
  <c r="R679" i="7"/>
  <c r="R321" i="7" s="1"/>
  <c r="R678" i="7"/>
  <c r="R320" i="7" s="1"/>
  <c r="R677" i="7"/>
  <c r="R319" i="7" s="1"/>
  <c r="R676" i="7"/>
  <c r="R318" i="7" s="1"/>
  <c r="R675" i="7"/>
  <c r="R317" i="7" s="1"/>
  <c r="R664" i="7"/>
  <c r="R663" i="7"/>
  <c r="R662" i="7"/>
  <c r="R661" i="7"/>
  <c r="R660" i="7"/>
  <c r="R659" i="7"/>
  <c r="R658" i="7"/>
  <c r="R657" i="7"/>
  <c r="R655" i="7"/>
  <c r="R652" i="7"/>
  <c r="R300" i="7" s="1"/>
  <c r="R651" i="7"/>
  <c r="R299" i="7" s="1"/>
  <c r="R650" i="7"/>
  <c r="R298" i="7" s="1"/>
  <c r="R649" i="7"/>
  <c r="R297" i="7" s="1"/>
  <c r="R648" i="7"/>
  <c r="R296" i="7" s="1"/>
  <c r="R647" i="7"/>
  <c r="R295" i="7" s="1"/>
  <c r="R646" i="7"/>
  <c r="R294" i="7" s="1"/>
  <c r="R645" i="7"/>
  <c r="R293" i="7" s="1"/>
  <c r="R644" i="7"/>
  <c r="R292" i="7" s="1"/>
  <c r="R643" i="7"/>
  <c r="R291" i="7" s="1"/>
  <c r="R632" i="7"/>
  <c r="R631" i="7"/>
  <c r="R630" i="7"/>
  <c r="R629" i="7"/>
  <c r="R628" i="7"/>
  <c r="R627" i="7"/>
  <c r="R626" i="7"/>
  <c r="R625" i="7"/>
  <c r="R623" i="7"/>
  <c r="R620" i="7"/>
  <c r="R275" i="7" s="1"/>
  <c r="R619" i="7"/>
  <c r="R274" i="7" s="1"/>
  <c r="R618" i="7"/>
  <c r="R273" i="7" s="1"/>
  <c r="R617" i="7"/>
  <c r="R272" i="7" s="1"/>
  <c r="R616" i="7"/>
  <c r="R615" i="7"/>
  <c r="R270" i="7" s="1"/>
  <c r="R614" i="7"/>
  <c r="R269" i="7" s="1"/>
  <c r="R613" i="7"/>
  <c r="R268" i="7" s="1"/>
  <c r="R612" i="7"/>
  <c r="R267" i="7" s="1"/>
  <c r="R611" i="7"/>
  <c r="R484" i="7"/>
  <c r="R485" i="7" s="1"/>
  <c r="R478" i="7"/>
  <c r="R479" i="7" s="1"/>
  <c r="R395" i="7"/>
  <c r="R326" i="7"/>
  <c r="R382" i="7"/>
  <c r="R381" i="7"/>
  <c r="R380" i="7"/>
  <c r="R379" i="7"/>
  <c r="R378" i="7"/>
  <c r="R377" i="7"/>
  <c r="R271" i="7"/>
  <c r="R248" i="7"/>
  <c r="R247" i="7"/>
  <c r="R246" i="7"/>
  <c r="R245" i="7"/>
  <c r="R244" i="7"/>
  <c r="R243" i="7"/>
  <c r="R261" i="7"/>
  <c r="R30" i="7"/>
  <c r="R26" i="7"/>
  <c r="R25" i="7"/>
  <c r="R23" i="7"/>
  <c r="R19" i="7"/>
  <c r="R40" i="7"/>
  <c r="S2" i="7"/>
  <c r="S600" i="7" s="1"/>
  <c r="Q262" i="7"/>
  <c r="Q408" i="7"/>
  <c r="Q402" i="7"/>
  <c r="Q401" i="7"/>
  <c r="Q405" i="7"/>
  <c r="Q409" i="7"/>
  <c r="Q429" i="7"/>
  <c r="Q433" i="7"/>
  <c r="Q453" i="7"/>
  <c r="Q457" i="7"/>
  <c r="Q461" i="7"/>
  <c r="Q430" i="7"/>
  <c r="Q434" i="7"/>
  <c r="Q454" i="7"/>
  <c r="Q458" i="7"/>
  <c r="Q396" i="7"/>
  <c r="D171" i="1"/>
  <c r="C171" i="1"/>
  <c r="B171" i="1"/>
  <c r="L13" i="1"/>
  <c r="L32" i="1"/>
  <c r="K36" i="2"/>
  <c r="B186" i="2"/>
  <c r="B183" i="2"/>
  <c r="B105" i="2"/>
  <c r="B195" i="2"/>
  <c r="B148" i="2"/>
  <c r="AM176" i="2"/>
  <c r="AM162" i="2"/>
  <c r="AE176" i="2"/>
  <c r="AE162" i="2"/>
  <c r="W176" i="2"/>
  <c r="W162" i="2"/>
  <c r="O176" i="2"/>
  <c r="O162" i="2"/>
  <c r="G176" i="2"/>
  <c r="G162" i="2"/>
  <c r="F162" i="2"/>
  <c r="F176" i="2"/>
  <c r="AP162" i="2"/>
  <c r="AP176" i="2"/>
  <c r="AN162" i="2"/>
  <c r="AN176" i="2"/>
  <c r="AL162" i="2"/>
  <c r="AL176" i="2"/>
  <c r="AH162" i="2"/>
  <c r="AH176" i="2"/>
  <c r="AF162" i="2"/>
  <c r="AF176" i="2"/>
  <c r="AB162" i="2"/>
  <c r="AB176" i="2"/>
  <c r="Z162" i="2"/>
  <c r="Z176" i="2"/>
  <c r="V162" i="2"/>
  <c r="V176" i="2"/>
  <c r="T162" i="2"/>
  <c r="T176" i="2"/>
  <c r="R162" i="2"/>
  <c r="R176" i="2"/>
  <c r="N162" i="2"/>
  <c r="N176" i="2"/>
  <c r="J162" i="2"/>
  <c r="J176" i="2"/>
  <c r="E176" i="2"/>
  <c r="E162" i="2"/>
  <c r="AO176" i="2"/>
  <c r="AO162" i="2"/>
  <c r="AK176" i="2"/>
  <c r="AK162" i="2"/>
  <c r="AG176" i="2"/>
  <c r="AG162" i="2"/>
  <c r="AC176" i="2"/>
  <c r="AC162" i="2"/>
  <c r="Y176" i="2"/>
  <c r="Y162" i="2"/>
  <c r="U176" i="2"/>
  <c r="U162" i="2"/>
  <c r="Q176" i="2"/>
  <c r="Q162" i="2"/>
  <c r="M176" i="2"/>
  <c r="M162" i="2"/>
  <c r="I176" i="2"/>
  <c r="I162" i="2"/>
  <c r="B185" i="2"/>
  <c r="D162" i="2"/>
  <c r="D176" i="2"/>
  <c r="AJ162" i="2"/>
  <c r="AJ176" i="2"/>
  <c r="AD162" i="2"/>
  <c r="AD176" i="2"/>
  <c r="X162" i="2"/>
  <c r="X176" i="2"/>
  <c r="P162" i="2"/>
  <c r="P176" i="2"/>
  <c r="L162" i="2"/>
  <c r="L176" i="2"/>
  <c r="H162" i="2"/>
  <c r="H176" i="2"/>
  <c r="AI176" i="2"/>
  <c r="AI162" i="2"/>
  <c r="AA176" i="2"/>
  <c r="AA162" i="2"/>
  <c r="S176" i="2"/>
  <c r="S162" i="2"/>
  <c r="K176" i="2"/>
  <c r="K162" i="2"/>
  <c r="C176" i="2"/>
  <c r="C162" i="2"/>
  <c r="B109" i="2"/>
  <c r="B334" i="2"/>
  <c r="A341" i="2"/>
  <c r="A342" i="2" s="1"/>
  <c r="A343" i="2" s="1"/>
  <c r="A344" i="2" s="1"/>
  <c r="A345" i="2" s="1"/>
  <c r="A346" i="2" s="1"/>
  <c r="A347" i="2" s="1"/>
  <c r="A348" i="2" s="1"/>
  <c r="A349" i="2" s="1"/>
  <c r="C239" i="10" l="1"/>
  <c r="S595" i="7"/>
  <c r="S546" i="7"/>
  <c r="S547" i="7"/>
  <c r="B575" i="7"/>
  <c r="R585" i="7"/>
  <c r="R579" i="7"/>
  <c r="R576" i="7" s="1"/>
  <c r="S586" i="7"/>
  <c r="S580" i="7"/>
  <c r="S581" i="7"/>
  <c r="S564" i="7"/>
  <c r="S584" i="7" s="1"/>
  <c r="B651" i="2"/>
  <c r="B309" i="8"/>
  <c r="E288" i="8" s="1"/>
  <c r="B238" i="7"/>
  <c r="E217" i="7" s="1"/>
  <c r="C613" i="10"/>
  <c r="C153" i="7"/>
  <c r="B443" i="8"/>
  <c r="E422" i="8" s="1"/>
  <c r="C238" i="10"/>
  <c r="B372" i="7"/>
  <c r="E351" i="7" s="1"/>
  <c r="E344" i="7" s="1"/>
  <c r="S523" i="7"/>
  <c r="S519" i="7"/>
  <c r="S515" i="7"/>
  <c r="S511" i="7"/>
  <c r="S594" i="7"/>
  <c r="E323" i="10"/>
  <c r="B345" i="10"/>
  <c r="B239" i="7"/>
  <c r="E457" i="10"/>
  <c r="E450" i="10" s="1"/>
  <c r="B479" i="10"/>
  <c r="B195" i="10"/>
  <c r="B55" i="10"/>
  <c r="S56" i="10"/>
  <c r="S85" i="10"/>
  <c r="S86" i="10" s="1"/>
  <c r="T629" i="10"/>
  <c r="T625" i="10"/>
  <c r="T621" i="10"/>
  <c r="T617" i="10"/>
  <c r="R582" i="8"/>
  <c r="R594" i="8"/>
  <c r="R590" i="8"/>
  <c r="R586" i="8"/>
  <c r="R65" i="10"/>
  <c r="R68" i="10" s="1"/>
  <c r="Q179" i="10"/>
  <c r="Q196" i="10" s="1"/>
  <c r="S180" i="10"/>
  <c r="S197" i="10" s="1"/>
  <c r="S141" i="10"/>
  <c r="S153" i="10" s="1"/>
  <c r="S249" i="10"/>
  <c r="S221" i="10"/>
  <c r="B178" i="10"/>
  <c r="S59" i="10"/>
  <c r="S372" i="10"/>
  <c r="S506" i="10" s="1"/>
  <c r="U11" i="10"/>
  <c r="T645" i="10"/>
  <c r="T181" i="10" s="1"/>
  <c r="T198" i="10" s="1"/>
  <c r="T41" i="10"/>
  <c r="T183" i="10" s="1"/>
  <c r="T200" i="10" s="1"/>
  <c r="R266" i="7"/>
  <c r="R400" i="7" s="1"/>
  <c r="C151" i="7"/>
  <c r="Q71" i="7"/>
  <c r="S730" i="10"/>
  <c r="S715" i="10" s="1"/>
  <c r="S67" i="10" s="1"/>
  <c r="T741" i="10"/>
  <c r="T740" i="10"/>
  <c r="T739" i="10"/>
  <c r="T738" i="10"/>
  <c r="T736" i="10"/>
  <c r="T735" i="10"/>
  <c r="T734" i="10"/>
  <c r="T733" i="10"/>
  <c r="T729" i="10"/>
  <c r="T728" i="10"/>
  <c r="T431" i="10" s="1"/>
  <c r="T727" i="10"/>
  <c r="T430" i="10" s="1"/>
  <c r="T726" i="10"/>
  <c r="T429" i="10" s="1"/>
  <c r="T725" i="10"/>
  <c r="T428" i="10" s="1"/>
  <c r="T724" i="10"/>
  <c r="T427" i="10" s="1"/>
  <c r="T723" i="10"/>
  <c r="T426" i="10" s="1"/>
  <c r="T722" i="10"/>
  <c r="T425" i="10" s="1"/>
  <c r="T721" i="10"/>
  <c r="T424" i="10" s="1"/>
  <c r="T720" i="10"/>
  <c r="T423" i="10" s="1"/>
  <c r="T709" i="10"/>
  <c r="T708" i="10"/>
  <c r="T707" i="10"/>
  <c r="T706" i="10"/>
  <c r="T705" i="10"/>
  <c r="T704" i="10"/>
  <c r="T703" i="10"/>
  <c r="T702" i="10"/>
  <c r="T700" i="10"/>
  <c r="T697" i="10"/>
  <c r="T406" i="10" s="1"/>
  <c r="T696" i="10"/>
  <c r="T405" i="10" s="1"/>
  <c r="T695" i="10"/>
  <c r="T404" i="10" s="1"/>
  <c r="T694" i="10"/>
  <c r="T403" i="10" s="1"/>
  <c r="T693" i="10"/>
  <c r="T402" i="10" s="1"/>
  <c r="T692" i="10"/>
  <c r="T401" i="10" s="1"/>
  <c r="T691" i="10"/>
  <c r="T400" i="10" s="1"/>
  <c r="T690" i="10"/>
  <c r="T399" i="10" s="1"/>
  <c r="T689" i="10"/>
  <c r="T398" i="10" s="1"/>
  <c r="T688" i="10"/>
  <c r="T397" i="10" s="1"/>
  <c r="T677" i="10"/>
  <c r="T676" i="10"/>
  <c r="T675" i="10"/>
  <c r="T674" i="10"/>
  <c r="T673" i="10"/>
  <c r="T672" i="10"/>
  <c r="T671" i="10"/>
  <c r="T670" i="10"/>
  <c r="T668" i="10"/>
  <c r="T665" i="10"/>
  <c r="T381" i="10" s="1"/>
  <c r="T664" i="10"/>
  <c r="T380" i="10" s="1"/>
  <c r="T663" i="10"/>
  <c r="T379" i="10" s="1"/>
  <c r="T662" i="10"/>
  <c r="T378" i="10" s="1"/>
  <c r="T661" i="10"/>
  <c r="T377" i="10" s="1"/>
  <c r="T660" i="10"/>
  <c r="T376" i="10" s="1"/>
  <c r="T659" i="10"/>
  <c r="T375" i="10" s="1"/>
  <c r="T658" i="10"/>
  <c r="T374" i="10" s="1"/>
  <c r="T657" i="10"/>
  <c r="T373" i="10" s="1"/>
  <c r="T656" i="10"/>
  <c r="T590" i="10"/>
  <c r="T591" i="10" s="1"/>
  <c r="T584" i="10"/>
  <c r="T585" i="10" s="1"/>
  <c r="T501" i="10"/>
  <c r="T432" i="10"/>
  <c r="T354" i="10"/>
  <c r="T353" i="10"/>
  <c r="T352" i="10"/>
  <c r="T351" i="10"/>
  <c r="T350" i="10"/>
  <c r="T349" i="10"/>
  <c r="T488" i="10"/>
  <c r="T487" i="10"/>
  <c r="T486" i="10"/>
  <c r="T485" i="10"/>
  <c r="T484" i="10"/>
  <c r="T483" i="10"/>
  <c r="T367" i="10"/>
  <c r="T40" i="10"/>
  <c r="T30" i="10"/>
  <c r="T26" i="10"/>
  <c r="T25" i="10"/>
  <c r="T23" i="10"/>
  <c r="T19" i="10"/>
  <c r="U2" i="10"/>
  <c r="U639" i="10" s="1"/>
  <c r="S368" i="10"/>
  <c r="S507" i="10"/>
  <c r="S511" i="10"/>
  <c r="S515" i="10"/>
  <c r="S535" i="10"/>
  <c r="S539" i="10"/>
  <c r="S559" i="10"/>
  <c r="S563" i="10"/>
  <c r="S567" i="10"/>
  <c r="S508" i="10"/>
  <c r="S512" i="10"/>
  <c r="S532" i="10"/>
  <c r="S536" i="10"/>
  <c r="S540" i="10"/>
  <c r="S560" i="10"/>
  <c r="S564" i="10"/>
  <c r="S502" i="10"/>
  <c r="S27" i="10"/>
  <c r="S666" i="10"/>
  <c r="S651" i="10" s="1"/>
  <c r="S698" i="10"/>
  <c r="S683" i="10" s="1"/>
  <c r="S66" i="10" s="1"/>
  <c r="S509" i="10"/>
  <c r="S513" i="10"/>
  <c r="S533" i="10"/>
  <c r="S537" i="10"/>
  <c r="S541" i="10"/>
  <c r="S561" i="10"/>
  <c r="S565" i="10"/>
  <c r="S510" i="10"/>
  <c r="S514" i="10"/>
  <c r="S534" i="10"/>
  <c r="S538" i="10"/>
  <c r="S558" i="10"/>
  <c r="S562" i="10"/>
  <c r="S566" i="10"/>
  <c r="C273" i="10"/>
  <c r="B175" i="8"/>
  <c r="C507" i="7"/>
  <c r="S11" i="8"/>
  <c r="P63" i="8"/>
  <c r="Q27" i="8"/>
  <c r="Q689" i="8"/>
  <c r="Q674" i="8" s="1"/>
  <c r="Q62" i="8" s="1"/>
  <c r="R700" i="8"/>
  <c r="R699" i="8"/>
  <c r="R698" i="8"/>
  <c r="R697" i="8"/>
  <c r="R695" i="8"/>
  <c r="R694" i="8"/>
  <c r="R693" i="8"/>
  <c r="R692" i="8"/>
  <c r="R688" i="8"/>
  <c r="R687" i="8"/>
  <c r="R396" i="8" s="1"/>
  <c r="R686" i="8"/>
  <c r="R395" i="8" s="1"/>
  <c r="R685" i="8"/>
  <c r="R394" i="8" s="1"/>
  <c r="R684" i="8"/>
  <c r="R393" i="8" s="1"/>
  <c r="R683" i="8"/>
  <c r="R392" i="8" s="1"/>
  <c r="R682" i="8"/>
  <c r="R391" i="8" s="1"/>
  <c r="R681" i="8"/>
  <c r="R390" i="8" s="1"/>
  <c r="R680" i="8"/>
  <c r="R389" i="8" s="1"/>
  <c r="R679" i="8"/>
  <c r="R388" i="8" s="1"/>
  <c r="R668" i="8"/>
  <c r="R667" i="8"/>
  <c r="R666" i="8"/>
  <c r="R665" i="8"/>
  <c r="R664" i="8"/>
  <c r="R663" i="8"/>
  <c r="R662" i="8"/>
  <c r="R661" i="8"/>
  <c r="R659" i="8"/>
  <c r="R656" i="8"/>
  <c r="R371" i="8" s="1"/>
  <c r="R655" i="8"/>
  <c r="R370" i="8" s="1"/>
  <c r="R654" i="8"/>
  <c r="R369" i="8" s="1"/>
  <c r="R653" i="8"/>
  <c r="R368" i="8" s="1"/>
  <c r="R652" i="8"/>
  <c r="R367" i="8" s="1"/>
  <c r="R651" i="8"/>
  <c r="R366" i="8" s="1"/>
  <c r="R650" i="8"/>
  <c r="R365" i="8" s="1"/>
  <c r="R649" i="8"/>
  <c r="R364" i="8" s="1"/>
  <c r="R648" i="8"/>
  <c r="R363" i="8" s="1"/>
  <c r="R647" i="8"/>
  <c r="R362" i="8" s="1"/>
  <c r="R636" i="8"/>
  <c r="R635" i="8"/>
  <c r="R634" i="8"/>
  <c r="R633" i="8"/>
  <c r="R632" i="8"/>
  <c r="R631" i="8"/>
  <c r="R630" i="8"/>
  <c r="R629" i="8"/>
  <c r="R627" i="8"/>
  <c r="R624" i="8"/>
  <c r="R346" i="8" s="1"/>
  <c r="R623" i="8"/>
  <c r="R345" i="8" s="1"/>
  <c r="R622" i="8"/>
  <c r="R344" i="8" s="1"/>
  <c r="R621" i="8"/>
  <c r="R343" i="8" s="1"/>
  <c r="R620" i="8"/>
  <c r="R342" i="8" s="1"/>
  <c r="R619" i="8"/>
  <c r="R341" i="8" s="1"/>
  <c r="R618" i="8"/>
  <c r="R340" i="8" s="1"/>
  <c r="R617" i="8"/>
  <c r="R339" i="8" s="1"/>
  <c r="R616" i="8"/>
  <c r="R338" i="8" s="1"/>
  <c r="R615" i="8"/>
  <c r="R337" i="8" s="1"/>
  <c r="R555" i="8"/>
  <c r="R556" i="8" s="1"/>
  <c r="R549" i="8"/>
  <c r="R550" i="8" s="1"/>
  <c r="R604" i="8"/>
  <c r="R466" i="8"/>
  <c r="R397" i="8"/>
  <c r="R453" i="8"/>
  <c r="R452" i="8"/>
  <c r="R451" i="8"/>
  <c r="R450" i="8"/>
  <c r="R449" i="8"/>
  <c r="R448" i="8"/>
  <c r="R332" i="8"/>
  <c r="R319" i="8"/>
  <c r="R318" i="8"/>
  <c r="R317" i="8"/>
  <c r="R316" i="8"/>
  <c r="R315" i="8"/>
  <c r="R314" i="8"/>
  <c r="R40" i="8"/>
  <c r="S2" i="8"/>
  <c r="R30" i="8"/>
  <c r="R26" i="8"/>
  <c r="R25" i="8"/>
  <c r="R23" i="8"/>
  <c r="R19" i="8"/>
  <c r="Q333" i="8"/>
  <c r="Q473" i="8"/>
  <c r="Q474" i="8"/>
  <c r="Q478" i="8"/>
  <c r="Q498" i="8"/>
  <c r="Q502" i="8"/>
  <c r="Q506" i="8"/>
  <c r="Q526" i="8"/>
  <c r="Q530" i="8"/>
  <c r="Q477" i="8"/>
  <c r="Q497" i="8"/>
  <c r="Q501" i="8"/>
  <c r="Q505" i="8"/>
  <c r="Q525" i="8"/>
  <c r="Q529" i="8"/>
  <c r="Q467" i="8"/>
  <c r="Q625" i="8"/>
  <c r="Q610" i="8" s="1"/>
  <c r="Q60" i="8" s="1"/>
  <c r="Q657" i="8"/>
  <c r="Q642" i="8" s="1"/>
  <c r="Q61" i="8" s="1"/>
  <c r="B160" i="8"/>
  <c r="P72" i="8"/>
  <c r="C264" i="8"/>
  <c r="C226" i="8"/>
  <c r="Q471" i="8"/>
  <c r="Q472" i="8"/>
  <c r="Q476" i="8"/>
  <c r="Q480" i="8"/>
  <c r="Q500" i="8"/>
  <c r="Q504" i="8"/>
  <c r="Q524" i="8"/>
  <c r="Q528" i="8"/>
  <c r="Q532" i="8"/>
  <c r="Q475" i="8"/>
  <c r="Q479" i="8"/>
  <c r="Q499" i="8"/>
  <c r="Q503" i="8"/>
  <c r="Q523" i="8"/>
  <c r="Q527" i="8"/>
  <c r="Q531" i="8"/>
  <c r="C263" i="8"/>
  <c r="C225" i="8"/>
  <c r="C578" i="8"/>
  <c r="C261" i="8"/>
  <c r="C223" i="8"/>
  <c r="C262" i="8"/>
  <c r="C224" i="8"/>
  <c r="C193" i="7"/>
  <c r="C194" i="7" s="1"/>
  <c r="S550" i="7"/>
  <c r="S543" i="7"/>
  <c r="S544" i="7" s="1"/>
  <c r="T11" i="7"/>
  <c r="S696" i="7"/>
  <c r="S695" i="7"/>
  <c r="S694" i="7"/>
  <c r="S693" i="7"/>
  <c r="S691" i="7"/>
  <c r="S690" i="7"/>
  <c r="S689" i="7"/>
  <c r="S684" i="7"/>
  <c r="S326" i="7" s="1"/>
  <c r="S683" i="7"/>
  <c r="S325" i="7" s="1"/>
  <c r="S682" i="7"/>
  <c r="S324" i="7" s="1"/>
  <c r="S681" i="7"/>
  <c r="S323" i="7" s="1"/>
  <c r="S680" i="7"/>
  <c r="S322" i="7" s="1"/>
  <c r="S679" i="7"/>
  <c r="S321" i="7" s="1"/>
  <c r="S678" i="7"/>
  <c r="S320" i="7" s="1"/>
  <c r="S677" i="7"/>
  <c r="S319" i="7" s="1"/>
  <c r="S688" i="7"/>
  <c r="S675" i="7"/>
  <c r="S317" i="7" s="1"/>
  <c r="S652" i="7"/>
  <c r="S300" i="7" s="1"/>
  <c r="S651" i="7"/>
  <c r="S299" i="7" s="1"/>
  <c r="S650" i="7"/>
  <c r="S298" i="7" s="1"/>
  <c r="S649" i="7"/>
  <c r="S297" i="7" s="1"/>
  <c r="S648" i="7"/>
  <c r="S296" i="7" s="1"/>
  <c r="S647" i="7"/>
  <c r="S295" i="7" s="1"/>
  <c r="S646" i="7"/>
  <c r="S294" i="7" s="1"/>
  <c r="S676" i="7"/>
  <c r="S318" i="7" s="1"/>
  <c r="S664" i="7"/>
  <c r="S663" i="7"/>
  <c r="S662" i="7"/>
  <c r="S661" i="7"/>
  <c r="S660" i="7"/>
  <c r="S659" i="7"/>
  <c r="S658" i="7"/>
  <c r="S657" i="7"/>
  <c r="S655" i="7"/>
  <c r="S620" i="7"/>
  <c r="S275" i="7" s="1"/>
  <c r="S619" i="7"/>
  <c r="S274" i="7" s="1"/>
  <c r="S618" i="7"/>
  <c r="S273" i="7" s="1"/>
  <c r="S617" i="7"/>
  <c r="S272" i="7" s="1"/>
  <c r="S616" i="7"/>
  <c r="S271" i="7" s="1"/>
  <c r="S615" i="7"/>
  <c r="S270" i="7" s="1"/>
  <c r="S645" i="7"/>
  <c r="S293" i="7" s="1"/>
  <c r="S644" i="7"/>
  <c r="S292" i="7" s="1"/>
  <c r="S643" i="7"/>
  <c r="S291" i="7" s="1"/>
  <c r="S632" i="7"/>
  <c r="S631" i="7"/>
  <c r="S630" i="7"/>
  <c r="S629" i="7"/>
  <c r="S628" i="7"/>
  <c r="S627" i="7"/>
  <c r="S626" i="7"/>
  <c r="S625" i="7"/>
  <c r="S623" i="7"/>
  <c r="S613" i="7"/>
  <c r="S268" i="7" s="1"/>
  <c r="S614" i="7"/>
  <c r="S269" i="7" s="1"/>
  <c r="S612" i="7"/>
  <c r="S267" i="7" s="1"/>
  <c r="S611" i="7"/>
  <c r="S484" i="7"/>
  <c r="S485" i="7" s="1"/>
  <c r="S478" i="7"/>
  <c r="S479" i="7" s="1"/>
  <c r="S382" i="7"/>
  <c r="S381" i="7"/>
  <c r="S380" i="7"/>
  <c r="S379" i="7"/>
  <c r="S378" i="7"/>
  <c r="S377" i="7"/>
  <c r="S395" i="7"/>
  <c r="S261" i="7"/>
  <c r="S248" i="7"/>
  <c r="S247" i="7"/>
  <c r="S246" i="7"/>
  <c r="S245" i="7"/>
  <c r="S244" i="7"/>
  <c r="S243" i="7"/>
  <c r="S40" i="7"/>
  <c r="S30" i="7"/>
  <c r="S26" i="7"/>
  <c r="S25" i="7"/>
  <c r="S23" i="7"/>
  <c r="S19" i="7"/>
  <c r="T2" i="7"/>
  <c r="T600" i="7" s="1"/>
  <c r="R407" i="7"/>
  <c r="R405" i="7"/>
  <c r="R404" i="7"/>
  <c r="R408" i="7"/>
  <c r="R428" i="7"/>
  <c r="R432" i="7"/>
  <c r="R452" i="7"/>
  <c r="R456" i="7"/>
  <c r="R460" i="7"/>
  <c r="R429" i="7"/>
  <c r="R433" i="7"/>
  <c r="R453" i="7"/>
  <c r="R457" i="7"/>
  <c r="R461" i="7"/>
  <c r="R27" i="7"/>
  <c r="R621" i="7"/>
  <c r="R606" i="7" s="1"/>
  <c r="R68" i="7" s="1"/>
  <c r="R653" i="7"/>
  <c r="R638" i="7" s="1"/>
  <c r="R69" i="7" s="1"/>
  <c r="R685" i="7"/>
  <c r="R670" i="7" s="1"/>
  <c r="R70" i="7" s="1"/>
  <c r="R403" i="7"/>
  <c r="R262" i="7"/>
  <c r="R401" i="7"/>
  <c r="R409" i="7"/>
  <c r="R402" i="7"/>
  <c r="R406" i="7"/>
  <c r="R426" i="7"/>
  <c r="R430" i="7"/>
  <c r="R434" i="7"/>
  <c r="R454" i="7"/>
  <c r="R458" i="7"/>
  <c r="R396" i="7"/>
  <c r="R427" i="7"/>
  <c r="R431" i="7"/>
  <c r="R435" i="7"/>
  <c r="R455" i="7"/>
  <c r="R459" i="7"/>
  <c r="C155" i="7"/>
  <c r="B177" i="2"/>
  <c r="B163" i="2"/>
  <c r="L14" i="1"/>
  <c r="L33" i="1"/>
  <c r="L36" i="2"/>
  <c r="M36" i="2" s="1"/>
  <c r="N36" i="2" s="1"/>
  <c r="O36" i="2" s="1"/>
  <c r="P36" i="2" s="1"/>
  <c r="Q36" i="2" s="1"/>
  <c r="R36" i="2" s="1"/>
  <c r="B187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G78" i="2"/>
  <c r="H78" i="2"/>
  <c r="C78" i="2"/>
  <c r="D78" i="2"/>
  <c r="E78" i="2"/>
  <c r="F78" i="2"/>
  <c r="B68" i="2"/>
  <c r="B71" i="2" s="1"/>
  <c r="B63" i="2"/>
  <c r="A698" i="2"/>
  <c r="A699" i="2" s="1"/>
  <c r="A686" i="2"/>
  <c r="A687" i="2" s="1"/>
  <c r="A688" i="2" s="1"/>
  <c r="B681" i="2"/>
  <c r="C678" i="2" s="1"/>
  <c r="A671" i="2"/>
  <c r="C242" i="10" l="1"/>
  <c r="S548" i="7"/>
  <c r="T547" i="7"/>
  <c r="T595" i="7"/>
  <c r="T546" i="7"/>
  <c r="B577" i="7"/>
  <c r="C581" i="7"/>
  <c r="E581" i="7"/>
  <c r="D581" i="7"/>
  <c r="F581" i="7"/>
  <c r="G581" i="7"/>
  <c r="G585" i="7" s="1"/>
  <c r="H581" i="7"/>
  <c r="H585" i="7" s="1"/>
  <c r="I581" i="7"/>
  <c r="I585" i="7" s="1"/>
  <c r="J581" i="7"/>
  <c r="J585" i="7" s="1"/>
  <c r="K581" i="7"/>
  <c r="K585" i="7" s="1"/>
  <c r="L581" i="7"/>
  <c r="L585" i="7" s="1"/>
  <c r="M581" i="7"/>
  <c r="M585" i="7" s="1"/>
  <c r="N581" i="7"/>
  <c r="N585" i="7" s="1"/>
  <c r="O581" i="7"/>
  <c r="O585" i="7" s="1"/>
  <c r="T581" i="7"/>
  <c r="T586" i="7"/>
  <c r="T580" i="7"/>
  <c r="T564" i="7"/>
  <c r="T584" i="7" s="1"/>
  <c r="S579" i="7"/>
  <c r="S576" i="7" s="1"/>
  <c r="S585" i="7"/>
  <c r="B444" i="8"/>
  <c r="C648" i="2"/>
  <c r="B310" i="8"/>
  <c r="B373" i="7"/>
  <c r="C189" i="2"/>
  <c r="C190" i="2" s="1"/>
  <c r="C188" i="8"/>
  <c r="C189" i="8" s="1"/>
  <c r="C207" i="10"/>
  <c r="C208" i="10" s="1"/>
  <c r="T523" i="7"/>
  <c r="T519" i="7"/>
  <c r="T515" i="7"/>
  <c r="T511" i="7"/>
  <c r="T594" i="7"/>
  <c r="T56" i="10"/>
  <c r="T85" i="10"/>
  <c r="T86" i="10" s="1"/>
  <c r="U629" i="10"/>
  <c r="U625" i="10"/>
  <c r="U621" i="10"/>
  <c r="U617" i="10"/>
  <c r="S594" i="8"/>
  <c r="S590" i="8"/>
  <c r="S586" i="8"/>
  <c r="S582" i="8"/>
  <c r="R179" i="10"/>
  <c r="R196" i="10" s="1"/>
  <c r="R75" i="10"/>
  <c r="S65" i="10"/>
  <c r="S68" i="10" s="1"/>
  <c r="S75" i="10" s="1"/>
  <c r="T180" i="10"/>
  <c r="T197" i="10" s="1"/>
  <c r="T141" i="10"/>
  <c r="T153" i="10" s="1"/>
  <c r="T249" i="10"/>
  <c r="T221" i="10"/>
  <c r="T372" i="10"/>
  <c r="T59" i="10"/>
  <c r="V11" i="10"/>
  <c r="U645" i="10"/>
  <c r="U181" i="10" s="1"/>
  <c r="U198" i="10" s="1"/>
  <c r="U41" i="10"/>
  <c r="U183" i="10" s="1"/>
  <c r="U200" i="10" s="1"/>
  <c r="S266" i="7"/>
  <c r="S400" i="7" s="1"/>
  <c r="T27" i="10"/>
  <c r="T666" i="10"/>
  <c r="T651" i="10" s="1"/>
  <c r="T506" i="10"/>
  <c r="T510" i="10"/>
  <c r="T514" i="10"/>
  <c r="T534" i="10"/>
  <c r="T538" i="10"/>
  <c r="T558" i="10"/>
  <c r="T562" i="10"/>
  <c r="T566" i="10"/>
  <c r="T509" i="10"/>
  <c r="T513" i="10"/>
  <c r="T533" i="10"/>
  <c r="T537" i="10"/>
  <c r="T541" i="10"/>
  <c r="T561" i="10"/>
  <c r="T565" i="10"/>
  <c r="T698" i="10"/>
  <c r="T683" i="10" s="1"/>
  <c r="T66" i="10" s="1"/>
  <c r="T730" i="10"/>
  <c r="T715" i="10" s="1"/>
  <c r="T67" i="10" s="1"/>
  <c r="U741" i="10"/>
  <c r="U740" i="10"/>
  <c r="U739" i="10"/>
  <c r="U737" i="10"/>
  <c r="U736" i="10"/>
  <c r="U735" i="10"/>
  <c r="U734" i="10"/>
  <c r="U733" i="10"/>
  <c r="U729" i="10"/>
  <c r="U432" i="10" s="1"/>
  <c r="U728" i="10"/>
  <c r="U727" i="10"/>
  <c r="U430" i="10" s="1"/>
  <c r="U726" i="10"/>
  <c r="U429" i="10" s="1"/>
  <c r="U725" i="10"/>
  <c r="U428" i="10" s="1"/>
  <c r="U724" i="10"/>
  <c r="U427" i="10" s="1"/>
  <c r="U723" i="10"/>
  <c r="U426" i="10" s="1"/>
  <c r="U722" i="10"/>
  <c r="U425" i="10" s="1"/>
  <c r="U721" i="10"/>
  <c r="U424" i="10" s="1"/>
  <c r="U720" i="10"/>
  <c r="U423" i="10" s="1"/>
  <c r="U697" i="10"/>
  <c r="U406" i="10" s="1"/>
  <c r="U696" i="10"/>
  <c r="U405" i="10" s="1"/>
  <c r="U695" i="10"/>
  <c r="U404" i="10" s="1"/>
  <c r="U694" i="10"/>
  <c r="U403" i="10" s="1"/>
  <c r="U693" i="10"/>
  <c r="U402" i="10" s="1"/>
  <c r="U692" i="10"/>
  <c r="U401" i="10" s="1"/>
  <c r="U691" i="10"/>
  <c r="U400" i="10" s="1"/>
  <c r="U690" i="10"/>
  <c r="U399" i="10" s="1"/>
  <c r="U709" i="10"/>
  <c r="U708" i="10"/>
  <c r="U707" i="10"/>
  <c r="U706" i="10"/>
  <c r="U705" i="10"/>
  <c r="U704" i="10"/>
  <c r="U703" i="10"/>
  <c r="U702" i="10"/>
  <c r="U700" i="10"/>
  <c r="U665" i="10"/>
  <c r="U381" i="10" s="1"/>
  <c r="U664" i="10"/>
  <c r="U380" i="10" s="1"/>
  <c r="U663" i="10"/>
  <c r="U379" i="10" s="1"/>
  <c r="U662" i="10"/>
  <c r="U378" i="10" s="1"/>
  <c r="U661" i="10"/>
  <c r="U377" i="10" s="1"/>
  <c r="U660" i="10"/>
  <c r="U376" i="10" s="1"/>
  <c r="U659" i="10"/>
  <c r="U375" i="10" s="1"/>
  <c r="U689" i="10"/>
  <c r="U398" i="10" s="1"/>
  <c r="U688" i="10"/>
  <c r="U397" i="10" s="1"/>
  <c r="U677" i="10"/>
  <c r="U676" i="10"/>
  <c r="U675" i="10"/>
  <c r="U674" i="10"/>
  <c r="U673" i="10"/>
  <c r="U672" i="10"/>
  <c r="U671" i="10"/>
  <c r="U670" i="10"/>
  <c r="U668" i="10"/>
  <c r="U658" i="10"/>
  <c r="U374" i="10" s="1"/>
  <c r="U656" i="10"/>
  <c r="U590" i="10"/>
  <c r="U591" i="10" s="1"/>
  <c r="U584" i="10"/>
  <c r="U585" i="10" s="1"/>
  <c r="U657" i="10"/>
  <c r="U373" i="10" s="1"/>
  <c r="U488" i="10"/>
  <c r="U487" i="10"/>
  <c r="U486" i="10"/>
  <c r="U485" i="10"/>
  <c r="U484" i="10"/>
  <c r="U483" i="10"/>
  <c r="U431" i="10"/>
  <c r="U367" i="10"/>
  <c r="U501" i="10"/>
  <c r="U354" i="10"/>
  <c r="U353" i="10"/>
  <c r="U352" i="10"/>
  <c r="U351" i="10"/>
  <c r="U350" i="10"/>
  <c r="U349" i="10"/>
  <c r="U30" i="10"/>
  <c r="U26" i="10"/>
  <c r="U25" i="10"/>
  <c r="U23" i="10"/>
  <c r="U19" i="10"/>
  <c r="U40" i="10"/>
  <c r="V2" i="10"/>
  <c r="V639" i="10" s="1"/>
  <c r="T508" i="10"/>
  <c r="T512" i="10"/>
  <c r="T532" i="10"/>
  <c r="T536" i="10"/>
  <c r="T540" i="10"/>
  <c r="T560" i="10"/>
  <c r="T564" i="10"/>
  <c r="T502" i="10"/>
  <c r="T368" i="10"/>
  <c r="T507" i="10"/>
  <c r="T511" i="10"/>
  <c r="T515" i="10"/>
  <c r="T535" i="10"/>
  <c r="T539" i="10"/>
  <c r="T559" i="10"/>
  <c r="T563" i="10"/>
  <c r="T567" i="10"/>
  <c r="T11" i="8"/>
  <c r="Q63" i="8"/>
  <c r="R657" i="8"/>
  <c r="R642" i="8" s="1"/>
  <c r="R61" i="8" s="1"/>
  <c r="R625" i="8"/>
  <c r="R610" i="8" s="1"/>
  <c r="R60" i="8" s="1"/>
  <c r="R689" i="8"/>
  <c r="R674" i="8" s="1"/>
  <c r="R62" i="8" s="1"/>
  <c r="Q72" i="8"/>
  <c r="S700" i="8"/>
  <c r="S699" i="8"/>
  <c r="S698" i="8"/>
  <c r="S697" i="8"/>
  <c r="S695" i="8"/>
  <c r="S694" i="8"/>
  <c r="S693" i="8"/>
  <c r="S692" i="8"/>
  <c r="S688" i="8"/>
  <c r="S397" i="8" s="1"/>
  <c r="S687" i="8"/>
  <c r="S686" i="8"/>
  <c r="S395" i="8" s="1"/>
  <c r="S685" i="8"/>
  <c r="S394" i="8" s="1"/>
  <c r="S684" i="8"/>
  <c r="S393" i="8" s="1"/>
  <c r="S683" i="8"/>
  <c r="S392" i="8" s="1"/>
  <c r="S682" i="8"/>
  <c r="S391" i="8" s="1"/>
  <c r="S681" i="8"/>
  <c r="S390" i="8" s="1"/>
  <c r="S680" i="8"/>
  <c r="S389" i="8" s="1"/>
  <c r="S679" i="8"/>
  <c r="S388" i="8" s="1"/>
  <c r="S667" i="8"/>
  <c r="S665" i="8"/>
  <c r="S663" i="8"/>
  <c r="S656" i="8"/>
  <c r="S371" i="8" s="1"/>
  <c r="S655" i="8"/>
  <c r="S654" i="8"/>
  <c r="S369" i="8" s="1"/>
  <c r="S653" i="8"/>
  <c r="S368" i="8" s="1"/>
  <c r="S652" i="8"/>
  <c r="S367" i="8" s="1"/>
  <c r="S651" i="8"/>
  <c r="S366" i="8" s="1"/>
  <c r="S650" i="8"/>
  <c r="S365" i="8" s="1"/>
  <c r="S649" i="8"/>
  <c r="S364" i="8" s="1"/>
  <c r="S648" i="8"/>
  <c r="S363" i="8" s="1"/>
  <c r="S647" i="8"/>
  <c r="S362" i="8" s="1"/>
  <c r="S668" i="8"/>
  <c r="S666" i="8"/>
  <c r="S664" i="8"/>
  <c r="S662" i="8"/>
  <c r="S661" i="8"/>
  <c r="S659" i="8"/>
  <c r="S624" i="8"/>
  <c r="S346" i="8" s="1"/>
  <c r="S623" i="8"/>
  <c r="S345" i="8" s="1"/>
  <c r="S622" i="8"/>
  <c r="S344" i="8" s="1"/>
  <c r="S621" i="8"/>
  <c r="S343" i="8" s="1"/>
  <c r="S620" i="8"/>
  <c r="S342" i="8" s="1"/>
  <c r="S619" i="8"/>
  <c r="S341" i="8" s="1"/>
  <c r="S618" i="8"/>
  <c r="S340" i="8" s="1"/>
  <c r="S617" i="8"/>
  <c r="S339" i="8" s="1"/>
  <c r="S616" i="8"/>
  <c r="S338" i="8" s="1"/>
  <c r="S615" i="8"/>
  <c r="S337" i="8" s="1"/>
  <c r="S636" i="8"/>
  <c r="S635" i="8"/>
  <c r="S634" i="8"/>
  <c r="S633" i="8"/>
  <c r="S632" i="8"/>
  <c r="S631" i="8"/>
  <c r="S630" i="8"/>
  <c r="S629" i="8"/>
  <c r="S627" i="8"/>
  <c r="S604" i="8"/>
  <c r="S555" i="8"/>
  <c r="S556" i="8" s="1"/>
  <c r="S549" i="8"/>
  <c r="S550" i="8" s="1"/>
  <c r="S453" i="8"/>
  <c r="S452" i="8"/>
  <c r="S451" i="8"/>
  <c r="S450" i="8"/>
  <c r="S449" i="8"/>
  <c r="S448" i="8"/>
  <c r="S396" i="8"/>
  <c r="S370" i="8"/>
  <c r="S466" i="8"/>
  <c r="S332" i="8"/>
  <c r="S319" i="8"/>
  <c r="S318" i="8"/>
  <c r="S317" i="8"/>
  <c r="S316" i="8"/>
  <c r="S315" i="8"/>
  <c r="S314" i="8"/>
  <c r="S30" i="8"/>
  <c r="S26" i="8"/>
  <c r="S25" i="8"/>
  <c r="S23" i="8"/>
  <c r="S19" i="8"/>
  <c r="S40" i="8"/>
  <c r="T2" i="8"/>
  <c r="R333" i="8"/>
  <c r="R472" i="8"/>
  <c r="R471" i="8"/>
  <c r="R475" i="8"/>
  <c r="R479" i="8"/>
  <c r="R499" i="8"/>
  <c r="R503" i="8"/>
  <c r="R523" i="8"/>
  <c r="R527" i="8"/>
  <c r="R531" i="8"/>
  <c r="R478" i="8"/>
  <c r="R498" i="8"/>
  <c r="R502" i="8"/>
  <c r="R506" i="8"/>
  <c r="R526" i="8"/>
  <c r="R530" i="8"/>
  <c r="C265" i="8"/>
  <c r="R27" i="8"/>
  <c r="R474" i="8"/>
  <c r="R473" i="8"/>
  <c r="R477" i="8"/>
  <c r="R497" i="8"/>
  <c r="R501" i="8"/>
  <c r="R505" i="8"/>
  <c r="R525" i="8"/>
  <c r="R529" i="8"/>
  <c r="R467" i="8"/>
  <c r="R476" i="8"/>
  <c r="R480" i="8"/>
  <c r="R500" i="8"/>
  <c r="R504" i="8"/>
  <c r="R524" i="8"/>
  <c r="R528" i="8"/>
  <c r="R532" i="8"/>
  <c r="C227" i="8"/>
  <c r="U11" i="7"/>
  <c r="T550" i="7"/>
  <c r="T543" i="7"/>
  <c r="T544" i="7" s="1"/>
  <c r="T696" i="7"/>
  <c r="T695" i="7"/>
  <c r="T694" i="7"/>
  <c r="T693" i="7"/>
  <c r="T691" i="7"/>
  <c r="T690" i="7"/>
  <c r="T689" i="7"/>
  <c r="T688" i="7"/>
  <c r="T684" i="7"/>
  <c r="T683" i="7"/>
  <c r="T682" i="7"/>
  <c r="T324" i="7" s="1"/>
  <c r="T681" i="7"/>
  <c r="T323" i="7" s="1"/>
  <c r="T680" i="7"/>
  <c r="T322" i="7" s="1"/>
  <c r="T679" i="7"/>
  <c r="T321" i="7" s="1"/>
  <c r="T678" i="7"/>
  <c r="T320" i="7" s="1"/>
  <c r="T677" i="7"/>
  <c r="T319" i="7" s="1"/>
  <c r="T676" i="7"/>
  <c r="T318" i="7" s="1"/>
  <c r="T675" i="7"/>
  <c r="T317" i="7" s="1"/>
  <c r="T664" i="7"/>
  <c r="T663" i="7"/>
  <c r="T662" i="7"/>
  <c r="T661" i="7"/>
  <c r="T660" i="7"/>
  <c r="T659" i="7"/>
  <c r="T658" i="7"/>
  <c r="T657" i="7"/>
  <c r="T655" i="7"/>
  <c r="T652" i="7"/>
  <c r="T300" i="7" s="1"/>
  <c r="T651" i="7"/>
  <c r="T299" i="7" s="1"/>
  <c r="T650" i="7"/>
  <c r="T298" i="7" s="1"/>
  <c r="T649" i="7"/>
  <c r="T297" i="7" s="1"/>
  <c r="T648" i="7"/>
  <c r="T296" i="7" s="1"/>
  <c r="T647" i="7"/>
  <c r="T295" i="7" s="1"/>
  <c r="T646" i="7"/>
  <c r="T294" i="7" s="1"/>
  <c r="T645" i="7"/>
  <c r="T293" i="7" s="1"/>
  <c r="T644" i="7"/>
  <c r="T292" i="7" s="1"/>
  <c r="T643" i="7"/>
  <c r="T291" i="7" s="1"/>
  <c r="T632" i="7"/>
  <c r="T631" i="7"/>
  <c r="T630" i="7"/>
  <c r="T629" i="7"/>
  <c r="T628" i="7"/>
  <c r="T627" i="7"/>
  <c r="T626" i="7"/>
  <c r="T625" i="7"/>
  <c r="T623" i="7"/>
  <c r="T620" i="7"/>
  <c r="T275" i="7" s="1"/>
  <c r="T619" i="7"/>
  <c r="T274" i="7" s="1"/>
  <c r="T618" i="7"/>
  <c r="T273" i="7" s="1"/>
  <c r="T617" i="7"/>
  <c r="T272" i="7" s="1"/>
  <c r="T616" i="7"/>
  <c r="T271" i="7" s="1"/>
  <c r="T615" i="7"/>
  <c r="T270" i="7" s="1"/>
  <c r="T614" i="7"/>
  <c r="T269" i="7" s="1"/>
  <c r="T613" i="7"/>
  <c r="T268" i="7" s="1"/>
  <c r="T612" i="7"/>
  <c r="T267" i="7" s="1"/>
  <c r="T611" i="7"/>
  <c r="T484" i="7"/>
  <c r="T485" i="7" s="1"/>
  <c r="T478" i="7"/>
  <c r="T479" i="7" s="1"/>
  <c r="T395" i="7"/>
  <c r="T326" i="7"/>
  <c r="T382" i="7"/>
  <c r="T381" i="7"/>
  <c r="T380" i="7"/>
  <c r="T379" i="7"/>
  <c r="T378" i="7"/>
  <c r="T377" i="7"/>
  <c r="T325" i="7"/>
  <c r="T248" i="7"/>
  <c r="T247" i="7"/>
  <c r="T246" i="7"/>
  <c r="T245" i="7"/>
  <c r="T244" i="7"/>
  <c r="T243" i="7"/>
  <c r="T261" i="7"/>
  <c r="T30" i="7"/>
  <c r="T26" i="7"/>
  <c r="T25" i="7"/>
  <c r="T23" i="7"/>
  <c r="T19" i="7"/>
  <c r="T40" i="7"/>
  <c r="U2" i="7"/>
  <c r="U600" i="7" s="1"/>
  <c r="S262" i="7"/>
  <c r="S402" i="7"/>
  <c r="S404" i="7"/>
  <c r="S401" i="7"/>
  <c r="S405" i="7"/>
  <c r="S409" i="7"/>
  <c r="S429" i="7"/>
  <c r="S433" i="7"/>
  <c r="S453" i="7"/>
  <c r="S457" i="7"/>
  <c r="S461" i="7"/>
  <c r="S426" i="7"/>
  <c r="S430" i="7"/>
  <c r="S434" i="7"/>
  <c r="S454" i="7"/>
  <c r="S458" i="7"/>
  <c r="S396" i="7"/>
  <c r="R71" i="7"/>
  <c r="S27" i="7"/>
  <c r="S621" i="7"/>
  <c r="S606" i="7" s="1"/>
  <c r="S68" i="7" s="1"/>
  <c r="S653" i="7"/>
  <c r="S638" i="7" s="1"/>
  <c r="S69" i="7" s="1"/>
  <c r="S406" i="7"/>
  <c r="S408" i="7"/>
  <c r="S403" i="7"/>
  <c r="S407" i="7"/>
  <c r="S427" i="7"/>
  <c r="S431" i="7"/>
  <c r="S435" i="7"/>
  <c r="S455" i="7"/>
  <c r="S459" i="7"/>
  <c r="S428" i="7"/>
  <c r="S432" i="7"/>
  <c r="S452" i="7"/>
  <c r="S456" i="7"/>
  <c r="S460" i="7"/>
  <c r="S685" i="7"/>
  <c r="S670" i="7" s="1"/>
  <c r="S70" i="7" s="1"/>
  <c r="L15" i="1"/>
  <c r="L34" i="1"/>
  <c r="S36" i="2"/>
  <c r="T36" i="2" s="1"/>
  <c r="U36" i="2" s="1"/>
  <c r="V36" i="2" s="1"/>
  <c r="W36" i="2" s="1"/>
  <c r="X36" i="2" s="1"/>
  <c r="A700" i="2"/>
  <c r="A689" i="2"/>
  <c r="T548" i="7" l="1"/>
  <c r="U595" i="7"/>
  <c r="U546" i="7"/>
  <c r="U547" i="7"/>
  <c r="F585" i="7"/>
  <c r="E585" i="7"/>
  <c r="C574" i="7"/>
  <c r="C580" i="7"/>
  <c r="C579" i="7" s="1"/>
  <c r="C576" i="7" s="1"/>
  <c r="D585" i="7"/>
  <c r="C585" i="7"/>
  <c r="U586" i="7"/>
  <c r="U580" i="7"/>
  <c r="U581" i="7"/>
  <c r="U564" i="7"/>
  <c r="U584" i="7" s="1"/>
  <c r="T585" i="7"/>
  <c r="T579" i="7"/>
  <c r="T576" i="7" s="1"/>
  <c r="C191" i="2"/>
  <c r="C190" i="8"/>
  <c r="C209" i="10"/>
  <c r="T266" i="7"/>
  <c r="T400" i="7" s="1"/>
  <c r="U523" i="7"/>
  <c r="U519" i="7"/>
  <c r="U515" i="7"/>
  <c r="U511" i="7"/>
  <c r="U594" i="7"/>
  <c r="U372" i="10"/>
  <c r="U506" i="10" s="1"/>
  <c r="U56" i="10"/>
  <c r="U85" i="10"/>
  <c r="U86" i="10" s="1"/>
  <c r="V629" i="10"/>
  <c r="V625" i="10"/>
  <c r="V621" i="10"/>
  <c r="V617" i="10"/>
  <c r="T582" i="8"/>
  <c r="T594" i="8"/>
  <c r="T590" i="8"/>
  <c r="T586" i="8"/>
  <c r="T65" i="10"/>
  <c r="T68" i="10" s="1"/>
  <c r="T75" i="10" s="1"/>
  <c r="S179" i="10"/>
  <c r="S196" i="10" s="1"/>
  <c r="U180" i="10"/>
  <c r="U197" i="10" s="1"/>
  <c r="U141" i="10"/>
  <c r="U153" i="10" s="1"/>
  <c r="U249" i="10"/>
  <c r="U221" i="10"/>
  <c r="U59" i="10"/>
  <c r="W11" i="10"/>
  <c r="V645" i="10"/>
  <c r="V181" i="10" s="1"/>
  <c r="V198" i="10" s="1"/>
  <c r="V41" i="10"/>
  <c r="V183" i="10" s="1"/>
  <c r="V200" i="10" s="1"/>
  <c r="U730" i="10"/>
  <c r="U715" i="10" s="1"/>
  <c r="U67" i="10" s="1"/>
  <c r="U368" i="10"/>
  <c r="U507" i="10"/>
  <c r="U511" i="10"/>
  <c r="U515" i="10"/>
  <c r="U535" i="10"/>
  <c r="U539" i="10"/>
  <c r="U559" i="10"/>
  <c r="U563" i="10"/>
  <c r="U567" i="10"/>
  <c r="U508" i="10"/>
  <c r="U512" i="10"/>
  <c r="U532" i="10"/>
  <c r="U536" i="10"/>
  <c r="U540" i="10"/>
  <c r="U560" i="10"/>
  <c r="U564" i="10"/>
  <c r="U502" i="10"/>
  <c r="U27" i="10"/>
  <c r="U666" i="10"/>
  <c r="U651" i="10" s="1"/>
  <c r="U698" i="10"/>
  <c r="U683" i="10" s="1"/>
  <c r="U66" i="10" s="1"/>
  <c r="V741" i="10"/>
  <c r="V740" i="10"/>
  <c r="V739" i="10"/>
  <c r="V737" i="10"/>
  <c r="V736" i="10"/>
  <c r="V735" i="10"/>
  <c r="V734" i="10"/>
  <c r="V733" i="10"/>
  <c r="V729" i="10"/>
  <c r="V728" i="10"/>
  <c r="V431" i="10" s="1"/>
  <c r="V727" i="10"/>
  <c r="V430" i="10" s="1"/>
  <c r="V726" i="10"/>
  <c r="V429" i="10" s="1"/>
  <c r="V725" i="10"/>
  <c r="V428" i="10" s="1"/>
  <c r="V724" i="10"/>
  <c r="V427" i="10" s="1"/>
  <c r="V723" i="10"/>
  <c r="V426" i="10" s="1"/>
  <c r="V722" i="10"/>
  <c r="V425" i="10" s="1"/>
  <c r="V721" i="10"/>
  <c r="V424" i="10" s="1"/>
  <c r="V720" i="10"/>
  <c r="V423" i="10" s="1"/>
  <c r="V709" i="10"/>
  <c r="V708" i="10"/>
  <c r="V707" i="10"/>
  <c r="V706" i="10"/>
  <c r="V705" i="10"/>
  <c r="V704" i="10"/>
  <c r="V703" i="10"/>
  <c r="V702" i="10"/>
  <c r="V700" i="10"/>
  <c r="V697" i="10"/>
  <c r="V406" i="10" s="1"/>
  <c r="V696" i="10"/>
  <c r="V405" i="10" s="1"/>
  <c r="V695" i="10"/>
  <c r="V404" i="10" s="1"/>
  <c r="V694" i="10"/>
  <c r="V403" i="10" s="1"/>
  <c r="V693" i="10"/>
  <c r="V402" i="10" s="1"/>
  <c r="V692" i="10"/>
  <c r="V401" i="10" s="1"/>
  <c r="V691" i="10"/>
  <c r="V400" i="10" s="1"/>
  <c r="V690" i="10"/>
  <c r="V399" i="10" s="1"/>
  <c r="V689" i="10"/>
  <c r="V398" i="10" s="1"/>
  <c r="V688" i="10"/>
  <c r="V397" i="10" s="1"/>
  <c r="V677" i="10"/>
  <c r="V676" i="10"/>
  <c r="V675" i="10"/>
  <c r="V674" i="10"/>
  <c r="V673" i="10"/>
  <c r="V672" i="10"/>
  <c r="V671" i="10"/>
  <c r="V670" i="10"/>
  <c r="V668" i="10"/>
  <c r="V665" i="10"/>
  <c r="V381" i="10" s="1"/>
  <c r="V664" i="10"/>
  <c r="V380" i="10" s="1"/>
  <c r="V663" i="10"/>
  <c r="V379" i="10" s="1"/>
  <c r="V662" i="10"/>
  <c r="V378" i="10" s="1"/>
  <c r="V661" i="10"/>
  <c r="V377" i="10" s="1"/>
  <c r="V660" i="10"/>
  <c r="V376" i="10" s="1"/>
  <c r="V659" i="10"/>
  <c r="V375" i="10" s="1"/>
  <c r="V658" i="10"/>
  <c r="V374" i="10" s="1"/>
  <c r="V657" i="10"/>
  <c r="V373" i="10" s="1"/>
  <c r="V656" i="10"/>
  <c r="V590" i="10"/>
  <c r="V591" i="10" s="1"/>
  <c r="V584" i="10"/>
  <c r="V585" i="10" s="1"/>
  <c r="V501" i="10"/>
  <c r="V432" i="10"/>
  <c r="V354" i="10"/>
  <c r="V353" i="10"/>
  <c r="V352" i="10"/>
  <c r="V351" i="10"/>
  <c r="V350" i="10"/>
  <c r="V349" i="10"/>
  <c r="V488" i="10"/>
  <c r="V487" i="10"/>
  <c r="V486" i="10"/>
  <c r="V485" i="10"/>
  <c r="V484" i="10"/>
  <c r="V483" i="10"/>
  <c r="V367" i="10"/>
  <c r="V40" i="10"/>
  <c r="W2" i="10"/>
  <c r="W639" i="10" s="1"/>
  <c r="V30" i="10"/>
  <c r="V26" i="10"/>
  <c r="V25" i="10"/>
  <c r="V23" i="10"/>
  <c r="V19" i="10"/>
  <c r="U509" i="10"/>
  <c r="U513" i="10"/>
  <c r="U533" i="10"/>
  <c r="U537" i="10"/>
  <c r="U541" i="10"/>
  <c r="U561" i="10"/>
  <c r="U565" i="10"/>
  <c r="U510" i="10"/>
  <c r="U514" i="10"/>
  <c r="U534" i="10"/>
  <c r="U538" i="10"/>
  <c r="U558" i="10"/>
  <c r="U562" i="10"/>
  <c r="U566" i="10"/>
  <c r="U11" i="8"/>
  <c r="S657" i="8"/>
  <c r="S642" i="8" s="1"/>
  <c r="S61" i="8" s="1"/>
  <c r="S689" i="8"/>
  <c r="S674" i="8" s="1"/>
  <c r="S62" i="8" s="1"/>
  <c r="R63" i="8"/>
  <c r="R72" i="8"/>
  <c r="T700" i="8"/>
  <c r="T699" i="8"/>
  <c r="T698" i="8"/>
  <c r="T697" i="8"/>
  <c r="T695" i="8"/>
  <c r="T694" i="8"/>
  <c r="T693" i="8"/>
  <c r="T692" i="8"/>
  <c r="T688" i="8"/>
  <c r="T687" i="8"/>
  <c r="T396" i="8" s="1"/>
  <c r="T686" i="8"/>
  <c r="T395" i="8" s="1"/>
  <c r="T685" i="8"/>
  <c r="T394" i="8" s="1"/>
  <c r="T684" i="8"/>
  <c r="T393" i="8" s="1"/>
  <c r="T683" i="8"/>
  <c r="T392" i="8" s="1"/>
  <c r="T682" i="8"/>
  <c r="T391" i="8" s="1"/>
  <c r="T681" i="8"/>
  <c r="T390" i="8" s="1"/>
  <c r="T680" i="8"/>
  <c r="T389" i="8" s="1"/>
  <c r="T679" i="8"/>
  <c r="T388" i="8" s="1"/>
  <c r="T668" i="8"/>
  <c r="T667" i="8"/>
  <c r="T666" i="8"/>
  <c r="T665" i="8"/>
  <c r="T664" i="8"/>
  <c r="T663" i="8"/>
  <c r="T662" i="8"/>
  <c r="T661" i="8"/>
  <c r="T659" i="8"/>
  <c r="T656" i="8"/>
  <c r="T371" i="8" s="1"/>
  <c r="T655" i="8"/>
  <c r="T370" i="8" s="1"/>
  <c r="T654" i="8"/>
  <c r="T369" i="8" s="1"/>
  <c r="T653" i="8"/>
  <c r="T368" i="8" s="1"/>
  <c r="T652" i="8"/>
  <c r="T367" i="8" s="1"/>
  <c r="T651" i="8"/>
  <c r="T366" i="8" s="1"/>
  <c r="T650" i="8"/>
  <c r="T365" i="8" s="1"/>
  <c r="T649" i="8"/>
  <c r="T364" i="8" s="1"/>
  <c r="T648" i="8"/>
  <c r="T363" i="8" s="1"/>
  <c r="T647" i="8"/>
  <c r="T362" i="8" s="1"/>
  <c r="T636" i="8"/>
  <c r="T635" i="8"/>
  <c r="T634" i="8"/>
  <c r="T633" i="8"/>
  <c r="T632" i="8"/>
  <c r="T631" i="8"/>
  <c r="T630" i="8"/>
  <c r="T629" i="8"/>
  <c r="T627" i="8"/>
  <c r="T624" i="8"/>
  <c r="T346" i="8" s="1"/>
  <c r="T623" i="8"/>
  <c r="T345" i="8" s="1"/>
  <c r="T622" i="8"/>
  <c r="T344" i="8" s="1"/>
  <c r="T621" i="8"/>
  <c r="T343" i="8" s="1"/>
  <c r="T620" i="8"/>
  <c r="T342" i="8" s="1"/>
  <c r="T619" i="8"/>
  <c r="T341" i="8" s="1"/>
  <c r="T618" i="8"/>
  <c r="T340" i="8" s="1"/>
  <c r="T617" i="8"/>
  <c r="T339" i="8" s="1"/>
  <c r="T616" i="8"/>
  <c r="T338" i="8" s="1"/>
  <c r="T615" i="8"/>
  <c r="T337" i="8" s="1"/>
  <c r="T555" i="8"/>
  <c r="T556" i="8" s="1"/>
  <c r="T549" i="8"/>
  <c r="T550" i="8" s="1"/>
  <c r="T604" i="8"/>
  <c r="T466" i="8"/>
  <c r="T397" i="8"/>
  <c r="T453" i="8"/>
  <c r="T452" i="8"/>
  <c r="T451" i="8"/>
  <c r="T450" i="8"/>
  <c r="T449" i="8"/>
  <c r="T448" i="8"/>
  <c r="T332" i="8"/>
  <c r="T319" i="8"/>
  <c r="T318" i="8"/>
  <c r="T317" i="8"/>
  <c r="T316" i="8"/>
  <c r="T315" i="8"/>
  <c r="T314" i="8"/>
  <c r="T40" i="8"/>
  <c r="U2" i="8"/>
  <c r="T30" i="8"/>
  <c r="T26" i="8"/>
  <c r="T25" i="8"/>
  <c r="T23" i="8"/>
  <c r="T19" i="8"/>
  <c r="S333" i="8"/>
  <c r="S473" i="8"/>
  <c r="S471" i="8"/>
  <c r="S474" i="8"/>
  <c r="S478" i="8"/>
  <c r="S498" i="8"/>
  <c r="S502" i="8"/>
  <c r="S506" i="8"/>
  <c r="S526" i="8"/>
  <c r="S530" i="8"/>
  <c r="S477" i="8"/>
  <c r="S497" i="8"/>
  <c r="S501" i="8"/>
  <c r="S505" i="8"/>
  <c r="S525" i="8"/>
  <c r="S529" i="8"/>
  <c r="S467" i="8"/>
  <c r="S27" i="8"/>
  <c r="S625" i="8"/>
  <c r="S610" i="8" s="1"/>
  <c r="S60" i="8" s="1"/>
  <c r="S472" i="8"/>
  <c r="S476" i="8"/>
  <c r="S480" i="8"/>
  <c r="S500" i="8"/>
  <c r="S504" i="8"/>
  <c r="S524" i="8"/>
  <c r="S528" i="8"/>
  <c r="S532" i="8"/>
  <c r="S475" i="8"/>
  <c r="S479" i="8"/>
  <c r="S499" i="8"/>
  <c r="S503" i="8"/>
  <c r="S523" i="8"/>
  <c r="S527" i="8"/>
  <c r="S531" i="8"/>
  <c r="B190" i="8"/>
  <c r="T685" i="7"/>
  <c r="T670" i="7" s="1"/>
  <c r="T70" i="7" s="1"/>
  <c r="U550" i="7"/>
  <c r="U543" i="7"/>
  <c r="U544" i="7" s="1"/>
  <c r="V11" i="7"/>
  <c r="U696" i="7"/>
  <c r="U695" i="7"/>
  <c r="U694" i="7"/>
  <c r="U692" i="7"/>
  <c r="U691" i="7"/>
  <c r="U690" i="7"/>
  <c r="U689" i="7"/>
  <c r="U688" i="7"/>
  <c r="U684" i="7"/>
  <c r="U326" i="7" s="1"/>
  <c r="U683" i="7"/>
  <c r="U682" i="7"/>
  <c r="U324" i="7" s="1"/>
  <c r="U681" i="7"/>
  <c r="U323" i="7" s="1"/>
  <c r="U680" i="7"/>
  <c r="U322" i="7" s="1"/>
  <c r="U679" i="7"/>
  <c r="U321" i="7" s="1"/>
  <c r="U678" i="7"/>
  <c r="U320" i="7" s="1"/>
  <c r="U677" i="7"/>
  <c r="U319" i="7" s="1"/>
  <c r="U676" i="7"/>
  <c r="U318" i="7" s="1"/>
  <c r="U652" i="7"/>
  <c r="U300" i="7" s="1"/>
  <c r="U651" i="7"/>
  <c r="U299" i="7" s="1"/>
  <c r="U650" i="7"/>
  <c r="U298" i="7" s="1"/>
  <c r="U649" i="7"/>
  <c r="U297" i="7" s="1"/>
  <c r="U648" i="7"/>
  <c r="U296" i="7" s="1"/>
  <c r="U647" i="7"/>
  <c r="U295" i="7" s="1"/>
  <c r="U646" i="7"/>
  <c r="U294" i="7" s="1"/>
  <c r="U675" i="7"/>
  <c r="U317" i="7" s="1"/>
  <c r="U664" i="7"/>
  <c r="U663" i="7"/>
  <c r="U662" i="7"/>
  <c r="U661" i="7"/>
  <c r="U660" i="7"/>
  <c r="U659" i="7"/>
  <c r="U658" i="7"/>
  <c r="U657" i="7"/>
  <c r="U655" i="7"/>
  <c r="U645" i="7"/>
  <c r="U293" i="7" s="1"/>
  <c r="U620" i="7"/>
  <c r="U275" i="7" s="1"/>
  <c r="U619" i="7"/>
  <c r="U274" i="7" s="1"/>
  <c r="U618" i="7"/>
  <c r="U273" i="7" s="1"/>
  <c r="U617" i="7"/>
  <c r="U272" i="7" s="1"/>
  <c r="U616" i="7"/>
  <c r="U271" i="7" s="1"/>
  <c r="U615" i="7"/>
  <c r="U270" i="7" s="1"/>
  <c r="U644" i="7"/>
  <c r="U292" i="7" s="1"/>
  <c r="U643" i="7"/>
  <c r="U291" i="7" s="1"/>
  <c r="U632" i="7"/>
  <c r="U631" i="7"/>
  <c r="U630" i="7"/>
  <c r="U629" i="7"/>
  <c r="U628" i="7"/>
  <c r="U627" i="7"/>
  <c r="U626" i="7"/>
  <c r="U625" i="7"/>
  <c r="U623" i="7"/>
  <c r="U614" i="7"/>
  <c r="U269" i="7" s="1"/>
  <c r="U613" i="7"/>
  <c r="U268" i="7" s="1"/>
  <c r="U612" i="7"/>
  <c r="U267" i="7" s="1"/>
  <c r="U611" i="7"/>
  <c r="U484" i="7"/>
  <c r="U485" i="7" s="1"/>
  <c r="U478" i="7"/>
  <c r="U479" i="7" s="1"/>
  <c r="U382" i="7"/>
  <c r="U381" i="7"/>
  <c r="U380" i="7"/>
  <c r="U379" i="7"/>
  <c r="U378" i="7"/>
  <c r="U377" i="7"/>
  <c r="U325" i="7"/>
  <c r="U395" i="7"/>
  <c r="U261" i="7"/>
  <c r="U248" i="7"/>
  <c r="U247" i="7"/>
  <c r="U246" i="7"/>
  <c r="U245" i="7"/>
  <c r="U244" i="7"/>
  <c r="U243" i="7"/>
  <c r="U40" i="7"/>
  <c r="V2" i="7"/>
  <c r="V600" i="7" s="1"/>
  <c r="U30" i="7"/>
  <c r="U26" i="7"/>
  <c r="U25" i="7"/>
  <c r="U23" i="7"/>
  <c r="U19" i="7"/>
  <c r="T405" i="7"/>
  <c r="T262" i="7"/>
  <c r="T403" i="7"/>
  <c r="T404" i="7"/>
  <c r="T408" i="7"/>
  <c r="T428" i="7"/>
  <c r="T432" i="7"/>
  <c r="T452" i="7"/>
  <c r="T456" i="7"/>
  <c r="T460" i="7"/>
  <c r="T429" i="7"/>
  <c r="T433" i="7"/>
  <c r="T453" i="7"/>
  <c r="T457" i="7"/>
  <c r="T461" i="7"/>
  <c r="T27" i="7"/>
  <c r="T621" i="7"/>
  <c r="T606" i="7" s="1"/>
  <c r="T68" i="7" s="1"/>
  <c r="T653" i="7"/>
  <c r="T638" i="7" s="1"/>
  <c r="T69" i="7" s="1"/>
  <c r="T401" i="7"/>
  <c r="T409" i="7"/>
  <c r="T407" i="7"/>
  <c r="T402" i="7"/>
  <c r="T406" i="7"/>
  <c r="T426" i="7"/>
  <c r="T430" i="7"/>
  <c r="T434" i="7"/>
  <c r="T454" i="7"/>
  <c r="T458" i="7"/>
  <c r="T396" i="7"/>
  <c r="T427" i="7"/>
  <c r="T431" i="7"/>
  <c r="T435" i="7"/>
  <c r="T455" i="7"/>
  <c r="T459" i="7"/>
  <c r="S71" i="7"/>
  <c r="B191" i="2"/>
  <c r="L16" i="1"/>
  <c r="L35" i="1"/>
  <c r="Y36" i="2"/>
  <c r="Z36" i="2" s="1"/>
  <c r="AA36" i="2" s="1"/>
  <c r="AB36" i="2" s="1"/>
  <c r="AC36" i="2" s="1"/>
  <c r="AD36" i="2" s="1"/>
  <c r="AE36" i="2" s="1"/>
  <c r="AF36" i="2" s="1"/>
  <c r="A701" i="2"/>
  <c r="A690" i="2"/>
  <c r="A691" i="2" s="1"/>
  <c r="A692" i="2" s="1"/>
  <c r="A693" i="2" s="1"/>
  <c r="A694" i="2" s="1"/>
  <c r="V547" i="7" l="1"/>
  <c r="V595" i="7"/>
  <c r="V546" i="7"/>
  <c r="U548" i="7"/>
  <c r="C577" i="7"/>
  <c r="D574" i="7" s="1"/>
  <c r="U579" i="7"/>
  <c r="U576" i="7" s="1"/>
  <c r="U585" i="7"/>
  <c r="V581" i="7"/>
  <c r="V586" i="7"/>
  <c r="V580" i="7"/>
  <c r="V564" i="7"/>
  <c r="V584" i="7" s="1"/>
  <c r="U266" i="7"/>
  <c r="U400" i="7" s="1"/>
  <c r="V523" i="7"/>
  <c r="V519" i="7"/>
  <c r="V515" i="7"/>
  <c r="V511" i="7"/>
  <c r="V593" i="7"/>
  <c r="S63" i="8"/>
  <c r="V56" i="10"/>
  <c r="V85" i="10"/>
  <c r="V86" i="10" s="1"/>
  <c r="W629" i="10"/>
  <c r="W625" i="10"/>
  <c r="W621" i="10"/>
  <c r="W617" i="10"/>
  <c r="U594" i="8"/>
  <c r="U590" i="8"/>
  <c r="U586" i="8"/>
  <c r="U582" i="8"/>
  <c r="U65" i="10"/>
  <c r="U68" i="10" s="1"/>
  <c r="U75" i="10" s="1"/>
  <c r="T179" i="10"/>
  <c r="T196" i="10" s="1"/>
  <c r="V180" i="10"/>
  <c r="V197" i="10" s="1"/>
  <c r="V141" i="10"/>
  <c r="V153" i="10" s="1"/>
  <c r="V249" i="10"/>
  <c r="V221" i="10"/>
  <c r="V59" i="10"/>
  <c r="X11" i="10"/>
  <c r="W645" i="10"/>
  <c r="W181" i="10" s="1"/>
  <c r="W198" i="10" s="1"/>
  <c r="W41" i="10"/>
  <c r="W183" i="10" s="1"/>
  <c r="W200" i="10" s="1"/>
  <c r="V666" i="10"/>
  <c r="V651" i="10" s="1"/>
  <c r="V509" i="10"/>
  <c r="V513" i="10"/>
  <c r="V533" i="10"/>
  <c r="V537" i="10"/>
  <c r="V541" i="10"/>
  <c r="W741" i="10"/>
  <c r="W740" i="10"/>
  <c r="W739" i="10"/>
  <c r="W737" i="10"/>
  <c r="W736" i="10"/>
  <c r="W735" i="10"/>
  <c r="W734" i="10"/>
  <c r="W729" i="10"/>
  <c r="W432" i="10" s="1"/>
  <c r="W728" i="10"/>
  <c r="W431" i="10" s="1"/>
  <c r="W727" i="10"/>
  <c r="W430" i="10" s="1"/>
  <c r="W726" i="10"/>
  <c r="W429" i="10" s="1"/>
  <c r="W725" i="10"/>
  <c r="W428" i="10" s="1"/>
  <c r="W724" i="10"/>
  <c r="W427" i="10" s="1"/>
  <c r="W723" i="10"/>
  <c r="W426" i="10" s="1"/>
  <c r="W722" i="10"/>
  <c r="W425" i="10" s="1"/>
  <c r="W721" i="10"/>
  <c r="W424" i="10" s="1"/>
  <c r="W732" i="10"/>
  <c r="W697" i="10"/>
  <c r="W406" i="10" s="1"/>
  <c r="W696" i="10"/>
  <c r="W405" i="10" s="1"/>
  <c r="W695" i="10"/>
  <c r="W404" i="10" s="1"/>
  <c r="W694" i="10"/>
  <c r="W403" i="10" s="1"/>
  <c r="W693" i="10"/>
  <c r="W402" i="10" s="1"/>
  <c r="W692" i="10"/>
  <c r="W401" i="10" s="1"/>
  <c r="W691" i="10"/>
  <c r="W400" i="10" s="1"/>
  <c r="W690" i="10"/>
  <c r="W399" i="10" s="1"/>
  <c r="W720" i="10"/>
  <c r="W423" i="10" s="1"/>
  <c r="W709" i="10"/>
  <c r="W708" i="10"/>
  <c r="W707" i="10"/>
  <c r="W706" i="10"/>
  <c r="W705" i="10"/>
  <c r="W704" i="10"/>
  <c r="W703" i="10"/>
  <c r="W702" i="10"/>
  <c r="W700" i="10"/>
  <c r="W665" i="10"/>
  <c r="W664" i="10"/>
  <c r="W380" i="10" s="1"/>
  <c r="W663" i="10"/>
  <c r="W379" i="10" s="1"/>
  <c r="W662" i="10"/>
  <c r="W378" i="10" s="1"/>
  <c r="W661" i="10"/>
  <c r="W377" i="10" s="1"/>
  <c r="W660" i="10"/>
  <c r="W376" i="10" s="1"/>
  <c r="W659" i="10"/>
  <c r="W375" i="10" s="1"/>
  <c r="W689" i="10"/>
  <c r="W398" i="10" s="1"/>
  <c r="W688" i="10"/>
  <c r="W397" i="10" s="1"/>
  <c r="W677" i="10"/>
  <c r="W676" i="10"/>
  <c r="W675" i="10"/>
  <c r="W674" i="10"/>
  <c r="W673" i="10"/>
  <c r="W672" i="10"/>
  <c r="W671" i="10"/>
  <c r="W670" i="10"/>
  <c r="W668" i="10"/>
  <c r="W657" i="10"/>
  <c r="W373" i="10" s="1"/>
  <c r="W656" i="10"/>
  <c r="W590" i="10"/>
  <c r="W591" i="10" s="1"/>
  <c r="W584" i="10"/>
  <c r="W585" i="10" s="1"/>
  <c r="W658" i="10"/>
  <c r="W374" i="10" s="1"/>
  <c r="W488" i="10"/>
  <c r="W487" i="10"/>
  <c r="W486" i="10"/>
  <c r="W485" i="10"/>
  <c r="W484" i="10"/>
  <c r="W483" i="10"/>
  <c r="W367" i="10"/>
  <c r="W501" i="10"/>
  <c r="W381" i="10"/>
  <c r="W354" i="10"/>
  <c r="W353" i="10"/>
  <c r="W352" i="10"/>
  <c r="W351" i="10"/>
  <c r="W350" i="10"/>
  <c r="W349" i="10"/>
  <c r="W30" i="10"/>
  <c r="W26" i="10"/>
  <c r="W25" i="10"/>
  <c r="W23" i="10"/>
  <c r="W19" i="10"/>
  <c r="W40" i="10"/>
  <c r="X2" i="10"/>
  <c r="X639" i="10" s="1"/>
  <c r="V510" i="10"/>
  <c r="V514" i="10"/>
  <c r="V534" i="10"/>
  <c r="V538" i="10"/>
  <c r="V558" i="10"/>
  <c r="V562" i="10"/>
  <c r="V566" i="10"/>
  <c r="V561" i="10"/>
  <c r="V565" i="10"/>
  <c r="V27" i="10"/>
  <c r="V372" i="10"/>
  <c r="V698" i="10"/>
  <c r="V683" i="10" s="1"/>
  <c r="V66" i="10" s="1"/>
  <c r="V730" i="10"/>
  <c r="V715" i="10" s="1"/>
  <c r="V67" i="10" s="1"/>
  <c r="V508" i="10"/>
  <c r="V512" i="10"/>
  <c r="V532" i="10"/>
  <c r="V536" i="10"/>
  <c r="V540" i="10"/>
  <c r="V560" i="10"/>
  <c r="V564" i="10"/>
  <c r="V502" i="10"/>
  <c r="V368" i="10"/>
  <c r="V507" i="10"/>
  <c r="V511" i="10"/>
  <c r="V515" i="10"/>
  <c r="V535" i="10"/>
  <c r="V539" i="10"/>
  <c r="V559" i="10"/>
  <c r="V563" i="10"/>
  <c r="V567" i="10"/>
  <c r="V11" i="8"/>
  <c r="T625" i="8"/>
  <c r="T610" i="8" s="1"/>
  <c r="T60" i="8" s="1"/>
  <c r="T689" i="8"/>
  <c r="T674" i="8" s="1"/>
  <c r="T62" i="8" s="1"/>
  <c r="T657" i="8"/>
  <c r="T642" i="8" s="1"/>
  <c r="T61" i="8" s="1"/>
  <c r="S72" i="8"/>
  <c r="U700" i="8"/>
  <c r="U699" i="8"/>
  <c r="U698" i="8"/>
  <c r="U696" i="8"/>
  <c r="U695" i="8"/>
  <c r="U694" i="8"/>
  <c r="U693" i="8"/>
  <c r="U692" i="8"/>
  <c r="U688" i="8"/>
  <c r="U397" i="8" s="1"/>
  <c r="U687" i="8"/>
  <c r="U686" i="8"/>
  <c r="U395" i="8" s="1"/>
  <c r="U685" i="8"/>
  <c r="U394" i="8" s="1"/>
  <c r="U684" i="8"/>
  <c r="U393" i="8" s="1"/>
  <c r="U683" i="8"/>
  <c r="U392" i="8" s="1"/>
  <c r="U682" i="8"/>
  <c r="U391" i="8" s="1"/>
  <c r="U681" i="8"/>
  <c r="U390" i="8" s="1"/>
  <c r="U680" i="8"/>
  <c r="U389" i="8" s="1"/>
  <c r="U679" i="8"/>
  <c r="U388" i="8" s="1"/>
  <c r="U668" i="8"/>
  <c r="U666" i="8"/>
  <c r="U664" i="8"/>
  <c r="U662" i="8"/>
  <c r="U656" i="8"/>
  <c r="U371" i="8" s="1"/>
  <c r="U655" i="8"/>
  <c r="U370" i="8" s="1"/>
  <c r="U654" i="8"/>
  <c r="U369" i="8" s="1"/>
  <c r="U653" i="8"/>
  <c r="U368" i="8" s="1"/>
  <c r="U652" i="8"/>
  <c r="U367" i="8" s="1"/>
  <c r="U651" i="8"/>
  <c r="U366" i="8" s="1"/>
  <c r="U650" i="8"/>
  <c r="U365" i="8" s="1"/>
  <c r="U649" i="8"/>
  <c r="U364" i="8" s="1"/>
  <c r="U648" i="8"/>
  <c r="U363" i="8" s="1"/>
  <c r="U647" i="8"/>
  <c r="U362" i="8" s="1"/>
  <c r="U667" i="8"/>
  <c r="U665" i="8"/>
  <c r="U663" i="8"/>
  <c r="U661" i="8"/>
  <c r="U659" i="8"/>
  <c r="U624" i="8"/>
  <c r="U346" i="8" s="1"/>
  <c r="U623" i="8"/>
  <c r="U345" i="8" s="1"/>
  <c r="U622" i="8"/>
  <c r="U344" i="8" s="1"/>
  <c r="U621" i="8"/>
  <c r="U343" i="8" s="1"/>
  <c r="U620" i="8"/>
  <c r="U342" i="8" s="1"/>
  <c r="U619" i="8"/>
  <c r="U341" i="8" s="1"/>
  <c r="U618" i="8"/>
  <c r="U340" i="8" s="1"/>
  <c r="U617" i="8"/>
  <c r="U339" i="8" s="1"/>
  <c r="U616" i="8"/>
  <c r="U338" i="8" s="1"/>
  <c r="U615" i="8"/>
  <c r="U337" i="8" s="1"/>
  <c r="U636" i="8"/>
  <c r="U635" i="8"/>
  <c r="U634" i="8"/>
  <c r="U633" i="8"/>
  <c r="U632" i="8"/>
  <c r="U631" i="8"/>
  <c r="U630" i="8"/>
  <c r="U629" i="8"/>
  <c r="U627" i="8"/>
  <c r="U604" i="8"/>
  <c r="U555" i="8"/>
  <c r="U556" i="8" s="1"/>
  <c r="U549" i="8"/>
  <c r="U550" i="8" s="1"/>
  <c r="U453" i="8"/>
  <c r="U452" i="8"/>
  <c r="U451" i="8"/>
  <c r="U450" i="8"/>
  <c r="U449" i="8"/>
  <c r="U448" i="8"/>
  <c r="U396" i="8"/>
  <c r="U466" i="8"/>
  <c r="U332" i="8"/>
  <c r="U319" i="8"/>
  <c r="U318" i="8"/>
  <c r="U317" i="8"/>
  <c r="U316" i="8"/>
  <c r="U315" i="8"/>
  <c r="U314" i="8"/>
  <c r="U30" i="8"/>
  <c r="U26" i="8"/>
  <c r="U25" i="8"/>
  <c r="U23" i="8"/>
  <c r="U19" i="8"/>
  <c r="U40" i="8"/>
  <c r="V2" i="8"/>
  <c r="T333" i="8"/>
  <c r="T474" i="8"/>
  <c r="T471" i="8"/>
  <c r="T475" i="8"/>
  <c r="T479" i="8"/>
  <c r="T499" i="8"/>
  <c r="T503" i="8"/>
  <c r="T523" i="8"/>
  <c r="T527" i="8"/>
  <c r="T531" i="8"/>
  <c r="T478" i="8"/>
  <c r="T498" i="8"/>
  <c r="T502" i="8"/>
  <c r="T506" i="8"/>
  <c r="T526" i="8"/>
  <c r="T530" i="8"/>
  <c r="T27" i="8"/>
  <c r="T472" i="8"/>
  <c r="T473" i="8"/>
  <c r="T477" i="8"/>
  <c r="T497" i="8"/>
  <c r="T501" i="8"/>
  <c r="T505" i="8"/>
  <c r="T525" i="8"/>
  <c r="T529" i="8"/>
  <c r="T467" i="8"/>
  <c r="T476" i="8"/>
  <c r="T480" i="8"/>
  <c r="T500" i="8"/>
  <c r="T504" i="8"/>
  <c r="T524" i="8"/>
  <c r="T528" i="8"/>
  <c r="T532" i="8"/>
  <c r="U685" i="7"/>
  <c r="U670" i="7" s="1"/>
  <c r="U70" i="7" s="1"/>
  <c r="W11" i="7"/>
  <c r="V550" i="7"/>
  <c r="V543" i="7"/>
  <c r="V544" i="7" s="1"/>
  <c r="V696" i="7"/>
  <c r="V695" i="7"/>
  <c r="V694" i="7"/>
  <c r="V692" i="7"/>
  <c r="V691" i="7"/>
  <c r="V690" i="7"/>
  <c r="V689" i="7"/>
  <c r="V688" i="7"/>
  <c r="V684" i="7"/>
  <c r="V683" i="7"/>
  <c r="V682" i="7"/>
  <c r="V324" i="7" s="1"/>
  <c r="V681" i="7"/>
  <c r="V323" i="7" s="1"/>
  <c r="V680" i="7"/>
  <c r="V322" i="7" s="1"/>
  <c r="V679" i="7"/>
  <c r="V321" i="7" s="1"/>
  <c r="V678" i="7"/>
  <c r="V320" i="7" s="1"/>
  <c r="V677" i="7"/>
  <c r="V319" i="7" s="1"/>
  <c r="V676" i="7"/>
  <c r="V318" i="7" s="1"/>
  <c r="V675" i="7"/>
  <c r="V317" i="7" s="1"/>
  <c r="V664" i="7"/>
  <c r="V663" i="7"/>
  <c r="V662" i="7"/>
  <c r="V661" i="7"/>
  <c r="V660" i="7"/>
  <c r="V659" i="7"/>
  <c r="V658" i="7"/>
  <c r="V657" i="7"/>
  <c r="V655" i="7"/>
  <c r="V652" i="7"/>
  <c r="V300" i="7" s="1"/>
  <c r="V651" i="7"/>
  <c r="V299" i="7" s="1"/>
  <c r="V650" i="7"/>
  <c r="V298" i="7" s="1"/>
  <c r="V649" i="7"/>
  <c r="V297" i="7" s="1"/>
  <c r="V648" i="7"/>
  <c r="V296" i="7" s="1"/>
  <c r="V647" i="7"/>
  <c r="V295" i="7" s="1"/>
  <c r="V646" i="7"/>
  <c r="V294" i="7" s="1"/>
  <c r="V645" i="7"/>
  <c r="V293" i="7" s="1"/>
  <c r="V644" i="7"/>
  <c r="V292" i="7" s="1"/>
  <c r="V643" i="7"/>
  <c r="V291" i="7" s="1"/>
  <c r="V632" i="7"/>
  <c r="V631" i="7"/>
  <c r="V630" i="7"/>
  <c r="V629" i="7"/>
  <c r="V628" i="7"/>
  <c r="V627" i="7"/>
  <c r="V626" i="7"/>
  <c r="V625" i="7"/>
  <c r="V623" i="7"/>
  <c r="V620" i="7"/>
  <c r="V275" i="7" s="1"/>
  <c r="V619" i="7"/>
  <c r="V274" i="7" s="1"/>
  <c r="V618" i="7"/>
  <c r="V273" i="7" s="1"/>
  <c r="V617" i="7"/>
  <c r="V272" i="7" s="1"/>
  <c r="V616" i="7"/>
  <c r="V271" i="7" s="1"/>
  <c r="V615" i="7"/>
  <c r="V270" i="7" s="1"/>
  <c r="V614" i="7"/>
  <c r="V269" i="7" s="1"/>
  <c r="V613" i="7"/>
  <c r="V268" i="7" s="1"/>
  <c r="V612" i="7"/>
  <c r="V267" i="7" s="1"/>
  <c r="V611" i="7"/>
  <c r="V484" i="7"/>
  <c r="V485" i="7" s="1"/>
  <c r="V478" i="7"/>
  <c r="V479" i="7" s="1"/>
  <c r="V395" i="7"/>
  <c r="V326" i="7"/>
  <c r="V382" i="7"/>
  <c r="V381" i="7"/>
  <c r="V380" i="7"/>
  <c r="V379" i="7"/>
  <c r="V378" i="7"/>
  <c r="V377" i="7"/>
  <c r="V325" i="7"/>
  <c r="V248" i="7"/>
  <c r="V247" i="7"/>
  <c r="V246" i="7"/>
  <c r="V245" i="7"/>
  <c r="V244" i="7"/>
  <c r="V243" i="7"/>
  <c r="V261" i="7"/>
  <c r="V30" i="7"/>
  <c r="V26" i="7"/>
  <c r="V25" i="7"/>
  <c r="V23" i="7"/>
  <c r="V19" i="7"/>
  <c r="V40" i="7"/>
  <c r="W2" i="7"/>
  <c r="W600" i="7" s="1"/>
  <c r="U262" i="7"/>
  <c r="U408" i="7"/>
  <c r="U402" i="7"/>
  <c r="U401" i="7"/>
  <c r="U405" i="7"/>
  <c r="U409" i="7"/>
  <c r="U429" i="7"/>
  <c r="U433" i="7"/>
  <c r="U453" i="7"/>
  <c r="U457" i="7"/>
  <c r="U461" i="7"/>
  <c r="U426" i="7"/>
  <c r="U430" i="7"/>
  <c r="U434" i="7"/>
  <c r="U454" i="7"/>
  <c r="U458" i="7"/>
  <c r="U396" i="7"/>
  <c r="T71" i="7"/>
  <c r="U27" i="7"/>
  <c r="U621" i="7"/>
  <c r="U606" i="7" s="1"/>
  <c r="U68" i="7" s="1"/>
  <c r="U653" i="7"/>
  <c r="U638" i="7" s="1"/>
  <c r="U69" i="7" s="1"/>
  <c r="U404" i="7"/>
  <c r="U406" i="7"/>
  <c r="U403" i="7"/>
  <c r="U407" i="7"/>
  <c r="U427" i="7"/>
  <c r="U431" i="7"/>
  <c r="U435" i="7"/>
  <c r="U455" i="7"/>
  <c r="U459" i="7"/>
  <c r="U428" i="7"/>
  <c r="U432" i="7"/>
  <c r="U452" i="7"/>
  <c r="U456" i="7"/>
  <c r="U460" i="7"/>
  <c r="L17" i="1"/>
  <c r="L36" i="1"/>
  <c r="AG36" i="2"/>
  <c r="A702" i="2"/>
  <c r="V548" i="7" l="1"/>
  <c r="D580" i="7"/>
  <c r="D579" i="7" s="1"/>
  <c r="D576" i="7" s="1"/>
  <c r="W595" i="7"/>
  <c r="W546" i="7"/>
  <c r="W547" i="7"/>
  <c r="D577" i="7"/>
  <c r="E574" i="7" s="1"/>
  <c r="V585" i="7"/>
  <c r="V579" i="7"/>
  <c r="V576" i="7" s="1"/>
  <c r="W586" i="7"/>
  <c r="W580" i="7"/>
  <c r="W581" i="7"/>
  <c r="W564" i="7"/>
  <c r="W584" i="7" s="1"/>
  <c r="W523" i="7"/>
  <c r="W519" i="7"/>
  <c r="W515" i="7"/>
  <c r="W511" i="7"/>
  <c r="W594" i="7"/>
  <c r="W593" i="7"/>
  <c r="W56" i="10"/>
  <c r="W85" i="10"/>
  <c r="W86" i="10" s="1"/>
  <c r="X629" i="10"/>
  <c r="X625" i="10"/>
  <c r="X621" i="10"/>
  <c r="X617" i="10"/>
  <c r="V582" i="8"/>
  <c r="V594" i="8"/>
  <c r="V590" i="8"/>
  <c r="V586" i="8"/>
  <c r="V65" i="10"/>
  <c r="V68" i="10" s="1"/>
  <c r="V75" i="10" s="1"/>
  <c r="U179" i="10"/>
  <c r="U196" i="10" s="1"/>
  <c r="W180" i="10"/>
  <c r="W197" i="10" s="1"/>
  <c r="W141" i="10"/>
  <c r="W153" i="10" s="1"/>
  <c r="W249" i="10"/>
  <c r="W221" i="10"/>
  <c r="W59" i="10"/>
  <c r="W730" i="10"/>
  <c r="W715" i="10" s="1"/>
  <c r="W67" i="10" s="1"/>
  <c r="Y11" i="10"/>
  <c r="X645" i="10"/>
  <c r="X181" i="10" s="1"/>
  <c r="X198" i="10" s="1"/>
  <c r="X41" i="10"/>
  <c r="X183" i="10" s="1"/>
  <c r="X200" i="10" s="1"/>
  <c r="V506" i="10"/>
  <c r="W368" i="10"/>
  <c r="W507" i="10"/>
  <c r="W511" i="10"/>
  <c r="W515" i="10"/>
  <c r="W535" i="10"/>
  <c r="W539" i="10"/>
  <c r="W559" i="10"/>
  <c r="W563" i="10"/>
  <c r="W567" i="10"/>
  <c r="W508" i="10"/>
  <c r="W512" i="10"/>
  <c r="W532" i="10"/>
  <c r="W536" i="10"/>
  <c r="W540" i="10"/>
  <c r="W560" i="10"/>
  <c r="W564" i="10"/>
  <c r="W502" i="10"/>
  <c r="W27" i="10"/>
  <c r="W666" i="10"/>
  <c r="W651" i="10" s="1"/>
  <c r="W698" i="10"/>
  <c r="W683" i="10" s="1"/>
  <c r="W66" i="10" s="1"/>
  <c r="X741" i="10"/>
  <c r="X740" i="10"/>
  <c r="X738" i="10"/>
  <c r="X737" i="10"/>
  <c r="X736" i="10"/>
  <c r="X735" i="10"/>
  <c r="X734" i="10"/>
  <c r="X732" i="10"/>
  <c r="X729" i="10"/>
  <c r="X432" i="10" s="1"/>
  <c r="X728" i="10"/>
  <c r="X431" i="10" s="1"/>
  <c r="X727" i="10"/>
  <c r="X430" i="10" s="1"/>
  <c r="X726" i="10"/>
  <c r="X429" i="10" s="1"/>
  <c r="X725" i="10"/>
  <c r="X428" i="10" s="1"/>
  <c r="X724" i="10"/>
  <c r="X427" i="10" s="1"/>
  <c r="X723" i="10"/>
  <c r="X426" i="10" s="1"/>
  <c r="X722" i="10"/>
  <c r="X425" i="10" s="1"/>
  <c r="X721" i="10"/>
  <c r="X424" i="10" s="1"/>
  <c r="X720" i="10"/>
  <c r="X423" i="10" s="1"/>
  <c r="X709" i="10"/>
  <c r="X708" i="10"/>
  <c r="X707" i="10"/>
  <c r="X706" i="10"/>
  <c r="X705" i="10"/>
  <c r="X704" i="10"/>
  <c r="X703" i="10"/>
  <c r="X702" i="10"/>
  <c r="X700" i="10"/>
  <c r="X697" i="10"/>
  <c r="X406" i="10" s="1"/>
  <c r="X696" i="10"/>
  <c r="X405" i="10" s="1"/>
  <c r="X695" i="10"/>
  <c r="X404" i="10" s="1"/>
  <c r="X694" i="10"/>
  <c r="X403" i="10" s="1"/>
  <c r="X693" i="10"/>
  <c r="X402" i="10" s="1"/>
  <c r="X692" i="10"/>
  <c r="X401" i="10" s="1"/>
  <c r="X691" i="10"/>
  <c r="X400" i="10" s="1"/>
  <c r="X690" i="10"/>
  <c r="X399" i="10" s="1"/>
  <c r="X689" i="10"/>
  <c r="X398" i="10" s="1"/>
  <c r="X688" i="10"/>
  <c r="X677" i="10"/>
  <c r="X676" i="10"/>
  <c r="X675" i="10"/>
  <c r="X674" i="10"/>
  <c r="X673" i="10"/>
  <c r="X672" i="10"/>
  <c r="X671" i="10"/>
  <c r="X670" i="10"/>
  <c r="X668" i="10"/>
  <c r="X665" i="10"/>
  <c r="X381" i="10" s="1"/>
  <c r="X664" i="10"/>
  <c r="X380" i="10" s="1"/>
  <c r="X663" i="10"/>
  <c r="X379" i="10" s="1"/>
  <c r="X662" i="10"/>
  <c r="X378" i="10" s="1"/>
  <c r="X661" i="10"/>
  <c r="X377" i="10" s="1"/>
  <c r="X660" i="10"/>
  <c r="X376" i="10" s="1"/>
  <c r="X659" i="10"/>
  <c r="X375" i="10" s="1"/>
  <c r="X658" i="10"/>
  <c r="X374" i="10" s="1"/>
  <c r="X657" i="10"/>
  <c r="X373" i="10" s="1"/>
  <c r="X656" i="10"/>
  <c r="X590" i="10"/>
  <c r="X591" i="10" s="1"/>
  <c r="X584" i="10"/>
  <c r="X585" i="10" s="1"/>
  <c r="X501" i="10"/>
  <c r="X354" i="10"/>
  <c r="X353" i="10"/>
  <c r="X352" i="10"/>
  <c r="X351" i="10"/>
  <c r="X350" i="10"/>
  <c r="X349" i="10"/>
  <c r="X488" i="10"/>
  <c r="X487" i="10"/>
  <c r="X486" i="10"/>
  <c r="X485" i="10"/>
  <c r="X484" i="10"/>
  <c r="X483" i="10"/>
  <c r="X367" i="10"/>
  <c r="X40" i="10"/>
  <c r="X30" i="10"/>
  <c r="X26" i="10"/>
  <c r="X25" i="10"/>
  <c r="X23" i="10"/>
  <c r="X19" i="10"/>
  <c r="Y2" i="10"/>
  <c r="Y639" i="10" s="1"/>
  <c r="W509" i="10"/>
  <c r="W513" i="10"/>
  <c r="W533" i="10"/>
  <c r="W537" i="10"/>
  <c r="W541" i="10"/>
  <c r="W561" i="10"/>
  <c r="W565" i="10"/>
  <c r="W510" i="10"/>
  <c r="W514" i="10"/>
  <c r="W534" i="10"/>
  <c r="W538" i="10"/>
  <c r="W558" i="10"/>
  <c r="W562" i="10"/>
  <c r="W566" i="10"/>
  <c r="W372" i="10"/>
  <c r="W11" i="8"/>
  <c r="T63" i="8"/>
  <c r="V621" i="7"/>
  <c r="V606" i="7" s="1"/>
  <c r="V68" i="7" s="1"/>
  <c r="V685" i="7"/>
  <c r="V670" i="7" s="1"/>
  <c r="V70" i="7" s="1"/>
  <c r="U27" i="8"/>
  <c r="U625" i="8"/>
  <c r="U610" i="8" s="1"/>
  <c r="U60" i="8" s="1"/>
  <c r="U657" i="8"/>
  <c r="U642" i="8" s="1"/>
  <c r="U61" i="8" s="1"/>
  <c r="T72" i="8"/>
  <c r="U471" i="8"/>
  <c r="U472" i="8"/>
  <c r="U476" i="8"/>
  <c r="U480" i="8"/>
  <c r="U500" i="8"/>
  <c r="U504" i="8"/>
  <c r="U524" i="8"/>
  <c r="U528" i="8"/>
  <c r="U532" i="8"/>
  <c r="U475" i="8"/>
  <c r="U479" i="8"/>
  <c r="U499" i="8"/>
  <c r="U503" i="8"/>
  <c r="U523" i="8"/>
  <c r="U527" i="8"/>
  <c r="U531" i="8"/>
  <c r="V266" i="7"/>
  <c r="V400" i="7" s="1"/>
  <c r="U689" i="8"/>
  <c r="U674" i="8" s="1"/>
  <c r="U62" i="8" s="1"/>
  <c r="V700" i="8"/>
  <c r="V699" i="8"/>
  <c r="V698" i="8"/>
  <c r="V696" i="8"/>
  <c r="V695" i="8"/>
  <c r="V694" i="8"/>
  <c r="V693" i="8"/>
  <c r="V692" i="8"/>
  <c r="V688" i="8"/>
  <c r="V687" i="8"/>
  <c r="V396" i="8" s="1"/>
  <c r="V686" i="8"/>
  <c r="V395" i="8" s="1"/>
  <c r="V685" i="8"/>
  <c r="V394" i="8" s="1"/>
  <c r="V684" i="8"/>
  <c r="V393" i="8" s="1"/>
  <c r="V683" i="8"/>
  <c r="V392" i="8" s="1"/>
  <c r="V682" i="8"/>
  <c r="V391" i="8" s="1"/>
  <c r="V681" i="8"/>
  <c r="V390" i="8" s="1"/>
  <c r="V680" i="8"/>
  <c r="V389" i="8" s="1"/>
  <c r="V679" i="8"/>
  <c r="V388" i="8" s="1"/>
  <c r="V668" i="8"/>
  <c r="V667" i="8"/>
  <c r="V666" i="8"/>
  <c r="V665" i="8"/>
  <c r="V664" i="8"/>
  <c r="V663" i="8"/>
  <c r="V662" i="8"/>
  <c r="V661" i="8"/>
  <c r="V659" i="8"/>
  <c r="V656" i="8"/>
  <c r="V371" i="8" s="1"/>
  <c r="V655" i="8"/>
  <c r="V370" i="8" s="1"/>
  <c r="V654" i="8"/>
  <c r="V369" i="8" s="1"/>
  <c r="V653" i="8"/>
  <c r="V368" i="8" s="1"/>
  <c r="V652" i="8"/>
  <c r="V367" i="8" s="1"/>
  <c r="V651" i="8"/>
  <c r="V366" i="8" s="1"/>
  <c r="V650" i="8"/>
  <c r="V365" i="8" s="1"/>
  <c r="V649" i="8"/>
  <c r="V364" i="8" s="1"/>
  <c r="V648" i="8"/>
  <c r="V363" i="8" s="1"/>
  <c r="V647" i="8"/>
  <c r="V362" i="8" s="1"/>
  <c r="V636" i="8"/>
  <c r="V635" i="8"/>
  <c r="V634" i="8"/>
  <c r="V633" i="8"/>
  <c r="V632" i="8"/>
  <c r="V631" i="8"/>
  <c r="V630" i="8"/>
  <c r="V629" i="8"/>
  <c r="V627" i="8"/>
  <c r="V624" i="8"/>
  <c r="V346" i="8" s="1"/>
  <c r="V623" i="8"/>
  <c r="V345" i="8" s="1"/>
  <c r="V622" i="8"/>
  <c r="V344" i="8" s="1"/>
  <c r="V621" i="8"/>
  <c r="V343" i="8" s="1"/>
  <c r="V620" i="8"/>
  <c r="V342" i="8" s="1"/>
  <c r="V619" i="8"/>
  <c r="V341" i="8" s="1"/>
  <c r="V618" i="8"/>
  <c r="V340" i="8" s="1"/>
  <c r="V617" i="8"/>
  <c r="V339" i="8" s="1"/>
  <c r="V616" i="8"/>
  <c r="V338" i="8" s="1"/>
  <c r="V615" i="8"/>
  <c r="V337" i="8" s="1"/>
  <c r="V555" i="8"/>
  <c r="V556" i="8" s="1"/>
  <c r="V549" i="8"/>
  <c r="V550" i="8" s="1"/>
  <c r="V604" i="8"/>
  <c r="V466" i="8"/>
  <c r="V397" i="8"/>
  <c r="V453" i="8"/>
  <c r="V452" i="8"/>
  <c r="V451" i="8"/>
  <c r="V450" i="8"/>
  <c r="V449" i="8"/>
  <c r="V448" i="8"/>
  <c r="V332" i="8"/>
  <c r="V319" i="8"/>
  <c r="V318" i="8"/>
  <c r="V317" i="8"/>
  <c r="V316" i="8"/>
  <c r="V315" i="8"/>
  <c r="V314" i="8"/>
  <c r="V40" i="8"/>
  <c r="W2" i="8"/>
  <c r="V30" i="8"/>
  <c r="V26" i="8"/>
  <c r="V25" i="8"/>
  <c r="V23" i="8"/>
  <c r="V19" i="8"/>
  <c r="U333" i="8"/>
  <c r="U473" i="8"/>
  <c r="U474" i="8"/>
  <c r="U478" i="8"/>
  <c r="U498" i="8"/>
  <c r="U502" i="8"/>
  <c r="U506" i="8"/>
  <c r="U526" i="8"/>
  <c r="U530" i="8"/>
  <c r="U477" i="8"/>
  <c r="U497" i="8"/>
  <c r="U501" i="8"/>
  <c r="U505" i="8"/>
  <c r="U525" i="8"/>
  <c r="U529" i="8"/>
  <c r="U467" i="8"/>
  <c r="V27" i="7"/>
  <c r="V653" i="7"/>
  <c r="V638" i="7" s="1"/>
  <c r="V69" i="7" s="1"/>
  <c r="W566" i="7"/>
  <c r="W560" i="7"/>
  <c r="W538" i="7" s="1"/>
  <c r="W551" i="7"/>
  <c r="W550" i="7"/>
  <c r="W561" i="7" s="1"/>
  <c r="W592" i="7" s="1"/>
  <c r="W544" i="7"/>
  <c r="W543" i="7"/>
  <c r="X11" i="7"/>
  <c r="W696" i="7"/>
  <c r="W695" i="7"/>
  <c r="W694" i="7"/>
  <c r="W692" i="7"/>
  <c r="W691" i="7"/>
  <c r="W690" i="7"/>
  <c r="W689" i="7"/>
  <c r="W684" i="7"/>
  <c r="W326" i="7" s="1"/>
  <c r="W683" i="7"/>
  <c r="W325" i="7" s="1"/>
  <c r="W682" i="7"/>
  <c r="W324" i="7" s="1"/>
  <c r="W681" i="7"/>
  <c r="W323" i="7" s="1"/>
  <c r="W680" i="7"/>
  <c r="W322" i="7" s="1"/>
  <c r="W679" i="7"/>
  <c r="W321" i="7" s="1"/>
  <c r="W678" i="7"/>
  <c r="W320" i="7" s="1"/>
  <c r="W677" i="7"/>
  <c r="W319" i="7" s="1"/>
  <c r="W687" i="7"/>
  <c r="W675" i="7"/>
  <c r="W317" i="7" s="1"/>
  <c r="W652" i="7"/>
  <c r="W300" i="7" s="1"/>
  <c r="W651" i="7"/>
  <c r="W299" i="7" s="1"/>
  <c r="W650" i="7"/>
  <c r="W298" i="7" s="1"/>
  <c r="W649" i="7"/>
  <c r="W297" i="7" s="1"/>
  <c r="W648" i="7"/>
  <c r="W296" i="7" s="1"/>
  <c r="W647" i="7"/>
  <c r="W295" i="7" s="1"/>
  <c r="W646" i="7"/>
  <c r="W294" i="7" s="1"/>
  <c r="W676" i="7"/>
  <c r="W318" i="7" s="1"/>
  <c r="W664" i="7"/>
  <c r="W663" i="7"/>
  <c r="W662" i="7"/>
  <c r="W661" i="7"/>
  <c r="W660" i="7"/>
  <c r="W659" i="7"/>
  <c r="W658" i="7"/>
  <c r="W657" i="7"/>
  <c r="W655" i="7"/>
  <c r="W620" i="7"/>
  <c r="W275" i="7" s="1"/>
  <c r="W619" i="7"/>
  <c r="W274" i="7" s="1"/>
  <c r="W618" i="7"/>
  <c r="W273" i="7" s="1"/>
  <c r="W617" i="7"/>
  <c r="W272" i="7" s="1"/>
  <c r="W616" i="7"/>
  <c r="W271" i="7" s="1"/>
  <c r="W615" i="7"/>
  <c r="W270" i="7" s="1"/>
  <c r="W645" i="7"/>
  <c r="W293" i="7" s="1"/>
  <c r="W644" i="7"/>
  <c r="W292" i="7" s="1"/>
  <c r="W643" i="7"/>
  <c r="W291" i="7" s="1"/>
  <c r="W632" i="7"/>
  <c r="W631" i="7"/>
  <c r="W630" i="7"/>
  <c r="W629" i="7"/>
  <c r="W628" i="7"/>
  <c r="W627" i="7"/>
  <c r="W626" i="7"/>
  <c r="W625" i="7"/>
  <c r="W623" i="7"/>
  <c r="W613" i="7"/>
  <c r="W268" i="7" s="1"/>
  <c r="W614" i="7"/>
  <c r="W269" i="7" s="1"/>
  <c r="W612" i="7"/>
  <c r="W267" i="7" s="1"/>
  <c r="W611" i="7"/>
  <c r="W484" i="7"/>
  <c r="W485" i="7" s="1"/>
  <c r="W478" i="7"/>
  <c r="W479" i="7" s="1"/>
  <c r="W382" i="7"/>
  <c r="W381" i="7"/>
  <c r="W380" i="7"/>
  <c r="W379" i="7"/>
  <c r="W378" i="7"/>
  <c r="W377" i="7"/>
  <c r="W395" i="7"/>
  <c r="W261" i="7"/>
  <c r="W248" i="7"/>
  <c r="W247" i="7"/>
  <c r="W246" i="7"/>
  <c r="W245" i="7"/>
  <c r="W244" i="7"/>
  <c r="W243" i="7"/>
  <c r="W40" i="7"/>
  <c r="W30" i="7"/>
  <c r="W26" i="7"/>
  <c r="W25" i="7"/>
  <c r="W23" i="7"/>
  <c r="W19" i="7"/>
  <c r="X2" i="7"/>
  <c r="X600" i="7" s="1"/>
  <c r="V403" i="7"/>
  <c r="V262" i="7"/>
  <c r="V401" i="7"/>
  <c r="V409" i="7"/>
  <c r="V402" i="7"/>
  <c r="V406" i="7"/>
  <c r="V426" i="7"/>
  <c r="V430" i="7"/>
  <c r="V434" i="7"/>
  <c r="V454" i="7"/>
  <c r="V458" i="7"/>
  <c r="V396" i="7"/>
  <c r="V427" i="7"/>
  <c r="V431" i="7"/>
  <c r="V435" i="7"/>
  <c r="V455" i="7"/>
  <c r="V459" i="7"/>
  <c r="V407" i="7"/>
  <c r="V405" i="7"/>
  <c r="V404" i="7"/>
  <c r="V408" i="7"/>
  <c r="V428" i="7"/>
  <c r="V432" i="7"/>
  <c r="V452" i="7"/>
  <c r="V456" i="7"/>
  <c r="V460" i="7"/>
  <c r="V429" i="7"/>
  <c r="V433" i="7"/>
  <c r="V453" i="7"/>
  <c r="V457" i="7"/>
  <c r="V461" i="7"/>
  <c r="U71" i="7"/>
  <c r="L18" i="1"/>
  <c r="L37" i="1"/>
  <c r="AH36" i="2"/>
  <c r="A703" i="2"/>
  <c r="X547" i="7" l="1"/>
  <c r="X595" i="7"/>
  <c r="X546" i="7"/>
  <c r="E580" i="7"/>
  <c r="E579" i="7" s="1"/>
  <c r="E576" i="7" s="1"/>
  <c r="E577" i="7" s="1"/>
  <c r="F574" i="7" s="1"/>
  <c r="W548" i="7"/>
  <c r="W549" i="7" s="1"/>
  <c r="W170" i="7"/>
  <c r="W134" i="7"/>
  <c r="W55" i="7"/>
  <c r="W579" i="7"/>
  <c r="W576" i="7" s="1"/>
  <c r="W585" i="7"/>
  <c r="X581" i="7"/>
  <c r="X586" i="7"/>
  <c r="X580" i="7"/>
  <c r="X564" i="7"/>
  <c r="X584" i="7" s="1"/>
  <c r="W61" i="7"/>
  <c r="X523" i="7"/>
  <c r="X519" i="7"/>
  <c r="X515" i="7"/>
  <c r="X511" i="7"/>
  <c r="X594" i="7"/>
  <c r="X593" i="7"/>
  <c r="X56" i="10"/>
  <c r="X85" i="10"/>
  <c r="X86" i="10" s="1"/>
  <c r="Y629" i="10"/>
  <c r="Y625" i="10"/>
  <c r="Y621" i="10"/>
  <c r="Y617" i="10"/>
  <c r="V71" i="7"/>
  <c r="W594" i="8"/>
  <c r="W590" i="8"/>
  <c r="W586" i="8"/>
  <c r="W582" i="8"/>
  <c r="U63" i="8"/>
  <c r="W266" i="7"/>
  <c r="V179" i="10"/>
  <c r="V196" i="10" s="1"/>
  <c r="W65" i="10"/>
  <c r="W68" i="10" s="1"/>
  <c r="W75" i="10" s="1"/>
  <c r="X180" i="10"/>
  <c r="X197" i="10" s="1"/>
  <c r="X141" i="10"/>
  <c r="X153" i="10" s="1"/>
  <c r="X249" i="10"/>
  <c r="X221" i="10"/>
  <c r="X698" i="10"/>
  <c r="X683" i="10" s="1"/>
  <c r="X66" i="10" s="1"/>
  <c r="X372" i="10"/>
  <c r="X506" i="10" s="1"/>
  <c r="X59" i="10"/>
  <c r="Z11" i="10"/>
  <c r="Y645" i="10"/>
  <c r="Y181" i="10" s="1"/>
  <c r="Y198" i="10" s="1"/>
  <c r="Y41" i="10"/>
  <c r="Y183" i="10" s="1"/>
  <c r="Y200" i="10" s="1"/>
  <c r="X730" i="10"/>
  <c r="X715" i="10" s="1"/>
  <c r="X67" i="10" s="1"/>
  <c r="X508" i="10"/>
  <c r="X512" i="10"/>
  <c r="X536" i="10"/>
  <c r="X540" i="10"/>
  <c r="W506" i="10"/>
  <c r="Y741" i="10"/>
  <c r="Y740" i="10"/>
  <c r="Y738" i="10"/>
  <c r="Y737" i="10"/>
  <c r="Y736" i="10"/>
  <c r="Y735" i="10"/>
  <c r="Y734" i="10"/>
  <c r="Y729" i="10"/>
  <c r="Y432" i="10" s="1"/>
  <c r="Y728" i="10"/>
  <c r="Y431" i="10" s="1"/>
  <c r="Y727" i="10"/>
  <c r="Y430" i="10" s="1"/>
  <c r="Y726" i="10"/>
  <c r="Y429" i="10" s="1"/>
  <c r="Y725" i="10"/>
  <c r="Y428" i="10" s="1"/>
  <c r="Y724" i="10"/>
  <c r="Y427" i="10" s="1"/>
  <c r="Y723" i="10"/>
  <c r="Y426" i="10" s="1"/>
  <c r="Y722" i="10"/>
  <c r="Y425" i="10" s="1"/>
  <c r="Y721" i="10"/>
  <c r="Y424" i="10" s="1"/>
  <c r="Y732" i="10"/>
  <c r="Y720" i="10"/>
  <c r="Y697" i="10"/>
  <c r="Y406" i="10" s="1"/>
  <c r="Y696" i="10"/>
  <c r="Y405" i="10" s="1"/>
  <c r="Y695" i="10"/>
  <c r="Y404" i="10" s="1"/>
  <c r="Y694" i="10"/>
  <c r="Y403" i="10" s="1"/>
  <c r="Y693" i="10"/>
  <c r="Y402" i="10" s="1"/>
  <c r="Y692" i="10"/>
  <c r="Y401" i="10" s="1"/>
  <c r="Y691" i="10"/>
  <c r="Y400" i="10" s="1"/>
  <c r="Y690" i="10"/>
  <c r="Y399" i="10" s="1"/>
  <c r="Y709" i="10"/>
  <c r="Y708" i="10"/>
  <c r="Y707" i="10"/>
  <c r="Y706" i="10"/>
  <c r="Y705" i="10"/>
  <c r="Y704" i="10"/>
  <c r="Y703" i="10"/>
  <c r="Y702" i="10"/>
  <c r="Y700" i="10"/>
  <c r="Y665" i="10"/>
  <c r="Y381" i="10" s="1"/>
  <c r="Y664" i="10"/>
  <c r="Y380" i="10" s="1"/>
  <c r="Y663" i="10"/>
  <c r="Y379" i="10" s="1"/>
  <c r="Y662" i="10"/>
  <c r="Y378" i="10" s="1"/>
  <c r="Y661" i="10"/>
  <c r="Y377" i="10" s="1"/>
  <c r="Y660" i="10"/>
  <c r="Y376" i="10" s="1"/>
  <c r="Y659" i="10"/>
  <c r="Y375" i="10" s="1"/>
  <c r="Y689" i="10"/>
  <c r="Y398" i="10" s="1"/>
  <c r="Y688" i="10"/>
  <c r="Y677" i="10"/>
  <c r="Y676" i="10"/>
  <c r="Y675" i="10"/>
  <c r="Y674" i="10"/>
  <c r="Y673" i="10"/>
  <c r="Y672" i="10"/>
  <c r="Y671" i="10"/>
  <c r="Y670" i="10"/>
  <c r="Y668" i="10"/>
  <c r="Y658" i="10"/>
  <c r="Y374" i="10" s="1"/>
  <c r="Y656" i="10"/>
  <c r="Y590" i="10"/>
  <c r="Y591" i="10" s="1"/>
  <c r="Y584" i="10"/>
  <c r="Y585" i="10" s="1"/>
  <c r="Y657" i="10"/>
  <c r="Y373" i="10" s="1"/>
  <c r="Y488" i="10"/>
  <c r="Y487" i="10"/>
  <c r="Y486" i="10"/>
  <c r="Y485" i="10"/>
  <c r="Y484" i="10"/>
  <c r="Y483" i="10"/>
  <c r="Y423" i="10"/>
  <c r="Y367" i="10"/>
  <c r="Y501" i="10"/>
  <c r="Y354" i="10"/>
  <c r="Y353" i="10"/>
  <c r="Y352" i="10"/>
  <c r="Y351" i="10"/>
  <c r="Y350" i="10"/>
  <c r="Y349" i="10"/>
  <c r="Y30" i="10"/>
  <c r="Y26" i="10"/>
  <c r="Y25" i="10"/>
  <c r="Y23" i="10"/>
  <c r="Y19" i="10"/>
  <c r="Y40" i="10"/>
  <c r="Z2" i="10"/>
  <c r="Z639" i="10" s="1"/>
  <c r="X560" i="10"/>
  <c r="X564" i="10"/>
  <c r="X502" i="10"/>
  <c r="X368" i="10"/>
  <c r="X507" i="10"/>
  <c r="X511" i="10"/>
  <c r="X515" i="10"/>
  <c r="X535" i="10"/>
  <c r="X539" i="10"/>
  <c r="X559" i="10"/>
  <c r="X563" i="10"/>
  <c r="X567" i="10"/>
  <c r="X27" i="10"/>
  <c r="X397" i="10"/>
  <c r="X666" i="10"/>
  <c r="X651" i="10" s="1"/>
  <c r="X510" i="10"/>
  <c r="X514" i="10"/>
  <c r="X534" i="10"/>
  <c r="X538" i="10"/>
  <c r="X558" i="10"/>
  <c r="X562" i="10"/>
  <c r="X566" i="10"/>
  <c r="X509" i="10"/>
  <c r="X513" i="10"/>
  <c r="X533" i="10"/>
  <c r="X537" i="10"/>
  <c r="X541" i="10"/>
  <c r="X561" i="10"/>
  <c r="X565" i="10"/>
  <c r="X11" i="8"/>
  <c r="V625" i="8"/>
  <c r="V610" i="8" s="1"/>
  <c r="V60" i="8" s="1"/>
  <c r="V474" i="8"/>
  <c r="V473" i="8"/>
  <c r="V477" i="8"/>
  <c r="V497" i="8"/>
  <c r="V501" i="8"/>
  <c r="V505" i="8"/>
  <c r="V525" i="8"/>
  <c r="V529" i="8"/>
  <c r="V467" i="8"/>
  <c r="V476" i="8"/>
  <c r="V480" i="8"/>
  <c r="V500" i="8"/>
  <c r="V504" i="8"/>
  <c r="V524" i="8"/>
  <c r="V528" i="8"/>
  <c r="V532" i="8"/>
  <c r="V657" i="8"/>
  <c r="V642" i="8" s="1"/>
  <c r="V61" i="8" s="1"/>
  <c r="V689" i="8"/>
  <c r="V674" i="8" s="1"/>
  <c r="V62" i="8" s="1"/>
  <c r="U72" i="8"/>
  <c r="W700" i="8"/>
  <c r="W699" i="8"/>
  <c r="W698" i="8"/>
  <c r="W696" i="8"/>
  <c r="W695" i="8"/>
  <c r="W694" i="8"/>
  <c r="W693" i="8"/>
  <c r="W688" i="8"/>
  <c r="W397" i="8" s="1"/>
  <c r="W687" i="8"/>
  <c r="W396" i="8" s="1"/>
  <c r="W686" i="8"/>
  <c r="W395" i="8" s="1"/>
  <c r="W685" i="8"/>
  <c r="W394" i="8" s="1"/>
  <c r="W684" i="8"/>
  <c r="W393" i="8" s="1"/>
  <c r="W683" i="8"/>
  <c r="W392" i="8" s="1"/>
  <c r="W682" i="8"/>
  <c r="W391" i="8" s="1"/>
  <c r="W681" i="8"/>
  <c r="W390" i="8" s="1"/>
  <c r="W680" i="8"/>
  <c r="W389" i="8" s="1"/>
  <c r="W679" i="8"/>
  <c r="W388" i="8" s="1"/>
  <c r="W691" i="8"/>
  <c r="W667" i="8"/>
  <c r="W665" i="8"/>
  <c r="W663" i="8"/>
  <c r="W656" i="8"/>
  <c r="W371" i="8" s="1"/>
  <c r="W655" i="8"/>
  <c r="W370" i="8" s="1"/>
  <c r="W654" i="8"/>
  <c r="W369" i="8" s="1"/>
  <c r="W653" i="8"/>
  <c r="W368" i="8" s="1"/>
  <c r="W652" i="8"/>
  <c r="W367" i="8" s="1"/>
  <c r="W651" i="8"/>
  <c r="W366" i="8" s="1"/>
  <c r="W650" i="8"/>
  <c r="W365" i="8" s="1"/>
  <c r="W649" i="8"/>
  <c r="W364" i="8" s="1"/>
  <c r="W648" i="8"/>
  <c r="W363" i="8" s="1"/>
  <c r="W647" i="8"/>
  <c r="W362" i="8" s="1"/>
  <c r="W668" i="8"/>
  <c r="W666" i="8"/>
  <c r="W664" i="8"/>
  <c r="W662" i="8"/>
  <c r="W661" i="8"/>
  <c r="W659" i="8"/>
  <c r="W624" i="8"/>
  <c r="W346" i="8" s="1"/>
  <c r="W623" i="8"/>
  <c r="W345" i="8" s="1"/>
  <c r="W622" i="8"/>
  <c r="W344" i="8" s="1"/>
  <c r="W621" i="8"/>
  <c r="W343" i="8" s="1"/>
  <c r="W620" i="8"/>
  <c r="W342" i="8" s="1"/>
  <c r="W619" i="8"/>
  <c r="W341" i="8" s="1"/>
  <c r="W618" i="8"/>
  <c r="W340" i="8" s="1"/>
  <c r="W617" i="8"/>
  <c r="W616" i="8"/>
  <c r="W338" i="8" s="1"/>
  <c r="W615" i="8"/>
  <c r="W636" i="8"/>
  <c r="W635" i="8"/>
  <c r="W634" i="8"/>
  <c r="W633" i="8"/>
  <c r="W632" i="8"/>
  <c r="W631" i="8"/>
  <c r="W630" i="8"/>
  <c r="W629" i="8"/>
  <c r="W627" i="8"/>
  <c r="W604" i="8"/>
  <c r="W555" i="8"/>
  <c r="W556" i="8" s="1"/>
  <c r="W549" i="8"/>
  <c r="W550" i="8" s="1"/>
  <c r="W453" i="8"/>
  <c r="W452" i="8"/>
  <c r="W451" i="8"/>
  <c r="W450" i="8"/>
  <c r="W449" i="8"/>
  <c r="W448" i="8"/>
  <c r="W466" i="8"/>
  <c r="W337" i="8"/>
  <c r="W332" i="8"/>
  <c r="W339" i="8"/>
  <c r="W319" i="8"/>
  <c r="W318" i="8"/>
  <c r="W317" i="8"/>
  <c r="W316" i="8"/>
  <c r="W315" i="8"/>
  <c r="W314" i="8"/>
  <c r="W30" i="8"/>
  <c r="W26" i="8"/>
  <c r="W25" i="8"/>
  <c r="W23" i="8"/>
  <c r="W19" i="8"/>
  <c r="W40" i="8"/>
  <c r="X2" i="8"/>
  <c r="V333" i="8"/>
  <c r="V472" i="8"/>
  <c r="V471" i="8"/>
  <c r="V475" i="8"/>
  <c r="V479" i="8"/>
  <c r="V499" i="8"/>
  <c r="V503" i="8"/>
  <c r="V523" i="8"/>
  <c r="V527" i="8"/>
  <c r="V531" i="8"/>
  <c r="V478" i="8"/>
  <c r="V498" i="8"/>
  <c r="V502" i="8"/>
  <c r="V506" i="8"/>
  <c r="V526" i="8"/>
  <c r="V530" i="8"/>
  <c r="W27" i="7"/>
  <c r="W653" i="7"/>
  <c r="W638" i="7" s="1"/>
  <c r="W69" i="7" s="1"/>
  <c r="V27" i="8"/>
  <c r="W621" i="7"/>
  <c r="W606" i="7" s="1"/>
  <c r="W68" i="7" s="1"/>
  <c r="Y11" i="7"/>
  <c r="X566" i="7"/>
  <c r="X560" i="7"/>
  <c r="X538" i="7" s="1"/>
  <c r="X551" i="7"/>
  <c r="X550" i="7"/>
  <c r="X561" i="7" s="1"/>
  <c r="X544" i="7"/>
  <c r="X543" i="7"/>
  <c r="W406" i="7"/>
  <c r="W400" i="7"/>
  <c r="W408" i="7"/>
  <c r="W403" i="7"/>
  <c r="W407" i="7"/>
  <c r="W427" i="7"/>
  <c r="W431" i="7"/>
  <c r="W435" i="7"/>
  <c r="W455" i="7"/>
  <c r="W459" i="7"/>
  <c r="W428" i="7"/>
  <c r="W432" i="7"/>
  <c r="W452" i="7"/>
  <c r="W456" i="7"/>
  <c r="W460" i="7"/>
  <c r="W565" i="7"/>
  <c r="W559" i="7"/>
  <c r="W537" i="7" s="1"/>
  <c r="W80" i="7" s="1"/>
  <c r="X592" i="7"/>
  <c r="W685" i="7"/>
  <c r="W670" i="7" s="1"/>
  <c r="W70" i="7" s="1"/>
  <c r="X696" i="7"/>
  <c r="X695" i="7"/>
  <c r="X693" i="7"/>
  <c r="X692" i="7"/>
  <c r="X691" i="7"/>
  <c r="X690" i="7"/>
  <c r="X689" i="7"/>
  <c r="X687" i="7"/>
  <c r="X684" i="7"/>
  <c r="X326" i="7" s="1"/>
  <c r="X683" i="7"/>
  <c r="X325" i="7" s="1"/>
  <c r="X682" i="7"/>
  <c r="X324" i="7" s="1"/>
  <c r="X681" i="7"/>
  <c r="X323" i="7" s="1"/>
  <c r="X680" i="7"/>
  <c r="X322" i="7" s="1"/>
  <c r="X679" i="7"/>
  <c r="X678" i="7"/>
  <c r="X320" i="7" s="1"/>
  <c r="X677" i="7"/>
  <c r="X319" i="7" s="1"/>
  <c r="X676" i="7"/>
  <c r="X318" i="7" s="1"/>
  <c r="X675" i="7"/>
  <c r="X317" i="7" s="1"/>
  <c r="X664" i="7"/>
  <c r="X663" i="7"/>
  <c r="X662" i="7"/>
  <c r="X661" i="7"/>
  <c r="X660" i="7"/>
  <c r="X659" i="7"/>
  <c r="X658" i="7"/>
  <c r="X657" i="7"/>
  <c r="X655" i="7"/>
  <c r="X652" i="7"/>
  <c r="X300" i="7" s="1"/>
  <c r="X651" i="7"/>
  <c r="X299" i="7" s="1"/>
  <c r="X650" i="7"/>
  <c r="X298" i="7" s="1"/>
  <c r="X649" i="7"/>
  <c r="X297" i="7" s="1"/>
  <c r="X648" i="7"/>
  <c r="X296" i="7" s="1"/>
  <c r="X647" i="7"/>
  <c r="X295" i="7" s="1"/>
  <c r="X646" i="7"/>
  <c r="X294" i="7" s="1"/>
  <c r="X645" i="7"/>
  <c r="X293" i="7" s="1"/>
  <c r="X644" i="7"/>
  <c r="X292" i="7" s="1"/>
  <c r="X643" i="7"/>
  <c r="X291" i="7" s="1"/>
  <c r="X632" i="7"/>
  <c r="X631" i="7"/>
  <c r="X630" i="7"/>
  <c r="X629" i="7"/>
  <c r="X628" i="7"/>
  <c r="X627" i="7"/>
  <c r="X626" i="7"/>
  <c r="X625" i="7"/>
  <c r="X623" i="7"/>
  <c r="X620" i="7"/>
  <c r="X275" i="7" s="1"/>
  <c r="X619" i="7"/>
  <c r="X274" i="7" s="1"/>
  <c r="X618" i="7"/>
  <c r="X273" i="7" s="1"/>
  <c r="X617" i="7"/>
  <c r="X272" i="7" s="1"/>
  <c r="X616" i="7"/>
  <c r="X271" i="7" s="1"/>
  <c r="X615" i="7"/>
  <c r="X270" i="7" s="1"/>
  <c r="X614" i="7"/>
  <c r="X269" i="7" s="1"/>
  <c r="X613" i="7"/>
  <c r="X268" i="7" s="1"/>
  <c r="X612" i="7"/>
  <c r="X267" i="7" s="1"/>
  <c r="X611" i="7"/>
  <c r="X484" i="7"/>
  <c r="X485" i="7" s="1"/>
  <c r="X478" i="7"/>
  <c r="X479" i="7" s="1"/>
  <c r="X395" i="7"/>
  <c r="X382" i="7"/>
  <c r="X381" i="7"/>
  <c r="X380" i="7"/>
  <c r="X379" i="7"/>
  <c r="X378" i="7"/>
  <c r="X377" i="7"/>
  <c r="X321" i="7"/>
  <c r="X248" i="7"/>
  <c r="X247" i="7"/>
  <c r="X246" i="7"/>
  <c r="X245" i="7"/>
  <c r="X244" i="7"/>
  <c r="X243" i="7"/>
  <c r="X261" i="7"/>
  <c r="X30" i="7"/>
  <c r="X26" i="7"/>
  <c r="X25" i="7"/>
  <c r="X23" i="7"/>
  <c r="X19" i="7"/>
  <c r="X40" i="7"/>
  <c r="Y2" i="7"/>
  <c r="Y600" i="7" s="1"/>
  <c r="W262" i="7"/>
  <c r="W402" i="7"/>
  <c r="W404" i="7"/>
  <c r="W401" i="7"/>
  <c r="W405" i="7"/>
  <c r="W409" i="7"/>
  <c r="W429" i="7"/>
  <c r="W433" i="7"/>
  <c r="W453" i="7"/>
  <c r="W457" i="7"/>
  <c r="W461" i="7"/>
  <c r="W426" i="7"/>
  <c r="W430" i="7"/>
  <c r="W434" i="7"/>
  <c r="W454" i="7"/>
  <c r="W458" i="7"/>
  <c r="W396" i="7"/>
  <c r="L19" i="1"/>
  <c r="L38" i="1"/>
  <c r="AI36" i="2"/>
  <c r="A704" i="2"/>
  <c r="X548" i="7" l="1"/>
  <c r="X549" i="7" s="1"/>
  <c r="F580" i="7"/>
  <c r="F579" i="7" s="1"/>
  <c r="F576" i="7" s="1"/>
  <c r="Y595" i="7"/>
  <c r="Y546" i="7"/>
  <c r="Y547" i="7"/>
  <c r="F577" i="7"/>
  <c r="G580" i="7" s="1"/>
  <c r="G579" i="7" s="1"/>
  <c r="G576" i="7" s="1"/>
  <c r="X170" i="7"/>
  <c r="X134" i="7"/>
  <c r="X55" i="7"/>
  <c r="W534" i="7"/>
  <c r="W539" i="7"/>
  <c r="Y586" i="7"/>
  <c r="Y580" i="7"/>
  <c r="Y581" i="7"/>
  <c r="Y564" i="7"/>
  <c r="Y584" i="7" s="1"/>
  <c r="X585" i="7"/>
  <c r="X579" i="7"/>
  <c r="X576" i="7" s="1"/>
  <c r="Y523" i="7"/>
  <c r="Y519" i="7"/>
  <c r="Y515" i="7"/>
  <c r="Y511" i="7"/>
  <c r="Y594" i="7"/>
  <c r="Y593" i="7"/>
  <c r="X266" i="7"/>
  <c r="X400" i="7" s="1"/>
  <c r="Y56" i="10"/>
  <c r="Y85" i="10"/>
  <c r="Y86" i="10" s="1"/>
  <c r="Z629" i="10"/>
  <c r="Z625" i="10"/>
  <c r="Z621" i="10"/>
  <c r="Z617" i="10"/>
  <c r="Y397" i="10"/>
  <c r="Y532" i="10" s="1"/>
  <c r="X582" i="8"/>
  <c r="X594" i="8"/>
  <c r="X590" i="8"/>
  <c r="X586" i="8"/>
  <c r="W71" i="7"/>
  <c r="X65" i="10"/>
  <c r="X68" i="10" s="1"/>
  <c r="X75" i="10" s="1"/>
  <c r="W179" i="10"/>
  <c r="W196" i="10" s="1"/>
  <c r="Y180" i="10"/>
  <c r="Y197" i="10" s="1"/>
  <c r="Y141" i="10"/>
  <c r="Y153" i="10" s="1"/>
  <c r="Y249" i="10"/>
  <c r="Y221" i="10"/>
  <c r="Y372" i="10"/>
  <c r="Y506" i="10" s="1"/>
  <c r="Y59" i="10"/>
  <c r="Y27" i="10"/>
  <c r="Y698" i="10"/>
  <c r="Y683" i="10" s="1"/>
  <c r="Y66" i="10" s="1"/>
  <c r="AA11" i="10"/>
  <c r="Z645" i="10"/>
  <c r="Z181" i="10" s="1"/>
  <c r="Z198" i="10" s="1"/>
  <c r="Z41" i="10"/>
  <c r="Z183" i="10" s="1"/>
  <c r="Z200" i="10" s="1"/>
  <c r="Y666" i="10"/>
  <c r="Y651" i="10" s="1"/>
  <c r="Y509" i="10"/>
  <c r="Y513" i="10"/>
  <c r="Y533" i="10"/>
  <c r="Y537" i="10"/>
  <c r="Y541" i="10"/>
  <c r="Y561" i="10"/>
  <c r="Y565" i="10"/>
  <c r="Y510" i="10"/>
  <c r="Y514" i="10"/>
  <c r="Y534" i="10"/>
  <c r="Y538" i="10"/>
  <c r="Y558" i="10"/>
  <c r="Y562" i="10"/>
  <c r="Y566" i="10"/>
  <c r="Y730" i="10"/>
  <c r="Y715" i="10" s="1"/>
  <c r="Y67" i="10" s="1"/>
  <c r="X532" i="10"/>
  <c r="Z741" i="10"/>
  <c r="Z740" i="10"/>
  <c r="Z738" i="10"/>
  <c r="Z737" i="10"/>
  <c r="Z736" i="10"/>
  <c r="Z735" i="10"/>
  <c r="Z734" i="10"/>
  <c r="Z732" i="10"/>
  <c r="Z729" i="10"/>
  <c r="Z432" i="10" s="1"/>
  <c r="Z728" i="10"/>
  <c r="Z431" i="10" s="1"/>
  <c r="Z727" i="10"/>
  <c r="Z430" i="10" s="1"/>
  <c r="Z726" i="10"/>
  <c r="Z429" i="10" s="1"/>
  <c r="Z725" i="10"/>
  <c r="Z428" i="10" s="1"/>
  <c r="Z724" i="10"/>
  <c r="Z427" i="10" s="1"/>
  <c r="Z723" i="10"/>
  <c r="Z426" i="10" s="1"/>
  <c r="Z722" i="10"/>
  <c r="Z425" i="10" s="1"/>
  <c r="Z721" i="10"/>
  <c r="Z424" i="10" s="1"/>
  <c r="Z720" i="10"/>
  <c r="Z423" i="10" s="1"/>
  <c r="Z709" i="10"/>
  <c r="Z708" i="10"/>
  <c r="Z707" i="10"/>
  <c r="Z706" i="10"/>
  <c r="Z705" i="10"/>
  <c r="Z704" i="10"/>
  <c r="Z703" i="10"/>
  <c r="Z702" i="10"/>
  <c r="Z700" i="10"/>
  <c r="Z697" i="10"/>
  <c r="Z406" i="10" s="1"/>
  <c r="Z696" i="10"/>
  <c r="Z405" i="10" s="1"/>
  <c r="Z695" i="10"/>
  <c r="Z404" i="10" s="1"/>
  <c r="Z694" i="10"/>
  <c r="Z403" i="10" s="1"/>
  <c r="Z693" i="10"/>
  <c r="Z692" i="10"/>
  <c r="Z401" i="10" s="1"/>
  <c r="Z691" i="10"/>
  <c r="Z400" i="10" s="1"/>
  <c r="Z690" i="10"/>
  <c r="Z399" i="10" s="1"/>
  <c r="Z689" i="10"/>
  <c r="Z398" i="10" s="1"/>
  <c r="Z688" i="10"/>
  <c r="Z677" i="10"/>
  <c r="Z676" i="10"/>
  <c r="Z675" i="10"/>
  <c r="Z674" i="10"/>
  <c r="Z673" i="10"/>
  <c r="Z672" i="10"/>
  <c r="Z671" i="10"/>
  <c r="Z670" i="10"/>
  <c r="Z668" i="10"/>
  <c r="Z665" i="10"/>
  <c r="Z381" i="10" s="1"/>
  <c r="Z664" i="10"/>
  <c r="Z380" i="10" s="1"/>
  <c r="Z663" i="10"/>
  <c r="Z379" i="10" s="1"/>
  <c r="Z662" i="10"/>
  <c r="Z378" i="10" s="1"/>
  <c r="Z661" i="10"/>
  <c r="Z377" i="10" s="1"/>
  <c r="Z660" i="10"/>
  <c r="Z376" i="10" s="1"/>
  <c r="Z659" i="10"/>
  <c r="Z375" i="10" s="1"/>
  <c r="Z658" i="10"/>
  <c r="Z374" i="10" s="1"/>
  <c r="Z657" i="10"/>
  <c r="Z373" i="10" s="1"/>
  <c r="Z656" i="10"/>
  <c r="Z590" i="10"/>
  <c r="Z591" i="10" s="1"/>
  <c r="Z584" i="10"/>
  <c r="Z585" i="10" s="1"/>
  <c r="Z501" i="10"/>
  <c r="Z402" i="10"/>
  <c r="Z354" i="10"/>
  <c r="Z353" i="10"/>
  <c r="Z352" i="10"/>
  <c r="Z351" i="10"/>
  <c r="Z350" i="10"/>
  <c r="Z349" i="10"/>
  <c r="Z488" i="10"/>
  <c r="Z487" i="10"/>
  <c r="Z486" i="10"/>
  <c r="Z485" i="10"/>
  <c r="Z484" i="10"/>
  <c r="Z483" i="10"/>
  <c r="Z367" i="10"/>
  <c r="Z40" i="10"/>
  <c r="AA2" i="10"/>
  <c r="AA639" i="10" s="1"/>
  <c r="Z30" i="10"/>
  <c r="Z26" i="10"/>
  <c r="Z25" i="10"/>
  <c r="Z23" i="10"/>
  <c r="Z19" i="10"/>
  <c r="Y368" i="10"/>
  <c r="Y507" i="10"/>
  <c r="Y511" i="10"/>
  <c r="Y515" i="10"/>
  <c r="Y535" i="10"/>
  <c r="Y539" i="10"/>
  <c r="Y559" i="10"/>
  <c r="Y563" i="10"/>
  <c r="Y567" i="10"/>
  <c r="Y508" i="10"/>
  <c r="Y512" i="10"/>
  <c r="Y536" i="10"/>
  <c r="Y540" i="10"/>
  <c r="Y560" i="10"/>
  <c r="Y564" i="10"/>
  <c r="Y502" i="10"/>
  <c r="Y11" i="8"/>
  <c r="V63" i="8"/>
  <c r="W27" i="8"/>
  <c r="W625" i="8"/>
  <c r="W610" i="8" s="1"/>
  <c r="W60" i="8" s="1"/>
  <c r="W472" i="8"/>
  <c r="W476" i="8"/>
  <c r="W480" i="8"/>
  <c r="W500" i="8"/>
  <c r="W504" i="8"/>
  <c r="W524" i="8"/>
  <c r="W528" i="8"/>
  <c r="W532" i="8"/>
  <c r="W475" i="8"/>
  <c r="W479" i="8"/>
  <c r="W499" i="8"/>
  <c r="W503" i="8"/>
  <c r="W523" i="8"/>
  <c r="W527" i="8"/>
  <c r="W531" i="8"/>
  <c r="W657" i="8"/>
  <c r="W642" i="8" s="1"/>
  <c r="W61" i="8" s="1"/>
  <c r="W689" i="8"/>
  <c r="W674" i="8" s="1"/>
  <c r="W62" i="8" s="1"/>
  <c r="X700" i="8"/>
  <c r="X699" i="8"/>
  <c r="X697" i="8"/>
  <c r="X696" i="8"/>
  <c r="X695" i="8"/>
  <c r="X694" i="8"/>
  <c r="X693" i="8"/>
  <c r="X691" i="8"/>
  <c r="X688" i="8"/>
  <c r="X687" i="8"/>
  <c r="X396" i="8" s="1"/>
  <c r="X686" i="8"/>
  <c r="X395" i="8" s="1"/>
  <c r="X685" i="8"/>
  <c r="X394" i="8" s="1"/>
  <c r="X684" i="8"/>
  <c r="X393" i="8" s="1"/>
  <c r="X683" i="8"/>
  <c r="X392" i="8" s="1"/>
  <c r="X682" i="8"/>
  <c r="X391" i="8" s="1"/>
  <c r="X681" i="8"/>
  <c r="X390" i="8" s="1"/>
  <c r="X680" i="8"/>
  <c r="X389" i="8" s="1"/>
  <c r="X679" i="8"/>
  <c r="X388" i="8" s="1"/>
  <c r="X668" i="8"/>
  <c r="X667" i="8"/>
  <c r="X666" i="8"/>
  <c r="X665" i="8"/>
  <c r="X664" i="8"/>
  <c r="X663" i="8"/>
  <c r="X662" i="8"/>
  <c r="X661" i="8"/>
  <c r="X659" i="8"/>
  <c r="X656" i="8"/>
  <c r="X371" i="8" s="1"/>
  <c r="X655" i="8"/>
  <c r="X370" i="8" s="1"/>
  <c r="X654" i="8"/>
  <c r="X369" i="8" s="1"/>
  <c r="X653" i="8"/>
  <c r="X368" i="8" s="1"/>
  <c r="X652" i="8"/>
  <c r="X367" i="8" s="1"/>
  <c r="X651" i="8"/>
  <c r="X366" i="8" s="1"/>
  <c r="X650" i="8"/>
  <c r="X365" i="8" s="1"/>
  <c r="X649" i="8"/>
  <c r="X364" i="8" s="1"/>
  <c r="X648" i="8"/>
  <c r="X363" i="8" s="1"/>
  <c r="X647" i="8"/>
  <c r="X362" i="8" s="1"/>
  <c r="X636" i="8"/>
  <c r="X635" i="8"/>
  <c r="X634" i="8"/>
  <c r="X633" i="8"/>
  <c r="X632" i="8"/>
  <c r="X631" i="8"/>
  <c r="X630" i="8"/>
  <c r="X629" i="8"/>
  <c r="X627" i="8"/>
  <c r="X624" i="8"/>
  <c r="X346" i="8" s="1"/>
  <c r="X623" i="8"/>
  <c r="X622" i="8"/>
  <c r="X344" i="8" s="1"/>
  <c r="X621" i="8"/>
  <c r="X343" i="8" s="1"/>
  <c r="X620" i="8"/>
  <c r="X342" i="8" s="1"/>
  <c r="X619" i="8"/>
  <c r="X341" i="8" s="1"/>
  <c r="X618" i="8"/>
  <c r="X340" i="8" s="1"/>
  <c r="X617" i="8"/>
  <c r="X339" i="8" s="1"/>
  <c r="X616" i="8"/>
  <c r="X338" i="8" s="1"/>
  <c r="X615" i="8"/>
  <c r="X337" i="8" s="1"/>
  <c r="X555" i="8"/>
  <c r="X556" i="8" s="1"/>
  <c r="X549" i="8"/>
  <c r="X550" i="8" s="1"/>
  <c r="X604" i="8"/>
  <c r="X466" i="8"/>
  <c r="X397" i="8"/>
  <c r="X453" i="8"/>
  <c r="X452" i="8"/>
  <c r="X451" i="8"/>
  <c r="X450" i="8"/>
  <c r="X449" i="8"/>
  <c r="X448" i="8"/>
  <c r="X345" i="8"/>
  <c r="X332" i="8"/>
  <c r="X319" i="8"/>
  <c r="X318" i="8"/>
  <c r="X317" i="8"/>
  <c r="X316" i="8"/>
  <c r="X315" i="8"/>
  <c r="X314" i="8"/>
  <c r="X40" i="8"/>
  <c r="Y2" i="8"/>
  <c r="X30" i="8"/>
  <c r="X26" i="8"/>
  <c r="X25" i="8"/>
  <c r="X23" i="8"/>
  <c r="X19" i="8"/>
  <c r="W333" i="8"/>
  <c r="W473" i="8"/>
  <c r="W471" i="8"/>
  <c r="W474" i="8"/>
  <c r="W478" i="8"/>
  <c r="W498" i="8"/>
  <c r="W502" i="8"/>
  <c r="W506" i="8"/>
  <c r="W526" i="8"/>
  <c r="W530" i="8"/>
  <c r="W477" i="8"/>
  <c r="W497" i="8"/>
  <c r="W501" i="8"/>
  <c r="W505" i="8"/>
  <c r="W525" i="8"/>
  <c r="W529" i="8"/>
  <c r="W467" i="8"/>
  <c r="V72" i="8"/>
  <c r="Y566" i="7"/>
  <c r="Y560" i="7"/>
  <c r="Y538" i="7" s="1"/>
  <c r="Y551" i="7"/>
  <c r="Y550" i="7"/>
  <c r="Y561" i="7" s="1"/>
  <c r="Y544" i="7"/>
  <c r="Y543" i="7"/>
  <c r="Z11" i="7"/>
  <c r="X405" i="7"/>
  <c r="X262" i="7"/>
  <c r="X403" i="7"/>
  <c r="X404" i="7"/>
  <c r="X408" i="7"/>
  <c r="X428" i="7"/>
  <c r="X432" i="7"/>
  <c r="X452" i="7"/>
  <c r="X456" i="7"/>
  <c r="X460" i="7"/>
  <c r="X429" i="7"/>
  <c r="X433" i="7"/>
  <c r="X453" i="7"/>
  <c r="X457" i="7"/>
  <c r="X461" i="7"/>
  <c r="X565" i="7"/>
  <c r="X559" i="7"/>
  <c r="X537" i="7" s="1"/>
  <c r="X80" i="7" s="1"/>
  <c r="Y592" i="7"/>
  <c r="W556" i="7"/>
  <c r="W81" i="7"/>
  <c r="X27" i="7"/>
  <c r="X61" i="7"/>
  <c r="X621" i="7"/>
  <c r="X606" i="7" s="1"/>
  <c r="X68" i="7" s="1"/>
  <c r="X653" i="7"/>
  <c r="X638" i="7" s="1"/>
  <c r="X69" i="7" s="1"/>
  <c r="X685" i="7"/>
  <c r="X670" i="7" s="1"/>
  <c r="X70" i="7" s="1"/>
  <c r="Y696" i="7"/>
  <c r="Y695" i="7"/>
  <c r="Y693" i="7"/>
  <c r="Y692" i="7"/>
  <c r="Y691" i="7"/>
  <c r="Y690" i="7"/>
  <c r="Y689" i="7"/>
  <c r="Y684" i="7"/>
  <c r="Y326" i="7" s="1"/>
  <c r="Y683" i="7"/>
  <c r="Y325" i="7" s="1"/>
  <c r="Y682" i="7"/>
  <c r="Y324" i="7" s="1"/>
  <c r="Y681" i="7"/>
  <c r="Y323" i="7" s="1"/>
  <c r="Y680" i="7"/>
  <c r="Y322" i="7" s="1"/>
  <c r="Y679" i="7"/>
  <c r="Y321" i="7" s="1"/>
  <c r="Y678" i="7"/>
  <c r="Y320" i="7" s="1"/>
  <c r="Y677" i="7"/>
  <c r="Y319" i="7" s="1"/>
  <c r="Y687" i="7"/>
  <c r="Y676" i="7"/>
  <c r="Y652" i="7"/>
  <c r="Y300" i="7" s="1"/>
  <c r="Y651" i="7"/>
  <c r="Y299" i="7" s="1"/>
  <c r="Y650" i="7"/>
  <c r="Y298" i="7" s="1"/>
  <c r="Y649" i="7"/>
  <c r="Y297" i="7" s="1"/>
  <c r="Y648" i="7"/>
  <c r="Y296" i="7" s="1"/>
  <c r="Y647" i="7"/>
  <c r="Y295" i="7" s="1"/>
  <c r="Y646" i="7"/>
  <c r="Y294" i="7" s="1"/>
  <c r="Y675" i="7"/>
  <c r="Y317" i="7" s="1"/>
  <c r="Y664" i="7"/>
  <c r="Y663" i="7"/>
  <c r="Y662" i="7"/>
  <c r="Y661" i="7"/>
  <c r="Y660" i="7"/>
  <c r="Y659" i="7"/>
  <c r="Y658" i="7"/>
  <c r="Y657" i="7"/>
  <c r="Y655" i="7"/>
  <c r="Y645" i="7"/>
  <c r="Y293" i="7" s="1"/>
  <c r="Y620" i="7"/>
  <c r="Y275" i="7" s="1"/>
  <c r="Y619" i="7"/>
  <c r="Y274" i="7" s="1"/>
  <c r="Y618" i="7"/>
  <c r="Y273" i="7" s="1"/>
  <c r="Y617" i="7"/>
  <c r="Y272" i="7" s="1"/>
  <c r="Y616" i="7"/>
  <c r="Y271" i="7" s="1"/>
  <c r="Y615" i="7"/>
  <c r="Y270" i="7" s="1"/>
  <c r="Y644" i="7"/>
  <c r="Y292" i="7" s="1"/>
  <c r="Y643" i="7"/>
  <c r="Y291" i="7" s="1"/>
  <c r="Y632" i="7"/>
  <c r="Y631" i="7"/>
  <c r="Y630" i="7"/>
  <c r="Y629" i="7"/>
  <c r="Y628" i="7"/>
  <c r="Y627" i="7"/>
  <c r="Y626" i="7"/>
  <c r="Y625" i="7"/>
  <c r="Y623" i="7"/>
  <c r="Y614" i="7"/>
  <c r="Y269" i="7" s="1"/>
  <c r="Y613" i="7"/>
  <c r="Y268" i="7" s="1"/>
  <c r="Y612" i="7"/>
  <c r="Y267" i="7" s="1"/>
  <c r="Y611" i="7"/>
  <c r="Y484" i="7"/>
  <c r="Y485" i="7" s="1"/>
  <c r="Y478" i="7"/>
  <c r="Y479" i="7" s="1"/>
  <c r="Y382" i="7"/>
  <c r="Y381" i="7"/>
  <c r="Y380" i="7"/>
  <c r="Y379" i="7"/>
  <c r="Y378" i="7"/>
  <c r="Y377" i="7"/>
  <c r="Y395" i="7"/>
  <c r="Y318" i="7"/>
  <c r="Y261" i="7"/>
  <c r="Y248" i="7"/>
  <c r="Y247" i="7"/>
  <c r="Y246" i="7"/>
  <c r="Y245" i="7"/>
  <c r="Y244" i="7"/>
  <c r="Y243" i="7"/>
  <c r="Y40" i="7"/>
  <c r="Y30" i="7"/>
  <c r="Y26" i="7"/>
  <c r="Y25" i="7"/>
  <c r="Y23" i="7"/>
  <c r="Y19" i="7"/>
  <c r="Z2" i="7"/>
  <c r="Z600" i="7" s="1"/>
  <c r="X401" i="7"/>
  <c r="X409" i="7"/>
  <c r="X407" i="7"/>
  <c r="X402" i="7"/>
  <c r="X406" i="7"/>
  <c r="X426" i="7"/>
  <c r="X430" i="7"/>
  <c r="X434" i="7"/>
  <c r="X454" i="7"/>
  <c r="X458" i="7"/>
  <c r="X396" i="7"/>
  <c r="X427" i="7"/>
  <c r="X431" i="7"/>
  <c r="X435" i="7"/>
  <c r="X455" i="7"/>
  <c r="X459" i="7"/>
  <c r="L20" i="1"/>
  <c r="L39" i="1"/>
  <c r="AJ36" i="2"/>
  <c r="A705" i="2"/>
  <c r="Y266" i="7" l="1"/>
  <c r="Z547" i="7"/>
  <c r="Z595" i="7"/>
  <c r="Z546" i="7"/>
  <c r="Z548" i="7" s="1"/>
  <c r="Y548" i="7"/>
  <c r="Y549" i="7" s="1"/>
  <c r="G574" i="7"/>
  <c r="G577" i="7" s="1"/>
  <c r="Y170" i="7"/>
  <c r="Y134" i="7"/>
  <c r="Y55" i="7"/>
  <c r="X539" i="7"/>
  <c r="X534" i="7"/>
  <c r="Z581" i="7"/>
  <c r="Z586" i="7"/>
  <c r="Z580" i="7"/>
  <c r="Z564" i="7"/>
  <c r="Z584" i="7" s="1"/>
  <c r="Y579" i="7"/>
  <c r="Y576" i="7" s="1"/>
  <c r="Y585" i="7"/>
  <c r="Z523" i="7"/>
  <c r="Z519" i="7"/>
  <c r="Z515" i="7"/>
  <c r="Z511" i="7"/>
  <c r="Z594" i="7"/>
  <c r="Z593" i="7"/>
  <c r="Z56" i="10"/>
  <c r="Z85" i="10"/>
  <c r="Z86" i="10" s="1"/>
  <c r="AA629" i="10"/>
  <c r="AA625" i="10"/>
  <c r="AA621" i="10"/>
  <c r="AA617" i="10"/>
  <c r="Z397" i="10"/>
  <c r="Z532" i="10" s="1"/>
  <c r="W63" i="8"/>
  <c r="Y594" i="8"/>
  <c r="Y590" i="8"/>
  <c r="Y586" i="8"/>
  <c r="Y582" i="8"/>
  <c r="Y65" i="10"/>
  <c r="Y68" i="10" s="1"/>
  <c r="Y179" i="10" s="1"/>
  <c r="Y196" i="10" s="1"/>
  <c r="X179" i="10"/>
  <c r="X196" i="10" s="1"/>
  <c r="Z180" i="10"/>
  <c r="Z197" i="10" s="1"/>
  <c r="Z141" i="10"/>
  <c r="Z153" i="10" s="1"/>
  <c r="Z249" i="10"/>
  <c r="Z221" i="10"/>
  <c r="Z372" i="10"/>
  <c r="Z59" i="10"/>
  <c r="Z698" i="10"/>
  <c r="Z683" i="10" s="1"/>
  <c r="Z66" i="10" s="1"/>
  <c r="AB11" i="10"/>
  <c r="AA645" i="10"/>
  <c r="AA181" i="10" s="1"/>
  <c r="AA198" i="10" s="1"/>
  <c r="AA41" i="10"/>
  <c r="AA183" i="10" s="1"/>
  <c r="AA200" i="10" s="1"/>
  <c r="Z27" i="10"/>
  <c r="Z666" i="10"/>
  <c r="Z651" i="10" s="1"/>
  <c r="Z730" i="10"/>
  <c r="Z715" i="10" s="1"/>
  <c r="Z67" i="10" s="1"/>
  <c r="Z508" i="10"/>
  <c r="Z512" i="10"/>
  <c r="Z536" i="10"/>
  <c r="Z540" i="10"/>
  <c r="Z560" i="10"/>
  <c r="Z564" i="10"/>
  <c r="Z502" i="10"/>
  <c r="Z368" i="10"/>
  <c r="Z507" i="10"/>
  <c r="Z511" i="10"/>
  <c r="Z515" i="10"/>
  <c r="Z535" i="10"/>
  <c r="Z539" i="10"/>
  <c r="Z559" i="10"/>
  <c r="Z563" i="10"/>
  <c r="Z567" i="10"/>
  <c r="AA741" i="10"/>
  <c r="AA739" i="10"/>
  <c r="AA738" i="10"/>
  <c r="AA737" i="10"/>
  <c r="AA736" i="10"/>
  <c r="AA735" i="10"/>
  <c r="AA734" i="10"/>
  <c r="AA729" i="10"/>
  <c r="AA432" i="10" s="1"/>
  <c r="AA728" i="10"/>
  <c r="AA431" i="10" s="1"/>
  <c r="AA727" i="10"/>
  <c r="AA430" i="10" s="1"/>
  <c r="AA726" i="10"/>
  <c r="AA429" i="10" s="1"/>
  <c r="AA725" i="10"/>
  <c r="AA428" i="10" s="1"/>
  <c r="AA724" i="10"/>
  <c r="AA427" i="10" s="1"/>
  <c r="AA723" i="10"/>
  <c r="AA426" i="10" s="1"/>
  <c r="AA722" i="10"/>
  <c r="AA425" i="10" s="1"/>
  <c r="AA721" i="10"/>
  <c r="AA424" i="10" s="1"/>
  <c r="AA732" i="10"/>
  <c r="AA697" i="10"/>
  <c r="AA406" i="10" s="1"/>
  <c r="AA696" i="10"/>
  <c r="AA405" i="10" s="1"/>
  <c r="AA695" i="10"/>
  <c r="AA404" i="10" s="1"/>
  <c r="AA694" i="10"/>
  <c r="AA403" i="10" s="1"/>
  <c r="AA693" i="10"/>
  <c r="AA402" i="10" s="1"/>
  <c r="AA692" i="10"/>
  <c r="AA401" i="10" s="1"/>
  <c r="AA691" i="10"/>
  <c r="AA400" i="10" s="1"/>
  <c r="AA690" i="10"/>
  <c r="AA399" i="10" s="1"/>
  <c r="AA720" i="10"/>
  <c r="AA423" i="10" s="1"/>
  <c r="AA709" i="10"/>
  <c r="AA708" i="10"/>
  <c r="AA707" i="10"/>
  <c r="AA706" i="10"/>
  <c r="AA705" i="10"/>
  <c r="AA704" i="10"/>
  <c r="AA703" i="10"/>
  <c r="AA702" i="10"/>
  <c r="AA700" i="10"/>
  <c r="AA665" i="10"/>
  <c r="AA381" i="10" s="1"/>
  <c r="AA664" i="10"/>
  <c r="AA380" i="10" s="1"/>
  <c r="AA663" i="10"/>
  <c r="AA379" i="10" s="1"/>
  <c r="AA662" i="10"/>
  <c r="AA378" i="10" s="1"/>
  <c r="AA661" i="10"/>
  <c r="AA377" i="10" s="1"/>
  <c r="AA660" i="10"/>
  <c r="AA376" i="10" s="1"/>
  <c r="AA659" i="10"/>
  <c r="AA375" i="10" s="1"/>
  <c r="AA689" i="10"/>
  <c r="AA398" i="10" s="1"/>
  <c r="AA688" i="10"/>
  <c r="AA677" i="10"/>
  <c r="AA676" i="10"/>
  <c r="AA675" i="10"/>
  <c r="AA674" i="10"/>
  <c r="AA673" i="10"/>
  <c r="AA672" i="10"/>
  <c r="AA671" i="10"/>
  <c r="AA669" i="10"/>
  <c r="AA668" i="10"/>
  <c r="AA657" i="10"/>
  <c r="AA373" i="10" s="1"/>
  <c r="AA590" i="10"/>
  <c r="AA591" i="10" s="1"/>
  <c r="AA584" i="10"/>
  <c r="AA585" i="10" s="1"/>
  <c r="AA658" i="10"/>
  <c r="AA374" i="10" s="1"/>
  <c r="AA656" i="10"/>
  <c r="AA488" i="10"/>
  <c r="AA487" i="10"/>
  <c r="AA486" i="10"/>
  <c r="AA485" i="10"/>
  <c r="AA484" i="10"/>
  <c r="AA483" i="10"/>
  <c r="AA367" i="10"/>
  <c r="AA501" i="10"/>
  <c r="AA354" i="10"/>
  <c r="AA353" i="10"/>
  <c r="AA352" i="10"/>
  <c r="AA351" i="10"/>
  <c r="AA350" i="10"/>
  <c r="AA349" i="10"/>
  <c r="AA30" i="10"/>
  <c r="AA26" i="10"/>
  <c r="AA25" i="10"/>
  <c r="AA23" i="10"/>
  <c r="AA19" i="10"/>
  <c r="AA40" i="10"/>
  <c r="AB2" i="10"/>
  <c r="AB639" i="10" s="1"/>
  <c r="Z510" i="10"/>
  <c r="Z514" i="10"/>
  <c r="Z534" i="10"/>
  <c r="Z538" i="10"/>
  <c r="Z558" i="10"/>
  <c r="Z562" i="10"/>
  <c r="Z566" i="10"/>
  <c r="Z509" i="10"/>
  <c r="Z513" i="10"/>
  <c r="Z533" i="10"/>
  <c r="Z537" i="10"/>
  <c r="Z541" i="10"/>
  <c r="Z561" i="10"/>
  <c r="Z565" i="10"/>
  <c r="Y685" i="7"/>
  <c r="Y670" i="7" s="1"/>
  <c r="Y70" i="7" s="1"/>
  <c r="Z11" i="8"/>
  <c r="X625" i="8"/>
  <c r="X610" i="8" s="1"/>
  <c r="X60" i="8" s="1"/>
  <c r="X689" i="8"/>
  <c r="X674" i="8" s="1"/>
  <c r="X62" i="8" s="1"/>
  <c r="X657" i="8"/>
  <c r="X642" i="8" s="1"/>
  <c r="X61" i="8" s="1"/>
  <c r="W72" i="8"/>
  <c r="Y700" i="8"/>
  <c r="Y699" i="8"/>
  <c r="Y697" i="8"/>
  <c r="Y696" i="8"/>
  <c r="Y695" i="8"/>
  <c r="Y694" i="8"/>
  <c r="Y693" i="8"/>
  <c r="Y688" i="8"/>
  <c r="Y687" i="8"/>
  <c r="Y396" i="8" s="1"/>
  <c r="Y686" i="8"/>
  <c r="Y395" i="8" s="1"/>
  <c r="Y685" i="8"/>
  <c r="Y394" i="8" s="1"/>
  <c r="Y684" i="8"/>
  <c r="Y393" i="8" s="1"/>
  <c r="Y683" i="8"/>
  <c r="Y392" i="8" s="1"/>
  <c r="Y682" i="8"/>
  <c r="Y391" i="8" s="1"/>
  <c r="Y681" i="8"/>
  <c r="Y390" i="8" s="1"/>
  <c r="Y680" i="8"/>
  <c r="Y389" i="8" s="1"/>
  <c r="Y679" i="8"/>
  <c r="Y388" i="8" s="1"/>
  <c r="Y691" i="8"/>
  <c r="Y668" i="8"/>
  <c r="Y666" i="8"/>
  <c r="Y664" i="8"/>
  <c r="Y662" i="8"/>
  <c r="Y656" i="8"/>
  <c r="Y371" i="8" s="1"/>
  <c r="Y655" i="8"/>
  <c r="Y370" i="8" s="1"/>
  <c r="Y654" i="8"/>
  <c r="Y369" i="8" s="1"/>
  <c r="Y653" i="8"/>
  <c r="Y368" i="8" s="1"/>
  <c r="Y652" i="8"/>
  <c r="Y367" i="8" s="1"/>
  <c r="Y651" i="8"/>
  <c r="Y366" i="8" s="1"/>
  <c r="Y650" i="8"/>
  <c r="Y365" i="8" s="1"/>
  <c r="Y649" i="8"/>
  <c r="Y648" i="8"/>
  <c r="Y363" i="8" s="1"/>
  <c r="Y647" i="8"/>
  <c r="Y362" i="8" s="1"/>
  <c r="Y667" i="8"/>
  <c r="Y665" i="8"/>
  <c r="Y663" i="8"/>
  <c r="Y661" i="8"/>
  <c r="Y659" i="8"/>
  <c r="Y624" i="8"/>
  <c r="Y346" i="8" s="1"/>
  <c r="Y623" i="8"/>
  <c r="Y345" i="8" s="1"/>
  <c r="Y622" i="8"/>
  <c r="Y344" i="8" s="1"/>
  <c r="Y621" i="8"/>
  <c r="Y343" i="8" s="1"/>
  <c r="Y620" i="8"/>
  <c r="Y342" i="8" s="1"/>
  <c r="Y619" i="8"/>
  <c r="Y341" i="8" s="1"/>
  <c r="Y618" i="8"/>
  <c r="Y340" i="8" s="1"/>
  <c r="Y617" i="8"/>
  <c r="Y339" i="8" s="1"/>
  <c r="Y616" i="8"/>
  <c r="Y338" i="8" s="1"/>
  <c r="Y615" i="8"/>
  <c r="Y337" i="8" s="1"/>
  <c r="Y636" i="8"/>
  <c r="Y635" i="8"/>
  <c r="Y634" i="8"/>
  <c r="Y633" i="8"/>
  <c r="Y632" i="8"/>
  <c r="Y631" i="8"/>
  <c r="Y630" i="8"/>
  <c r="Y629" i="8"/>
  <c r="Y627" i="8"/>
  <c r="Y604" i="8"/>
  <c r="Y555" i="8"/>
  <c r="Y556" i="8" s="1"/>
  <c r="Y549" i="8"/>
  <c r="Y550" i="8" s="1"/>
  <c r="Y453" i="8"/>
  <c r="Y452" i="8"/>
  <c r="Y451" i="8"/>
  <c r="Y450" i="8"/>
  <c r="Y449" i="8"/>
  <c r="Y448" i="8"/>
  <c r="Y364" i="8"/>
  <c r="Y466" i="8"/>
  <c r="Y397" i="8"/>
  <c r="Y332" i="8"/>
  <c r="Y319" i="8"/>
  <c r="Y318" i="8"/>
  <c r="Y317" i="8"/>
  <c r="Y316" i="8"/>
  <c r="Y315" i="8"/>
  <c r="Y314" i="8"/>
  <c r="Y30" i="8"/>
  <c r="Y26" i="8"/>
  <c r="Y25" i="8"/>
  <c r="Y23" i="8"/>
  <c r="Y19" i="8"/>
  <c r="Y40" i="8"/>
  <c r="Z2" i="8"/>
  <c r="X333" i="8"/>
  <c r="X474" i="8"/>
  <c r="X471" i="8"/>
  <c r="X475" i="8"/>
  <c r="X479" i="8"/>
  <c r="X499" i="8"/>
  <c r="X503" i="8"/>
  <c r="X523" i="8"/>
  <c r="X527" i="8"/>
  <c r="X531" i="8"/>
  <c r="X478" i="8"/>
  <c r="X498" i="8"/>
  <c r="X502" i="8"/>
  <c r="X506" i="8"/>
  <c r="X526" i="8"/>
  <c r="X530" i="8"/>
  <c r="X27" i="8"/>
  <c r="X472" i="8"/>
  <c r="X473" i="8"/>
  <c r="X477" i="8"/>
  <c r="X497" i="8"/>
  <c r="X501" i="8"/>
  <c r="X505" i="8"/>
  <c r="X525" i="8"/>
  <c r="X529" i="8"/>
  <c r="X467" i="8"/>
  <c r="X476" i="8"/>
  <c r="X480" i="8"/>
  <c r="X500" i="8"/>
  <c r="X504" i="8"/>
  <c r="X524" i="8"/>
  <c r="X528" i="8"/>
  <c r="X532" i="8"/>
  <c r="Y27" i="7"/>
  <c r="AA11" i="7"/>
  <c r="Z566" i="7"/>
  <c r="Z560" i="7"/>
  <c r="Z538" i="7" s="1"/>
  <c r="Z551" i="7"/>
  <c r="Z550" i="7"/>
  <c r="Z544" i="7"/>
  <c r="Z543" i="7"/>
  <c r="Z696" i="7"/>
  <c r="Z695" i="7"/>
  <c r="Z693" i="7"/>
  <c r="Z692" i="7"/>
  <c r="Z691" i="7"/>
  <c r="Z690" i="7"/>
  <c r="Z689" i="7"/>
  <c r="Z687" i="7"/>
  <c r="Z684" i="7"/>
  <c r="Z326" i="7" s="1"/>
  <c r="Z683" i="7"/>
  <c r="Z682" i="7"/>
  <c r="Z324" i="7" s="1"/>
  <c r="Z681" i="7"/>
  <c r="Z323" i="7" s="1"/>
  <c r="Z680" i="7"/>
  <c r="Z322" i="7" s="1"/>
  <c r="Z679" i="7"/>
  <c r="Z321" i="7" s="1"/>
  <c r="Z678" i="7"/>
  <c r="Z320" i="7" s="1"/>
  <c r="Z677" i="7"/>
  <c r="Z319" i="7" s="1"/>
  <c r="Z676" i="7"/>
  <c r="Z318" i="7" s="1"/>
  <c r="Z675" i="7"/>
  <c r="Z317" i="7" s="1"/>
  <c r="Z664" i="7"/>
  <c r="Z663" i="7"/>
  <c r="Z662" i="7"/>
  <c r="Z661" i="7"/>
  <c r="Z660" i="7"/>
  <c r="Z659" i="7"/>
  <c r="Z658" i="7"/>
  <c r="Z657" i="7"/>
  <c r="Z655" i="7"/>
  <c r="Z652" i="7"/>
  <c r="Z300" i="7" s="1"/>
  <c r="Z651" i="7"/>
  <c r="Z299" i="7" s="1"/>
  <c r="Z650" i="7"/>
  <c r="Z298" i="7" s="1"/>
  <c r="Z649" i="7"/>
  <c r="Z297" i="7" s="1"/>
  <c r="Z648" i="7"/>
  <c r="Z296" i="7" s="1"/>
  <c r="Z647" i="7"/>
  <c r="Z295" i="7" s="1"/>
  <c r="Z646" i="7"/>
  <c r="Z294" i="7" s="1"/>
  <c r="Z645" i="7"/>
  <c r="Z293" i="7" s="1"/>
  <c r="Z644" i="7"/>
  <c r="Z292" i="7" s="1"/>
  <c r="Z643" i="7"/>
  <c r="Z291" i="7" s="1"/>
  <c r="Z632" i="7"/>
  <c r="Z631" i="7"/>
  <c r="Z630" i="7"/>
  <c r="Z629" i="7"/>
  <c r="Z628" i="7"/>
  <c r="Z627" i="7"/>
  <c r="Z626" i="7"/>
  <c r="Z625" i="7"/>
  <c r="Z623" i="7"/>
  <c r="Z620" i="7"/>
  <c r="Z275" i="7" s="1"/>
  <c r="Z619" i="7"/>
  <c r="Z274" i="7" s="1"/>
  <c r="Z618" i="7"/>
  <c r="Z273" i="7" s="1"/>
  <c r="Z617" i="7"/>
  <c r="Z272" i="7" s="1"/>
  <c r="Z616" i="7"/>
  <c r="Z271" i="7" s="1"/>
  <c r="Z615" i="7"/>
  <c r="Z270" i="7" s="1"/>
  <c r="Z614" i="7"/>
  <c r="Z269" i="7" s="1"/>
  <c r="Z613" i="7"/>
  <c r="Z268" i="7" s="1"/>
  <c r="Z612" i="7"/>
  <c r="Z267" i="7" s="1"/>
  <c r="Z611" i="7"/>
  <c r="Z266" i="7" s="1"/>
  <c r="Z484" i="7"/>
  <c r="Z485" i="7" s="1"/>
  <c r="Z478" i="7"/>
  <c r="Z479" i="7" s="1"/>
  <c r="Z561" i="7"/>
  <c r="Z395" i="7"/>
  <c r="Z382" i="7"/>
  <c r="Z381" i="7"/>
  <c r="Z380" i="7"/>
  <c r="Z379" i="7"/>
  <c r="Z378" i="7"/>
  <c r="Z377" i="7"/>
  <c r="Z325" i="7"/>
  <c r="Z248" i="7"/>
  <c r="Z247" i="7"/>
  <c r="Z246" i="7"/>
  <c r="Z245" i="7"/>
  <c r="Z244" i="7"/>
  <c r="Z243" i="7"/>
  <c r="Z261" i="7"/>
  <c r="Z30" i="7"/>
  <c r="Z26" i="7"/>
  <c r="Z25" i="7"/>
  <c r="Z23" i="7"/>
  <c r="Z19" i="7"/>
  <c r="Z40" i="7"/>
  <c r="AA2" i="7"/>
  <c r="AA600" i="7" s="1"/>
  <c r="Y262" i="7"/>
  <c r="Y400" i="7"/>
  <c r="Y408" i="7"/>
  <c r="Y402" i="7"/>
  <c r="Y401" i="7"/>
  <c r="Y405" i="7"/>
  <c r="Y409" i="7"/>
  <c r="Y429" i="7"/>
  <c r="Y433" i="7"/>
  <c r="Y453" i="7"/>
  <c r="Y457" i="7"/>
  <c r="Y461" i="7"/>
  <c r="Y426" i="7"/>
  <c r="Y430" i="7"/>
  <c r="Y434" i="7"/>
  <c r="Y454" i="7"/>
  <c r="Y458" i="7"/>
  <c r="Y396" i="7"/>
  <c r="Y61" i="7"/>
  <c r="Y621" i="7"/>
  <c r="Y606" i="7" s="1"/>
  <c r="Y68" i="7" s="1"/>
  <c r="Y653" i="7"/>
  <c r="Y638" i="7" s="1"/>
  <c r="Y69" i="7" s="1"/>
  <c r="X71" i="7"/>
  <c r="Y404" i="7"/>
  <c r="Y406" i="7"/>
  <c r="Y403" i="7"/>
  <c r="Y407" i="7"/>
  <c r="Y427" i="7"/>
  <c r="Y431" i="7"/>
  <c r="Y435" i="7"/>
  <c r="Y455" i="7"/>
  <c r="Y459" i="7"/>
  <c r="Y428" i="7"/>
  <c r="Y432" i="7"/>
  <c r="Y452" i="7"/>
  <c r="Y456" i="7"/>
  <c r="Y460" i="7"/>
  <c r="Y565" i="7"/>
  <c r="Y559" i="7"/>
  <c r="Y537" i="7" s="1"/>
  <c r="Y80" i="7" s="1"/>
  <c r="Z592" i="7"/>
  <c r="X556" i="7"/>
  <c r="X81" i="7"/>
  <c r="L21" i="1"/>
  <c r="L40" i="1"/>
  <c r="AK36" i="2"/>
  <c r="A706" i="2"/>
  <c r="AA595" i="7" l="1"/>
  <c r="AA546" i="7"/>
  <c r="AA547" i="7"/>
  <c r="H580" i="7"/>
  <c r="H579" i="7" s="1"/>
  <c r="H576" i="7" s="1"/>
  <c r="H574" i="7"/>
  <c r="Z170" i="7"/>
  <c r="Z134" i="7"/>
  <c r="Z55" i="7"/>
  <c r="Y534" i="7"/>
  <c r="Y539" i="7"/>
  <c r="Z585" i="7"/>
  <c r="Z579" i="7"/>
  <c r="Z576" i="7" s="1"/>
  <c r="AA586" i="7"/>
  <c r="AA580" i="7"/>
  <c r="AA581" i="7"/>
  <c r="AA564" i="7"/>
  <c r="AA584" i="7" s="1"/>
  <c r="Z549" i="7"/>
  <c r="AA523" i="7"/>
  <c r="AA519" i="7"/>
  <c r="AA515" i="7"/>
  <c r="AA511" i="7"/>
  <c r="AA594" i="7"/>
  <c r="AA593" i="7"/>
  <c r="AA397" i="10"/>
  <c r="AA532" i="10" s="1"/>
  <c r="AA56" i="10"/>
  <c r="AA85" i="10"/>
  <c r="AA86" i="10" s="1"/>
  <c r="AB629" i="10"/>
  <c r="AB625" i="10"/>
  <c r="AB621" i="10"/>
  <c r="AB617" i="10"/>
  <c r="Y75" i="10"/>
  <c r="Z582" i="8"/>
  <c r="Z594" i="8"/>
  <c r="Z590" i="8"/>
  <c r="Z586" i="8"/>
  <c r="Z65" i="10"/>
  <c r="Z68" i="10" s="1"/>
  <c r="Z75" i="10" s="1"/>
  <c r="AA180" i="10"/>
  <c r="AA197" i="10" s="1"/>
  <c r="AA372" i="10"/>
  <c r="AA141" i="10"/>
  <c r="AA153" i="10" s="1"/>
  <c r="AA249" i="10"/>
  <c r="AA221" i="10"/>
  <c r="Z506" i="10"/>
  <c r="AA59" i="10"/>
  <c r="AC11" i="10"/>
  <c r="AB645" i="10"/>
  <c r="AB181" i="10" s="1"/>
  <c r="AB198" i="10" s="1"/>
  <c r="AB41" i="10"/>
  <c r="AB183" i="10" s="1"/>
  <c r="AB200" i="10" s="1"/>
  <c r="AA730" i="10"/>
  <c r="AA715" i="10" s="1"/>
  <c r="AA67" i="10" s="1"/>
  <c r="AA666" i="10"/>
  <c r="AA651" i="10" s="1"/>
  <c r="AA368" i="10"/>
  <c r="AA507" i="10"/>
  <c r="AA511" i="10"/>
  <c r="AA515" i="10"/>
  <c r="AA535" i="10"/>
  <c r="AA539" i="10"/>
  <c r="AA559" i="10"/>
  <c r="AA563" i="10"/>
  <c r="AA567" i="10"/>
  <c r="AA508" i="10"/>
  <c r="AA512" i="10"/>
  <c r="AA536" i="10"/>
  <c r="AA540" i="10"/>
  <c r="AA560" i="10"/>
  <c r="AA564" i="10"/>
  <c r="AA502" i="10"/>
  <c r="AA27" i="10"/>
  <c r="AA698" i="10"/>
  <c r="AA683" i="10" s="1"/>
  <c r="AA66" i="10" s="1"/>
  <c r="AB741" i="10"/>
  <c r="AB739" i="10"/>
  <c r="AB738" i="10"/>
  <c r="AB737" i="10"/>
  <c r="AB736" i="10"/>
  <c r="AB735" i="10"/>
  <c r="AB734" i="10"/>
  <c r="AB732" i="10"/>
  <c r="AB729" i="10"/>
  <c r="AB432" i="10" s="1"/>
  <c r="AB728" i="10"/>
  <c r="AB431" i="10" s="1"/>
  <c r="AB727" i="10"/>
  <c r="AB430" i="10" s="1"/>
  <c r="AB726" i="10"/>
  <c r="AB429" i="10" s="1"/>
  <c r="AB725" i="10"/>
  <c r="AB428" i="10" s="1"/>
  <c r="AB724" i="10"/>
  <c r="AB427" i="10" s="1"/>
  <c r="AB723" i="10"/>
  <c r="AB426" i="10" s="1"/>
  <c r="AB722" i="10"/>
  <c r="AB425" i="10" s="1"/>
  <c r="AB721" i="10"/>
  <c r="AB424" i="10" s="1"/>
  <c r="AB720" i="10"/>
  <c r="AB423" i="10" s="1"/>
  <c r="AB709" i="10"/>
  <c r="AB708" i="10"/>
  <c r="AB707" i="10"/>
  <c r="AB706" i="10"/>
  <c r="AB705" i="10"/>
  <c r="AB704" i="10"/>
  <c r="AB703" i="10"/>
  <c r="AB702" i="10"/>
  <c r="AB700" i="10"/>
  <c r="AB697" i="10"/>
  <c r="AB696" i="10"/>
  <c r="AB405" i="10" s="1"/>
  <c r="AB695" i="10"/>
  <c r="AB404" i="10" s="1"/>
  <c r="AB694" i="10"/>
  <c r="AB403" i="10" s="1"/>
  <c r="AB693" i="10"/>
  <c r="AB402" i="10" s="1"/>
  <c r="AB692" i="10"/>
  <c r="AB401" i="10" s="1"/>
  <c r="AB691" i="10"/>
  <c r="AB400" i="10" s="1"/>
  <c r="AB690" i="10"/>
  <c r="AB399" i="10" s="1"/>
  <c r="AB689" i="10"/>
  <c r="AB398" i="10" s="1"/>
  <c r="AB688" i="10"/>
  <c r="AB397" i="10" s="1"/>
  <c r="AB677" i="10"/>
  <c r="AB676" i="10"/>
  <c r="AB675" i="10"/>
  <c r="AB674" i="10"/>
  <c r="AB673" i="10"/>
  <c r="AB672" i="10"/>
  <c r="AB671" i="10"/>
  <c r="AB669" i="10"/>
  <c r="AB668" i="10"/>
  <c r="AB665" i="10"/>
  <c r="AB381" i="10" s="1"/>
  <c r="AB664" i="10"/>
  <c r="AB380" i="10" s="1"/>
  <c r="AB663" i="10"/>
  <c r="AB379" i="10" s="1"/>
  <c r="AB662" i="10"/>
  <c r="AB378" i="10" s="1"/>
  <c r="AB661" i="10"/>
  <c r="AB377" i="10" s="1"/>
  <c r="AB660" i="10"/>
  <c r="AB376" i="10" s="1"/>
  <c r="AB659" i="10"/>
  <c r="AB375" i="10" s="1"/>
  <c r="AB658" i="10"/>
  <c r="AB374" i="10" s="1"/>
  <c r="AB657" i="10"/>
  <c r="AB373" i="10" s="1"/>
  <c r="AB656" i="10"/>
  <c r="AB590" i="10"/>
  <c r="AB591" i="10" s="1"/>
  <c r="AB584" i="10"/>
  <c r="AB585" i="10" s="1"/>
  <c r="AB501" i="10"/>
  <c r="AB406" i="10"/>
  <c r="AB354" i="10"/>
  <c r="AB353" i="10"/>
  <c r="AB352" i="10"/>
  <c r="AB351" i="10"/>
  <c r="AB350" i="10"/>
  <c r="AB349" i="10"/>
  <c r="AB488" i="10"/>
  <c r="AB487" i="10"/>
  <c r="AB486" i="10"/>
  <c r="AB485" i="10"/>
  <c r="AB484" i="10"/>
  <c r="AB483" i="10"/>
  <c r="AB367" i="10"/>
  <c r="AB40" i="10"/>
  <c r="AB30" i="10"/>
  <c r="AB26" i="10"/>
  <c r="AB25" i="10"/>
  <c r="AB23" i="10"/>
  <c r="AB19" i="10"/>
  <c r="AC2" i="10"/>
  <c r="AC639" i="10" s="1"/>
  <c r="AA509" i="10"/>
  <c r="AA513" i="10"/>
  <c r="AA533" i="10"/>
  <c r="AA537" i="10"/>
  <c r="AA541" i="10"/>
  <c r="AA561" i="10"/>
  <c r="AA565" i="10"/>
  <c r="AA510" i="10"/>
  <c r="AA514" i="10"/>
  <c r="AA534" i="10"/>
  <c r="AA538" i="10"/>
  <c r="AA558" i="10"/>
  <c r="AA562" i="10"/>
  <c r="AA566" i="10"/>
  <c r="AA11" i="8"/>
  <c r="X63" i="8"/>
  <c r="Y689" i="8"/>
  <c r="Y674" i="8" s="1"/>
  <c r="Y62" i="8" s="1"/>
  <c r="Z700" i="8"/>
  <c r="Z699" i="8"/>
  <c r="Z697" i="8"/>
  <c r="Z696" i="8"/>
  <c r="Z695" i="8"/>
  <c r="Z694" i="8"/>
  <c r="Z693" i="8"/>
  <c r="Z691" i="8"/>
  <c r="Z688" i="8"/>
  <c r="Z397" i="8" s="1"/>
  <c r="Z687" i="8"/>
  <c r="Z396" i="8" s="1"/>
  <c r="Z686" i="8"/>
  <c r="Z395" i="8" s="1"/>
  <c r="Z685" i="8"/>
  <c r="Z394" i="8" s="1"/>
  <c r="Z684" i="8"/>
  <c r="Z393" i="8" s="1"/>
  <c r="Z683" i="8"/>
  <c r="Z392" i="8" s="1"/>
  <c r="Z682" i="8"/>
  <c r="Z391" i="8" s="1"/>
  <c r="Z681" i="8"/>
  <c r="Z390" i="8" s="1"/>
  <c r="Z680" i="8"/>
  <c r="Z389" i="8" s="1"/>
  <c r="Z679" i="8"/>
  <c r="Z388" i="8" s="1"/>
  <c r="Z668" i="8"/>
  <c r="Z667" i="8"/>
  <c r="Z666" i="8"/>
  <c r="Z665" i="8"/>
  <c r="Z664" i="8"/>
  <c r="Z663" i="8"/>
  <c r="Z662" i="8"/>
  <c r="Z661" i="8"/>
  <c r="Z659" i="8"/>
  <c r="Z656" i="8"/>
  <c r="Z655" i="8"/>
  <c r="Z370" i="8" s="1"/>
  <c r="Z654" i="8"/>
  <c r="Z369" i="8" s="1"/>
  <c r="Z653" i="8"/>
  <c r="Z368" i="8" s="1"/>
  <c r="Z652" i="8"/>
  <c r="Z367" i="8" s="1"/>
  <c r="Z651" i="8"/>
  <c r="Z366" i="8" s="1"/>
  <c r="Z650" i="8"/>
  <c r="Z365" i="8" s="1"/>
  <c r="Z649" i="8"/>
  <c r="Z364" i="8" s="1"/>
  <c r="Z648" i="8"/>
  <c r="Z363" i="8" s="1"/>
  <c r="Z647" i="8"/>
  <c r="Z362" i="8" s="1"/>
  <c r="Z636" i="8"/>
  <c r="Z635" i="8"/>
  <c r="Z634" i="8"/>
  <c r="Z633" i="8"/>
  <c r="Z632" i="8"/>
  <c r="Z631" i="8"/>
  <c r="Z630" i="8"/>
  <c r="Z629" i="8"/>
  <c r="Z627" i="8"/>
  <c r="Z624" i="8"/>
  <c r="Z346" i="8" s="1"/>
  <c r="Z623" i="8"/>
  <c r="Z345" i="8" s="1"/>
  <c r="Z622" i="8"/>
  <c r="Z344" i="8" s="1"/>
  <c r="Z621" i="8"/>
  <c r="Z343" i="8" s="1"/>
  <c r="Z620" i="8"/>
  <c r="Z342" i="8" s="1"/>
  <c r="Z619" i="8"/>
  <c r="Z341" i="8" s="1"/>
  <c r="Z618" i="8"/>
  <c r="Z340" i="8" s="1"/>
  <c r="Z617" i="8"/>
  <c r="Z339" i="8" s="1"/>
  <c r="Z616" i="8"/>
  <c r="Z338" i="8" s="1"/>
  <c r="Z615" i="8"/>
  <c r="Z337" i="8" s="1"/>
  <c r="Z555" i="8"/>
  <c r="Z556" i="8" s="1"/>
  <c r="Z549" i="8"/>
  <c r="Z550" i="8" s="1"/>
  <c r="Z604" i="8"/>
  <c r="Z466" i="8"/>
  <c r="Z371" i="8"/>
  <c r="Z453" i="8"/>
  <c r="Z452" i="8"/>
  <c r="Z451" i="8"/>
  <c r="Z450" i="8"/>
  <c r="Z449" i="8"/>
  <c r="Z448" i="8"/>
  <c r="Z332" i="8"/>
  <c r="Z319" i="8"/>
  <c r="Z318" i="8"/>
  <c r="Z317" i="8"/>
  <c r="Z316" i="8"/>
  <c r="Z315" i="8"/>
  <c r="Z314" i="8"/>
  <c r="Z40" i="8"/>
  <c r="AA2" i="8"/>
  <c r="Z30" i="8"/>
  <c r="Z26" i="8"/>
  <c r="Z25" i="8"/>
  <c r="Z23" i="8"/>
  <c r="Z19" i="8"/>
  <c r="Y333" i="8"/>
  <c r="Y473" i="8"/>
  <c r="Y474" i="8"/>
  <c r="Y478" i="8"/>
  <c r="Y498" i="8"/>
  <c r="Y502" i="8"/>
  <c r="Y506" i="8"/>
  <c r="Y526" i="8"/>
  <c r="Y530" i="8"/>
  <c r="Y477" i="8"/>
  <c r="Y497" i="8"/>
  <c r="Y501" i="8"/>
  <c r="Y505" i="8"/>
  <c r="Y525" i="8"/>
  <c r="Y529" i="8"/>
  <c r="Y467" i="8"/>
  <c r="Y27" i="8"/>
  <c r="Y625" i="8"/>
  <c r="Y610" i="8" s="1"/>
  <c r="Y60" i="8" s="1"/>
  <c r="Y657" i="8"/>
  <c r="Y642" i="8" s="1"/>
  <c r="Y61" i="8" s="1"/>
  <c r="X72" i="8"/>
  <c r="Y471" i="8"/>
  <c r="Y472" i="8"/>
  <c r="Y476" i="8"/>
  <c r="Y480" i="8"/>
  <c r="Y500" i="8"/>
  <c r="Y504" i="8"/>
  <c r="Y524" i="8"/>
  <c r="Y528" i="8"/>
  <c r="Y532" i="8"/>
  <c r="Y475" i="8"/>
  <c r="Y479" i="8"/>
  <c r="Y499" i="8"/>
  <c r="Y503" i="8"/>
  <c r="Y523" i="8"/>
  <c r="Y527" i="8"/>
  <c r="Y531" i="8"/>
  <c r="AA566" i="7"/>
  <c r="AA560" i="7"/>
  <c r="AA538" i="7" s="1"/>
  <c r="AA551" i="7"/>
  <c r="AA550" i="7"/>
  <c r="AA544" i="7"/>
  <c r="AA543" i="7"/>
  <c r="AB11" i="7"/>
  <c r="Y556" i="7"/>
  <c r="Y81" i="7"/>
  <c r="AA696" i="7"/>
  <c r="AA694" i="7"/>
  <c r="AA693" i="7"/>
  <c r="AA692" i="7"/>
  <c r="AA691" i="7"/>
  <c r="AA690" i="7"/>
  <c r="AA689" i="7"/>
  <c r="AA684" i="7"/>
  <c r="AA326" i="7" s="1"/>
  <c r="AA683" i="7"/>
  <c r="AA682" i="7"/>
  <c r="AA324" i="7" s="1"/>
  <c r="AA681" i="7"/>
  <c r="AA323" i="7" s="1"/>
  <c r="AA680" i="7"/>
  <c r="AA322" i="7" s="1"/>
  <c r="AA679" i="7"/>
  <c r="AA321" i="7" s="1"/>
  <c r="AA678" i="7"/>
  <c r="AA320" i="7" s="1"/>
  <c r="AA677" i="7"/>
  <c r="AA319" i="7" s="1"/>
  <c r="AA687" i="7"/>
  <c r="AA675" i="7"/>
  <c r="AA317" i="7" s="1"/>
  <c r="AA652" i="7"/>
  <c r="AA300" i="7" s="1"/>
  <c r="AA651" i="7"/>
  <c r="AA299" i="7" s="1"/>
  <c r="AA650" i="7"/>
  <c r="AA298" i="7" s="1"/>
  <c r="AA649" i="7"/>
  <c r="AA297" i="7" s="1"/>
  <c r="AA648" i="7"/>
  <c r="AA296" i="7" s="1"/>
  <c r="AA647" i="7"/>
  <c r="AA295" i="7" s="1"/>
  <c r="AA646" i="7"/>
  <c r="AA294" i="7" s="1"/>
  <c r="AA676" i="7"/>
  <c r="AA318" i="7" s="1"/>
  <c r="AA664" i="7"/>
  <c r="AA663" i="7"/>
  <c r="AA662" i="7"/>
  <c r="AA661" i="7"/>
  <c r="AA660" i="7"/>
  <c r="AA659" i="7"/>
  <c r="AA658" i="7"/>
  <c r="AA657" i="7"/>
  <c r="AA655" i="7"/>
  <c r="AA620" i="7"/>
  <c r="AA275" i="7" s="1"/>
  <c r="AA619" i="7"/>
  <c r="AA274" i="7" s="1"/>
  <c r="AA618" i="7"/>
  <c r="AA273" i="7" s="1"/>
  <c r="AA617" i="7"/>
  <c r="AA272" i="7" s="1"/>
  <c r="AA616" i="7"/>
  <c r="AA271" i="7" s="1"/>
  <c r="AA615" i="7"/>
  <c r="AA270" i="7" s="1"/>
  <c r="AA645" i="7"/>
  <c r="AA293" i="7" s="1"/>
  <c r="AA644" i="7"/>
  <c r="AA292" i="7" s="1"/>
  <c r="AA643" i="7"/>
  <c r="AA291" i="7" s="1"/>
  <c r="AA632" i="7"/>
  <c r="AA631" i="7"/>
  <c r="AA630" i="7"/>
  <c r="AA629" i="7"/>
  <c r="AA628" i="7"/>
  <c r="AA627" i="7"/>
  <c r="AA626" i="7"/>
  <c r="AA624" i="7"/>
  <c r="AA623" i="7"/>
  <c r="AA613" i="7"/>
  <c r="AA268" i="7" s="1"/>
  <c r="AA561" i="7"/>
  <c r="AA614" i="7"/>
  <c r="AA269" i="7" s="1"/>
  <c r="AA612" i="7"/>
  <c r="AA267" i="7" s="1"/>
  <c r="AA611" i="7"/>
  <c r="AA266" i="7" s="1"/>
  <c r="AA484" i="7"/>
  <c r="AA485" i="7" s="1"/>
  <c r="AA478" i="7"/>
  <c r="AA479" i="7" s="1"/>
  <c r="AA382" i="7"/>
  <c r="AA381" i="7"/>
  <c r="AA380" i="7"/>
  <c r="AA379" i="7"/>
  <c r="AA378" i="7"/>
  <c r="AA377" i="7"/>
  <c r="AA325" i="7"/>
  <c r="AA395" i="7"/>
  <c r="AA261" i="7"/>
  <c r="AA248" i="7"/>
  <c r="AA247" i="7"/>
  <c r="AA246" i="7"/>
  <c r="AA245" i="7"/>
  <c r="AA244" i="7"/>
  <c r="AA243" i="7"/>
  <c r="AA40" i="7"/>
  <c r="AB2" i="7"/>
  <c r="AB600" i="7" s="1"/>
  <c r="AA30" i="7"/>
  <c r="AA26" i="7"/>
  <c r="AA25" i="7"/>
  <c r="AA23" i="7"/>
  <c r="AA19" i="7"/>
  <c r="Z407" i="7"/>
  <c r="Z405" i="7"/>
  <c r="Z400" i="7"/>
  <c r="Z404" i="7"/>
  <c r="Z408" i="7"/>
  <c r="Z428" i="7"/>
  <c r="Z432" i="7"/>
  <c r="Z452" i="7"/>
  <c r="Z456" i="7"/>
  <c r="Z460" i="7"/>
  <c r="Z429" i="7"/>
  <c r="Z433" i="7"/>
  <c r="Z453" i="7"/>
  <c r="Z457" i="7"/>
  <c r="Z461" i="7"/>
  <c r="Z565" i="7"/>
  <c r="Z559" i="7"/>
  <c r="Z537" i="7" s="1"/>
  <c r="Z80" i="7" s="1"/>
  <c r="AA592" i="7"/>
  <c r="Z27" i="7"/>
  <c r="Z61" i="7"/>
  <c r="Z621" i="7"/>
  <c r="Z606" i="7" s="1"/>
  <c r="Z68" i="7" s="1"/>
  <c r="Z653" i="7"/>
  <c r="Z638" i="7" s="1"/>
  <c r="Z69" i="7" s="1"/>
  <c r="Z685" i="7"/>
  <c r="Z670" i="7" s="1"/>
  <c r="Z70" i="7" s="1"/>
  <c r="Z403" i="7"/>
  <c r="Z262" i="7"/>
  <c r="Z401" i="7"/>
  <c r="Z409" i="7"/>
  <c r="Z402" i="7"/>
  <c r="Z406" i="7"/>
  <c r="Z426" i="7"/>
  <c r="Z430" i="7"/>
  <c r="Z434" i="7"/>
  <c r="Z454" i="7"/>
  <c r="Z458" i="7"/>
  <c r="Z396" i="7"/>
  <c r="Z427" i="7"/>
  <c r="Z431" i="7"/>
  <c r="Z435" i="7"/>
  <c r="Z455" i="7"/>
  <c r="Z459" i="7"/>
  <c r="Y71" i="7"/>
  <c r="L22" i="1"/>
  <c r="L41" i="1"/>
  <c r="AL36" i="2"/>
  <c r="C194" i="1"/>
  <c r="D194" i="1"/>
  <c r="E194" i="1"/>
  <c r="B194" i="1"/>
  <c r="AB547" i="7" l="1"/>
  <c r="AB595" i="7"/>
  <c r="AB546" i="7"/>
  <c r="AB548" i="7" s="1"/>
  <c r="AA548" i="7"/>
  <c r="H577" i="7"/>
  <c r="I574" i="7" s="1"/>
  <c r="AA170" i="7"/>
  <c r="AA134" i="7"/>
  <c r="AA55" i="7"/>
  <c r="Z539" i="7"/>
  <c r="Z534" i="7"/>
  <c r="AB581" i="7"/>
  <c r="AB586" i="7"/>
  <c r="AB580" i="7"/>
  <c r="AB564" i="7"/>
  <c r="AB584" i="7" s="1"/>
  <c r="AA579" i="7"/>
  <c r="AA576" i="7" s="1"/>
  <c r="AA585" i="7"/>
  <c r="AB523" i="7"/>
  <c r="AB519" i="7"/>
  <c r="AB515" i="7"/>
  <c r="AB511" i="7"/>
  <c r="AB594" i="7"/>
  <c r="AB593" i="7"/>
  <c r="AB56" i="10"/>
  <c r="AB85" i="10"/>
  <c r="AB86" i="10" s="1"/>
  <c r="AC629" i="10"/>
  <c r="AC625" i="10"/>
  <c r="AC621" i="10"/>
  <c r="AC617" i="10"/>
  <c r="AB372" i="10"/>
  <c r="AB506" i="10" s="1"/>
  <c r="AA594" i="8"/>
  <c r="AA590" i="8"/>
  <c r="AA586" i="8"/>
  <c r="AA582" i="8"/>
  <c r="AA506" i="10"/>
  <c r="AA65" i="10"/>
  <c r="AA68" i="10" s="1"/>
  <c r="AA75" i="10" s="1"/>
  <c r="Z179" i="10"/>
  <c r="Z196" i="10" s="1"/>
  <c r="AB180" i="10"/>
  <c r="AB197" i="10" s="1"/>
  <c r="AB141" i="10"/>
  <c r="AB153" i="10" s="1"/>
  <c r="AB249" i="10"/>
  <c r="AB221" i="10"/>
  <c r="AB59" i="10"/>
  <c r="AD11" i="10"/>
  <c r="AC645" i="10"/>
  <c r="AC181" i="10" s="1"/>
  <c r="AC198" i="10" s="1"/>
  <c r="AC41" i="10"/>
  <c r="AC183" i="10" s="1"/>
  <c r="AC200" i="10" s="1"/>
  <c r="AB698" i="10"/>
  <c r="AB683" i="10" s="1"/>
  <c r="AB66" i="10" s="1"/>
  <c r="AB666" i="10"/>
  <c r="AB651" i="10" s="1"/>
  <c r="AB730" i="10"/>
  <c r="AB715" i="10" s="1"/>
  <c r="AB67" i="10" s="1"/>
  <c r="AC741" i="10"/>
  <c r="AC739" i="10"/>
  <c r="AC738" i="10"/>
  <c r="AC737" i="10"/>
  <c r="AC736" i="10"/>
  <c r="AC735" i="10"/>
  <c r="AC734" i="10"/>
  <c r="AC729" i="10"/>
  <c r="AC432" i="10" s="1"/>
  <c r="AC728" i="10"/>
  <c r="AC431" i="10" s="1"/>
  <c r="AC727" i="10"/>
  <c r="AC430" i="10" s="1"/>
  <c r="AC726" i="10"/>
  <c r="AC429" i="10" s="1"/>
  <c r="AC725" i="10"/>
  <c r="AC428" i="10" s="1"/>
  <c r="AC724" i="10"/>
  <c r="AC427" i="10" s="1"/>
  <c r="AC723" i="10"/>
  <c r="AC426" i="10" s="1"/>
  <c r="AC722" i="10"/>
  <c r="AC425" i="10" s="1"/>
  <c r="AC721" i="10"/>
  <c r="AC424" i="10" s="1"/>
  <c r="AC732" i="10"/>
  <c r="AC720" i="10"/>
  <c r="AC697" i="10"/>
  <c r="AC406" i="10" s="1"/>
  <c r="AC696" i="10"/>
  <c r="AC405" i="10" s="1"/>
  <c r="AC695" i="10"/>
  <c r="AC404" i="10" s="1"/>
  <c r="AC694" i="10"/>
  <c r="AC403" i="10" s="1"/>
  <c r="AC693" i="10"/>
  <c r="AC692" i="10"/>
  <c r="AC401" i="10" s="1"/>
  <c r="AC691" i="10"/>
  <c r="AC400" i="10" s="1"/>
  <c r="AC690" i="10"/>
  <c r="AC399" i="10" s="1"/>
  <c r="AC709" i="10"/>
  <c r="AC708" i="10"/>
  <c r="AC707" i="10"/>
  <c r="AC706" i="10"/>
  <c r="AC705" i="10"/>
  <c r="AC704" i="10"/>
  <c r="AC703" i="10"/>
  <c r="AC702" i="10"/>
  <c r="AC700" i="10"/>
  <c r="AC665" i="10"/>
  <c r="AC381" i="10" s="1"/>
  <c r="AC664" i="10"/>
  <c r="AC380" i="10" s="1"/>
  <c r="AC663" i="10"/>
  <c r="AC379" i="10" s="1"/>
  <c r="AC662" i="10"/>
  <c r="AC378" i="10" s="1"/>
  <c r="AC661" i="10"/>
  <c r="AC377" i="10" s="1"/>
  <c r="AC660" i="10"/>
  <c r="AC376" i="10" s="1"/>
  <c r="AC659" i="10"/>
  <c r="AC375" i="10" s="1"/>
  <c r="AC689" i="10"/>
  <c r="AC398" i="10" s="1"/>
  <c r="AC688" i="10"/>
  <c r="AC397" i="10" s="1"/>
  <c r="AC677" i="10"/>
  <c r="AC676" i="10"/>
  <c r="AC675" i="10"/>
  <c r="AC674" i="10"/>
  <c r="AC673" i="10"/>
  <c r="AC672" i="10"/>
  <c r="AC671" i="10"/>
  <c r="AC669" i="10"/>
  <c r="AC668" i="10"/>
  <c r="AC658" i="10"/>
  <c r="AC374" i="10" s="1"/>
  <c r="AC656" i="10"/>
  <c r="AC590" i="10"/>
  <c r="AC591" i="10" s="1"/>
  <c r="AC584" i="10"/>
  <c r="AC585" i="10" s="1"/>
  <c r="AC657" i="10"/>
  <c r="AC373" i="10" s="1"/>
  <c r="AC488" i="10"/>
  <c r="AC487" i="10"/>
  <c r="AC486" i="10"/>
  <c r="AC485" i="10"/>
  <c r="AC484" i="10"/>
  <c r="AC483" i="10"/>
  <c r="AC423" i="10"/>
  <c r="AC367" i="10"/>
  <c r="AC501" i="10"/>
  <c r="AC402" i="10"/>
  <c r="AC354" i="10"/>
  <c r="AC353" i="10"/>
  <c r="AC352" i="10"/>
  <c r="AC351" i="10"/>
  <c r="AC350" i="10"/>
  <c r="AC349" i="10"/>
  <c r="AC30" i="10"/>
  <c r="AC26" i="10"/>
  <c r="AC25" i="10"/>
  <c r="AC23" i="10"/>
  <c r="AC19" i="10"/>
  <c r="AC40" i="10"/>
  <c r="AD2" i="10"/>
  <c r="AD639" i="10" s="1"/>
  <c r="AB508" i="10"/>
  <c r="AB512" i="10"/>
  <c r="AB532" i="10"/>
  <c r="AB536" i="10"/>
  <c r="AB540" i="10"/>
  <c r="AB560" i="10"/>
  <c r="AB564" i="10"/>
  <c r="AB502" i="10"/>
  <c r="AB368" i="10"/>
  <c r="AB507" i="10"/>
  <c r="AB511" i="10"/>
  <c r="AB515" i="10"/>
  <c r="AB535" i="10"/>
  <c r="AB539" i="10"/>
  <c r="AB559" i="10"/>
  <c r="AB563" i="10"/>
  <c r="AB567" i="10"/>
  <c r="AB27" i="10"/>
  <c r="AB510" i="10"/>
  <c r="AB514" i="10"/>
  <c r="AB534" i="10"/>
  <c r="AB538" i="10"/>
  <c r="AB558" i="10"/>
  <c r="AB562" i="10"/>
  <c r="AB566" i="10"/>
  <c r="AB509" i="10"/>
  <c r="AB513" i="10"/>
  <c r="AB533" i="10"/>
  <c r="AB537" i="10"/>
  <c r="AB541" i="10"/>
  <c r="AB561" i="10"/>
  <c r="AB565" i="10"/>
  <c r="AB11" i="8"/>
  <c r="Z625" i="8"/>
  <c r="Z610" i="8" s="1"/>
  <c r="Z60" i="8" s="1"/>
  <c r="Z689" i="8"/>
  <c r="Z674" i="8" s="1"/>
  <c r="Z62" i="8" s="1"/>
  <c r="Z657" i="8"/>
  <c r="Z642" i="8" s="1"/>
  <c r="Z61" i="8" s="1"/>
  <c r="Z474" i="8"/>
  <c r="Z473" i="8"/>
  <c r="Z477" i="8"/>
  <c r="Z497" i="8"/>
  <c r="Z501" i="8"/>
  <c r="Z505" i="8"/>
  <c r="Z525" i="8"/>
  <c r="Z529" i="8"/>
  <c r="Z467" i="8"/>
  <c r="Z476" i="8"/>
  <c r="Z480" i="8"/>
  <c r="Z500" i="8"/>
  <c r="Z504" i="8"/>
  <c r="Z524" i="8"/>
  <c r="Z528" i="8"/>
  <c r="Z532" i="8"/>
  <c r="Y63" i="8"/>
  <c r="Y72" i="8"/>
  <c r="AA700" i="8"/>
  <c r="AA698" i="8"/>
  <c r="AA697" i="8"/>
  <c r="AA696" i="8"/>
  <c r="AA695" i="8"/>
  <c r="AA694" i="8"/>
  <c r="AA693" i="8"/>
  <c r="AA688" i="8"/>
  <c r="AA397" i="8" s="1"/>
  <c r="AA687" i="8"/>
  <c r="AA396" i="8" s="1"/>
  <c r="AA686" i="8"/>
  <c r="AA395" i="8" s="1"/>
  <c r="AA685" i="8"/>
  <c r="AA394" i="8" s="1"/>
  <c r="AA684" i="8"/>
  <c r="AA393" i="8" s="1"/>
  <c r="AA683" i="8"/>
  <c r="AA392" i="8" s="1"/>
  <c r="AA682" i="8"/>
  <c r="AA391" i="8" s="1"/>
  <c r="AA681" i="8"/>
  <c r="AA390" i="8" s="1"/>
  <c r="AA680" i="8"/>
  <c r="AA389" i="8" s="1"/>
  <c r="AA679" i="8"/>
  <c r="AA388" i="8" s="1"/>
  <c r="AA691" i="8"/>
  <c r="AA667" i="8"/>
  <c r="AA665" i="8"/>
  <c r="AA663" i="8"/>
  <c r="AA656" i="8"/>
  <c r="AA371" i="8" s="1"/>
  <c r="AA655" i="8"/>
  <c r="AA370" i="8" s="1"/>
  <c r="AA654" i="8"/>
  <c r="AA369" i="8" s="1"/>
  <c r="AA653" i="8"/>
  <c r="AA368" i="8" s="1"/>
  <c r="AA652" i="8"/>
  <c r="AA367" i="8" s="1"/>
  <c r="AA651" i="8"/>
  <c r="AA366" i="8" s="1"/>
  <c r="AA650" i="8"/>
  <c r="AA649" i="8"/>
  <c r="AA364" i="8" s="1"/>
  <c r="AA648" i="8"/>
  <c r="AA363" i="8" s="1"/>
  <c r="AA647" i="8"/>
  <c r="AA362" i="8" s="1"/>
  <c r="AA668" i="8"/>
  <c r="AA666" i="8"/>
  <c r="AA664" i="8"/>
  <c r="AA662" i="8"/>
  <c r="AA661" i="8"/>
  <c r="AA659" i="8"/>
  <c r="AA624" i="8"/>
  <c r="AA346" i="8" s="1"/>
  <c r="AA623" i="8"/>
  <c r="AA345" i="8" s="1"/>
  <c r="AA622" i="8"/>
  <c r="AA344" i="8" s="1"/>
  <c r="AA621" i="8"/>
  <c r="AA343" i="8" s="1"/>
  <c r="AA620" i="8"/>
  <c r="AA342" i="8" s="1"/>
  <c r="AA619" i="8"/>
  <c r="AA341" i="8" s="1"/>
  <c r="AA618" i="8"/>
  <c r="AA340" i="8" s="1"/>
  <c r="AA617" i="8"/>
  <c r="AA339" i="8" s="1"/>
  <c r="AA616" i="8"/>
  <c r="AA338" i="8" s="1"/>
  <c r="AA615" i="8"/>
  <c r="AA337" i="8" s="1"/>
  <c r="AA636" i="8"/>
  <c r="AA635" i="8"/>
  <c r="AA634" i="8"/>
  <c r="AA633" i="8"/>
  <c r="AA632" i="8"/>
  <c r="AA631" i="8"/>
  <c r="AA630" i="8"/>
  <c r="AA628" i="8"/>
  <c r="AA627" i="8"/>
  <c r="AA604" i="8"/>
  <c r="AA555" i="8"/>
  <c r="AA556" i="8" s="1"/>
  <c r="AA549" i="8"/>
  <c r="AA550" i="8" s="1"/>
  <c r="AA453" i="8"/>
  <c r="AA452" i="8"/>
  <c r="AA451" i="8"/>
  <c r="AA450" i="8"/>
  <c r="AA449" i="8"/>
  <c r="AA448" i="8"/>
  <c r="AA466" i="8"/>
  <c r="AA365" i="8"/>
  <c r="AA332" i="8"/>
  <c r="AA319" i="8"/>
  <c r="AA318" i="8"/>
  <c r="AA317" i="8"/>
  <c r="AA316" i="8"/>
  <c r="AA315" i="8"/>
  <c r="AA314" i="8"/>
  <c r="AA30" i="8"/>
  <c r="AA26" i="8"/>
  <c r="AA25" i="8"/>
  <c r="AA23" i="8"/>
  <c r="AA19" i="8"/>
  <c r="AA40" i="8"/>
  <c r="AB2" i="8"/>
  <c r="Z333" i="8"/>
  <c r="Z472" i="8"/>
  <c r="Z471" i="8"/>
  <c r="Z475" i="8"/>
  <c r="Z479" i="8"/>
  <c r="Z499" i="8"/>
  <c r="Z503" i="8"/>
  <c r="Z523" i="8"/>
  <c r="Z527" i="8"/>
  <c r="Z531" i="8"/>
  <c r="Z478" i="8"/>
  <c r="Z498" i="8"/>
  <c r="Z502" i="8"/>
  <c r="Z506" i="8"/>
  <c r="Z526" i="8"/>
  <c r="Z530" i="8"/>
  <c r="AA653" i="7"/>
  <c r="AA638" i="7" s="1"/>
  <c r="AA69" i="7" s="1"/>
  <c r="Z27" i="8"/>
  <c r="AA621" i="7"/>
  <c r="AA606" i="7" s="1"/>
  <c r="AA68" i="7" s="1"/>
  <c r="AC11" i="7"/>
  <c r="AB566" i="7"/>
  <c r="AB560" i="7"/>
  <c r="AB538" i="7" s="1"/>
  <c r="AB551" i="7"/>
  <c r="AB550" i="7"/>
  <c r="AB561" i="7" s="1"/>
  <c r="AB544" i="7"/>
  <c r="AB543" i="7"/>
  <c r="AA61" i="7"/>
  <c r="AB696" i="7"/>
  <c r="AB694" i="7"/>
  <c r="AB693" i="7"/>
  <c r="AB692" i="7"/>
  <c r="AB691" i="7"/>
  <c r="AB690" i="7"/>
  <c r="AB689" i="7"/>
  <c r="AB687" i="7"/>
  <c r="AB684" i="7"/>
  <c r="AB326" i="7" s="1"/>
  <c r="AB683" i="7"/>
  <c r="AB325" i="7" s="1"/>
  <c r="AB682" i="7"/>
  <c r="AB681" i="7"/>
  <c r="AB323" i="7" s="1"/>
  <c r="AB680" i="7"/>
  <c r="AB322" i="7" s="1"/>
  <c r="AB679" i="7"/>
  <c r="AB321" i="7" s="1"/>
  <c r="AB678" i="7"/>
  <c r="AB320" i="7" s="1"/>
  <c r="AB677" i="7"/>
  <c r="AB319" i="7" s="1"/>
  <c r="AB676" i="7"/>
  <c r="AB318" i="7" s="1"/>
  <c r="AB675" i="7"/>
  <c r="AB317" i="7" s="1"/>
  <c r="AB664" i="7"/>
  <c r="AB663" i="7"/>
  <c r="AB662" i="7"/>
  <c r="AB661" i="7"/>
  <c r="AB660" i="7"/>
  <c r="AB659" i="7"/>
  <c r="AB658" i="7"/>
  <c r="AB657" i="7"/>
  <c r="AB655" i="7"/>
  <c r="AB652" i="7"/>
  <c r="AB300" i="7" s="1"/>
  <c r="AB651" i="7"/>
  <c r="AB299" i="7" s="1"/>
  <c r="AB650" i="7"/>
  <c r="AB298" i="7" s="1"/>
  <c r="AB649" i="7"/>
  <c r="AB297" i="7" s="1"/>
  <c r="AB648" i="7"/>
  <c r="AB296" i="7" s="1"/>
  <c r="AB647" i="7"/>
  <c r="AB295" i="7" s="1"/>
  <c r="AB646" i="7"/>
  <c r="AB294" i="7" s="1"/>
  <c r="AB645" i="7"/>
  <c r="AB293" i="7" s="1"/>
  <c r="AB644" i="7"/>
  <c r="AB292" i="7" s="1"/>
  <c r="AB643" i="7"/>
  <c r="AB291" i="7" s="1"/>
  <c r="AB632" i="7"/>
  <c r="AB631" i="7"/>
  <c r="AB630" i="7"/>
  <c r="AB629" i="7"/>
  <c r="AB628" i="7"/>
  <c r="AB627" i="7"/>
  <c r="AB626" i="7"/>
  <c r="AB624" i="7"/>
  <c r="AB623" i="7"/>
  <c r="AB620" i="7"/>
  <c r="AB275" i="7" s="1"/>
  <c r="AB619" i="7"/>
  <c r="AB274" i="7" s="1"/>
  <c r="AB618" i="7"/>
  <c r="AB273" i="7" s="1"/>
  <c r="AB617" i="7"/>
  <c r="AB272" i="7" s="1"/>
  <c r="AB616" i="7"/>
  <c r="AB271" i="7" s="1"/>
  <c r="AB615" i="7"/>
  <c r="AB270" i="7" s="1"/>
  <c r="AB614" i="7"/>
  <c r="AB269" i="7" s="1"/>
  <c r="AB613" i="7"/>
  <c r="AB268" i="7" s="1"/>
  <c r="AB612" i="7"/>
  <c r="AB267" i="7" s="1"/>
  <c r="AB611" i="7"/>
  <c r="AB266" i="7" s="1"/>
  <c r="AB484" i="7"/>
  <c r="AB485" i="7" s="1"/>
  <c r="AB478" i="7"/>
  <c r="AB479" i="7" s="1"/>
  <c r="AB395" i="7"/>
  <c r="AB324" i="7"/>
  <c r="AB382" i="7"/>
  <c r="AB381" i="7"/>
  <c r="AB380" i="7"/>
  <c r="AB379" i="7"/>
  <c r="AB378" i="7"/>
  <c r="AB377" i="7"/>
  <c r="AB261" i="7"/>
  <c r="AB248" i="7"/>
  <c r="AB247" i="7"/>
  <c r="AB246" i="7"/>
  <c r="AB245" i="7"/>
  <c r="AB244" i="7"/>
  <c r="AB243" i="7"/>
  <c r="AB30" i="7"/>
  <c r="AB26" i="7"/>
  <c r="AB25" i="7"/>
  <c r="AB23" i="7"/>
  <c r="AB19" i="7"/>
  <c r="AB40" i="7"/>
  <c r="AC2" i="7"/>
  <c r="AC600" i="7" s="1"/>
  <c r="AA406" i="7"/>
  <c r="AA400" i="7"/>
  <c r="AA408" i="7"/>
  <c r="AA403" i="7"/>
  <c r="AA407" i="7"/>
  <c r="AA427" i="7"/>
  <c r="AA431" i="7"/>
  <c r="AA435" i="7"/>
  <c r="AA455" i="7"/>
  <c r="AA459" i="7"/>
  <c r="AA428" i="7"/>
  <c r="AA432" i="7"/>
  <c r="AA452" i="7"/>
  <c r="AA456" i="7"/>
  <c r="AA460" i="7"/>
  <c r="AA565" i="7"/>
  <c r="AA559" i="7"/>
  <c r="AA537" i="7" s="1"/>
  <c r="AA80" i="7" s="1"/>
  <c r="AB592" i="7"/>
  <c r="Z71" i="7"/>
  <c r="AA27" i="7"/>
  <c r="AA685" i="7"/>
  <c r="AA670" i="7" s="1"/>
  <c r="AA70" i="7" s="1"/>
  <c r="Z556" i="7"/>
  <c r="Z81" i="7"/>
  <c r="AA262" i="7"/>
  <c r="AA402" i="7"/>
  <c r="AA404" i="7"/>
  <c r="AA401" i="7"/>
  <c r="AA405" i="7"/>
  <c r="AA409" i="7"/>
  <c r="AA429" i="7"/>
  <c r="AA433" i="7"/>
  <c r="AA453" i="7"/>
  <c r="AA457" i="7"/>
  <c r="AA461" i="7"/>
  <c r="AA426" i="7"/>
  <c r="AA430" i="7"/>
  <c r="AA434" i="7"/>
  <c r="AA454" i="7"/>
  <c r="AA458" i="7"/>
  <c r="AA396" i="7"/>
  <c r="AA549" i="7"/>
  <c r="L23" i="1"/>
  <c r="L42" i="1"/>
  <c r="AM36" i="2"/>
  <c r="K425" i="2"/>
  <c r="K291" i="2"/>
  <c r="AC595" i="7" l="1"/>
  <c r="AC546" i="7"/>
  <c r="AC547" i="7"/>
  <c r="I580" i="7"/>
  <c r="I579" i="7" s="1"/>
  <c r="I576" i="7" s="1"/>
  <c r="I577" i="7" s="1"/>
  <c r="AB170" i="7"/>
  <c r="AB134" i="7"/>
  <c r="AB55" i="7"/>
  <c r="AA534" i="7"/>
  <c r="AA539" i="7"/>
  <c r="AB585" i="7"/>
  <c r="AB579" i="7"/>
  <c r="AB576" i="7" s="1"/>
  <c r="AC586" i="7"/>
  <c r="AC580" i="7"/>
  <c r="AC581" i="7"/>
  <c r="AC564" i="7"/>
  <c r="AC584" i="7" s="1"/>
  <c r="AA71" i="7"/>
  <c r="AB549" i="7"/>
  <c r="AC523" i="7"/>
  <c r="AC519" i="7"/>
  <c r="AC515" i="7"/>
  <c r="AC511" i="7"/>
  <c r="AC594" i="7"/>
  <c r="AC593" i="7"/>
  <c r="AC56" i="10"/>
  <c r="AC85" i="10"/>
  <c r="AC86" i="10" s="1"/>
  <c r="AC372" i="10"/>
  <c r="AC506" i="10" s="1"/>
  <c r="AD629" i="10"/>
  <c r="AD625" i="10"/>
  <c r="AD621" i="10"/>
  <c r="AD617" i="10"/>
  <c r="AB582" i="8"/>
  <c r="AB594" i="8"/>
  <c r="AB590" i="8"/>
  <c r="AB586" i="8"/>
  <c r="AB65" i="10"/>
  <c r="AB68" i="10" s="1"/>
  <c r="AB75" i="10" s="1"/>
  <c r="AA179" i="10"/>
  <c r="AA196" i="10" s="1"/>
  <c r="AC180" i="10"/>
  <c r="AC197" i="10" s="1"/>
  <c r="AC141" i="10"/>
  <c r="AC153" i="10" s="1"/>
  <c r="AC249" i="10"/>
  <c r="AC221" i="10"/>
  <c r="AC730" i="10"/>
  <c r="AC715" i="10" s="1"/>
  <c r="AC67" i="10" s="1"/>
  <c r="AC59" i="10"/>
  <c r="AE11" i="10"/>
  <c r="AD645" i="10"/>
  <c r="AD181" i="10" s="1"/>
  <c r="AD198" i="10" s="1"/>
  <c r="AD41" i="10"/>
  <c r="AD183" i="10" s="1"/>
  <c r="AD200" i="10" s="1"/>
  <c r="AC27" i="10"/>
  <c r="AD740" i="10"/>
  <c r="AD739" i="10"/>
  <c r="AD738" i="10"/>
  <c r="AD737" i="10"/>
  <c r="AD736" i="10"/>
  <c r="AD735" i="10"/>
  <c r="AD734" i="10"/>
  <c r="AD732" i="10"/>
  <c r="AD729" i="10"/>
  <c r="AD728" i="10"/>
  <c r="AD431" i="10" s="1"/>
  <c r="AD727" i="10"/>
  <c r="AD430" i="10" s="1"/>
  <c r="AD726" i="10"/>
  <c r="AD429" i="10" s="1"/>
  <c r="AD725" i="10"/>
  <c r="AD428" i="10" s="1"/>
  <c r="AD724" i="10"/>
  <c r="AD427" i="10" s="1"/>
  <c r="AD723" i="10"/>
  <c r="AD426" i="10" s="1"/>
  <c r="AD722" i="10"/>
  <c r="AD425" i="10" s="1"/>
  <c r="AD721" i="10"/>
  <c r="AD424" i="10" s="1"/>
  <c r="AD720" i="10"/>
  <c r="AD423" i="10" s="1"/>
  <c r="AD709" i="10"/>
  <c r="AD708" i="10"/>
  <c r="AD707" i="10"/>
  <c r="AD706" i="10"/>
  <c r="AD705" i="10"/>
  <c r="AD704" i="10"/>
  <c r="AD703" i="10"/>
  <c r="AD702" i="10"/>
  <c r="AD700" i="10"/>
  <c r="AD697" i="10"/>
  <c r="AD696" i="10"/>
  <c r="AD405" i="10" s="1"/>
  <c r="AD695" i="10"/>
  <c r="AD404" i="10" s="1"/>
  <c r="AD694" i="10"/>
  <c r="AD403" i="10" s="1"/>
  <c r="AD693" i="10"/>
  <c r="AD402" i="10" s="1"/>
  <c r="AD692" i="10"/>
  <c r="AD401" i="10" s="1"/>
  <c r="AD691" i="10"/>
  <c r="AD400" i="10" s="1"/>
  <c r="AD690" i="10"/>
  <c r="AD399" i="10" s="1"/>
  <c r="AD689" i="10"/>
  <c r="AD398" i="10" s="1"/>
  <c r="AD688" i="10"/>
  <c r="AD397" i="10" s="1"/>
  <c r="AD677" i="10"/>
  <c r="AD676" i="10"/>
  <c r="AD675" i="10"/>
  <c r="AD674" i="10"/>
  <c r="AD673" i="10"/>
  <c r="AD672" i="10"/>
  <c r="AD671" i="10"/>
  <c r="AD669" i="10"/>
  <c r="AD668" i="10"/>
  <c r="AD665" i="10"/>
  <c r="AD381" i="10" s="1"/>
  <c r="AD664" i="10"/>
  <c r="AD380" i="10" s="1"/>
  <c r="AD663" i="10"/>
  <c r="AD379" i="10" s="1"/>
  <c r="AD662" i="10"/>
  <c r="AD378" i="10" s="1"/>
  <c r="AD661" i="10"/>
  <c r="AD377" i="10" s="1"/>
  <c r="AD660" i="10"/>
  <c r="AD376" i="10" s="1"/>
  <c r="AD659" i="10"/>
  <c r="AD375" i="10" s="1"/>
  <c r="AD658" i="10"/>
  <c r="AD374" i="10" s="1"/>
  <c r="AD657" i="10"/>
  <c r="AD373" i="10" s="1"/>
  <c r="AD656" i="10"/>
  <c r="AD372" i="10" s="1"/>
  <c r="AD590" i="10"/>
  <c r="AD591" i="10" s="1"/>
  <c r="AD584" i="10"/>
  <c r="AD585" i="10" s="1"/>
  <c r="AD501" i="10"/>
  <c r="AD432" i="10"/>
  <c r="AD406" i="10"/>
  <c r="AD354" i="10"/>
  <c r="AD353" i="10"/>
  <c r="AD352" i="10"/>
  <c r="AD351" i="10"/>
  <c r="AD350" i="10"/>
  <c r="AD349" i="10"/>
  <c r="AD488" i="10"/>
  <c r="AD487" i="10"/>
  <c r="AD486" i="10"/>
  <c r="AD485" i="10"/>
  <c r="AD484" i="10"/>
  <c r="AD483" i="10"/>
  <c r="AD367" i="10"/>
  <c r="AD40" i="10"/>
  <c r="AE2" i="10"/>
  <c r="AE639" i="10" s="1"/>
  <c r="AD30" i="10"/>
  <c r="AD26" i="10"/>
  <c r="AD25" i="10"/>
  <c r="AD23" i="10"/>
  <c r="AD19" i="10"/>
  <c r="AC368" i="10"/>
  <c r="AC507" i="10"/>
  <c r="AC511" i="10"/>
  <c r="AC515" i="10"/>
  <c r="AC535" i="10"/>
  <c r="AC539" i="10"/>
  <c r="AC559" i="10"/>
  <c r="AC563" i="10"/>
  <c r="AC567" i="10"/>
  <c r="AC508" i="10"/>
  <c r="AC512" i="10"/>
  <c r="AC532" i="10"/>
  <c r="AC536" i="10"/>
  <c r="AC540" i="10"/>
  <c r="AC560" i="10"/>
  <c r="AC564" i="10"/>
  <c r="AC502" i="10"/>
  <c r="AC666" i="10"/>
  <c r="AC651" i="10" s="1"/>
  <c r="AC698" i="10"/>
  <c r="AC683" i="10" s="1"/>
  <c r="AC66" i="10" s="1"/>
  <c r="AC509" i="10"/>
  <c r="AC513" i="10"/>
  <c r="AC533" i="10"/>
  <c r="AC537" i="10"/>
  <c r="AC541" i="10"/>
  <c r="AC561" i="10"/>
  <c r="AC565" i="10"/>
  <c r="AC510" i="10"/>
  <c r="AC514" i="10"/>
  <c r="AC534" i="10"/>
  <c r="AC538" i="10"/>
  <c r="AC558" i="10"/>
  <c r="AC562" i="10"/>
  <c r="AC566" i="10"/>
  <c r="AC11" i="8"/>
  <c r="AB621" i="7"/>
  <c r="AB606" i="7" s="1"/>
  <c r="AB68" i="7" s="1"/>
  <c r="AB685" i="7"/>
  <c r="AB670" i="7" s="1"/>
  <c r="AB70" i="7" s="1"/>
  <c r="Z63" i="8"/>
  <c r="AA27" i="8"/>
  <c r="AA625" i="8"/>
  <c r="AA610" i="8" s="1"/>
  <c r="AA60" i="8" s="1"/>
  <c r="AA472" i="8"/>
  <c r="AA476" i="8"/>
  <c r="AA480" i="8"/>
  <c r="AA500" i="8"/>
  <c r="AA504" i="8"/>
  <c r="AA524" i="8"/>
  <c r="AA528" i="8"/>
  <c r="AA532" i="8"/>
  <c r="AA475" i="8"/>
  <c r="AA479" i="8"/>
  <c r="AA499" i="8"/>
  <c r="AA503" i="8"/>
  <c r="AA523" i="8"/>
  <c r="AA527" i="8"/>
  <c r="AA531" i="8"/>
  <c r="Z72" i="8"/>
  <c r="AA657" i="8"/>
  <c r="AA642" i="8" s="1"/>
  <c r="AA61" i="8" s="1"/>
  <c r="AA689" i="8"/>
  <c r="AA674" i="8" s="1"/>
  <c r="AA62" i="8" s="1"/>
  <c r="AB700" i="8"/>
  <c r="AB698" i="8"/>
  <c r="AB697" i="8"/>
  <c r="AB696" i="8"/>
  <c r="AB695" i="8"/>
  <c r="AB694" i="8"/>
  <c r="AB693" i="8"/>
  <c r="AB691" i="8"/>
  <c r="AB688" i="8"/>
  <c r="AB397" i="8" s="1"/>
  <c r="AB687" i="8"/>
  <c r="AB396" i="8" s="1"/>
  <c r="AB686" i="8"/>
  <c r="AB685" i="8"/>
  <c r="AB394" i="8" s="1"/>
  <c r="AB684" i="8"/>
  <c r="AB393" i="8" s="1"/>
  <c r="AB683" i="8"/>
  <c r="AB682" i="8"/>
  <c r="AB391" i="8" s="1"/>
  <c r="AB681" i="8"/>
  <c r="AB390" i="8" s="1"/>
  <c r="AB680" i="8"/>
  <c r="AB389" i="8" s="1"/>
  <c r="AB679" i="8"/>
  <c r="AB388" i="8" s="1"/>
  <c r="AB668" i="8"/>
  <c r="AB667" i="8"/>
  <c r="AB666" i="8"/>
  <c r="AB665" i="8"/>
  <c r="AB664" i="8"/>
  <c r="AB663" i="8"/>
  <c r="AB662" i="8"/>
  <c r="AB661" i="8"/>
  <c r="AB659" i="8"/>
  <c r="AB656" i="8"/>
  <c r="AB371" i="8" s="1"/>
  <c r="AB655" i="8"/>
  <c r="AB370" i="8" s="1"/>
  <c r="AB654" i="8"/>
  <c r="AB369" i="8" s="1"/>
  <c r="AB653" i="8"/>
  <c r="AB368" i="8" s="1"/>
  <c r="AB652" i="8"/>
  <c r="AB367" i="8" s="1"/>
  <c r="AB651" i="8"/>
  <c r="AB366" i="8" s="1"/>
  <c r="AB650" i="8"/>
  <c r="AB365" i="8" s="1"/>
  <c r="AB649" i="8"/>
  <c r="AB364" i="8" s="1"/>
  <c r="AB648" i="8"/>
  <c r="AB363" i="8" s="1"/>
  <c r="AB647" i="8"/>
  <c r="AB362" i="8" s="1"/>
  <c r="AB636" i="8"/>
  <c r="AB635" i="8"/>
  <c r="AB634" i="8"/>
  <c r="AB633" i="8"/>
  <c r="AB632" i="8"/>
  <c r="AB631" i="8"/>
  <c r="AB630" i="8"/>
  <c r="AB628" i="8"/>
  <c r="AB627" i="8"/>
  <c r="AB624" i="8"/>
  <c r="AB346" i="8" s="1"/>
  <c r="AB623" i="8"/>
  <c r="AB345" i="8" s="1"/>
  <c r="AB622" i="8"/>
  <c r="AB344" i="8" s="1"/>
  <c r="AB621" i="8"/>
  <c r="AB343" i="8" s="1"/>
  <c r="AB620" i="8"/>
  <c r="AB342" i="8" s="1"/>
  <c r="AB619" i="8"/>
  <c r="AB341" i="8" s="1"/>
  <c r="AB618" i="8"/>
  <c r="AB340" i="8" s="1"/>
  <c r="AB617" i="8"/>
  <c r="AB339" i="8" s="1"/>
  <c r="AB616" i="8"/>
  <c r="AB338" i="8" s="1"/>
  <c r="AB615" i="8"/>
  <c r="AB337" i="8" s="1"/>
  <c r="AB555" i="8"/>
  <c r="AB556" i="8" s="1"/>
  <c r="AB549" i="8"/>
  <c r="AB550" i="8" s="1"/>
  <c r="AB604" i="8"/>
  <c r="AB466" i="8"/>
  <c r="AB395" i="8"/>
  <c r="AB453" i="8"/>
  <c r="AB452" i="8"/>
  <c r="AB451" i="8"/>
  <c r="AB450" i="8"/>
  <c r="AB449" i="8"/>
  <c r="AB448" i="8"/>
  <c r="AB392" i="8"/>
  <c r="AB332" i="8"/>
  <c r="AB319" i="8"/>
  <c r="AB318" i="8"/>
  <c r="AB317" i="8"/>
  <c r="AB316" i="8"/>
  <c r="AB315" i="8"/>
  <c r="AB314" i="8"/>
  <c r="AB40" i="8"/>
  <c r="AC2" i="8"/>
  <c r="AB30" i="8"/>
  <c r="AB26" i="8"/>
  <c r="AB25" i="8"/>
  <c r="AB23" i="8"/>
  <c r="AB19" i="8"/>
  <c r="AA333" i="8"/>
  <c r="AA473" i="8"/>
  <c r="AA471" i="8"/>
  <c r="AA474" i="8"/>
  <c r="AA478" i="8"/>
  <c r="AA498" i="8"/>
  <c r="AA502" i="8"/>
  <c r="AA506" i="8"/>
  <c r="AA526" i="8"/>
  <c r="AA530" i="8"/>
  <c r="AA477" i="8"/>
  <c r="AA497" i="8"/>
  <c r="AA501" i="8"/>
  <c r="AA505" i="8"/>
  <c r="AA525" i="8"/>
  <c r="AA529" i="8"/>
  <c r="AA467" i="8"/>
  <c r="AB27" i="7"/>
  <c r="AC566" i="7"/>
  <c r="AC560" i="7"/>
  <c r="AC538" i="7" s="1"/>
  <c r="AC551" i="7"/>
  <c r="AC550" i="7"/>
  <c r="AC561" i="7" s="1"/>
  <c r="AC544" i="7"/>
  <c r="AC543" i="7"/>
  <c r="AD11" i="7"/>
  <c r="AB653" i="7"/>
  <c r="AB638" i="7" s="1"/>
  <c r="AB69" i="7" s="1"/>
  <c r="AB61" i="7"/>
  <c r="AC696" i="7"/>
  <c r="AC694" i="7"/>
  <c r="AC693" i="7"/>
  <c r="AC692" i="7"/>
  <c r="AC691" i="7"/>
  <c r="AC690" i="7"/>
  <c r="AC689" i="7"/>
  <c r="AC684" i="7"/>
  <c r="AC326" i="7" s="1"/>
  <c r="AC683" i="7"/>
  <c r="AC325" i="7" s="1"/>
  <c r="AC682" i="7"/>
  <c r="AC324" i="7" s="1"/>
  <c r="AC681" i="7"/>
  <c r="AC323" i="7" s="1"/>
  <c r="AC680" i="7"/>
  <c r="AC679" i="7"/>
  <c r="AC321" i="7" s="1"/>
  <c r="AC678" i="7"/>
  <c r="AC320" i="7" s="1"/>
  <c r="AC677" i="7"/>
  <c r="AC319" i="7" s="1"/>
  <c r="AC687" i="7"/>
  <c r="AC676" i="7"/>
  <c r="AC318" i="7" s="1"/>
  <c r="AC652" i="7"/>
  <c r="AC300" i="7" s="1"/>
  <c r="AC651" i="7"/>
  <c r="AC299" i="7" s="1"/>
  <c r="AC650" i="7"/>
  <c r="AC298" i="7" s="1"/>
  <c r="AC649" i="7"/>
  <c r="AC297" i="7" s="1"/>
  <c r="AC648" i="7"/>
  <c r="AC296" i="7" s="1"/>
  <c r="AC647" i="7"/>
  <c r="AC295" i="7" s="1"/>
  <c r="AC646" i="7"/>
  <c r="AC675" i="7"/>
  <c r="AC317" i="7" s="1"/>
  <c r="AC664" i="7"/>
  <c r="AC663" i="7"/>
  <c r="AC662" i="7"/>
  <c r="AC661" i="7"/>
  <c r="AC660" i="7"/>
  <c r="AC659" i="7"/>
  <c r="AC658" i="7"/>
  <c r="AC657" i="7"/>
  <c r="AC655" i="7"/>
  <c r="AC645" i="7"/>
  <c r="AC293" i="7" s="1"/>
  <c r="AC620" i="7"/>
  <c r="AC275" i="7" s="1"/>
  <c r="AC619" i="7"/>
  <c r="AC274" i="7" s="1"/>
  <c r="AC618" i="7"/>
  <c r="AC273" i="7" s="1"/>
  <c r="AC617" i="7"/>
  <c r="AC272" i="7" s="1"/>
  <c r="AC616" i="7"/>
  <c r="AC271" i="7" s="1"/>
  <c r="AC615" i="7"/>
  <c r="AC270" i="7" s="1"/>
  <c r="AC644" i="7"/>
  <c r="AC292" i="7" s="1"/>
  <c r="AC643" i="7"/>
  <c r="AC291" i="7" s="1"/>
  <c r="AC632" i="7"/>
  <c r="AC631" i="7"/>
  <c r="AC630" i="7"/>
  <c r="AC629" i="7"/>
  <c r="AC628" i="7"/>
  <c r="AC627" i="7"/>
  <c r="AC626" i="7"/>
  <c r="AC624" i="7"/>
  <c r="AC623" i="7"/>
  <c r="AC614" i="7"/>
  <c r="AC269" i="7" s="1"/>
  <c r="AC613" i="7"/>
  <c r="AC268" i="7" s="1"/>
  <c r="AC612" i="7"/>
  <c r="AC267" i="7" s="1"/>
  <c r="AC611" i="7"/>
  <c r="AC266" i="7" s="1"/>
  <c r="AC484" i="7"/>
  <c r="AC485" i="7" s="1"/>
  <c r="AC478" i="7"/>
  <c r="AC479" i="7" s="1"/>
  <c r="AC382" i="7"/>
  <c r="AC381" i="7"/>
  <c r="AC380" i="7"/>
  <c r="AC379" i="7"/>
  <c r="AC378" i="7"/>
  <c r="AC377" i="7"/>
  <c r="AC395" i="7"/>
  <c r="AC322" i="7"/>
  <c r="AC294" i="7"/>
  <c r="AC261" i="7"/>
  <c r="AC248" i="7"/>
  <c r="AC247" i="7"/>
  <c r="AC246" i="7"/>
  <c r="AC245" i="7"/>
  <c r="AC244" i="7"/>
  <c r="AC243" i="7"/>
  <c r="AC40" i="7"/>
  <c r="AC30" i="7"/>
  <c r="AC26" i="7"/>
  <c r="AC25" i="7"/>
  <c r="AC23" i="7"/>
  <c r="AC19" i="7"/>
  <c r="AD2" i="7"/>
  <c r="AD600" i="7" s="1"/>
  <c r="AB405" i="7"/>
  <c r="AB262" i="7"/>
  <c r="AB403" i="7"/>
  <c r="AB402" i="7"/>
  <c r="AB406" i="7"/>
  <c r="AB426" i="7"/>
  <c r="AB430" i="7"/>
  <c r="AB434" i="7"/>
  <c r="AB454" i="7"/>
  <c r="AB458" i="7"/>
  <c r="AB396" i="7"/>
  <c r="AB427" i="7"/>
  <c r="AB431" i="7"/>
  <c r="AB435" i="7"/>
  <c r="AB455" i="7"/>
  <c r="AB459" i="7"/>
  <c r="AA556" i="7"/>
  <c r="AA81" i="7"/>
  <c r="AB401" i="7"/>
  <c r="AB409" i="7"/>
  <c r="AB407" i="7"/>
  <c r="AB400" i="7"/>
  <c r="AB404" i="7"/>
  <c r="AB408" i="7"/>
  <c r="AB428" i="7"/>
  <c r="AB432" i="7"/>
  <c r="AB452" i="7"/>
  <c r="AB456" i="7"/>
  <c r="AB460" i="7"/>
  <c r="AB429" i="7"/>
  <c r="AB433" i="7"/>
  <c r="AB453" i="7"/>
  <c r="AB457" i="7"/>
  <c r="AB461" i="7"/>
  <c r="AB565" i="7"/>
  <c r="AB559" i="7"/>
  <c r="AB537" i="7" s="1"/>
  <c r="AB80" i="7" s="1"/>
  <c r="AC592" i="7"/>
  <c r="L24" i="1"/>
  <c r="L43" i="1"/>
  <c r="AN36" i="2"/>
  <c r="AC548" i="7" l="1"/>
  <c r="AC549" i="7" s="1"/>
  <c r="AD547" i="7"/>
  <c r="AD595" i="7"/>
  <c r="AD546" i="7"/>
  <c r="AD548" i="7" s="1"/>
  <c r="J574" i="7"/>
  <c r="J580" i="7"/>
  <c r="J579" i="7" s="1"/>
  <c r="J576" i="7" s="1"/>
  <c r="AC170" i="7"/>
  <c r="AC134" i="7"/>
  <c r="AC55" i="7"/>
  <c r="AB539" i="7"/>
  <c r="AB534" i="7"/>
  <c r="AD581" i="7"/>
  <c r="AD586" i="7"/>
  <c r="AD580" i="7"/>
  <c r="AD564" i="7"/>
  <c r="AD584" i="7" s="1"/>
  <c r="AC579" i="7"/>
  <c r="AC576" i="7" s="1"/>
  <c r="AC585" i="7"/>
  <c r="AD523" i="7"/>
  <c r="AD519" i="7"/>
  <c r="AD515" i="7"/>
  <c r="AD511" i="7"/>
  <c r="AD594" i="7"/>
  <c r="AD593" i="7"/>
  <c r="AD56" i="10"/>
  <c r="AD85" i="10"/>
  <c r="AD86" i="10" s="1"/>
  <c r="AE629" i="10"/>
  <c r="AE625" i="10"/>
  <c r="AE621" i="10"/>
  <c r="AE617" i="10"/>
  <c r="AC594" i="8"/>
  <c r="AC590" i="8"/>
  <c r="AC586" i="8"/>
  <c r="AC582" i="8"/>
  <c r="AC65" i="10"/>
  <c r="AB179" i="10"/>
  <c r="AB196" i="10" s="1"/>
  <c r="AD180" i="10"/>
  <c r="AD197" i="10" s="1"/>
  <c r="AD141" i="10"/>
  <c r="AD153" i="10" s="1"/>
  <c r="AD249" i="10"/>
  <c r="AD221" i="10"/>
  <c r="AD59" i="10"/>
  <c r="AF11" i="10"/>
  <c r="AE645" i="10"/>
  <c r="AE181" i="10" s="1"/>
  <c r="AE198" i="10" s="1"/>
  <c r="AE41" i="10"/>
  <c r="AE183" i="10" s="1"/>
  <c r="AE200" i="10" s="1"/>
  <c r="AD730" i="10"/>
  <c r="AD715" i="10" s="1"/>
  <c r="AD67" i="10" s="1"/>
  <c r="AD27" i="10"/>
  <c r="AD666" i="10"/>
  <c r="AD651" i="10" s="1"/>
  <c r="AD698" i="10"/>
  <c r="AD683" i="10" s="1"/>
  <c r="AD66" i="10" s="1"/>
  <c r="AE740" i="10"/>
  <c r="AE739" i="10"/>
  <c r="AE738" i="10"/>
  <c r="AE737" i="10"/>
  <c r="AE736" i="10"/>
  <c r="AE735" i="10"/>
  <c r="AE734" i="10"/>
  <c r="AE732" i="10"/>
  <c r="AE729" i="10"/>
  <c r="AE432" i="10" s="1"/>
  <c r="AE728" i="10"/>
  <c r="AE727" i="10"/>
  <c r="AE430" i="10" s="1"/>
  <c r="AE726" i="10"/>
  <c r="AE429" i="10" s="1"/>
  <c r="AE725" i="10"/>
  <c r="AE428" i="10" s="1"/>
  <c r="AE724" i="10"/>
  <c r="AE427" i="10" s="1"/>
  <c r="AE723" i="10"/>
  <c r="AE426" i="10" s="1"/>
  <c r="AE722" i="10"/>
  <c r="AE425" i="10" s="1"/>
  <c r="AE721" i="10"/>
  <c r="AE424" i="10" s="1"/>
  <c r="AE697" i="10"/>
  <c r="AE406" i="10" s="1"/>
  <c r="AE696" i="10"/>
  <c r="AE695" i="10"/>
  <c r="AE404" i="10" s="1"/>
  <c r="AE694" i="10"/>
  <c r="AE403" i="10" s="1"/>
  <c r="AE693" i="10"/>
  <c r="AE402" i="10" s="1"/>
  <c r="AE692" i="10"/>
  <c r="AE401" i="10" s="1"/>
  <c r="AE691" i="10"/>
  <c r="AE400" i="10" s="1"/>
  <c r="AE690" i="10"/>
  <c r="AE399" i="10" s="1"/>
  <c r="AE720" i="10"/>
  <c r="AE709" i="10"/>
  <c r="AE708" i="10"/>
  <c r="AE707" i="10"/>
  <c r="AE706" i="10"/>
  <c r="AE705" i="10"/>
  <c r="AE704" i="10"/>
  <c r="AE703" i="10"/>
  <c r="AE702" i="10"/>
  <c r="AE700" i="10"/>
  <c r="AE665" i="10"/>
  <c r="AE381" i="10" s="1"/>
  <c r="AE664" i="10"/>
  <c r="AE380" i="10" s="1"/>
  <c r="AE663" i="10"/>
  <c r="AE379" i="10" s="1"/>
  <c r="AE662" i="10"/>
  <c r="AE378" i="10" s="1"/>
  <c r="AE661" i="10"/>
  <c r="AE377" i="10" s="1"/>
  <c r="AE660" i="10"/>
  <c r="AE376" i="10" s="1"/>
  <c r="AE659" i="10"/>
  <c r="AE375" i="10" s="1"/>
  <c r="AE689" i="10"/>
  <c r="AE398" i="10" s="1"/>
  <c r="AE688" i="10"/>
  <c r="AE397" i="10" s="1"/>
  <c r="AE677" i="10"/>
  <c r="AE676" i="10"/>
  <c r="AE675" i="10"/>
  <c r="AE674" i="10"/>
  <c r="AE673" i="10"/>
  <c r="AE672" i="10"/>
  <c r="AE671" i="10"/>
  <c r="AE669" i="10"/>
  <c r="AE668" i="10"/>
  <c r="AE657" i="10"/>
  <c r="AE373" i="10" s="1"/>
  <c r="AE590" i="10"/>
  <c r="AE591" i="10" s="1"/>
  <c r="AE584" i="10"/>
  <c r="AE585" i="10" s="1"/>
  <c r="AE658" i="10"/>
  <c r="AE374" i="10" s="1"/>
  <c r="AE656" i="10"/>
  <c r="AE488" i="10"/>
  <c r="AE487" i="10"/>
  <c r="AE486" i="10"/>
  <c r="AE485" i="10"/>
  <c r="AE484" i="10"/>
  <c r="AE483" i="10"/>
  <c r="AE431" i="10"/>
  <c r="AE405" i="10"/>
  <c r="AE367" i="10"/>
  <c r="AE501" i="10"/>
  <c r="AE354" i="10"/>
  <c r="AE353" i="10"/>
  <c r="AE352" i="10"/>
  <c r="AE351" i="10"/>
  <c r="AE350" i="10"/>
  <c r="AE349" i="10"/>
  <c r="AE30" i="10"/>
  <c r="AE26" i="10"/>
  <c r="AE25" i="10"/>
  <c r="AE23" i="10"/>
  <c r="AE19" i="10"/>
  <c r="AE40" i="10"/>
  <c r="AF2" i="10"/>
  <c r="AD506" i="10"/>
  <c r="AD510" i="10"/>
  <c r="AD514" i="10"/>
  <c r="AD534" i="10"/>
  <c r="AD538" i="10"/>
  <c r="AD558" i="10"/>
  <c r="AD562" i="10"/>
  <c r="AD566" i="10"/>
  <c r="AD509" i="10"/>
  <c r="AD513" i="10"/>
  <c r="AD533" i="10"/>
  <c r="AD537" i="10"/>
  <c r="AD541" i="10"/>
  <c r="AD561" i="10"/>
  <c r="AD565" i="10"/>
  <c r="AC68" i="10"/>
  <c r="AC75" i="10" s="1"/>
  <c r="AD508" i="10"/>
  <c r="AD512" i="10"/>
  <c r="AD532" i="10"/>
  <c r="AD536" i="10"/>
  <c r="AD540" i="10"/>
  <c r="AD560" i="10"/>
  <c r="AD564" i="10"/>
  <c r="AD502" i="10"/>
  <c r="AD368" i="10"/>
  <c r="AD507" i="10"/>
  <c r="AD511" i="10"/>
  <c r="AD515" i="10"/>
  <c r="AD535" i="10"/>
  <c r="AD539" i="10"/>
  <c r="AD559" i="10"/>
  <c r="AD563" i="10"/>
  <c r="AD567" i="10"/>
  <c r="AB71" i="7"/>
  <c r="AD11" i="8"/>
  <c r="AA63" i="8"/>
  <c r="AC685" i="7"/>
  <c r="AC670" i="7" s="1"/>
  <c r="AC70" i="7" s="1"/>
  <c r="AB27" i="8"/>
  <c r="AB472" i="8"/>
  <c r="AB473" i="8"/>
  <c r="AB477" i="8"/>
  <c r="AB497" i="8"/>
  <c r="AB501" i="8"/>
  <c r="AB505" i="8"/>
  <c r="AB525" i="8"/>
  <c r="AB529" i="8"/>
  <c r="AB467" i="8"/>
  <c r="AB476" i="8"/>
  <c r="AB480" i="8"/>
  <c r="AB500" i="8"/>
  <c r="AB504" i="8"/>
  <c r="AB524" i="8"/>
  <c r="AB528" i="8"/>
  <c r="AB532" i="8"/>
  <c r="AB625" i="8"/>
  <c r="AB610" i="8" s="1"/>
  <c r="AB60" i="8" s="1"/>
  <c r="AB657" i="8"/>
  <c r="AB642" i="8" s="1"/>
  <c r="AB61" i="8" s="1"/>
  <c r="AB689" i="8"/>
  <c r="AB674" i="8" s="1"/>
  <c r="AB62" i="8" s="1"/>
  <c r="AA72" i="8"/>
  <c r="AC700" i="8"/>
  <c r="AC698" i="8"/>
  <c r="AC697" i="8"/>
  <c r="AC696" i="8"/>
  <c r="AC695" i="8"/>
  <c r="AC694" i="8"/>
  <c r="AC693" i="8"/>
  <c r="AC691" i="8"/>
  <c r="AC688" i="8"/>
  <c r="AC687" i="8"/>
  <c r="AC686" i="8"/>
  <c r="AC395" i="8" s="1"/>
  <c r="AC685" i="8"/>
  <c r="AC394" i="8" s="1"/>
  <c r="AC684" i="8"/>
  <c r="AC393" i="8" s="1"/>
  <c r="AC683" i="8"/>
  <c r="AC392" i="8" s="1"/>
  <c r="AC682" i="8"/>
  <c r="AC391" i="8" s="1"/>
  <c r="AC681" i="8"/>
  <c r="AC390" i="8" s="1"/>
  <c r="AC680" i="8"/>
  <c r="AC389" i="8" s="1"/>
  <c r="AC679" i="8"/>
  <c r="AC388" i="8" s="1"/>
  <c r="AC668" i="8"/>
  <c r="AC666" i="8"/>
  <c r="AC664" i="8"/>
  <c r="AC662" i="8"/>
  <c r="AC656" i="8"/>
  <c r="AC371" i="8" s="1"/>
  <c r="AC655" i="8"/>
  <c r="AC370" i="8" s="1"/>
  <c r="AC654" i="8"/>
  <c r="AC369" i="8" s="1"/>
  <c r="AC653" i="8"/>
  <c r="AC368" i="8" s="1"/>
  <c r="AC652" i="8"/>
  <c r="AC367" i="8" s="1"/>
  <c r="AC651" i="8"/>
  <c r="AC366" i="8" s="1"/>
  <c r="AC650" i="8"/>
  <c r="AC365" i="8" s="1"/>
  <c r="AC649" i="8"/>
  <c r="AC364" i="8" s="1"/>
  <c r="AC648" i="8"/>
  <c r="AC363" i="8" s="1"/>
  <c r="AC647" i="8"/>
  <c r="AC362" i="8" s="1"/>
  <c r="AC667" i="8"/>
  <c r="AC665" i="8"/>
  <c r="AC663" i="8"/>
  <c r="AC661" i="8"/>
  <c r="AC659" i="8"/>
  <c r="AC624" i="8"/>
  <c r="AC346" i="8" s="1"/>
  <c r="AC623" i="8"/>
  <c r="AC345" i="8" s="1"/>
  <c r="AC622" i="8"/>
  <c r="AC344" i="8" s="1"/>
  <c r="AC621" i="8"/>
  <c r="AC343" i="8" s="1"/>
  <c r="AC620" i="8"/>
  <c r="AC342" i="8" s="1"/>
  <c r="AC619" i="8"/>
  <c r="AC618" i="8"/>
  <c r="AC340" i="8" s="1"/>
  <c r="AC617" i="8"/>
  <c r="AC339" i="8" s="1"/>
  <c r="AC616" i="8"/>
  <c r="AC338" i="8" s="1"/>
  <c r="AC615" i="8"/>
  <c r="AC337" i="8" s="1"/>
  <c r="AC636" i="8"/>
  <c r="AC635" i="8"/>
  <c r="AC634" i="8"/>
  <c r="AC633" i="8"/>
  <c r="AC632" i="8"/>
  <c r="AC631" i="8"/>
  <c r="AC630" i="8"/>
  <c r="AC628" i="8"/>
  <c r="AC627" i="8"/>
  <c r="AC604" i="8"/>
  <c r="AC555" i="8"/>
  <c r="AC556" i="8" s="1"/>
  <c r="AC549" i="8"/>
  <c r="AC550" i="8" s="1"/>
  <c r="AC453" i="8"/>
  <c r="AC452" i="8"/>
  <c r="AC451" i="8"/>
  <c r="AC450" i="8"/>
  <c r="AC449" i="8"/>
  <c r="AC448" i="8"/>
  <c r="AC396" i="8"/>
  <c r="AC341" i="8"/>
  <c r="AC466" i="8"/>
  <c r="AC397" i="8"/>
  <c r="AC332" i="8"/>
  <c r="AC319" i="8"/>
  <c r="AC318" i="8"/>
  <c r="AC317" i="8"/>
  <c r="AC316" i="8"/>
  <c r="AC315" i="8"/>
  <c r="AC314" i="8"/>
  <c r="AC30" i="8"/>
  <c r="AC26" i="8"/>
  <c r="AC25" i="8"/>
  <c r="AC23" i="8"/>
  <c r="AC19" i="8"/>
  <c r="AC40" i="8"/>
  <c r="AD2" i="8"/>
  <c r="AB333" i="8"/>
  <c r="AB474" i="8"/>
  <c r="AB471" i="8"/>
  <c r="AB475" i="8"/>
  <c r="AB479" i="8"/>
  <c r="AB499" i="8"/>
  <c r="AB503" i="8"/>
  <c r="AB523" i="8"/>
  <c r="AB527" i="8"/>
  <c r="AB531" i="8"/>
  <c r="AB478" i="8"/>
  <c r="AB498" i="8"/>
  <c r="AB502" i="8"/>
  <c r="AB506" i="8"/>
  <c r="AB526" i="8"/>
  <c r="AB530" i="8"/>
  <c r="AC27" i="7"/>
  <c r="AE11" i="7"/>
  <c r="AD566" i="7"/>
  <c r="AD560" i="7"/>
  <c r="AD538" i="7" s="1"/>
  <c r="AD551" i="7"/>
  <c r="AD550" i="7"/>
  <c r="AD544" i="7"/>
  <c r="AD543" i="7"/>
  <c r="AB556" i="7"/>
  <c r="AB81" i="7"/>
  <c r="AD695" i="7"/>
  <c r="AD694" i="7"/>
  <c r="AD693" i="7"/>
  <c r="AD692" i="7"/>
  <c r="AD691" i="7"/>
  <c r="AD690" i="7"/>
  <c r="AD689" i="7"/>
  <c r="AD687" i="7"/>
  <c r="AD684" i="7"/>
  <c r="AD326" i="7" s="1"/>
  <c r="AD683" i="7"/>
  <c r="AD325" i="7" s="1"/>
  <c r="AD682" i="7"/>
  <c r="AD324" i="7" s="1"/>
  <c r="AD681" i="7"/>
  <c r="AD323" i="7" s="1"/>
  <c r="AD680" i="7"/>
  <c r="AD322" i="7" s="1"/>
  <c r="AD679" i="7"/>
  <c r="AD321" i="7" s="1"/>
  <c r="AD678" i="7"/>
  <c r="AD320" i="7" s="1"/>
  <c r="AD677" i="7"/>
  <c r="AD319" i="7" s="1"/>
  <c r="AD676" i="7"/>
  <c r="AD318" i="7" s="1"/>
  <c r="AD675" i="7"/>
  <c r="AD317" i="7" s="1"/>
  <c r="AD664" i="7"/>
  <c r="AD663" i="7"/>
  <c r="AD662" i="7"/>
  <c r="AD661" i="7"/>
  <c r="AD660" i="7"/>
  <c r="AD659" i="7"/>
  <c r="AD658" i="7"/>
  <c r="AD657" i="7"/>
  <c r="AD655" i="7"/>
  <c r="AD652" i="7"/>
  <c r="AD300" i="7" s="1"/>
  <c r="AD651" i="7"/>
  <c r="AD299" i="7" s="1"/>
  <c r="AD650" i="7"/>
  <c r="AD298" i="7" s="1"/>
  <c r="AD649" i="7"/>
  <c r="AD297" i="7" s="1"/>
  <c r="AD648" i="7"/>
  <c r="AD296" i="7" s="1"/>
  <c r="AD647" i="7"/>
  <c r="AD295" i="7" s="1"/>
  <c r="AD646" i="7"/>
  <c r="AD294" i="7" s="1"/>
  <c r="AD645" i="7"/>
  <c r="AD293" i="7" s="1"/>
  <c r="AD644" i="7"/>
  <c r="AD292" i="7" s="1"/>
  <c r="AD643" i="7"/>
  <c r="AD291" i="7" s="1"/>
  <c r="AD632" i="7"/>
  <c r="AD631" i="7"/>
  <c r="AD630" i="7"/>
  <c r="AD629" i="7"/>
  <c r="AD628" i="7"/>
  <c r="AD627" i="7"/>
  <c r="AD626" i="7"/>
  <c r="AD624" i="7"/>
  <c r="AD623" i="7"/>
  <c r="AD620" i="7"/>
  <c r="AD275" i="7" s="1"/>
  <c r="AD619" i="7"/>
  <c r="AD274" i="7" s="1"/>
  <c r="AD618" i="7"/>
  <c r="AD273" i="7" s="1"/>
  <c r="AD617" i="7"/>
  <c r="AD272" i="7" s="1"/>
  <c r="AD616" i="7"/>
  <c r="AD271" i="7" s="1"/>
  <c r="AD615" i="7"/>
  <c r="AD270" i="7" s="1"/>
  <c r="AD614" i="7"/>
  <c r="AD269" i="7" s="1"/>
  <c r="AD613" i="7"/>
  <c r="AD268" i="7" s="1"/>
  <c r="AD612" i="7"/>
  <c r="AD267" i="7" s="1"/>
  <c r="AD611" i="7"/>
  <c r="AD266" i="7" s="1"/>
  <c r="AD484" i="7"/>
  <c r="AD485" i="7" s="1"/>
  <c r="AD478" i="7"/>
  <c r="AD479" i="7" s="1"/>
  <c r="AD561" i="7"/>
  <c r="AD395" i="7"/>
  <c r="AD382" i="7"/>
  <c r="AD381" i="7"/>
  <c r="AD380" i="7"/>
  <c r="AD379" i="7"/>
  <c r="AD378" i="7"/>
  <c r="AD377" i="7"/>
  <c r="AD261" i="7"/>
  <c r="AD248" i="7"/>
  <c r="AD247" i="7"/>
  <c r="AD246" i="7"/>
  <c r="AD245" i="7"/>
  <c r="AD244" i="7"/>
  <c r="AD243" i="7"/>
  <c r="AD30" i="7"/>
  <c r="AD26" i="7"/>
  <c r="AD25" i="7"/>
  <c r="AD23" i="7"/>
  <c r="AD19" i="7"/>
  <c r="AD40" i="7"/>
  <c r="AE2" i="7"/>
  <c r="AE600" i="7" s="1"/>
  <c r="AC262" i="7"/>
  <c r="AC404" i="7"/>
  <c r="AC402" i="7"/>
  <c r="AC401" i="7"/>
  <c r="AC405" i="7"/>
  <c r="AC409" i="7"/>
  <c r="AC429" i="7"/>
  <c r="AC433" i="7"/>
  <c r="AC453" i="7"/>
  <c r="AC457" i="7"/>
  <c r="AC461" i="7"/>
  <c r="AC426" i="7"/>
  <c r="AC430" i="7"/>
  <c r="AC434" i="7"/>
  <c r="AC454" i="7"/>
  <c r="AC458" i="7"/>
  <c r="AC396" i="7"/>
  <c r="AC61" i="7"/>
  <c r="AC621" i="7"/>
  <c r="AC606" i="7" s="1"/>
  <c r="AC68" i="7" s="1"/>
  <c r="AC653" i="7"/>
  <c r="AC638" i="7" s="1"/>
  <c r="AC69" i="7" s="1"/>
  <c r="AC400" i="7"/>
  <c r="AC408" i="7"/>
  <c r="AC406" i="7"/>
  <c r="AC403" i="7"/>
  <c r="AC407" i="7"/>
  <c r="AC427" i="7"/>
  <c r="AC431" i="7"/>
  <c r="AC435" i="7"/>
  <c r="AC455" i="7"/>
  <c r="AC459" i="7"/>
  <c r="AC428" i="7"/>
  <c r="AC432" i="7"/>
  <c r="AC452" i="7"/>
  <c r="AC456" i="7"/>
  <c r="AC460" i="7"/>
  <c r="AC565" i="7"/>
  <c r="AC559" i="7"/>
  <c r="AC537" i="7" s="1"/>
  <c r="AC80" i="7" s="1"/>
  <c r="AD592" i="7"/>
  <c r="L25" i="1"/>
  <c r="L44" i="1"/>
  <c r="AO36" i="2"/>
  <c r="B445" i="2"/>
  <c r="B442" i="2"/>
  <c r="B439" i="2"/>
  <c r="B438" i="2"/>
  <c r="B433" i="2"/>
  <c r="B432" i="2"/>
  <c r="B431" i="2"/>
  <c r="B430" i="2"/>
  <c r="A447" i="2"/>
  <c r="G42" i="4"/>
  <c r="B311" i="2"/>
  <c r="B309" i="2"/>
  <c r="B304" i="2"/>
  <c r="B303" i="2"/>
  <c r="B299" i="2"/>
  <c r="B298" i="2"/>
  <c r="B297" i="2"/>
  <c r="B296" i="2"/>
  <c r="A312" i="2"/>
  <c r="A306" i="2"/>
  <c r="A307" i="2"/>
  <c r="A300" i="2"/>
  <c r="A294" i="2"/>
  <c r="A285" i="2"/>
  <c r="A318" i="2" s="1"/>
  <c r="A325" i="2" s="1"/>
  <c r="A286" i="2"/>
  <c r="A319" i="2" s="1"/>
  <c r="A326" i="2" s="1"/>
  <c r="A287" i="2"/>
  <c r="A320" i="2" s="1"/>
  <c r="A327" i="2" s="1"/>
  <c r="A288" i="2"/>
  <c r="A321" i="2" s="1"/>
  <c r="A328" i="2" s="1"/>
  <c r="A289" i="2"/>
  <c r="A322" i="2" s="1"/>
  <c r="A329" i="2" s="1"/>
  <c r="A284" i="2"/>
  <c r="A317" i="2" s="1"/>
  <c r="AE595" i="7" l="1"/>
  <c r="AE546" i="7"/>
  <c r="AE547" i="7"/>
  <c r="J577" i="7"/>
  <c r="AD170" i="7"/>
  <c r="AD134" i="7"/>
  <c r="AD55" i="7"/>
  <c r="AC534" i="7"/>
  <c r="AC539" i="7"/>
  <c r="AD585" i="7"/>
  <c r="AD579" i="7"/>
  <c r="AD576" i="7" s="1"/>
  <c r="AE586" i="7"/>
  <c r="AE580" i="7"/>
  <c r="AE581" i="7"/>
  <c r="AE564" i="7"/>
  <c r="AE584" i="7" s="1"/>
  <c r="AE523" i="7"/>
  <c r="AE519" i="7"/>
  <c r="AE515" i="7"/>
  <c r="AE511" i="7"/>
  <c r="AE594" i="7"/>
  <c r="AE593" i="7"/>
  <c r="AE56" i="10"/>
  <c r="AE85" i="10"/>
  <c r="AE86" i="10" s="1"/>
  <c r="AF629" i="10"/>
  <c r="AF625" i="10"/>
  <c r="AF621" i="10"/>
  <c r="AF617" i="10"/>
  <c r="AD582" i="8"/>
  <c r="AD594" i="8"/>
  <c r="AD590" i="8"/>
  <c r="AD586" i="8"/>
  <c r="AD65" i="10"/>
  <c r="AD68" i="10" s="1"/>
  <c r="AD75" i="10" s="1"/>
  <c r="AC179" i="10"/>
  <c r="AC196" i="10" s="1"/>
  <c r="AE180" i="10"/>
  <c r="AE197" i="10" s="1"/>
  <c r="AE141" i="10"/>
  <c r="AE153" i="10" s="1"/>
  <c r="AE249" i="10"/>
  <c r="AE221" i="10"/>
  <c r="AE666" i="10"/>
  <c r="AE651" i="10" s="1"/>
  <c r="AE730" i="10"/>
  <c r="AE715" i="10" s="1"/>
  <c r="AE67" i="10" s="1"/>
  <c r="AE423" i="10"/>
  <c r="AE558" i="10" s="1"/>
  <c r="AE59" i="10"/>
  <c r="AG11" i="10"/>
  <c r="AF41" i="10"/>
  <c r="AF183" i="10" s="1"/>
  <c r="AF200" i="10" s="1"/>
  <c r="AE372" i="10"/>
  <c r="AE368" i="10"/>
  <c r="AE507" i="10"/>
  <c r="AE511" i="10"/>
  <c r="AE515" i="10"/>
  <c r="AE535" i="10"/>
  <c r="AE539" i="10"/>
  <c r="AE559" i="10"/>
  <c r="AE563" i="10"/>
  <c r="AE567" i="10"/>
  <c r="AE508" i="10"/>
  <c r="AE512" i="10"/>
  <c r="AE532" i="10"/>
  <c r="AE536" i="10"/>
  <c r="AE540" i="10"/>
  <c r="AE560" i="10"/>
  <c r="AE564" i="10"/>
  <c r="AE502" i="10"/>
  <c r="AD549" i="7"/>
  <c r="AE27" i="10"/>
  <c r="AE698" i="10"/>
  <c r="AE683" i="10" s="1"/>
  <c r="AE66" i="10" s="1"/>
  <c r="AF740" i="10"/>
  <c r="AF739" i="10"/>
  <c r="AF738" i="10"/>
  <c r="AF737" i="10"/>
  <c r="AF736" i="10"/>
  <c r="AF735" i="10"/>
  <c r="AF734" i="10"/>
  <c r="AF732" i="10"/>
  <c r="AF729" i="10"/>
  <c r="AF432" i="10" s="1"/>
  <c r="AF728" i="10"/>
  <c r="AF431" i="10" s="1"/>
  <c r="AF727" i="10"/>
  <c r="AF430" i="10" s="1"/>
  <c r="AF726" i="10"/>
  <c r="AF725" i="10"/>
  <c r="AF428" i="10" s="1"/>
  <c r="AF724" i="10"/>
  <c r="AF427" i="10" s="1"/>
  <c r="AF723" i="10"/>
  <c r="AF426" i="10" s="1"/>
  <c r="AF722" i="10"/>
  <c r="AF425" i="10" s="1"/>
  <c r="AF721" i="10"/>
  <c r="AF424" i="10" s="1"/>
  <c r="AF720" i="10"/>
  <c r="AF709" i="10"/>
  <c r="AF708" i="10"/>
  <c r="AF707" i="10"/>
  <c r="AF706" i="10"/>
  <c r="AF705" i="10"/>
  <c r="AF704" i="10"/>
  <c r="AF703" i="10"/>
  <c r="AF702" i="10"/>
  <c r="AF700" i="10"/>
  <c r="AF697" i="10"/>
  <c r="AF406" i="10" s="1"/>
  <c r="AF696" i="10"/>
  <c r="AF405" i="10" s="1"/>
  <c r="AF695" i="10"/>
  <c r="AF404" i="10" s="1"/>
  <c r="AF694" i="10"/>
  <c r="AF403" i="10" s="1"/>
  <c r="AF693" i="10"/>
  <c r="AF402" i="10" s="1"/>
  <c r="AF692" i="10"/>
  <c r="AF401" i="10" s="1"/>
  <c r="AF691" i="10"/>
  <c r="AF400" i="10" s="1"/>
  <c r="AF690" i="10"/>
  <c r="AF399" i="10" s="1"/>
  <c r="AF689" i="10"/>
  <c r="AF398" i="10" s="1"/>
  <c r="AF688" i="10"/>
  <c r="AF397" i="10" s="1"/>
  <c r="AF677" i="10"/>
  <c r="AF676" i="10"/>
  <c r="AF675" i="10"/>
  <c r="AF674" i="10"/>
  <c r="AF673" i="10"/>
  <c r="AF672" i="10"/>
  <c r="AF671" i="10"/>
  <c r="AF669" i="10"/>
  <c r="AF668" i="10"/>
  <c r="AF665" i="10"/>
  <c r="AF381" i="10" s="1"/>
  <c r="AF664" i="10"/>
  <c r="AF380" i="10" s="1"/>
  <c r="AF663" i="10"/>
  <c r="AF379" i="10" s="1"/>
  <c r="AF662" i="10"/>
  <c r="AF378" i="10" s="1"/>
  <c r="AF661" i="10"/>
  <c r="AF377" i="10" s="1"/>
  <c r="AF660" i="10"/>
  <c r="AF376" i="10" s="1"/>
  <c r="AF659" i="10"/>
  <c r="AF375" i="10" s="1"/>
  <c r="AF658" i="10"/>
  <c r="AF374" i="10" s="1"/>
  <c r="AF657" i="10"/>
  <c r="AF373" i="10" s="1"/>
  <c r="AF656" i="10"/>
  <c r="AF590" i="10"/>
  <c r="AF591" i="10" s="1"/>
  <c r="AF584" i="10"/>
  <c r="AF585" i="10" s="1"/>
  <c r="AF501" i="10"/>
  <c r="AF354" i="10"/>
  <c r="AF353" i="10"/>
  <c r="AF352" i="10"/>
  <c r="AF351" i="10"/>
  <c r="AF350" i="10"/>
  <c r="AF349" i="10"/>
  <c r="AF488" i="10"/>
  <c r="AF487" i="10"/>
  <c r="AF486" i="10"/>
  <c r="AF485" i="10"/>
  <c r="AF484" i="10"/>
  <c r="AF483" i="10"/>
  <c r="AF429" i="10"/>
  <c r="AF367" i="10"/>
  <c r="AF40" i="10"/>
  <c r="AF30" i="10"/>
  <c r="AF26" i="10"/>
  <c r="AF25" i="10"/>
  <c r="AF23" i="10"/>
  <c r="AF19" i="10"/>
  <c r="AG2" i="10"/>
  <c r="AG639" i="10" s="1"/>
  <c r="AE509" i="10"/>
  <c r="AE513" i="10"/>
  <c r="AE533" i="10"/>
  <c r="AE537" i="10"/>
  <c r="AE541" i="10"/>
  <c r="AE561" i="10"/>
  <c r="AE565" i="10"/>
  <c r="AE510" i="10"/>
  <c r="AE514" i="10"/>
  <c r="AE534" i="10"/>
  <c r="AE538" i="10"/>
  <c r="AE562" i="10"/>
  <c r="AE566" i="10"/>
  <c r="AE11" i="8"/>
  <c r="AC27" i="8"/>
  <c r="AC625" i="8"/>
  <c r="AC610" i="8" s="1"/>
  <c r="AC60" i="8" s="1"/>
  <c r="AC657" i="8"/>
  <c r="AC642" i="8" s="1"/>
  <c r="AC61" i="8" s="1"/>
  <c r="AC689" i="8"/>
  <c r="AC674" i="8" s="1"/>
  <c r="AC62" i="8" s="1"/>
  <c r="AC471" i="8"/>
  <c r="AC472" i="8"/>
  <c r="AC476" i="8"/>
  <c r="AC480" i="8"/>
  <c r="AC500" i="8"/>
  <c r="AC504" i="8"/>
  <c r="AC524" i="8"/>
  <c r="AC528" i="8"/>
  <c r="AC532" i="8"/>
  <c r="AC475" i="8"/>
  <c r="AC479" i="8"/>
  <c r="AC499" i="8"/>
  <c r="AC503" i="8"/>
  <c r="AC523" i="8"/>
  <c r="AC527" i="8"/>
  <c r="AC531" i="8"/>
  <c r="AD699" i="8"/>
  <c r="AD698" i="8"/>
  <c r="AD697" i="8"/>
  <c r="AD696" i="8"/>
  <c r="AD695" i="8"/>
  <c r="AD694" i="8"/>
  <c r="AD693" i="8"/>
  <c r="AD691" i="8"/>
  <c r="AD688" i="8"/>
  <c r="AD687" i="8"/>
  <c r="AD396" i="8" s="1"/>
  <c r="AD686" i="8"/>
  <c r="AD395" i="8" s="1"/>
  <c r="AD685" i="8"/>
  <c r="AD394" i="8" s="1"/>
  <c r="AD684" i="8"/>
  <c r="AD393" i="8" s="1"/>
  <c r="AD683" i="8"/>
  <c r="AD392" i="8" s="1"/>
  <c r="AD682" i="8"/>
  <c r="AD391" i="8" s="1"/>
  <c r="AD681" i="8"/>
  <c r="AD390" i="8" s="1"/>
  <c r="AD680" i="8"/>
  <c r="AD389" i="8" s="1"/>
  <c r="AD679" i="8"/>
  <c r="AD388" i="8" s="1"/>
  <c r="AD668" i="8"/>
  <c r="AD667" i="8"/>
  <c r="AD666" i="8"/>
  <c r="AD665" i="8"/>
  <c r="AD664" i="8"/>
  <c r="AD663" i="8"/>
  <c r="AD662" i="8"/>
  <c r="AD661" i="8"/>
  <c r="AD659" i="8"/>
  <c r="AD656" i="8"/>
  <c r="AD371" i="8" s="1"/>
  <c r="AD655" i="8"/>
  <c r="AD370" i="8" s="1"/>
  <c r="AD654" i="8"/>
  <c r="AD653" i="8"/>
  <c r="AD368" i="8" s="1"/>
  <c r="AD652" i="8"/>
  <c r="AD367" i="8" s="1"/>
  <c r="AD651" i="8"/>
  <c r="AD366" i="8" s="1"/>
  <c r="AD650" i="8"/>
  <c r="AD365" i="8" s="1"/>
  <c r="AD649" i="8"/>
  <c r="AD364" i="8" s="1"/>
  <c r="AD648" i="8"/>
  <c r="AD363" i="8" s="1"/>
  <c r="AD647" i="8"/>
  <c r="AD362" i="8" s="1"/>
  <c r="AD636" i="8"/>
  <c r="AD635" i="8"/>
  <c r="AD634" i="8"/>
  <c r="AD633" i="8"/>
  <c r="AD632" i="8"/>
  <c r="AD631" i="8"/>
  <c r="AD630" i="8"/>
  <c r="AD628" i="8"/>
  <c r="AD627" i="8"/>
  <c r="AD624" i="8"/>
  <c r="AD346" i="8" s="1"/>
  <c r="AD623" i="8"/>
  <c r="AD345" i="8" s="1"/>
  <c r="AD622" i="8"/>
  <c r="AD344" i="8" s="1"/>
  <c r="AD621" i="8"/>
  <c r="AD343" i="8" s="1"/>
  <c r="AD620" i="8"/>
  <c r="AD342" i="8" s="1"/>
  <c r="AD619" i="8"/>
  <c r="AD341" i="8" s="1"/>
  <c r="AD618" i="8"/>
  <c r="AD340" i="8" s="1"/>
  <c r="AD617" i="8"/>
  <c r="AD339" i="8" s="1"/>
  <c r="AD616" i="8"/>
  <c r="AD338" i="8" s="1"/>
  <c r="AD615" i="8"/>
  <c r="AD337" i="8" s="1"/>
  <c r="AD555" i="8"/>
  <c r="AD556" i="8" s="1"/>
  <c r="AD549" i="8"/>
  <c r="AD550" i="8" s="1"/>
  <c r="AD604" i="8"/>
  <c r="AD466" i="8"/>
  <c r="AD397" i="8"/>
  <c r="AD369" i="8"/>
  <c r="AD453" i="8"/>
  <c r="AD452" i="8"/>
  <c r="AD451" i="8"/>
  <c r="AD450" i="8"/>
  <c r="AD449" i="8"/>
  <c r="AD448" i="8"/>
  <c r="AD332" i="8"/>
  <c r="AD319" i="8"/>
  <c r="AD318" i="8"/>
  <c r="AD317" i="8"/>
  <c r="AD316" i="8"/>
  <c r="AD315" i="8"/>
  <c r="AD314" i="8"/>
  <c r="AD40" i="8"/>
  <c r="AE2" i="8"/>
  <c r="AD30" i="8"/>
  <c r="AD26" i="8"/>
  <c r="AD25" i="8"/>
  <c r="AD23" i="8"/>
  <c r="AD19" i="8"/>
  <c r="AC333" i="8"/>
  <c r="AC473" i="8"/>
  <c r="AC474" i="8"/>
  <c r="AC478" i="8"/>
  <c r="AC498" i="8"/>
  <c r="AC502" i="8"/>
  <c r="AC506" i="8"/>
  <c r="AC526" i="8"/>
  <c r="AC530" i="8"/>
  <c r="AC477" i="8"/>
  <c r="AC497" i="8"/>
  <c r="AC501" i="8"/>
  <c r="AC505" i="8"/>
  <c r="AC525" i="8"/>
  <c r="AC529" i="8"/>
  <c r="AC467" i="8"/>
  <c r="AB72" i="8"/>
  <c r="AB63" i="8"/>
  <c r="AE566" i="7"/>
  <c r="AE560" i="7"/>
  <c r="AE538" i="7" s="1"/>
  <c r="AE551" i="7"/>
  <c r="AE550" i="7"/>
  <c r="AE561" i="7" s="1"/>
  <c r="AE544" i="7"/>
  <c r="AE543" i="7"/>
  <c r="AF11" i="7"/>
  <c r="AC556" i="7"/>
  <c r="AC81" i="7"/>
  <c r="AE695" i="7"/>
  <c r="AE694" i="7"/>
  <c r="AE693" i="7"/>
  <c r="AE692" i="7"/>
  <c r="AE691" i="7"/>
  <c r="AE690" i="7"/>
  <c r="AE689" i="7"/>
  <c r="AE687" i="7"/>
  <c r="AE684" i="7"/>
  <c r="AE326" i="7" s="1"/>
  <c r="AE683" i="7"/>
  <c r="AE325" i="7" s="1"/>
  <c r="AE682" i="7"/>
  <c r="AE324" i="7" s="1"/>
  <c r="AE681" i="7"/>
  <c r="AE323" i="7" s="1"/>
  <c r="AE680" i="7"/>
  <c r="AE322" i="7" s="1"/>
  <c r="AE679" i="7"/>
  <c r="AE321" i="7" s="1"/>
  <c r="AE678" i="7"/>
  <c r="AE320" i="7" s="1"/>
  <c r="AE677" i="7"/>
  <c r="AE675" i="7"/>
  <c r="AE317" i="7" s="1"/>
  <c r="AE652" i="7"/>
  <c r="AE300" i="7" s="1"/>
  <c r="AE651" i="7"/>
  <c r="AE299" i="7" s="1"/>
  <c r="AE650" i="7"/>
  <c r="AE298" i="7" s="1"/>
  <c r="AE649" i="7"/>
  <c r="AE297" i="7" s="1"/>
  <c r="AE648" i="7"/>
  <c r="AE296" i="7" s="1"/>
  <c r="AE647" i="7"/>
  <c r="AE295" i="7" s="1"/>
  <c r="AE646" i="7"/>
  <c r="AE294" i="7" s="1"/>
  <c r="AE676" i="7"/>
  <c r="AE318" i="7" s="1"/>
  <c r="AE664" i="7"/>
  <c r="AE663" i="7"/>
  <c r="AE662" i="7"/>
  <c r="AE661" i="7"/>
  <c r="AE660" i="7"/>
  <c r="AE659" i="7"/>
  <c r="AE658" i="7"/>
  <c r="AE657" i="7"/>
  <c r="AE655" i="7"/>
  <c r="AE620" i="7"/>
  <c r="AE275" i="7" s="1"/>
  <c r="AE619" i="7"/>
  <c r="AE274" i="7" s="1"/>
  <c r="AE618" i="7"/>
  <c r="AE273" i="7" s="1"/>
  <c r="AE617" i="7"/>
  <c r="AE272" i="7" s="1"/>
  <c r="AE616" i="7"/>
  <c r="AE271" i="7" s="1"/>
  <c r="AE615" i="7"/>
  <c r="AE270" i="7" s="1"/>
  <c r="AE645" i="7"/>
  <c r="AE293" i="7" s="1"/>
  <c r="AE644" i="7"/>
  <c r="AE292" i="7" s="1"/>
  <c r="AE643" i="7"/>
  <c r="AE291" i="7" s="1"/>
  <c r="AE632" i="7"/>
  <c r="AE631" i="7"/>
  <c r="AE630" i="7"/>
  <c r="AE629" i="7"/>
  <c r="AE628" i="7"/>
  <c r="AE627" i="7"/>
  <c r="AE626" i="7"/>
  <c r="AE624" i="7"/>
  <c r="AE623" i="7"/>
  <c r="AE613" i="7"/>
  <c r="AE268" i="7" s="1"/>
  <c r="AE614" i="7"/>
  <c r="AE269" i="7" s="1"/>
  <c r="AE612" i="7"/>
  <c r="AE267" i="7" s="1"/>
  <c r="AE611" i="7"/>
  <c r="AE266" i="7" s="1"/>
  <c r="AE484" i="7"/>
  <c r="AE485" i="7" s="1"/>
  <c r="AE478" i="7"/>
  <c r="AE479" i="7" s="1"/>
  <c r="AE382" i="7"/>
  <c r="AE381" i="7"/>
  <c r="AE380" i="7"/>
  <c r="AE379" i="7"/>
  <c r="AE378" i="7"/>
  <c r="AE377" i="7"/>
  <c r="AE319" i="7"/>
  <c r="AE395" i="7"/>
  <c r="AE261" i="7"/>
  <c r="AE248" i="7"/>
  <c r="AE247" i="7"/>
  <c r="AE246" i="7"/>
  <c r="AE245" i="7"/>
  <c r="AE244" i="7"/>
  <c r="AE243" i="7"/>
  <c r="AE40" i="7"/>
  <c r="AE30" i="7"/>
  <c r="AE26" i="7"/>
  <c r="AE25" i="7"/>
  <c r="AE23" i="7"/>
  <c r="AE19" i="7"/>
  <c r="AF2" i="7"/>
  <c r="AD403" i="7"/>
  <c r="AD262" i="7"/>
  <c r="AD401" i="7"/>
  <c r="AD409" i="7"/>
  <c r="AD400" i="7"/>
  <c r="AD404" i="7"/>
  <c r="AD408" i="7"/>
  <c r="AD428" i="7"/>
  <c r="AD432" i="7"/>
  <c r="AD452" i="7"/>
  <c r="AD456" i="7"/>
  <c r="AD460" i="7"/>
  <c r="AD429" i="7"/>
  <c r="AD433" i="7"/>
  <c r="AD453" i="7"/>
  <c r="AD457" i="7"/>
  <c r="AD461" i="7"/>
  <c r="AD565" i="7"/>
  <c r="AD559" i="7"/>
  <c r="AD537" i="7" s="1"/>
  <c r="AD80" i="7" s="1"/>
  <c r="AE592" i="7"/>
  <c r="AD27" i="7"/>
  <c r="AD61" i="7"/>
  <c r="AD621" i="7"/>
  <c r="AD606" i="7" s="1"/>
  <c r="AD68" i="7" s="1"/>
  <c r="AD653" i="7"/>
  <c r="AD638" i="7" s="1"/>
  <c r="AD69" i="7" s="1"/>
  <c r="AD685" i="7"/>
  <c r="AD670" i="7" s="1"/>
  <c r="AD70" i="7" s="1"/>
  <c r="AD407" i="7"/>
  <c r="AD405" i="7"/>
  <c r="AD402" i="7"/>
  <c r="AD406" i="7"/>
  <c r="AD426" i="7"/>
  <c r="AD430" i="7"/>
  <c r="AD434" i="7"/>
  <c r="AD454" i="7"/>
  <c r="AD458" i="7"/>
  <c r="AD396" i="7"/>
  <c r="AD427" i="7"/>
  <c r="AD431" i="7"/>
  <c r="AD435" i="7"/>
  <c r="AD455" i="7"/>
  <c r="AD459" i="7"/>
  <c r="AC71" i="7"/>
  <c r="L26" i="1"/>
  <c r="L45" i="1"/>
  <c r="AP36" i="2"/>
  <c r="A324" i="2"/>
  <c r="A428" i="2"/>
  <c r="A441" i="2"/>
  <c r="A446" i="2"/>
  <c r="A434" i="2"/>
  <c r="A440" i="2"/>
  <c r="B434" i="2"/>
  <c r="A422" i="2"/>
  <c r="A420" i="2"/>
  <c r="A418" i="2"/>
  <c r="A423" i="2"/>
  <c r="A421" i="2"/>
  <c r="A419" i="2"/>
  <c r="B300" i="2"/>
  <c r="AE548" i="7" l="1"/>
  <c r="AE549" i="7" s="1"/>
  <c r="AF547" i="7"/>
  <c r="AF595" i="7"/>
  <c r="AF546" i="7"/>
  <c r="AF548" i="7" s="1"/>
  <c r="K574" i="7"/>
  <c r="K580" i="7"/>
  <c r="K579" i="7" s="1"/>
  <c r="K576" i="7" s="1"/>
  <c r="AE170" i="7"/>
  <c r="AE134" i="7"/>
  <c r="AE55" i="7"/>
  <c r="AD539" i="7"/>
  <c r="AD534" i="7"/>
  <c r="AF581" i="7"/>
  <c r="AF586" i="7"/>
  <c r="AF580" i="7"/>
  <c r="AF564" i="7"/>
  <c r="AF584" i="7" s="1"/>
  <c r="AE579" i="7"/>
  <c r="AE576" i="7" s="1"/>
  <c r="AE585" i="7"/>
  <c r="AF523" i="7"/>
  <c r="AF519" i="7"/>
  <c r="AF515" i="7"/>
  <c r="AF511" i="7"/>
  <c r="AF594" i="7"/>
  <c r="AF593" i="7"/>
  <c r="AF56" i="10"/>
  <c r="AF85" i="10"/>
  <c r="AF86" i="10" s="1"/>
  <c r="AF423" i="10"/>
  <c r="AF558" i="10" s="1"/>
  <c r="AG629" i="10"/>
  <c r="AG625" i="10"/>
  <c r="AG621" i="10"/>
  <c r="AG617" i="10"/>
  <c r="AE594" i="8"/>
  <c r="AE590" i="8"/>
  <c r="AE586" i="8"/>
  <c r="AE582" i="8"/>
  <c r="AE65" i="10"/>
  <c r="AE68" i="10" s="1"/>
  <c r="AE75" i="10" s="1"/>
  <c r="AD179" i="10"/>
  <c r="AD196" i="10" s="1"/>
  <c r="AF141" i="10"/>
  <c r="AF153" i="10" s="1"/>
  <c r="AF249" i="10"/>
  <c r="AF221" i="10"/>
  <c r="AH11" i="10"/>
  <c r="AG41" i="10"/>
  <c r="AG183" i="10" s="1"/>
  <c r="AG200" i="10" s="1"/>
  <c r="AG645" i="10"/>
  <c r="AG181" i="10" s="1"/>
  <c r="AG198" i="10" s="1"/>
  <c r="AF372" i="10"/>
  <c r="AF506" i="10" s="1"/>
  <c r="AE506" i="10"/>
  <c r="AF27" i="10"/>
  <c r="AF509" i="10"/>
  <c r="AF513" i="10"/>
  <c r="AF533" i="10"/>
  <c r="AF537" i="10"/>
  <c r="AF541" i="10"/>
  <c r="AG741" i="10"/>
  <c r="AG740" i="10"/>
  <c r="AG739" i="10"/>
  <c r="AG738" i="10"/>
  <c r="AG737" i="10"/>
  <c r="AG736" i="10"/>
  <c r="AG735" i="10"/>
  <c r="AG734" i="10"/>
  <c r="AG729" i="10"/>
  <c r="AG728" i="10"/>
  <c r="AG727" i="10"/>
  <c r="AG726" i="10"/>
  <c r="AG429" i="10" s="1"/>
  <c r="AG725" i="10"/>
  <c r="AG724" i="10"/>
  <c r="AG427" i="10" s="1"/>
  <c r="AG723" i="10"/>
  <c r="AG722" i="10"/>
  <c r="AG425" i="10" s="1"/>
  <c r="AG721" i="10"/>
  <c r="AG732" i="10"/>
  <c r="AG720" i="10"/>
  <c r="AG697" i="10"/>
  <c r="AG696" i="10"/>
  <c r="AG695" i="10"/>
  <c r="AG404" i="10" s="1"/>
  <c r="AG694" i="10"/>
  <c r="AG693" i="10"/>
  <c r="AG692" i="10"/>
  <c r="AG401" i="10" s="1"/>
  <c r="AG691" i="10"/>
  <c r="AG400" i="10" s="1"/>
  <c r="AG690" i="10"/>
  <c r="AG709" i="10"/>
  <c r="AG708" i="10"/>
  <c r="AG707" i="10"/>
  <c r="AG706" i="10"/>
  <c r="AG705" i="10"/>
  <c r="AG704" i="10"/>
  <c r="AG703" i="10"/>
  <c r="AG701" i="10"/>
  <c r="AG700" i="10"/>
  <c r="AG689" i="10"/>
  <c r="AG398" i="10" s="1"/>
  <c r="AG665" i="10"/>
  <c r="AG381" i="10" s="1"/>
  <c r="AG664" i="10"/>
  <c r="AG663" i="10"/>
  <c r="AG662" i="10"/>
  <c r="AG378" i="10" s="1"/>
  <c r="AG661" i="10"/>
  <c r="AG377" i="10" s="1"/>
  <c r="AG660" i="10"/>
  <c r="AG659" i="10"/>
  <c r="AG688" i="10"/>
  <c r="AG677" i="10"/>
  <c r="AG676" i="10"/>
  <c r="AG675" i="10"/>
  <c r="AG674" i="10"/>
  <c r="AG673" i="10"/>
  <c r="AG672" i="10"/>
  <c r="AG671" i="10"/>
  <c r="AG669" i="10"/>
  <c r="AG668" i="10"/>
  <c r="AG658" i="10"/>
  <c r="AG656" i="10"/>
  <c r="AG590" i="10"/>
  <c r="AG591" i="10" s="1"/>
  <c r="AG584" i="10"/>
  <c r="AG585" i="10" s="1"/>
  <c r="AG657" i="10"/>
  <c r="AG488" i="10"/>
  <c r="AG487" i="10"/>
  <c r="AG486" i="10"/>
  <c r="AG485" i="10"/>
  <c r="AG484" i="10"/>
  <c r="AG483" i="10"/>
  <c r="AG431" i="10"/>
  <c r="AG423" i="10"/>
  <c r="AG405" i="10"/>
  <c r="AG403" i="10"/>
  <c r="AG399" i="10"/>
  <c r="AG397" i="10"/>
  <c r="AG380" i="10"/>
  <c r="AG376" i="10"/>
  <c r="AG374" i="10"/>
  <c r="AG372" i="10"/>
  <c r="AG367" i="10"/>
  <c r="AG501" i="10"/>
  <c r="AG432" i="10"/>
  <c r="AG430" i="10"/>
  <c r="AG428" i="10"/>
  <c r="AG426" i="10"/>
  <c r="AG424" i="10"/>
  <c r="AG406" i="10"/>
  <c r="AG402" i="10"/>
  <c r="AG379" i="10"/>
  <c r="AG375" i="10"/>
  <c r="AG373" i="10"/>
  <c r="AG354" i="10"/>
  <c r="AG353" i="10"/>
  <c r="AG352" i="10"/>
  <c r="AG351" i="10"/>
  <c r="AG350" i="10"/>
  <c r="AG349" i="10"/>
  <c r="AG30" i="10"/>
  <c r="AG26" i="10"/>
  <c r="AG25" i="10"/>
  <c r="AG23" i="10"/>
  <c r="AG19" i="10"/>
  <c r="AG40" i="10"/>
  <c r="AH2" i="10"/>
  <c r="AH639" i="10" s="1"/>
  <c r="AF508" i="10"/>
  <c r="AF512" i="10"/>
  <c r="AF532" i="10"/>
  <c r="AF536" i="10"/>
  <c r="AF540" i="10"/>
  <c r="AF560" i="10"/>
  <c r="AF564" i="10"/>
  <c r="AF502" i="10"/>
  <c r="AF368" i="10"/>
  <c r="AF507" i="10"/>
  <c r="AF511" i="10"/>
  <c r="AF515" i="10"/>
  <c r="AF535" i="10"/>
  <c r="AF539" i="10"/>
  <c r="AF559" i="10"/>
  <c r="AF563" i="10"/>
  <c r="AF567" i="10"/>
  <c r="AF510" i="10"/>
  <c r="AF514" i="10"/>
  <c r="AF534" i="10"/>
  <c r="AF538" i="10"/>
  <c r="AF562" i="10"/>
  <c r="AF566" i="10"/>
  <c r="AF561" i="10"/>
  <c r="AF565" i="10"/>
  <c r="AF666" i="10"/>
  <c r="AF651" i="10" s="1"/>
  <c r="AF698" i="10"/>
  <c r="AF683" i="10" s="1"/>
  <c r="AF66" i="10" s="1"/>
  <c r="AF730" i="10"/>
  <c r="AF715" i="10" s="1"/>
  <c r="AF67" i="10" s="1"/>
  <c r="AF11" i="8"/>
  <c r="AC63" i="8"/>
  <c r="AD657" i="8"/>
  <c r="AD642" i="8" s="1"/>
  <c r="AD61" i="8" s="1"/>
  <c r="AD625" i="8"/>
  <c r="AD610" i="8" s="1"/>
  <c r="AD60" i="8" s="1"/>
  <c r="AD689" i="8"/>
  <c r="AD674" i="8" s="1"/>
  <c r="AD62" i="8" s="1"/>
  <c r="AC72" i="8"/>
  <c r="AE699" i="8"/>
  <c r="AE698" i="8"/>
  <c r="AE697" i="8"/>
  <c r="AE696" i="8"/>
  <c r="AE695" i="8"/>
  <c r="AE694" i="8"/>
  <c r="AE693" i="8"/>
  <c r="AE691" i="8"/>
  <c r="AE688" i="8"/>
  <c r="AE397" i="8" s="1"/>
  <c r="AE687" i="8"/>
  <c r="AE686" i="8"/>
  <c r="AE395" i="8" s="1"/>
  <c r="AE685" i="8"/>
  <c r="AE394" i="8" s="1"/>
  <c r="AE684" i="8"/>
  <c r="AE393" i="8" s="1"/>
  <c r="AE683" i="8"/>
  <c r="AE392" i="8" s="1"/>
  <c r="AE682" i="8"/>
  <c r="AE391" i="8" s="1"/>
  <c r="AE681" i="8"/>
  <c r="AE390" i="8" s="1"/>
  <c r="AE680" i="8"/>
  <c r="AE389" i="8" s="1"/>
  <c r="AE679" i="8"/>
  <c r="AE388" i="8" s="1"/>
  <c r="AE667" i="8"/>
  <c r="AE665" i="8"/>
  <c r="AE663" i="8"/>
  <c r="AE656" i="8"/>
  <c r="AE371" i="8" s="1"/>
  <c r="AE655" i="8"/>
  <c r="AE654" i="8"/>
  <c r="AE369" i="8" s="1"/>
  <c r="AE653" i="8"/>
  <c r="AE368" i="8" s="1"/>
  <c r="AE652" i="8"/>
  <c r="AE367" i="8" s="1"/>
  <c r="AE651" i="8"/>
  <c r="AE366" i="8" s="1"/>
  <c r="AE650" i="8"/>
  <c r="AE365" i="8" s="1"/>
  <c r="AE649" i="8"/>
  <c r="AE364" i="8" s="1"/>
  <c r="AE648" i="8"/>
  <c r="AE363" i="8" s="1"/>
  <c r="AE647" i="8"/>
  <c r="AE362" i="8" s="1"/>
  <c r="AE668" i="8"/>
  <c r="AE666" i="8"/>
  <c r="AE664" i="8"/>
  <c r="AE662" i="8"/>
  <c r="AE661" i="8"/>
  <c r="AE659" i="8"/>
  <c r="AE624" i="8"/>
  <c r="AE346" i="8" s="1"/>
  <c r="AE623" i="8"/>
  <c r="AE345" i="8" s="1"/>
  <c r="AE622" i="8"/>
  <c r="AE344" i="8" s="1"/>
  <c r="AE621" i="8"/>
  <c r="AE343" i="8" s="1"/>
  <c r="AE620" i="8"/>
  <c r="AE342" i="8" s="1"/>
  <c r="AE619" i="8"/>
  <c r="AE341" i="8" s="1"/>
  <c r="AE618" i="8"/>
  <c r="AE340" i="8" s="1"/>
  <c r="AE617" i="8"/>
  <c r="AE339" i="8" s="1"/>
  <c r="AE616" i="8"/>
  <c r="AE338" i="8" s="1"/>
  <c r="AE615" i="8"/>
  <c r="AE337" i="8" s="1"/>
  <c r="AE636" i="8"/>
  <c r="AE635" i="8"/>
  <c r="AE634" i="8"/>
  <c r="AE633" i="8"/>
  <c r="AE632" i="8"/>
  <c r="AE631" i="8"/>
  <c r="AE630" i="8"/>
  <c r="AE628" i="8"/>
  <c r="AE627" i="8"/>
  <c r="AE604" i="8"/>
  <c r="AE555" i="8"/>
  <c r="AE556" i="8" s="1"/>
  <c r="AE549" i="8"/>
  <c r="AE550" i="8" s="1"/>
  <c r="AE453" i="8"/>
  <c r="AE452" i="8"/>
  <c r="AE451" i="8"/>
  <c r="AE450" i="8"/>
  <c r="AE449" i="8"/>
  <c r="AE448" i="8"/>
  <c r="AE396" i="8"/>
  <c r="AE370" i="8"/>
  <c r="AE466" i="8"/>
  <c r="AE332" i="8"/>
  <c r="AE319" i="8"/>
  <c r="AE318" i="8"/>
  <c r="AE317" i="8"/>
  <c r="AE316" i="8"/>
  <c r="AE315" i="8"/>
  <c r="AE314" i="8"/>
  <c r="AE30" i="8"/>
  <c r="AE26" i="8"/>
  <c r="AE25" i="8"/>
  <c r="AE23" i="8"/>
  <c r="AE19" i="8"/>
  <c r="AE40" i="8"/>
  <c r="AF2" i="8"/>
  <c r="AD333" i="8"/>
  <c r="AD472" i="8"/>
  <c r="AD471" i="8"/>
  <c r="AD475" i="8"/>
  <c r="AD479" i="8"/>
  <c r="AD499" i="8"/>
  <c r="AD503" i="8"/>
  <c r="AD523" i="8"/>
  <c r="AD527" i="8"/>
  <c r="AD531" i="8"/>
  <c r="AD478" i="8"/>
  <c r="AD498" i="8"/>
  <c r="AD502" i="8"/>
  <c r="AD506" i="8"/>
  <c r="AD526" i="8"/>
  <c r="AD530" i="8"/>
  <c r="AD27" i="8"/>
  <c r="AD474" i="8"/>
  <c r="AD473" i="8"/>
  <c r="AD477" i="8"/>
  <c r="AD497" i="8"/>
  <c r="AD501" i="8"/>
  <c r="AD505" i="8"/>
  <c r="AD525" i="8"/>
  <c r="AD529" i="8"/>
  <c r="AD467" i="8"/>
  <c r="AD476" i="8"/>
  <c r="AD480" i="8"/>
  <c r="AD500" i="8"/>
  <c r="AD504" i="8"/>
  <c r="AD524" i="8"/>
  <c r="AD528" i="8"/>
  <c r="AD532" i="8"/>
  <c r="AG11" i="7"/>
  <c r="AF566" i="7"/>
  <c r="AF560" i="7"/>
  <c r="AF538" i="7" s="1"/>
  <c r="AF551" i="7"/>
  <c r="AF550" i="7"/>
  <c r="AF561" i="7" s="1"/>
  <c r="AF544" i="7"/>
  <c r="AF543" i="7"/>
  <c r="AE621" i="7"/>
  <c r="AE606" i="7" s="1"/>
  <c r="AE68" i="7" s="1"/>
  <c r="AE653" i="7"/>
  <c r="AE638" i="7" s="1"/>
  <c r="AE69" i="7" s="1"/>
  <c r="AE61" i="7"/>
  <c r="AE406" i="7"/>
  <c r="AE400" i="7"/>
  <c r="AE408" i="7"/>
  <c r="AE403" i="7"/>
  <c r="AE407" i="7"/>
  <c r="AE427" i="7"/>
  <c r="AE431" i="7"/>
  <c r="AE435" i="7"/>
  <c r="AE455" i="7"/>
  <c r="AE459" i="7"/>
  <c r="AE428" i="7"/>
  <c r="AE432" i="7"/>
  <c r="AE452" i="7"/>
  <c r="AE456" i="7"/>
  <c r="AE460" i="7"/>
  <c r="AE565" i="7"/>
  <c r="AE559" i="7"/>
  <c r="AE537" i="7" s="1"/>
  <c r="AE80" i="7" s="1"/>
  <c r="AF592" i="7"/>
  <c r="AE27" i="7"/>
  <c r="AE685" i="7"/>
  <c r="AE670" i="7" s="1"/>
  <c r="AE70" i="7" s="1"/>
  <c r="AD556" i="7"/>
  <c r="AD81" i="7"/>
  <c r="AF695" i="7"/>
  <c r="AF694" i="7"/>
  <c r="AF693" i="7"/>
  <c r="AF692" i="7"/>
  <c r="AF691" i="7"/>
  <c r="AF690" i="7"/>
  <c r="AF689" i="7"/>
  <c r="AF687" i="7"/>
  <c r="AF684" i="7"/>
  <c r="AF326" i="7" s="1"/>
  <c r="AF683" i="7"/>
  <c r="AF325" i="7" s="1"/>
  <c r="AF682" i="7"/>
  <c r="AF324" i="7" s="1"/>
  <c r="AF681" i="7"/>
  <c r="AF323" i="7" s="1"/>
  <c r="AF680" i="7"/>
  <c r="AF322" i="7" s="1"/>
  <c r="AF679" i="7"/>
  <c r="AF321" i="7" s="1"/>
  <c r="AF678" i="7"/>
  <c r="AF320" i="7" s="1"/>
  <c r="AF677" i="7"/>
  <c r="AF319" i="7" s="1"/>
  <c r="AF676" i="7"/>
  <c r="AF318" i="7" s="1"/>
  <c r="AF675" i="7"/>
  <c r="AF317" i="7" s="1"/>
  <c r="AF664" i="7"/>
  <c r="AF663" i="7"/>
  <c r="AF662" i="7"/>
  <c r="AF661" i="7"/>
  <c r="AF660" i="7"/>
  <c r="AF659" i="7"/>
  <c r="AF658" i="7"/>
  <c r="AF657" i="7"/>
  <c r="AF655" i="7"/>
  <c r="AF652" i="7"/>
  <c r="AF300" i="7" s="1"/>
  <c r="AF651" i="7"/>
  <c r="AF299" i="7" s="1"/>
  <c r="AF650" i="7"/>
  <c r="AF298" i="7" s="1"/>
  <c r="AF649" i="7"/>
  <c r="AF297" i="7" s="1"/>
  <c r="AF648" i="7"/>
  <c r="AF296" i="7" s="1"/>
  <c r="AF647" i="7"/>
  <c r="AF295" i="7" s="1"/>
  <c r="AF646" i="7"/>
  <c r="AF294" i="7" s="1"/>
  <c r="AF645" i="7"/>
  <c r="AF293" i="7" s="1"/>
  <c r="AF644" i="7"/>
  <c r="AF292" i="7" s="1"/>
  <c r="AF643" i="7"/>
  <c r="AF291" i="7" s="1"/>
  <c r="AF632" i="7"/>
  <c r="AF631" i="7"/>
  <c r="AF630" i="7"/>
  <c r="AF629" i="7"/>
  <c r="AF628" i="7"/>
  <c r="AF627" i="7"/>
  <c r="AF626" i="7"/>
  <c r="AF624" i="7"/>
  <c r="AF623" i="7"/>
  <c r="AF620" i="7"/>
  <c r="AF275" i="7" s="1"/>
  <c r="AF619" i="7"/>
  <c r="AF274" i="7" s="1"/>
  <c r="AF618" i="7"/>
  <c r="AF273" i="7" s="1"/>
  <c r="AF617" i="7"/>
  <c r="AF272" i="7" s="1"/>
  <c r="AF616" i="7"/>
  <c r="AF271" i="7" s="1"/>
  <c r="AF615" i="7"/>
  <c r="AF270" i="7" s="1"/>
  <c r="AF614" i="7"/>
  <c r="AF269" i="7" s="1"/>
  <c r="AF613" i="7"/>
  <c r="AF268" i="7" s="1"/>
  <c r="AF612" i="7"/>
  <c r="AF267" i="7" s="1"/>
  <c r="AF611" i="7"/>
  <c r="AF266" i="7" s="1"/>
  <c r="AF484" i="7"/>
  <c r="AF485" i="7" s="1"/>
  <c r="AF478" i="7"/>
  <c r="AF479" i="7" s="1"/>
  <c r="AF395" i="7"/>
  <c r="AF382" i="7"/>
  <c r="AF381" i="7"/>
  <c r="AF380" i="7"/>
  <c r="AF379" i="7"/>
  <c r="AF378" i="7"/>
  <c r="AF377" i="7"/>
  <c r="AF261" i="7"/>
  <c r="AF248" i="7"/>
  <c r="AF247" i="7"/>
  <c r="AF246" i="7"/>
  <c r="AF245" i="7"/>
  <c r="AF244" i="7"/>
  <c r="AF243" i="7"/>
  <c r="AF30" i="7"/>
  <c r="AF26" i="7"/>
  <c r="AF25" i="7"/>
  <c r="AF23" i="7"/>
  <c r="AF19" i="7"/>
  <c r="AF40" i="7"/>
  <c r="AG2" i="7"/>
  <c r="AG600" i="7" s="1"/>
  <c r="AE262" i="7"/>
  <c r="AE402" i="7"/>
  <c r="AE404" i="7"/>
  <c r="AE401" i="7"/>
  <c r="AE405" i="7"/>
  <c r="AE409" i="7"/>
  <c r="AE429" i="7"/>
  <c r="AE433" i="7"/>
  <c r="AE453" i="7"/>
  <c r="AE457" i="7"/>
  <c r="AE461" i="7"/>
  <c r="AE426" i="7"/>
  <c r="AE430" i="7"/>
  <c r="AE434" i="7"/>
  <c r="AE454" i="7"/>
  <c r="AE458" i="7"/>
  <c r="AE396" i="7"/>
  <c r="AD71" i="7"/>
  <c r="L27" i="1"/>
  <c r="L46" i="1"/>
  <c r="A452" i="2"/>
  <c r="A459" i="2" s="1"/>
  <c r="A456" i="2"/>
  <c r="A463" i="2" s="1"/>
  <c r="A453" i="2"/>
  <c r="A460" i="2" s="1"/>
  <c r="A454" i="2"/>
  <c r="A461" i="2" s="1"/>
  <c r="A451" i="2"/>
  <c r="A455" i="2"/>
  <c r="A462" i="2" s="1"/>
  <c r="G3" i="4"/>
  <c r="C251" i="1"/>
  <c r="D251" i="1"/>
  <c r="D252" i="1" s="1"/>
  <c r="E251" i="1"/>
  <c r="E252" i="1" s="1"/>
  <c r="B251" i="1"/>
  <c r="B252" i="1" s="1"/>
  <c r="C252" i="1"/>
  <c r="C488" i="10" l="1"/>
  <c r="C354" i="10"/>
  <c r="C319" i="8"/>
  <c r="C453" i="8"/>
  <c r="C382" i="7"/>
  <c r="C248" i="7"/>
  <c r="AG595" i="7"/>
  <c r="AG546" i="7"/>
  <c r="AG547" i="7"/>
  <c r="K577" i="7"/>
  <c r="AF170" i="7"/>
  <c r="AF134" i="7"/>
  <c r="AF55" i="7"/>
  <c r="AE534" i="7"/>
  <c r="AE539" i="7"/>
  <c r="AG586" i="7"/>
  <c r="AG580" i="7"/>
  <c r="AG581" i="7"/>
  <c r="AG564" i="7"/>
  <c r="AG584" i="7" s="1"/>
  <c r="P580" i="7"/>
  <c r="P579" i="7" s="1"/>
  <c r="P576" i="7" s="1"/>
  <c r="AF585" i="7"/>
  <c r="AF579" i="7"/>
  <c r="AF576" i="7" s="1"/>
  <c r="AG523" i="7"/>
  <c r="AG519" i="7"/>
  <c r="AG515" i="7"/>
  <c r="AG511" i="7"/>
  <c r="AG594" i="7"/>
  <c r="AG593" i="7"/>
  <c r="AG56" i="10"/>
  <c r="AG85" i="10"/>
  <c r="AG86" i="10" s="1"/>
  <c r="AH629" i="10"/>
  <c r="AH625" i="10"/>
  <c r="AH621" i="10"/>
  <c r="AH617" i="10"/>
  <c r="AF582" i="8"/>
  <c r="AF594" i="8"/>
  <c r="AF590" i="8"/>
  <c r="AF586" i="8"/>
  <c r="AF65" i="10"/>
  <c r="AF68" i="10" s="1"/>
  <c r="AF179" i="10" s="1"/>
  <c r="AF196" i="10" s="1"/>
  <c r="AE179" i="10"/>
  <c r="AE196" i="10" s="1"/>
  <c r="AG180" i="10"/>
  <c r="AG197" i="10" s="1"/>
  <c r="AG141" i="10"/>
  <c r="AG153" i="10" s="1"/>
  <c r="AG249" i="10"/>
  <c r="AG221" i="10"/>
  <c r="AG59" i="10"/>
  <c r="AI11" i="10"/>
  <c r="AH645" i="10"/>
  <c r="AH181" i="10" s="1"/>
  <c r="AH198" i="10" s="1"/>
  <c r="AH41" i="10"/>
  <c r="AH183" i="10" s="1"/>
  <c r="AH200" i="10" s="1"/>
  <c r="AG27" i="10"/>
  <c r="AG698" i="10"/>
  <c r="AG683" i="10" s="1"/>
  <c r="AG66" i="10" s="1"/>
  <c r="AG666" i="10"/>
  <c r="AG651" i="10" s="1"/>
  <c r="AG509" i="10"/>
  <c r="AG513" i="10"/>
  <c r="AG533" i="10"/>
  <c r="AG537" i="10"/>
  <c r="AG541" i="10"/>
  <c r="AG561" i="10"/>
  <c r="AG565" i="10"/>
  <c r="AG506" i="10"/>
  <c r="AG510" i="10"/>
  <c r="AG514" i="10"/>
  <c r="AG534" i="10"/>
  <c r="AG538" i="10"/>
  <c r="AG558" i="10"/>
  <c r="AG562" i="10"/>
  <c r="AG566" i="10"/>
  <c r="AE71" i="7"/>
  <c r="AG730" i="10"/>
  <c r="AG715" i="10" s="1"/>
  <c r="AG67" i="10" s="1"/>
  <c r="AH741" i="10"/>
  <c r="AH740" i="10"/>
  <c r="AH739" i="10"/>
  <c r="AH738" i="10"/>
  <c r="AH737" i="10"/>
  <c r="AH736" i="10"/>
  <c r="AH735" i="10"/>
  <c r="AH734" i="10"/>
  <c r="AH732" i="10"/>
  <c r="AH729" i="10"/>
  <c r="AH432" i="10" s="1"/>
  <c r="AH728" i="10"/>
  <c r="AH727" i="10"/>
  <c r="AH430" i="10" s="1"/>
  <c r="AH726" i="10"/>
  <c r="AH725" i="10"/>
  <c r="AH428" i="10" s="1"/>
  <c r="AH724" i="10"/>
  <c r="AH723" i="10"/>
  <c r="AH426" i="10" s="1"/>
  <c r="AH722" i="10"/>
  <c r="AH721" i="10"/>
  <c r="AH424" i="10" s="1"/>
  <c r="AH720" i="10"/>
  <c r="AH709" i="10"/>
  <c r="AH708" i="10"/>
  <c r="AH707" i="10"/>
  <c r="AH706" i="10"/>
  <c r="AH705" i="10"/>
  <c r="AH704" i="10"/>
  <c r="AH703" i="10"/>
  <c r="AH701" i="10"/>
  <c r="AH700" i="10"/>
  <c r="AH697" i="10"/>
  <c r="AH696" i="10"/>
  <c r="AH405" i="10" s="1"/>
  <c r="AH695" i="10"/>
  <c r="AH694" i="10"/>
  <c r="AH403" i="10" s="1"/>
  <c r="AH693" i="10"/>
  <c r="AH692" i="10"/>
  <c r="AH401" i="10" s="1"/>
  <c r="AH691" i="10"/>
  <c r="AH690" i="10"/>
  <c r="AH399" i="10" s="1"/>
  <c r="AH689" i="10"/>
  <c r="AH688" i="10"/>
  <c r="AH397" i="10" s="1"/>
  <c r="AH677" i="10"/>
  <c r="AH676" i="10"/>
  <c r="AH675" i="10"/>
  <c r="AH674" i="10"/>
  <c r="AH673" i="10"/>
  <c r="AH672" i="10"/>
  <c r="AH671" i="10"/>
  <c r="AH669" i="10"/>
  <c r="AH668" i="10"/>
  <c r="AH665" i="10"/>
  <c r="AH381" i="10" s="1"/>
  <c r="AH664" i="10"/>
  <c r="AH663" i="10"/>
  <c r="AH379" i="10" s="1"/>
  <c r="AH662" i="10"/>
  <c r="AH378" i="10" s="1"/>
  <c r="AH661" i="10"/>
  <c r="AH377" i="10" s="1"/>
  <c r="AH660" i="10"/>
  <c r="AH659" i="10"/>
  <c r="AH375" i="10" s="1"/>
  <c r="AH658" i="10"/>
  <c r="AH374" i="10" s="1"/>
  <c r="AH657" i="10"/>
  <c r="AH373" i="10" s="1"/>
  <c r="AH656" i="10"/>
  <c r="AH590" i="10"/>
  <c r="AH591" i="10" s="1"/>
  <c r="AH584" i="10"/>
  <c r="AH585" i="10" s="1"/>
  <c r="AH501" i="10"/>
  <c r="AH406" i="10"/>
  <c r="AH404" i="10"/>
  <c r="AH402" i="10"/>
  <c r="AH400" i="10"/>
  <c r="AH398" i="10"/>
  <c r="AH354" i="10"/>
  <c r="AH353" i="10"/>
  <c r="AH352" i="10"/>
  <c r="AH351" i="10"/>
  <c r="AH350" i="10"/>
  <c r="AH349" i="10"/>
  <c r="AH488" i="10"/>
  <c r="AH487" i="10"/>
  <c r="AH486" i="10"/>
  <c r="AH485" i="10"/>
  <c r="AH484" i="10"/>
  <c r="AH483" i="10"/>
  <c r="AH431" i="10"/>
  <c r="AH429" i="10"/>
  <c r="AH427" i="10"/>
  <c r="AH425" i="10"/>
  <c r="AH423" i="10"/>
  <c r="AH380" i="10"/>
  <c r="AH376" i="10"/>
  <c r="AH372" i="10"/>
  <c r="AH367" i="10"/>
  <c r="AH40" i="10"/>
  <c r="AI2" i="10"/>
  <c r="AI639" i="10" s="1"/>
  <c r="AH30" i="10"/>
  <c r="AH26" i="10"/>
  <c r="AH25" i="10"/>
  <c r="AH23" i="10"/>
  <c r="AH19" i="10"/>
  <c r="AG368" i="10"/>
  <c r="AG507" i="10"/>
  <c r="AG511" i="10"/>
  <c r="AG515" i="10"/>
  <c r="AG535" i="10"/>
  <c r="AG539" i="10"/>
  <c r="AG559" i="10"/>
  <c r="AG563" i="10"/>
  <c r="AG567" i="10"/>
  <c r="AG508" i="10"/>
  <c r="AG512" i="10"/>
  <c r="AG532" i="10"/>
  <c r="AG536" i="10"/>
  <c r="AG540" i="10"/>
  <c r="AG560" i="10"/>
  <c r="AG564" i="10"/>
  <c r="AG502" i="10"/>
  <c r="AG11" i="8"/>
  <c r="AE657" i="8"/>
  <c r="AE642" i="8" s="1"/>
  <c r="AE61" i="8" s="1"/>
  <c r="AD63" i="8"/>
  <c r="AE472" i="8"/>
  <c r="AE476" i="8"/>
  <c r="AE480" i="8"/>
  <c r="AE500" i="8"/>
  <c r="AE504" i="8"/>
  <c r="AE524" i="8"/>
  <c r="AE528" i="8"/>
  <c r="AE532" i="8"/>
  <c r="AE475" i="8"/>
  <c r="AE479" i="8"/>
  <c r="AE499" i="8"/>
  <c r="AE503" i="8"/>
  <c r="AE523" i="8"/>
  <c r="AE527" i="8"/>
  <c r="AE531" i="8"/>
  <c r="AD72" i="8"/>
  <c r="AF699" i="8"/>
  <c r="AF698" i="8"/>
  <c r="AF697" i="8"/>
  <c r="AF696" i="8"/>
  <c r="AF695" i="8"/>
  <c r="AF694" i="8"/>
  <c r="AF693" i="8"/>
  <c r="AF691" i="8"/>
  <c r="AF688" i="8"/>
  <c r="AF397" i="8" s="1"/>
  <c r="AF687" i="8"/>
  <c r="AF396" i="8" s="1"/>
  <c r="AF686" i="8"/>
  <c r="AF395" i="8" s="1"/>
  <c r="AF685" i="8"/>
  <c r="AF394" i="8" s="1"/>
  <c r="AF684" i="8"/>
  <c r="AF393" i="8" s="1"/>
  <c r="AF683" i="8"/>
  <c r="AF682" i="8"/>
  <c r="AF391" i="8" s="1"/>
  <c r="AF681" i="8"/>
  <c r="AF390" i="8" s="1"/>
  <c r="AF680" i="8"/>
  <c r="AF389" i="8" s="1"/>
  <c r="AF679" i="8"/>
  <c r="AF388" i="8" s="1"/>
  <c r="AF668" i="8"/>
  <c r="AF667" i="8"/>
  <c r="AF666" i="8"/>
  <c r="AF665" i="8"/>
  <c r="AF664" i="8"/>
  <c r="AF663" i="8"/>
  <c r="AF662" i="8"/>
  <c r="AF661" i="8"/>
  <c r="AF659" i="8"/>
  <c r="AF656" i="8"/>
  <c r="AF371" i="8" s="1"/>
  <c r="AF655" i="8"/>
  <c r="AF370" i="8" s="1"/>
  <c r="AF654" i="8"/>
  <c r="AF369" i="8" s="1"/>
  <c r="AF653" i="8"/>
  <c r="AF368" i="8" s="1"/>
  <c r="AF652" i="8"/>
  <c r="AF367" i="8" s="1"/>
  <c r="AF651" i="8"/>
  <c r="AF366" i="8" s="1"/>
  <c r="AF650" i="8"/>
  <c r="AF365" i="8" s="1"/>
  <c r="AF649" i="8"/>
  <c r="AF364" i="8" s="1"/>
  <c r="AF648" i="8"/>
  <c r="AF363" i="8" s="1"/>
  <c r="AF647" i="8"/>
  <c r="AF362" i="8" s="1"/>
  <c r="AF636" i="8"/>
  <c r="AF635" i="8"/>
  <c r="AF634" i="8"/>
  <c r="AF633" i="8"/>
  <c r="AF632" i="8"/>
  <c r="AF631" i="8"/>
  <c r="AF630" i="8"/>
  <c r="AF628" i="8"/>
  <c r="AF627" i="8"/>
  <c r="AF624" i="8"/>
  <c r="AF346" i="8" s="1"/>
  <c r="AF623" i="8"/>
  <c r="AF345" i="8" s="1"/>
  <c r="AF622" i="8"/>
  <c r="AF344" i="8" s="1"/>
  <c r="AF621" i="8"/>
  <c r="AF343" i="8" s="1"/>
  <c r="AF620" i="8"/>
  <c r="AF342" i="8" s="1"/>
  <c r="AF619" i="8"/>
  <c r="AF341" i="8" s="1"/>
  <c r="AF618" i="8"/>
  <c r="AF340" i="8" s="1"/>
  <c r="AF617" i="8"/>
  <c r="AF339" i="8" s="1"/>
  <c r="AF616" i="8"/>
  <c r="AF338" i="8" s="1"/>
  <c r="AF615" i="8"/>
  <c r="AF337" i="8" s="1"/>
  <c r="AF555" i="8"/>
  <c r="AF556" i="8" s="1"/>
  <c r="AF549" i="8"/>
  <c r="AF550" i="8" s="1"/>
  <c r="AF466" i="8"/>
  <c r="AF453" i="8"/>
  <c r="AF452" i="8"/>
  <c r="AF451" i="8"/>
  <c r="AF450" i="8"/>
  <c r="AF449" i="8"/>
  <c r="AF448" i="8"/>
  <c r="AF392" i="8"/>
  <c r="AF332" i="8"/>
  <c r="AF319" i="8"/>
  <c r="AF318" i="8"/>
  <c r="AF317" i="8"/>
  <c r="AF316" i="8"/>
  <c r="AF315" i="8"/>
  <c r="AF314" i="8"/>
  <c r="AF40" i="8"/>
  <c r="AG2" i="8"/>
  <c r="AF30" i="8"/>
  <c r="AF26" i="8"/>
  <c r="AF25" i="8"/>
  <c r="AF23" i="8"/>
  <c r="AF19" i="8"/>
  <c r="AE333" i="8"/>
  <c r="AE473" i="8"/>
  <c r="AE471" i="8"/>
  <c r="AE474" i="8"/>
  <c r="AE478" i="8"/>
  <c r="AE498" i="8"/>
  <c r="AE502" i="8"/>
  <c r="AE506" i="8"/>
  <c r="AE526" i="8"/>
  <c r="AE530" i="8"/>
  <c r="AE477" i="8"/>
  <c r="AE497" i="8"/>
  <c r="AE501" i="8"/>
  <c r="AE505" i="8"/>
  <c r="AE525" i="8"/>
  <c r="AE529" i="8"/>
  <c r="AE467" i="8"/>
  <c r="AE27" i="8"/>
  <c r="AE625" i="8"/>
  <c r="AE610" i="8" s="1"/>
  <c r="AE60" i="8" s="1"/>
  <c r="AE689" i="8"/>
  <c r="AE674" i="8" s="1"/>
  <c r="AE62" i="8" s="1"/>
  <c r="AF653" i="7"/>
  <c r="AF638" i="7" s="1"/>
  <c r="AF69" i="7" s="1"/>
  <c r="AG566" i="7"/>
  <c r="AG560" i="7"/>
  <c r="AG538" i="7" s="1"/>
  <c r="AG551" i="7"/>
  <c r="AG550" i="7"/>
  <c r="AG561" i="7" s="1"/>
  <c r="AG544" i="7"/>
  <c r="AG543" i="7"/>
  <c r="AH11" i="7"/>
  <c r="AF27" i="7"/>
  <c r="AF621" i="7"/>
  <c r="AF606" i="7" s="1"/>
  <c r="AF68" i="7" s="1"/>
  <c r="AF685" i="7"/>
  <c r="AF670" i="7" s="1"/>
  <c r="AF70" i="7" s="1"/>
  <c r="AF61" i="7"/>
  <c r="AG696" i="7"/>
  <c r="AG695" i="7"/>
  <c r="AG694" i="7"/>
  <c r="AG693" i="7"/>
  <c r="AG692" i="7"/>
  <c r="AG691" i="7"/>
  <c r="AG690" i="7"/>
  <c r="AG689" i="7"/>
  <c r="AG684" i="7"/>
  <c r="AG326" i="7" s="1"/>
  <c r="AG683" i="7"/>
  <c r="AG682" i="7"/>
  <c r="AG681" i="7"/>
  <c r="AG323" i="7" s="1"/>
  <c r="AG680" i="7"/>
  <c r="AG679" i="7"/>
  <c r="AG321" i="7" s="1"/>
  <c r="AG678" i="7"/>
  <c r="AG677" i="7"/>
  <c r="AG319" i="7" s="1"/>
  <c r="AG687" i="7"/>
  <c r="AG676" i="7"/>
  <c r="AG318" i="7" s="1"/>
  <c r="AG652" i="7"/>
  <c r="AG651" i="7"/>
  <c r="AG299" i="7" s="1"/>
  <c r="AG650" i="7"/>
  <c r="AG649" i="7"/>
  <c r="AG297" i="7" s="1"/>
  <c r="AG648" i="7"/>
  <c r="AG647" i="7"/>
  <c r="AG295" i="7" s="1"/>
  <c r="AG646" i="7"/>
  <c r="AG294" i="7" s="1"/>
  <c r="AG675" i="7"/>
  <c r="AG317" i="7" s="1"/>
  <c r="AG664" i="7"/>
  <c r="AG663" i="7"/>
  <c r="AG662" i="7"/>
  <c r="AG661" i="7"/>
  <c r="AG660" i="7"/>
  <c r="AG659" i="7"/>
  <c r="AG658" i="7"/>
  <c r="AG656" i="7"/>
  <c r="AG655" i="7"/>
  <c r="AG645" i="7"/>
  <c r="AG293" i="7" s="1"/>
  <c r="AG620" i="7"/>
  <c r="AG619" i="7"/>
  <c r="AG274" i="7" s="1"/>
  <c r="AG618" i="7"/>
  <c r="AG617" i="7"/>
  <c r="AG272" i="7" s="1"/>
  <c r="AG616" i="7"/>
  <c r="AG615" i="7"/>
  <c r="AG270" i="7" s="1"/>
  <c r="AG644" i="7"/>
  <c r="AG292" i="7" s="1"/>
  <c r="AG643" i="7"/>
  <c r="AG632" i="7"/>
  <c r="AG631" i="7"/>
  <c r="AG630" i="7"/>
  <c r="AG629" i="7"/>
  <c r="AG628" i="7"/>
  <c r="AG627" i="7"/>
  <c r="AG626" i="7"/>
  <c r="AG624" i="7"/>
  <c r="AG623" i="7"/>
  <c r="AG614" i="7"/>
  <c r="AG269" i="7" s="1"/>
  <c r="AG613" i="7"/>
  <c r="AG268" i="7" s="1"/>
  <c r="AG612" i="7"/>
  <c r="AG267" i="7" s="1"/>
  <c r="AG611" i="7"/>
  <c r="AG266" i="7" s="1"/>
  <c r="AG484" i="7"/>
  <c r="AG485" i="7" s="1"/>
  <c r="AG478" i="7"/>
  <c r="AG479" i="7" s="1"/>
  <c r="AG382" i="7"/>
  <c r="AG381" i="7"/>
  <c r="AG380" i="7"/>
  <c r="AG379" i="7"/>
  <c r="AG378" i="7"/>
  <c r="AG377" i="7"/>
  <c r="AG325" i="7"/>
  <c r="AG291" i="7"/>
  <c r="AG395" i="7"/>
  <c r="AG324" i="7"/>
  <c r="AG322" i="7"/>
  <c r="AG320" i="7"/>
  <c r="AG300" i="7"/>
  <c r="AG298" i="7"/>
  <c r="AG296" i="7"/>
  <c r="AG275" i="7"/>
  <c r="AG273" i="7"/>
  <c r="AG271" i="7"/>
  <c r="AG261" i="7"/>
  <c r="AG248" i="7"/>
  <c r="AG247" i="7"/>
  <c r="AG246" i="7"/>
  <c r="AG245" i="7"/>
  <c r="AG244" i="7"/>
  <c r="AG243" i="7"/>
  <c r="AG40" i="7"/>
  <c r="AG30" i="7"/>
  <c r="AG26" i="7"/>
  <c r="AG25" i="7"/>
  <c r="AG23" i="7"/>
  <c r="AG19" i="7"/>
  <c r="AH2" i="7"/>
  <c r="AH600" i="7" s="1"/>
  <c r="AF405" i="7"/>
  <c r="AF262" i="7"/>
  <c r="AF403" i="7"/>
  <c r="AF402" i="7"/>
  <c r="AF406" i="7"/>
  <c r="AF426" i="7"/>
  <c r="AF430" i="7"/>
  <c r="AF434" i="7"/>
  <c r="AF454" i="7"/>
  <c r="AF458" i="7"/>
  <c r="AF396" i="7"/>
  <c r="AF427" i="7"/>
  <c r="AF431" i="7"/>
  <c r="AF435" i="7"/>
  <c r="AF455" i="7"/>
  <c r="AF459" i="7"/>
  <c r="AF549" i="7"/>
  <c r="AF401" i="7"/>
  <c r="AF409" i="7"/>
  <c r="AF407" i="7"/>
  <c r="AF400" i="7"/>
  <c r="AF404" i="7"/>
  <c r="AF408" i="7"/>
  <c r="AF428" i="7"/>
  <c r="AF432" i="7"/>
  <c r="AF452" i="7"/>
  <c r="AF456" i="7"/>
  <c r="AF460" i="7"/>
  <c r="AF429" i="7"/>
  <c r="AF433" i="7"/>
  <c r="AF453" i="7"/>
  <c r="AF457" i="7"/>
  <c r="AF461" i="7"/>
  <c r="AF565" i="7"/>
  <c r="AF559" i="7"/>
  <c r="AF537" i="7" s="1"/>
  <c r="AF80" i="7" s="1"/>
  <c r="AG592" i="7"/>
  <c r="AE556" i="7"/>
  <c r="AE81" i="7"/>
  <c r="L47" i="1"/>
  <c r="L28" i="1"/>
  <c r="A458" i="2"/>
  <c r="AH547" i="7" l="1"/>
  <c r="AH595" i="7"/>
  <c r="AH546" i="7"/>
  <c r="AH548" i="7" s="1"/>
  <c r="AG548" i="7"/>
  <c r="AG549" i="7" s="1"/>
  <c r="L580" i="7"/>
  <c r="L579" i="7" s="1"/>
  <c r="L576" i="7" s="1"/>
  <c r="L574" i="7"/>
  <c r="AG170" i="7"/>
  <c r="AG134" i="7"/>
  <c r="AG55" i="7"/>
  <c r="AF539" i="7"/>
  <c r="AF534" i="7"/>
  <c r="AH581" i="7"/>
  <c r="AH586" i="7"/>
  <c r="AH580" i="7"/>
  <c r="AH564" i="7"/>
  <c r="AH584" i="7" s="1"/>
  <c r="Q580" i="7"/>
  <c r="Q579" i="7" s="1"/>
  <c r="Q576" i="7" s="1"/>
  <c r="AG579" i="7"/>
  <c r="AG576" i="7" s="1"/>
  <c r="AG585" i="7"/>
  <c r="AH523" i="7"/>
  <c r="AH519" i="7"/>
  <c r="AH515" i="7"/>
  <c r="AH511" i="7"/>
  <c r="AH594" i="7"/>
  <c r="AH593" i="7"/>
  <c r="AH56" i="10"/>
  <c r="AH85" i="10"/>
  <c r="AH86" i="10" s="1"/>
  <c r="AI629" i="10"/>
  <c r="AI625" i="10"/>
  <c r="AI621" i="10"/>
  <c r="AI617" i="10"/>
  <c r="AG594" i="8"/>
  <c r="AG590" i="8"/>
  <c r="AG586" i="8"/>
  <c r="AG582" i="8"/>
  <c r="AG65" i="10"/>
  <c r="AG68" i="10" s="1"/>
  <c r="AG179" i="10" s="1"/>
  <c r="AG196" i="10" s="1"/>
  <c r="AH180" i="10"/>
  <c r="AH197" i="10" s="1"/>
  <c r="AH141" i="10"/>
  <c r="AH153" i="10" s="1"/>
  <c r="AH249" i="10"/>
  <c r="AH221" i="10"/>
  <c r="AH59" i="10"/>
  <c r="AJ11" i="10"/>
  <c r="AI41" i="10"/>
  <c r="AI183" i="10" s="1"/>
  <c r="AI200" i="10" s="1"/>
  <c r="AI645" i="10"/>
  <c r="AI181" i="10" s="1"/>
  <c r="AI198" i="10" s="1"/>
  <c r="AG118" i="10"/>
  <c r="AI741" i="10"/>
  <c r="AI740" i="10"/>
  <c r="AI739" i="10"/>
  <c r="AI738" i="10"/>
  <c r="AI737" i="10"/>
  <c r="AI736" i="10"/>
  <c r="AI735" i="10"/>
  <c r="AI734" i="10"/>
  <c r="AI732" i="10"/>
  <c r="AI729" i="10"/>
  <c r="AI432" i="10" s="1"/>
  <c r="AI728" i="10"/>
  <c r="AI431" i="10" s="1"/>
  <c r="AI727" i="10"/>
  <c r="AI430" i="10" s="1"/>
  <c r="AI726" i="10"/>
  <c r="AI725" i="10"/>
  <c r="AI428" i="10" s="1"/>
  <c r="AI724" i="10"/>
  <c r="AI427" i="10" s="1"/>
  <c r="AI723" i="10"/>
  <c r="AI722" i="10"/>
  <c r="AI721" i="10"/>
  <c r="AI424" i="10" s="1"/>
  <c r="AI697" i="10"/>
  <c r="AI406" i="10" s="1"/>
  <c r="AI696" i="10"/>
  <c r="AI405" i="10" s="1"/>
  <c r="AI695" i="10"/>
  <c r="AI694" i="10"/>
  <c r="AI693" i="10"/>
  <c r="AI692" i="10"/>
  <c r="AI401" i="10" s="1"/>
  <c r="AI691" i="10"/>
  <c r="AI690" i="10"/>
  <c r="AI720" i="10"/>
  <c r="AI423" i="10" s="1"/>
  <c r="AI709" i="10"/>
  <c r="AI708" i="10"/>
  <c r="AI707" i="10"/>
  <c r="AI706" i="10"/>
  <c r="AI705" i="10"/>
  <c r="AI704" i="10"/>
  <c r="AI703" i="10"/>
  <c r="AI701" i="10"/>
  <c r="AI700" i="10"/>
  <c r="AI665" i="10"/>
  <c r="AI664" i="10"/>
  <c r="AI663" i="10"/>
  <c r="AI662" i="10"/>
  <c r="AI378" i="10" s="1"/>
  <c r="AI661" i="10"/>
  <c r="AI660" i="10"/>
  <c r="AI659" i="10"/>
  <c r="AI375" i="10" s="1"/>
  <c r="AI689" i="10"/>
  <c r="AI688" i="10"/>
  <c r="AI677" i="10"/>
  <c r="AI676" i="10"/>
  <c r="AI675" i="10"/>
  <c r="AI674" i="10"/>
  <c r="AI673" i="10"/>
  <c r="AI672" i="10"/>
  <c r="AI671" i="10"/>
  <c r="AI669" i="10"/>
  <c r="AI668" i="10"/>
  <c r="AI657" i="10"/>
  <c r="AI373" i="10" s="1"/>
  <c r="AI590" i="10"/>
  <c r="AI591" i="10" s="1"/>
  <c r="AI584" i="10"/>
  <c r="AI585" i="10" s="1"/>
  <c r="AI658" i="10"/>
  <c r="AI374" i="10" s="1"/>
  <c r="AI656" i="10"/>
  <c r="AI372" i="10" s="1"/>
  <c r="AI488" i="10"/>
  <c r="AI487" i="10"/>
  <c r="AI486" i="10"/>
  <c r="AI485" i="10"/>
  <c r="AI484" i="10"/>
  <c r="AI483" i="10"/>
  <c r="AI429" i="10"/>
  <c r="AI425" i="10"/>
  <c r="AI403" i="10"/>
  <c r="AI399" i="10"/>
  <c r="AI397" i="10"/>
  <c r="AI380" i="10"/>
  <c r="AI376" i="10"/>
  <c r="AI367" i="10"/>
  <c r="AI501" i="10"/>
  <c r="AI426" i="10"/>
  <c r="AI404" i="10"/>
  <c r="AI402" i="10"/>
  <c r="AI400" i="10"/>
  <c r="AI398" i="10"/>
  <c r="AI381" i="10"/>
  <c r="AI379" i="10"/>
  <c r="AI377" i="10"/>
  <c r="AI354" i="10"/>
  <c r="AI353" i="10"/>
  <c r="AI352" i="10"/>
  <c r="AI351" i="10"/>
  <c r="AI350" i="10"/>
  <c r="AI349" i="10"/>
  <c r="AI30" i="10"/>
  <c r="AI26" i="10"/>
  <c r="AI25" i="10"/>
  <c r="AI23" i="10"/>
  <c r="AI19" i="10"/>
  <c r="AI40" i="10"/>
  <c r="AJ2" i="10"/>
  <c r="AJ639" i="10" s="1"/>
  <c r="AH506" i="10"/>
  <c r="AH510" i="10"/>
  <c r="AH514" i="10"/>
  <c r="AH534" i="10"/>
  <c r="AH538" i="10"/>
  <c r="AH558" i="10"/>
  <c r="AH562" i="10"/>
  <c r="AH566" i="10"/>
  <c r="AH509" i="10"/>
  <c r="AH513" i="10"/>
  <c r="AH533" i="10"/>
  <c r="AH537" i="10"/>
  <c r="AH541" i="10"/>
  <c r="AH561" i="10"/>
  <c r="AH565" i="10"/>
  <c r="AH27" i="10"/>
  <c r="AH666" i="10"/>
  <c r="AH651" i="10" s="1"/>
  <c r="AH698" i="10"/>
  <c r="AH683" i="10" s="1"/>
  <c r="AH66" i="10" s="1"/>
  <c r="AH730" i="10"/>
  <c r="AH715" i="10" s="1"/>
  <c r="AH67" i="10" s="1"/>
  <c r="AH508" i="10"/>
  <c r="AH512" i="10"/>
  <c r="AH532" i="10"/>
  <c r="AH536" i="10"/>
  <c r="AH540" i="10"/>
  <c r="AH560" i="10"/>
  <c r="AH564" i="10"/>
  <c r="AH502" i="10"/>
  <c r="AH368" i="10"/>
  <c r="AH507" i="10"/>
  <c r="AH511" i="10"/>
  <c r="AH515" i="10"/>
  <c r="AH535" i="10"/>
  <c r="AH539" i="10"/>
  <c r="AH559" i="10"/>
  <c r="AH563" i="10"/>
  <c r="AH567" i="10"/>
  <c r="AH11" i="8"/>
  <c r="L48" i="1"/>
  <c r="AF27" i="8"/>
  <c r="AF472" i="8"/>
  <c r="AF473" i="8"/>
  <c r="AF477" i="8"/>
  <c r="AF497" i="8"/>
  <c r="AF501" i="8"/>
  <c r="AF505" i="8"/>
  <c r="AF525" i="8"/>
  <c r="AF529" i="8"/>
  <c r="AF467" i="8"/>
  <c r="AF476" i="8"/>
  <c r="AF480" i="8"/>
  <c r="AF500" i="8"/>
  <c r="AF504" i="8"/>
  <c r="AF524" i="8"/>
  <c r="AF528" i="8"/>
  <c r="AF532" i="8"/>
  <c r="AG685" i="7"/>
  <c r="AG670" i="7" s="1"/>
  <c r="AG70" i="7" s="1"/>
  <c r="AF71" i="7"/>
  <c r="AE63" i="8"/>
  <c r="AF625" i="8"/>
  <c r="AF610" i="8" s="1"/>
  <c r="AF60" i="8" s="1"/>
  <c r="AF657" i="8"/>
  <c r="AF642" i="8" s="1"/>
  <c r="AF61" i="8" s="1"/>
  <c r="AF689" i="8"/>
  <c r="AF674" i="8" s="1"/>
  <c r="AF62" i="8" s="1"/>
  <c r="AE72" i="8"/>
  <c r="AG700" i="8"/>
  <c r="AG699" i="8"/>
  <c r="AG698" i="8"/>
  <c r="AG697" i="8"/>
  <c r="AG696" i="8"/>
  <c r="AG695" i="8"/>
  <c r="AG694" i="8"/>
  <c r="AG693" i="8"/>
  <c r="AG691" i="8"/>
  <c r="AG688" i="8"/>
  <c r="AG397" i="8" s="1"/>
  <c r="AG687" i="8"/>
  <c r="AG686" i="8"/>
  <c r="AG685" i="8"/>
  <c r="AG394" i="8" s="1"/>
  <c r="AG684" i="8"/>
  <c r="AG393" i="8" s="1"/>
  <c r="AG683" i="8"/>
  <c r="AG682" i="8"/>
  <c r="AG681" i="8"/>
  <c r="AG390" i="8" s="1"/>
  <c r="AG680" i="8"/>
  <c r="AG389" i="8" s="1"/>
  <c r="AG679" i="8"/>
  <c r="AG668" i="8"/>
  <c r="AG666" i="8"/>
  <c r="AG664" i="8"/>
  <c r="AG662" i="8"/>
  <c r="AG656" i="8"/>
  <c r="AG655" i="8"/>
  <c r="AG370" i="8" s="1"/>
  <c r="AG654" i="8"/>
  <c r="AG369" i="8" s="1"/>
  <c r="AG653" i="8"/>
  <c r="AG652" i="8"/>
  <c r="AG651" i="8"/>
  <c r="AG366" i="8" s="1"/>
  <c r="AG650" i="8"/>
  <c r="AG365" i="8" s="1"/>
  <c r="AG649" i="8"/>
  <c r="AG648" i="8"/>
  <c r="AG647" i="8"/>
  <c r="AG362" i="8" s="1"/>
  <c r="AG667" i="8"/>
  <c r="AG665" i="8"/>
  <c r="AG663" i="8"/>
  <c r="AG660" i="8"/>
  <c r="AG659" i="8"/>
  <c r="AG624" i="8"/>
  <c r="AG623" i="8"/>
  <c r="AG622" i="8"/>
  <c r="AG344" i="8" s="1"/>
  <c r="AG621" i="8"/>
  <c r="AG343" i="8" s="1"/>
  <c r="AG620" i="8"/>
  <c r="AG619" i="8"/>
  <c r="AG618" i="8"/>
  <c r="AG340" i="8" s="1"/>
  <c r="AG617" i="8"/>
  <c r="AG339" i="8" s="1"/>
  <c r="AG616" i="8"/>
  <c r="AG615" i="8"/>
  <c r="AG636" i="8"/>
  <c r="AG635" i="8"/>
  <c r="AG634" i="8"/>
  <c r="AG633" i="8"/>
  <c r="AG632" i="8"/>
  <c r="AG631" i="8"/>
  <c r="AG630" i="8"/>
  <c r="AG628" i="8"/>
  <c r="AG627" i="8"/>
  <c r="AG604" i="8"/>
  <c r="AG555" i="8"/>
  <c r="AG556" i="8" s="1"/>
  <c r="AG549" i="8"/>
  <c r="AG550" i="8" s="1"/>
  <c r="AG453" i="8"/>
  <c r="AG452" i="8"/>
  <c r="AG451" i="8"/>
  <c r="AG450" i="8"/>
  <c r="AG449" i="8"/>
  <c r="AG448" i="8"/>
  <c r="AG396" i="8"/>
  <c r="AG392" i="8"/>
  <c r="AG388" i="8"/>
  <c r="AG368" i="8"/>
  <c r="AG364" i="8"/>
  <c r="AG345" i="8"/>
  <c r="AG341" i="8"/>
  <c r="AG466" i="8"/>
  <c r="AG395" i="8"/>
  <c r="AG391" i="8"/>
  <c r="AG371" i="8"/>
  <c r="AG367" i="8"/>
  <c r="AG363" i="8"/>
  <c r="AG346" i="8"/>
  <c r="AG342" i="8"/>
  <c r="AG338" i="8"/>
  <c r="AG337" i="8"/>
  <c r="AG332" i="8"/>
  <c r="AG319" i="8"/>
  <c r="AG318" i="8"/>
  <c r="AG317" i="8"/>
  <c r="AG316" i="8"/>
  <c r="AG315" i="8"/>
  <c r="AG314" i="8"/>
  <c r="AG30" i="8"/>
  <c r="AG26" i="8"/>
  <c r="AG25" i="8"/>
  <c r="AG23" i="8"/>
  <c r="AG19" i="8"/>
  <c r="AG40" i="8"/>
  <c r="AH2" i="8"/>
  <c r="AF333" i="8"/>
  <c r="AF474" i="8"/>
  <c r="AF471" i="8"/>
  <c r="AF475" i="8"/>
  <c r="AF479" i="8"/>
  <c r="AF499" i="8"/>
  <c r="AF503" i="8"/>
  <c r="AF523" i="8"/>
  <c r="AF527" i="8"/>
  <c r="AF531" i="8"/>
  <c r="AF478" i="8"/>
  <c r="AF498" i="8"/>
  <c r="AF502" i="8"/>
  <c r="AF506" i="8"/>
  <c r="AF526" i="8"/>
  <c r="AF530" i="8"/>
  <c r="AI11" i="7"/>
  <c r="AH566" i="7"/>
  <c r="AH560" i="7"/>
  <c r="AH538" i="7" s="1"/>
  <c r="AH551" i="7"/>
  <c r="AH550" i="7"/>
  <c r="AH561" i="7" s="1"/>
  <c r="AH544" i="7"/>
  <c r="AH543" i="7"/>
  <c r="AF556" i="7"/>
  <c r="AF81" i="7"/>
  <c r="AH696" i="7"/>
  <c r="AH695" i="7"/>
  <c r="AH694" i="7"/>
  <c r="AH693" i="7"/>
  <c r="AH692" i="7"/>
  <c r="AH691" i="7"/>
  <c r="AH690" i="7"/>
  <c r="AH689" i="7"/>
  <c r="AH687" i="7"/>
  <c r="AH684" i="7"/>
  <c r="AH326" i="7" s="1"/>
  <c r="AH683" i="7"/>
  <c r="AH682" i="7"/>
  <c r="AH681" i="7"/>
  <c r="AH323" i="7" s="1"/>
  <c r="AH680" i="7"/>
  <c r="AH322" i="7" s="1"/>
  <c r="AH679" i="7"/>
  <c r="AH678" i="7"/>
  <c r="AH677" i="7"/>
  <c r="AH676" i="7"/>
  <c r="AH318" i="7" s="1"/>
  <c r="AH675" i="7"/>
  <c r="AH664" i="7"/>
  <c r="AH663" i="7"/>
  <c r="AH662" i="7"/>
  <c r="AH661" i="7"/>
  <c r="AH660" i="7"/>
  <c r="AH659" i="7"/>
  <c r="AH658" i="7"/>
  <c r="AH656" i="7"/>
  <c r="AH655" i="7"/>
  <c r="AH652" i="7"/>
  <c r="AH300" i="7" s="1"/>
  <c r="AH651" i="7"/>
  <c r="AH299" i="7" s="1"/>
  <c r="AH650" i="7"/>
  <c r="AH649" i="7"/>
  <c r="AH297" i="7" s="1"/>
  <c r="AH648" i="7"/>
  <c r="AH296" i="7" s="1"/>
  <c r="AH647" i="7"/>
  <c r="AH295" i="7" s="1"/>
  <c r="AH646" i="7"/>
  <c r="AH645" i="7"/>
  <c r="AH293" i="7" s="1"/>
  <c r="AH644" i="7"/>
  <c r="AH292" i="7" s="1"/>
  <c r="AH643" i="7"/>
  <c r="AH291" i="7" s="1"/>
  <c r="AH632" i="7"/>
  <c r="AH631" i="7"/>
  <c r="AH630" i="7"/>
  <c r="AH629" i="7"/>
  <c r="AH628" i="7"/>
  <c r="AH627" i="7"/>
  <c r="AH626" i="7"/>
  <c r="AH624" i="7"/>
  <c r="AH623" i="7"/>
  <c r="AH620" i="7"/>
  <c r="AH275" i="7" s="1"/>
  <c r="AH619" i="7"/>
  <c r="AH274" i="7" s="1"/>
  <c r="AH618" i="7"/>
  <c r="AH273" i="7" s="1"/>
  <c r="AH617" i="7"/>
  <c r="AH616" i="7"/>
  <c r="AH615" i="7"/>
  <c r="AH270" i="7" s="1"/>
  <c r="AH614" i="7"/>
  <c r="AH269" i="7" s="1"/>
  <c r="AH613" i="7"/>
  <c r="AH612" i="7"/>
  <c r="AH267" i="7" s="1"/>
  <c r="AH611" i="7"/>
  <c r="AH266" i="7" s="1"/>
  <c r="AH484" i="7"/>
  <c r="AH485" i="7" s="1"/>
  <c r="AH478" i="7"/>
  <c r="AH479" i="7" s="1"/>
  <c r="AH395" i="7"/>
  <c r="AH324" i="7"/>
  <c r="AH320" i="7"/>
  <c r="AH298" i="7"/>
  <c r="AH294" i="7"/>
  <c r="AH382" i="7"/>
  <c r="AH381" i="7"/>
  <c r="AH380" i="7"/>
  <c r="AH379" i="7"/>
  <c r="AH378" i="7"/>
  <c r="AH377" i="7"/>
  <c r="AH325" i="7"/>
  <c r="AH321" i="7"/>
  <c r="AH319" i="7"/>
  <c r="AH317" i="7"/>
  <c r="AH272" i="7"/>
  <c r="AH268" i="7"/>
  <c r="AH261" i="7"/>
  <c r="AH271" i="7"/>
  <c r="AH248" i="7"/>
  <c r="AH247" i="7"/>
  <c r="AH246" i="7"/>
  <c r="AH245" i="7"/>
  <c r="AH244" i="7"/>
  <c r="AH243" i="7"/>
  <c r="AH30" i="7"/>
  <c r="AH26" i="7"/>
  <c r="AH25" i="7"/>
  <c r="AH23" i="7"/>
  <c r="AH19" i="7"/>
  <c r="AH40" i="7"/>
  <c r="AI2" i="7"/>
  <c r="AI600" i="7" s="1"/>
  <c r="AG262" i="7"/>
  <c r="AG404" i="7"/>
  <c r="AG402" i="7"/>
  <c r="AG401" i="7"/>
  <c r="AG405" i="7"/>
  <c r="AG409" i="7"/>
  <c r="AG429" i="7"/>
  <c r="AG433" i="7"/>
  <c r="AG453" i="7"/>
  <c r="AG457" i="7"/>
  <c r="AG461" i="7"/>
  <c r="AG426" i="7"/>
  <c r="AG430" i="7"/>
  <c r="AG434" i="7"/>
  <c r="AG454" i="7"/>
  <c r="AG458" i="7"/>
  <c r="AG396" i="7"/>
  <c r="AG27" i="7"/>
  <c r="AG61" i="7"/>
  <c r="AG621" i="7"/>
  <c r="AG606" i="7" s="1"/>
  <c r="AG68" i="7" s="1"/>
  <c r="AG653" i="7"/>
  <c r="AG638" i="7" s="1"/>
  <c r="AG69" i="7" s="1"/>
  <c r="AG400" i="7"/>
  <c r="AG408" i="7"/>
  <c r="AG406" i="7"/>
  <c r="AG403" i="7"/>
  <c r="AG407" i="7"/>
  <c r="AG427" i="7"/>
  <c r="AG431" i="7"/>
  <c r="AG435" i="7"/>
  <c r="AG455" i="7"/>
  <c r="AG459" i="7"/>
  <c r="AG428" i="7"/>
  <c r="AG432" i="7"/>
  <c r="AG452" i="7"/>
  <c r="AG456" i="7"/>
  <c r="AG460" i="7"/>
  <c r="AG565" i="7"/>
  <c r="AG559" i="7"/>
  <c r="AG537" i="7" s="1"/>
  <c r="AG80" i="7" s="1"/>
  <c r="AH592" i="7"/>
  <c r="A232" i="2"/>
  <c r="A233" i="2"/>
  <c r="A234" i="2"/>
  <c r="A231" i="2"/>
  <c r="A230" i="2"/>
  <c r="A226" i="2"/>
  <c r="A227" i="2"/>
  <c r="A228" i="2"/>
  <c r="A225" i="2"/>
  <c r="A224" i="2"/>
  <c r="A220" i="2"/>
  <c r="A221" i="2"/>
  <c r="A222" i="2"/>
  <c r="A219" i="2"/>
  <c r="A218" i="2"/>
  <c r="A214" i="2"/>
  <c r="A215" i="2"/>
  <c r="A216" i="2"/>
  <c r="A213" i="2"/>
  <c r="A212" i="2"/>
  <c r="A211" i="2"/>
  <c r="AI595" i="7" l="1"/>
  <c r="AI546" i="7"/>
  <c r="AI547" i="7"/>
  <c r="L577" i="7"/>
  <c r="AH170" i="7"/>
  <c r="AH134" i="7"/>
  <c r="AH55" i="7"/>
  <c r="AG534" i="7"/>
  <c r="AG539" i="7"/>
  <c r="AI586" i="7"/>
  <c r="AI580" i="7"/>
  <c r="AI581" i="7"/>
  <c r="AI564" i="7"/>
  <c r="AI584" i="7" s="1"/>
  <c r="AH585" i="7"/>
  <c r="AH579" i="7"/>
  <c r="AH576" i="7" s="1"/>
  <c r="AI523" i="7"/>
  <c r="AI519" i="7"/>
  <c r="AI515" i="7"/>
  <c r="AI511" i="7"/>
  <c r="AI594" i="7"/>
  <c r="AI593" i="7"/>
  <c r="AI85" i="10"/>
  <c r="AI86" i="10" s="1"/>
  <c r="AI56" i="10"/>
  <c r="AJ629" i="10"/>
  <c r="AJ625" i="10"/>
  <c r="AJ621" i="10"/>
  <c r="AJ617" i="10"/>
  <c r="AG75" i="10"/>
  <c r="AH582" i="8"/>
  <c r="AH594" i="8"/>
  <c r="AH590" i="8"/>
  <c r="AH586" i="8"/>
  <c r="AH65" i="10"/>
  <c r="AH68" i="10" s="1"/>
  <c r="AH75" i="10" s="1"/>
  <c r="AI180" i="10"/>
  <c r="AI197" i="10" s="1"/>
  <c r="AI141" i="10"/>
  <c r="AI153" i="10" s="1"/>
  <c r="AI249" i="10"/>
  <c r="AI221" i="10"/>
  <c r="AI59" i="10"/>
  <c r="AK11" i="10"/>
  <c r="AJ645" i="10"/>
  <c r="AJ181" i="10" s="1"/>
  <c r="AJ198" i="10" s="1"/>
  <c r="AJ41" i="10"/>
  <c r="AJ183" i="10" s="1"/>
  <c r="AJ200" i="10" s="1"/>
  <c r="AI730" i="10"/>
  <c r="AI715" i="10" s="1"/>
  <c r="AI67" i="10" s="1"/>
  <c r="AI666" i="10"/>
  <c r="AI651" i="10" s="1"/>
  <c r="AH118" i="10"/>
  <c r="AI368" i="10"/>
  <c r="AI507" i="10"/>
  <c r="AI511" i="10"/>
  <c r="AI515" i="10"/>
  <c r="AI535" i="10"/>
  <c r="AI539" i="10"/>
  <c r="AI559" i="10"/>
  <c r="AI563" i="10"/>
  <c r="AI567" i="10"/>
  <c r="AI508" i="10"/>
  <c r="AI512" i="10"/>
  <c r="AI532" i="10"/>
  <c r="AI536" i="10"/>
  <c r="AI540" i="10"/>
  <c r="AI560" i="10"/>
  <c r="AI564" i="10"/>
  <c r="AI502" i="10"/>
  <c r="AI27" i="10"/>
  <c r="AI698" i="10"/>
  <c r="AI683" i="10" s="1"/>
  <c r="AI66" i="10" s="1"/>
  <c r="AJ741" i="10"/>
  <c r="AJ740" i="10"/>
  <c r="AJ739" i="10"/>
  <c r="AJ738" i="10"/>
  <c r="AJ737" i="10"/>
  <c r="AJ736" i="10"/>
  <c r="AJ735" i="10"/>
  <c r="AJ734" i="10"/>
  <c r="AJ732" i="10"/>
  <c r="AJ729" i="10"/>
  <c r="AJ728" i="10"/>
  <c r="AJ727" i="10"/>
  <c r="AJ430" i="10" s="1"/>
  <c r="AJ726" i="10"/>
  <c r="AJ725" i="10"/>
  <c r="AJ724" i="10"/>
  <c r="AJ427" i="10" s="1"/>
  <c r="AJ723" i="10"/>
  <c r="AJ426" i="10" s="1"/>
  <c r="AJ722" i="10"/>
  <c r="AJ425" i="10" s="1"/>
  <c r="AJ721" i="10"/>
  <c r="AJ720" i="10"/>
  <c r="AJ709" i="10"/>
  <c r="AJ708" i="10"/>
  <c r="AJ707" i="10"/>
  <c r="AJ706" i="10"/>
  <c r="AJ705" i="10"/>
  <c r="AJ704" i="10"/>
  <c r="AJ703" i="10"/>
  <c r="AJ701" i="10"/>
  <c r="AJ700" i="10"/>
  <c r="AJ697" i="10"/>
  <c r="AJ696" i="10"/>
  <c r="AJ695" i="10"/>
  <c r="AJ404" i="10" s="1"/>
  <c r="AJ694" i="10"/>
  <c r="AJ403" i="10" s="1"/>
  <c r="AJ693" i="10"/>
  <c r="AJ402" i="10" s="1"/>
  <c r="AJ692" i="10"/>
  <c r="AJ691" i="10"/>
  <c r="AJ690" i="10"/>
  <c r="AJ399" i="10" s="1"/>
  <c r="AJ689" i="10"/>
  <c r="AJ688" i="10"/>
  <c r="AJ677" i="10"/>
  <c r="AJ676" i="10"/>
  <c r="AJ675" i="10"/>
  <c r="AJ674" i="10"/>
  <c r="AJ673" i="10"/>
  <c r="AJ672" i="10"/>
  <c r="AJ671" i="10"/>
  <c r="AJ669" i="10"/>
  <c r="AJ668" i="10"/>
  <c r="AJ665" i="10"/>
  <c r="AJ381" i="10" s="1"/>
  <c r="AJ664" i="10"/>
  <c r="AJ663" i="10"/>
  <c r="AJ662" i="10"/>
  <c r="AJ378" i="10" s="1"/>
  <c r="AJ661" i="10"/>
  <c r="AJ377" i="10" s="1"/>
  <c r="AJ660" i="10"/>
  <c r="AJ376" i="10" s="1"/>
  <c r="AJ659" i="10"/>
  <c r="AJ658" i="10"/>
  <c r="AJ657" i="10"/>
  <c r="AJ373" i="10" s="1"/>
  <c r="AJ656" i="10"/>
  <c r="AJ590" i="10"/>
  <c r="AJ591" i="10" s="1"/>
  <c r="AJ584" i="10"/>
  <c r="AJ585" i="10" s="1"/>
  <c r="AJ501" i="10"/>
  <c r="AJ432" i="10"/>
  <c r="AJ428" i="10"/>
  <c r="AJ424" i="10"/>
  <c r="AJ406" i="10"/>
  <c r="AJ400" i="10"/>
  <c r="AJ398" i="10"/>
  <c r="AJ379" i="10"/>
  <c r="AJ375" i="10"/>
  <c r="AJ354" i="10"/>
  <c r="AJ353" i="10"/>
  <c r="AJ352" i="10"/>
  <c r="AJ351" i="10"/>
  <c r="AJ350" i="10"/>
  <c r="AJ349" i="10"/>
  <c r="AJ488" i="10"/>
  <c r="AJ487" i="10"/>
  <c r="AJ486" i="10"/>
  <c r="AJ485" i="10"/>
  <c r="AJ484" i="10"/>
  <c r="AJ483" i="10"/>
  <c r="AJ431" i="10"/>
  <c r="AJ429" i="10"/>
  <c r="AJ423" i="10"/>
  <c r="AJ405" i="10"/>
  <c r="AJ401" i="10"/>
  <c r="AJ397" i="10"/>
  <c r="AJ380" i="10"/>
  <c r="AJ374" i="10"/>
  <c r="AJ372" i="10"/>
  <c r="AJ367" i="10"/>
  <c r="AJ40" i="10"/>
  <c r="AJ30" i="10"/>
  <c r="AJ26" i="10"/>
  <c r="AJ25" i="10"/>
  <c r="AJ23" i="10"/>
  <c r="AJ19" i="10"/>
  <c r="AK2" i="10"/>
  <c r="AK639" i="10" s="1"/>
  <c r="AI509" i="10"/>
  <c r="AI513" i="10"/>
  <c r="AI533" i="10"/>
  <c r="AI537" i="10"/>
  <c r="AI541" i="10"/>
  <c r="AI561" i="10"/>
  <c r="AI565" i="10"/>
  <c r="AI506" i="10"/>
  <c r="AI510" i="10"/>
  <c r="AI514" i="10"/>
  <c r="AI534" i="10"/>
  <c r="AI538" i="10"/>
  <c r="AI558" i="10"/>
  <c r="AI562" i="10"/>
  <c r="AI566" i="10"/>
  <c r="AI11" i="8"/>
  <c r="AG471" i="8"/>
  <c r="AG472" i="8"/>
  <c r="AG476" i="8"/>
  <c r="AG480" i="8"/>
  <c r="AG500" i="8"/>
  <c r="AG504" i="8"/>
  <c r="AG524" i="8"/>
  <c r="AG528" i="8"/>
  <c r="AG532" i="8"/>
  <c r="AG475" i="8"/>
  <c r="AG479" i="8"/>
  <c r="AG499" i="8"/>
  <c r="AG503" i="8"/>
  <c r="AG523" i="8"/>
  <c r="AG527" i="8"/>
  <c r="AG531" i="8"/>
  <c r="AF72" i="8"/>
  <c r="AF63" i="8"/>
  <c r="AH700" i="8"/>
  <c r="AH699" i="8"/>
  <c r="AH698" i="8"/>
  <c r="AH697" i="8"/>
  <c r="AH696" i="8"/>
  <c r="AH695" i="8"/>
  <c r="AH694" i="8"/>
  <c r="AH693" i="8"/>
  <c r="AH691" i="8"/>
  <c r="AH688" i="8"/>
  <c r="AH687" i="8"/>
  <c r="AH686" i="8"/>
  <c r="AH395" i="8" s="1"/>
  <c r="AH685" i="8"/>
  <c r="AH684" i="8"/>
  <c r="AH393" i="8" s="1"/>
  <c r="AH683" i="8"/>
  <c r="AH682" i="8"/>
  <c r="AH391" i="8" s="1"/>
  <c r="AH681" i="8"/>
  <c r="AH390" i="8" s="1"/>
  <c r="AH680" i="8"/>
  <c r="AH389" i="8" s="1"/>
  <c r="AH679" i="8"/>
  <c r="AH668" i="8"/>
  <c r="AH667" i="8"/>
  <c r="AH666" i="8"/>
  <c r="AH665" i="8"/>
  <c r="AH664" i="8"/>
  <c r="AH663" i="8"/>
  <c r="AH662" i="8"/>
  <c r="AH660" i="8"/>
  <c r="AH659" i="8"/>
  <c r="AH656" i="8"/>
  <c r="AH655" i="8"/>
  <c r="AH654" i="8"/>
  <c r="AH653" i="8"/>
  <c r="AH368" i="8" s="1"/>
  <c r="AH652" i="8"/>
  <c r="AH367" i="8" s="1"/>
  <c r="AH651" i="8"/>
  <c r="AH366" i="8" s="1"/>
  <c r="AH650" i="8"/>
  <c r="AH649" i="8"/>
  <c r="AH648" i="8"/>
  <c r="AH647" i="8"/>
  <c r="AH362" i="8" s="1"/>
  <c r="AH636" i="8"/>
  <c r="AH635" i="8"/>
  <c r="AH634" i="8"/>
  <c r="AH633" i="8"/>
  <c r="AH632" i="8"/>
  <c r="AH631" i="8"/>
  <c r="AH630" i="8"/>
  <c r="AH628" i="8"/>
  <c r="AH627" i="8"/>
  <c r="AH624" i="8"/>
  <c r="AH623" i="8"/>
  <c r="AH622" i="8"/>
  <c r="AH344" i="8" s="1"/>
  <c r="AH621" i="8"/>
  <c r="AH620" i="8"/>
  <c r="AH342" i="8" s="1"/>
  <c r="AH619" i="8"/>
  <c r="AH341" i="8" s="1"/>
  <c r="AH618" i="8"/>
  <c r="AH340" i="8" s="1"/>
  <c r="AH617" i="8"/>
  <c r="AH616" i="8"/>
  <c r="AH615" i="8"/>
  <c r="AH555" i="8"/>
  <c r="AH556" i="8" s="1"/>
  <c r="AH549" i="8"/>
  <c r="AH550" i="8" s="1"/>
  <c r="AH604" i="8"/>
  <c r="AH466" i="8"/>
  <c r="AH397" i="8"/>
  <c r="AH371" i="8"/>
  <c r="AH369" i="8"/>
  <c r="AH365" i="8"/>
  <c r="AH363" i="8"/>
  <c r="AH346" i="8"/>
  <c r="AH453" i="8"/>
  <c r="AH452" i="8"/>
  <c r="AH451" i="8"/>
  <c r="AH450" i="8"/>
  <c r="AH449" i="8"/>
  <c r="AH448" i="8"/>
  <c r="AH396" i="8"/>
  <c r="AH394" i="8"/>
  <c r="AH392" i="8"/>
  <c r="AH388" i="8"/>
  <c r="AH370" i="8"/>
  <c r="AH364" i="8"/>
  <c r="AH345" i="8"/>
  <c r="AH343" i="8"/>
  <c r="AH339" i="8"/>
  <c r="AH337" i="8"/>
  <c r="AH332" i="8"/>
  <c r="AH338" i="8"/>
  <c r="AH319" i="8"/>
  <c r="AH318" i="8"/>
  <c r="AH317" i="8"/>
  <c r="AH316" i="8"/>
  <c r="AH315" i="8"/>
  <c r="AH314" i="8"/>
  <c r="AH40" i="8"/>
  <c r="AI2" i="8"/>
  <c r="AH30" i="8"/>
  <c r="AH26" i="8"/>
  <c r="AH25" i="8"/>
  <c r="AH23" i="8"/>
  <c r="AH19" i="8"/>
  <c r="AG333" i="8"/>
  <c r="AG473" i="8"/>
  <c r="AG474" i="8"/>
  <c r="AG478" i="8"/>
  <c r="AG498" i="8"/>
  <c r="AG502" i="8"/>
  <c r="AG506" i="8"/>
  <c r="AG526" i="8"/>
  <c r="AG530" i="8"/>
  <c r="AG477" i="8"/>
  <c r="AG497" i="8"/>
  <c r="AG501" i="8"/>
  <c r="AG505" i="8"/>
  <c r="AG525" i="8"/>
  <c r="AG529" i="8"/>
  <c r="AG467" i="8"/>
  <c r="AH549" i="7"/>
  <c r="AG27" i="8"/>
  <c r="AG625" i="8"/>
  <c r="AG610" i="8" s="1"/>
  <c r="AG60" i="8" s="1"/>
  <c r="AG657" i="8"/>
  <c r="AG642" i="8" s="1"/>
  <c r="AG61" i="8" s="1"/>
  <c r="AG689" i="8"/>
  <c r="AG674" i="8" s="1"/>
  <c r="AG62" i="8" s="1"/>
  <c r="AI566" i="7"/>
  <c r="AI560" i="7"/>
  <c r="AI538" i="7" s="1"/>
  <c r="AI551" i="7"/>
  <c r="AI550" i="7"/>
  <c r="AI561" i="7" s="1"/>
  <c r="AI544" i="7"/>
  <c r="AI543" i="7"/>
  <c r="AJ11" i="7"/>
  <c r="AH27" i="7"/>
  <c r="AH621" i="7"/>
  <c r="AH606" i="7" s="1"/>
  <c r="AH68" i="7" s="1"/>
  <c r="AH61" i="7"/>
  <c r="AG556" i="7"/>
  <c r="AG81" i="7"/>
  <c r="AI696" i="7"/>
  <c r="AI695" i="7"/>
  <c r="AI694" i="7"/>
  <c r="AI693" i="7"/>
  <c r="AI692" i="7"/>
  <c r="AI691" i="7"/>
  <c r="AI690" i="7"/>
  <c r="AI689" i="7"/>
  <c r="AI687" i="7"/>
  <c r="AI684" i="7"/>
  <c r="AI683" i="7"/>
  <c r="AI325" i="7" s="1"/>
  <c r="AI682" i="7"/>
  <c r="AI681" i="7"/>
  <c r="AI323" i="7" s="1"/>
  <c r="AI680" i="7"/>
  <c r="AI322" i="7" s="1"/>
  <c r="AI679" i="7"/>
  <c r="AI678" i="7"/>
  <c r="AI677" i="7"/>
  <c r="AI319" i="7" s="1"/>
  <c r="AI675" i="7"/>
  <c r="AI317" i="7" s="1"/>
  <c r="AI652" i="7"/>
  <c r="AI300" i="7" s="1"/>
  <c r="AI651" i="7"/>
  <c r="AI650" i="7"/>
  <c r="AI298" i="7" s="1"/>
  <c r="AI649" i="7"/>
  <c r="AI648" i="7"/>
  <c r="AI296" i="7" s="1"/>
  <c r="AI647" i="7"/>
  <c r="AI646" i="7"/>
  <c r="AI294" i="7" s="1"/>
  <c r="AI676" i="7"/>
  <c r="AI664" i="7"/>
  <c r="AI663" i="7"/>
  <c r="AI662" i="7"/>
  <c r="AI661" i="7"/>
  <c r="AI660" i="7"/>
  <c r="AI659" i="7"/>
  <c r="AI658" i="7"/>
  <c r="AI656" i="7"/>
  <c r="AI655" i="7"/>
  <c r="AI620" i="7"/>
  <c r="AI619" i="7"/>
  <c r="AI274" i="7" s="1"/>
  <c r="AI618" i="7"/>
  <c r="AI273" i="7" s="1"/>
  <c r="AI617" i="7"/>
  <c r="AI272" i="7" s="1"/>
  <c r="AI616" i="7"/>
  <c r="AI615" i="7"/>
  <c r="AI270" i="7" s="1"/>
  <c r="AI645" i="7"/>
  <c r="AI293" i="7" s="1"/>
  <c r="AI644" i="7"/>
  <c r="AI292" i="7" s="1"/>
  <c r="AI643" i="7"/>
  <c r="AI291" i="7" s="1"/>
  <c r="AI632" i="7"/>
  <c r="AI631" i="7"/>
  <c r="AI630" i="7"/>
  <c r="AI629" i="7"/>
  <c r="AI628" i="7"/>
  <c r="AI627" i="7"/>
  <c r="AI626" i="7"/>
  <c r="AI624" i="7"/>
  <c r="AI623" i="7"/>
  <c r="AI613" i="7"/>
  <c r="AI268" i="7" s="1"/>
  <c r="AI614" i="7"/>
  <c r="AI269" i="7" s="1"/>
  <c r="AI612" i="7"/>
  <c r="AI267" i="7" s="1"/>
  <c r="AI611" i="7"/>
  <c r="AI266" i="7" s="1"/>
  <c r="AI484" i="7"/>
  <c r="AI485" i="7" s="1"/>
  <c r="AI478" i="7"/>
  <c r="AI479" i="7" s="1"/>
  <c r="AI382" i="7"/>
  <c r="AI381" i="7"/>
  <c r="AI380" i="7"/>
  <c r="AI379" i="7"/>
  <c r="AI378" i="7"/>
  <c r="AI377" i="7"/>
  <c r="AI321" i="7"/>
  <c r="AI299" i="7"/>
  <c r="AI297" i="7"/>
  <c r="AI295" i="7"/>
  <c r="AI395" i="7"/>
  <c r="AI326" i="7"/>
  <c r="AI324" i="7"/>
  <c r="AI320" i="7"/>
  <c r="AI318" i="7"/>
  <c r="AI275" i="7"/>
  <c r="AI271" i="7"/>
  <c r="AI261" i="7"/>
  <c r="AI248" i="7"/>
  <c r="AI247" i="7"/>
  <c r="AI246" i="7"/>
  <c r="AI245" i="7"/>
  <c r="AI244" i="7"/>
  <c r="AI243" i="7"/>
  <c r="AI40" i="7"/>
  <c r="AJ2" i="7"/>
  <c r="AJ600" i="7" s="1"/>
  <c r="AI30" i="7"/>
  <c r="AI26" i="7"/>
  <c r="AI25" i="7"/>
  <c r="AI23" i="7"/>
  <c r="AI19" i="7"/>
  <c r="AH407" i="7"/>
  <c r="AH405" i="7"/>
  <c r="AH402" i="7"/>
  <c r="AH406" i="7"/>
  <c r="AH426" i="7"/>
  <c r="AH430" i="7"/>
  <c r="AH434" i="7"/>
  <c r="AH454" i="7"/>
  <c r="AH458" i="7"/>
  <c r="AH396" i="7"/>
  <c r="AH427" i="7"/>
  <c r="AH431" i="7"/>
  <c r="AH435" i="7"/>
  <c r="AH455" i="7"/>
  <c r="AH459" i="7"/>
  <c r="AG71" i="7"/>
  <c r="AH403" i="7"/>
  <c r="AH262" i="7"/>
  <c r="AH401" i="7"/>
  <c r="AH409" i="7"/>
  <c r="AH400" i="7"/>
  <c r="AH404" i="7"/>
  <c r="AH408" i="7"/>
  <c r="AH428" i="7"/>
  <c r="AH432" i="7"/>
  <c r="AH452" i="7"/>
  <c r="AH456" i="7"/>
  <c r="AH460" i="7"/>
  <c r="AH429" i="7"/>
  <c r="AH433" i="7"/>
  <c r="AH453" i="7"/>
  <c r="AH457" i="7"/>
  <c r="AH461" i="7"/>
  <c r="AH565" i="7"/>
  <c r="AH559" i="7"/>
  <c r="AH537" i="7" s="1"/>
  <c r="AH80" i="7" s="1"/>
  <c r="AI592" i="7"/>
  <c r="AH653" i="7"/>
  <c r="AH638" i="7" s="1"/>
  <c r="AH69" i="7" s="1"/>
  <c r="AH685" i="7"/>
  <c r="AH670" i="7" s="1"/>
  <c r="AH70" i="7" s="1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C16" i="2"/>
  <c r="A578" i="2"/>
  <c r="A309" i="2" s="1"/>
  <c r="A579" i="2"/>
  <c r="A310" i="2" s="1"/>
  <c r="A580" i="2"/>
  <c r="A311" i="2" s="1"/>
  <c r="A577" i="2"/>
  <c r="A308" i="2" s="1"/>
  <c r="C568" i="2"/>
  <c r="C567" i="2"/>
  <c r="C566" i="2"/>
  <c r="C565" i="2"/>
  <c r="A565" i="2"/>
  <c r="A296" i="2" s="1"/>
  <c r="A566" i="2"/>
  <c r="A297" i="2" s="1"/>
  <c r="A567" i="2"/>
  <c r="A298" i="2" s="1"/>
  <c r="A568" i="2"/>
  <c r="A299" i="2" s="1"/>
  <c r="A570" i="2"/>
  <c r="A301" i="2" s="1"/>
  <c r="A571" i="2"/>
  <c r="A302" i="2" s="1"/>
  <c r="A572" i="2"/>
  <c r="A303" i="2" s="1"/>
  <c r="A573" i="2"/>
  <c r="A304" i="2" s="1"/>
  <c r="A574" i="2"/>
  <c r="A305" i="2" s="1"/>
  <c r="A564" i="2"/>
  <c r="A295" i="2" s="1"/>
  <c r="A588" i="2"/>
  <c r="A592" i="2"/>
  <c r="A596" i="2"/>
  <c r="A584" i="2"/>
  <c r="A267" i="2"/>
  <c r="A269" i="2"/>
  <c r="A270" i="2"/>
  <c r="A271" i="2"/>
  <c r="A272" i="2"/>
  <c r="A273" i="2"/>
  <c r="A258" i="2"/>
  <c r="A259" i="2"/>
  <c r="A260" i="2"/>
  <c r="A261" i="2"/>
  <c r="A263" i="2"/>
  <c r="A264" i="2"/>
  <c r="A265" i="2"/>
  <c r="A266" i="2"/>
  <c r="A253" i="2"/>
  <c r="A254" i="2"/>
  <c r="A255" i="2"/>
  <c r="A257" i="2"/>
  <c r="A252" i="2"/>
  <c r="A251" i="2"/>
  <c r="A250" i="2"/>
  <c r="AJ547" i="7" l="1"/>
  <c r="AJ595" i="7"/>
  <c r="AJ546" i="7"/>
  <c r="AJ548" i="7" s="1"/>
  <c r="AI548" i="7"/>
  <c r="AI549" i="7" s="1"/>
  <c r="M574" i="7"/>
  <c r="M580" i="7"/>
  <c r="M579" i="7" s="1"/>
  <c r="M576" i="7" s="1"/>
  <c r="AI170" i="7"/>
  <c r="AI134" i="7"/>
  <c r="AI55" i="7"/>
  <c r="AH539" i="7"/>
  <c r="AH534" i="7"/>
  <c r="AI579" i="7"/>
  <c r="AI576" i="7" s="1"/>
  <c r="AI585" i="7"/>
  <c r="AJ581" i="7"/>
  <c r="AJ586" i="7"/>
  <c r="AJ580" i="7"/>
  <c r="AJ564" i="7"/>
  <c r="AJ584" i="7" s="1"/>
  <c r="AJ523" i="7"/>
  <c r="AJ519" i="7"/>
  <c r="AJ515" i="7"/>
  <c r="AJ511" i="7"/>
  <c r="AJ594" i="7"/>
  <c r="AJ593" i="7"/>
  <c r="AJ56" i="10"/>
  <c r="AJ85" i="10"/>
  <c r="AJ86" i="10" s="1"/>
  <c r="AK629" i="10"/>
  <c r="AK625" i="10"/>
  <c r="AK621" i="10"/>
  <c r="AK617" i="10"/>
  <c r="AI594" i="8"/>
  <c r="AI590" i="8"/>
  <c r="AI586" i="8"/>
  <c r="AI582" i="8"/>
  <c r="AI65" i="10"/>
  <c r="AI68" i="10" s="1"/>
  <c r="AI75" i="10" s="1"/>
  <c r="AH179" i="10"/>
  <c r="AH196" i="10" s="1"/>
  <c r="AJ180" i="10"/>
  <c r="AJ197" i="10" s="1"/>
  <c r="AJ141" i="10"/>
  <c r="AJ153" i="10" s="1"/>
  <c r="AJ249" i="10"/>
  <c r="AJ221" i="10"/>
  <c r="AE118" i="10"/>
  <c r="AJ59" i="10"/>
  <c r="S118" i="10"/>
  <c r="W118" i="10"/>
  <c r="AA118" i="10"/>
  <c r="D118" i="10"/>
  <c r="H118" i="10"/>
  <c r="C118" i="10"/>
  <c r="K118" i="10"/>
  <c r="O118" i="10"/>
  <c r="AL11" i="10"/>
  <c r="AK41" i="10"/>
  <c r="AK183" i="10" s="1"/>
  <c r="AK200" i="10" s="1"/>
  <c r="AK645" i="10"/>
  <c r="AK181" i="10" s="1"/>
  <c r="AK198" i="10" s="1"/>
  <c r="F118" i="10"/>
  <c r="J118" i="10"/>
  <c r="R118" i="10"/>
  <c r="V118" i="10"/>
  <c r="Z118" i="10"/>
  <c r="AD118" i="10"/>
  <c r="E118" i="10"/>
  <c r="M118" i="10"/>
  <c r="Q118" i="10"/>
  <c r="Y118" i="10"/>
  <c r="AC118" i="10"/>
  <c r="AJ27" i="10"/>
  <c r="L118" i="10"/>
  <c r="N118" i="10"/>
  <c r="P118" i="10"/>
  <c r="T118" i="10"/>
  <c r="X118" i="10"/>
  <c r="AB118" i="10"/>
  <c r="G118" i="10"/>
  <c r="I118" i="10"/>
  <c r="U118" i="10"/>
  <c r="AI118" i="10"/>
  <c r="AJ506" i="10"/>
  <c r="AJ510" i="10"/>
  <c r="AJ514" i="10"/>
  <c r="AJ534" i="10"/>
  <c r="AJ538" i="10"/>
  <c r="AJ558" i="10"/>
  <c r="AJ562" i="10"/>
  <c r="AJ566" i="10"/>
  <c r="AJ509" i="10"/>
  <c r="AJ513" i="10"/>
  <c r="AJ533" i="10"/>
  <c r="AJ537" i="10"/>
  <c r="AJ541" i="10"/>
  <c r="AJ561" i="10"/>
  <c r="AJ565" i="10"/>
  <c r="AJ666" i="10"/>
  <c r="AJ651" i="10" s="1"/>
  <c r="AJ698" i="10"/>
  <c r="AJ683" i="10" s="1"/>
  <c r="AJ66" i="10" s="1"/>
  <c r="AJ730" i="10"/>
  <c r="AJ715" i="10" s="1"/>
  <c r="AJ67" i="10" s="1"/>
  <c r="AK741" i="10"/>
  <c r="AK740" i="10"/>
  <c r="AK739" i="10"/>
  <c r="AK738" i="10"/>
  <c r="AK737" i="10"/>
  <c r="AK736" i="10"/>
  <c r="AK735" i="10"/>
  <c r="AK734" i="10"/>
  <c r="AK729" i="10"/>
  <c r="AK728" i="10"/>
  <c r="AK727" i="10"/>
  <c r="AK430" i="10" s="1"/>
  <c r="AK726" i="10"/>
  <c r="AK429" i="10" s="1"/>
  <c r="AK725" i="10"/>
  <c r="AK724" i="10"/>
  <c r="AK723" i="10"/>
  <c r="AK426" i="10" s="1"/>
  <c r="AK722" i="10"/>
  <c r="AK425" i="10" s="1"/>
  <c r="AK721" i="10"/>
  <c r="AK732" i="10"/>
  <c r="AK720" i="10"/>
  <c r="AK423" i="10" s="1"/>
  <c r="AK697" i="10"/>
  <c r="AK406" i="10" s="1"/>
  <c r="AK696" i="10"/>
  <c r="AK695" i="10"/>
  <c r="AK404" i="10" s="1"/>
  <c r="AK694" i="10"/>
  <c r="AK403" i="10" s="1"/>
  <c r="AK693" i="10"/>
  <c r="AK402" i="10" s="1"/>
  <c r="AK692" i="10"/>
  <c r="AK691" i="10"/>
  <c r="AK400" i="10" s="1"/>
  <c r="AK690" i="10"/>
  <c r="AK399" i="10" s="1"/>
  <c r="AK709" i="10"/>
  <c r="AK708" i="10"/>
  <c r="AK707" i="10"/>
  <c r="AK706" i="10"/>
  <c r="AK705" i="10"/>
  <c r="AK704" i="10"/>
  <c r="AK703" i="10"/>
  <c r="AK701" i="10"/>
  <c r="AK700" i="10"/>
  <c r="AK689" i="10"/>
  <c r="AK665" i="10"/>
  <c r="AK381" i="10" s="1"/>
  <c r="AK664" i="10"/>
  <c r="AK380" i="10" s="1"/>
  <c r="AK663" i="10"/>
  <c r="AK379" i="10" s="1"/>
  <c r="AK662" i="10"/>
  <c r="AK661" i="10"/>
  <c r="AK377" i="10" s="1"/>
  <c r="AK660" i="10"/>
  <c r="AK376" i="10" s="1"/>
  <c r="AK659" i="10"/>
  <c r="AK375" i="10" s="1"/>
  <c r="AK688" i="10"/>
  <c r="AK677" i="10"/>
  <c r="AK676" i="10"/>
  <c r="AK675" i="10"/>
  <c r="AK674" i="10"/>
  <c r="AK673" i="10"/>
  <c r="AK672" i="10"/>
  <c r="AK671" i="10"/>
  <c r="AK669" i="10"/>
  <c r="AK668" i="10"/>
  <c r="AK658" i="10"/>
  <c r="AK374" i="10" s="1"/>
  <c r="AK656" i="10"/>
  <c r="AK590" i="10"/>
  <c r="AK591" i="10" s="1"/>
  <c r="AK584" i="10"/>
  <c r="AK585" i="10" s="1"/>
  <c r="AK657" i="10"/>
  <c r="AK488" i="10"/>
  <c r="AK487" i="10"/>
  <c r="AK486" i="10"/>
  <c r="AK485" i="10"/>
  <c r="AK484" i="10"/>
  <c r="AK483" i="10"/>
  <c r="AK431" i="10"/>
  <c r="AK427" i="10"/>
  <c r="AK405" i="10"/>
  <c r="AK401" i="10"/>
  <c r="AK397" i="10"/>
  <c r="AK378" i="10"/>
  <c r="AK372" i="10"/>
  <c r="AK367" i="10"/>
  <c r="AK501" i="10"/>
  <c r="AK432" i="10"/>
  <c r="AK428" i="10"/>
  <c r="AK424" i="10"/>
  <c r="AK398" i="10"/>
  <c r="AK373" i="10"/>
  <c r="AK354" i="10"/>
  <c r="AK353" i="10"/>
  <c r="AK352" i="10"/>
  <c r="AK351" i="10"/>
  <c r="AK350" i="10"/>
  <c r="AK349" i="10"/>
  <c r="AK30" i="10"/>
  <c r="AK26" i="10"/>
  <c r="AK25" i="10"/>
  <c r="AK23" i="10"/>
  <c r="AK19" i="10"/>
  <c r="AK40" i="10"/>
  <c r="AL2" i="10"/>
  <c r="AL639" i="10" s="1"/>
  <c r="AJ508" i="10"/>
  <c r="AJ512" i="10"/>
  <c r="AJ532" i="10"/>
  <c r="AJ536" i="10"/>
  <c r="AJ540" i="10"/>
  <c r="AJ560" i="10"/>
  <c r="AJ564" i="10"/>
  <c r="AJ502" i="10"/>
  <c r="AJ368" i="10"/>
  <c r="AJ507" i="10"/>
  <c r="AJ511" i="10"/>
  <c r="AJ515" i="10"/>
  <c r="AJ535" i="10"/>
  <c r="AJ539" i="10"/>
  <c r="AJ559" i="10"/>
  <c r="AJ563" i="10"/>
  <c r="AJ567" i="10"/>
  <c r="AJ11" i="8"/>
  <c r="J233" i="8"/>
  <c r="J234" i="8" s="1"/>
  <c r="M233" i="8"/>
  <c r="M234" i="8" s="1"/>
  <c r="AH27" i="8"/>
  <c r="AH689" i="8"/>
  <c r="AH674" i="8" s="1"/>
  <c r="AH62" i="8" s="1"/>
  <c r="AG72" i="8"/>
  <c r="AI700" i="8"/>
  <c r="AI699" i="8"/>
  <c r="AI698" i="8"/>
  <c r="AI697" i="8"/>
  <c r="AI696" i="8"/>
  <c r="AI695" i="8"/>
  <c r="AI694" i="8"/>
  <c r="AI693" i="8"/>
  <c r="AI691" i="8"/>
  <c r="AI688" i="8"/>
  <c r="AI687" i="8"/>
  <c r="AI686" i="8"/>
  <c r="AI685" i="8"/>
  <c r="AI394" i="8" s="1"/>
  <c r="AI684" i="8"/>
  <c r="AI683" i="8"/>
  <c r="AI682" i="8"/>
  <c r="AI391" i="8" s="1"/>
  <c r="AI681" i="8"/>
  <c r="AI390" i="8" s="1"/>
  <c r="AI680" i="8"/>
  <c r="AI679" i="8"/>
  <c r="AI667" i="8"/>
  <c r="AI665" i="8"/>
  <c r="AI663" i="8"/>
  <c r="AI656" i="8"/>
  <c r="AI371" i="8" s="1"/>
  <c r="AI655" i="8"/>
  <c r="AI370" i="8" s="1"/>
  <c r="AI654" i="8"/>
  <c r="AI369" i="8" s="1"/>
  <c r="AI653" i="8"/>
  <c r="AI652" i="8"/>
  <c r="AI367" i="8" s="1"/>
  <c r="AI651" i="8"/>
  <c r="AI366" i="8" s="1"/>
  <c r="AI650" i="8"/>
  <c r="AI365" i="8" s="1"/>
  <c r="AI649" i="8"/>
  <c r="AI648" i="8"/>
  <c r="AI363" i="8" s="1"/>
  <c r="AI647" i="8"/>
  <c r="AI362" i="8" s="1"/>
  <c r="AI668" i="8"/>
  <c r="AI666" i="8"/>
  <c r="AI664" i="8"/>
  <c r="AI662" i="8"/>
  <c r="AI660" i="8"/>
  <c r="AI659" i="8"/>
  <c r="AI624" i="8"/>
  <c r="AI346" i="8" s="1"/>
  <c r="AI623" i="8"/>
  <c r="AI345" i="8" s="1"/>
  <c r="AI622" i="8"/>
  <c r="AI344" i="8" s="1"/>
  <c r="AI621" i="8"/>
  <c r="AI620" i="8"/>
  <c r="AI619" i="8"/>
  <c r="AI341" i="8" s="1"/>
  <c r="AI618" i="8"/>
  <c r="AI340" i="8" s="1"/>
  <c r="AI617" i="8"/>
  <c r="AI616" i="8"/>
  <c r="AI615" i="8"/>
  <c r="AI337" i="8" s="1"/>
  <c r="AI636" i="8"/>
  <c r="AI635" i="8"/>
  <c r="AI634" i="8"/>
  <c r="AI633" i="8"/>
  <c r="AI632" i="8"/>
  <c r="AI631" i="8"/>
  <c r="AI630" i="8"/>
  <c r="AI628" i="8"/>
  <c r="AI627" i="8"/>
  <c r="AI604" i="8"/>
  <c r="AI555" i="8"/>
  <c r="AI556" i="8" s="1"/>
  <c r="AI549" i="8"/>
  <c r="AI550" i="8" s="1"/>
  <c r="AI453" i="8"/>
  <c r="AI452" i="8"/>
  <c r="AI451" i="8"/>
  <c r="AI450" i="8"/>
  <c r="AI449" i="8"/>
  <c r="AI448" i="8"/>
  <c r="AI396" i="8"/>
  <c r="AI392" i="8"/>
  <c r="AI388" i="8"/>
  <c r="AI368" i="8"/>
  <c r="AI364" i="8"/>
  <c r="AI343" i="8"/>
  <c r="AI466" i="8"/>
  <c r="AI397" i="8"/>
  <c r="AI395" i="8"/>
  <c r="AI393" i="8"/>
  <c r="AI389" i="8"/>
  <c r="AI342" i="8"/>
  <c r="AI338" i="8"/>
  <c r="AI332" i="8"/>
  <c r="AI339" i="8"/>
  <c r="AI319" i="8"/>
  <c r="AI318" i="8"/>
  <c r="AI317" i="8"/>
  <c r="AI316" i="8"/>
  <c r="AI315" i="8"/>
  <c r="AI314" i="8"/>
  <c r="AI30" i="8"/>
  <c r="AI26" i="8"/>
  <c r="AI25" i="8"/>
  <c r="AI23" i="8"/>
  <c r="AI19" i="8"/>
  <c r="AI40" i="8"/>
  <c r="AJ2" i="8"/>
  <c r="AH333" i="8"/>
  <c r="AH472" i="8"/>
  <c r="AH471" i="8"/>
  <c r="AH475" i="8"/>
  <c r="AH479" i="8"/>
  <c r="AH499" i="8"/>
  <c r="AH503" i="8"/>
  <c r="AH523" i="8"/>
  <c r="AH527" i="8"/>
  <c r="AH531" i="8"/>
  <c r="AH478" i="8"/>
  <c r="AH498" i="8"/>
  <c r="AH502" i="8"/>
  <c r="AH506" i="8"/>
  <c r="AH526" i="8"/>
  <c r="AH530" i="8"/>
  <c r="AF271" i="8"/>
  <c r="AF272" i="8" s="1"/>
  <c r="AH474" i="8"/>
  <c r="AH473" i="8"/>
  <c r="AH477" i="8"/>
  <c r="AH497" i="8"/>
  <c r="AH501" i="8"/>
  <c r="AH505" i="8"/>
  <c r="AH525" i="8"/>
  <c r="AH529" i="8"/>
  <c r="AH467" i="8"/>
  <c r="AH476" i="8"/>
  <c r="AH480" i="8"/>
  <c r="AH500" i="8"/>
  <c r="AH504" i="8"/>
  <c r="AH524" i="8"/>
  <c r="AH528" i="8"/>
  <c r="AH532" i="8"/>
  <c r="AG63" i="8"/>
  <c r="AH625" i="8"/>
  <c r="AH610" i="8" s="1"/>
  <c r="AH60" i="8" s="1"/>
  <c r="AH657" i="8"/>
  <c r="AH642" i="8" s="1"/>
  <c r="AH61" i="8" s="1"/>
  <c r="AF233" i="8"/>
  <c r="AF234" i="8" s="1"/>
  <c r="AH71" i="7"/>
  <c r="AK11" i="7"/>
  <c r="AJ566" i="7"/>
  <c r="AJ560" i="7"/>
  <c r="AJ538" i="7" s="1"/>
  <c r="AJ551" i="7"/>
  <c r="AJ550" i="7"/>
  <c r="AJ561" i="7" s="1"/>
  <c r="AJ544" i="7"/>
  <c r="AJ543" i="7"/>
  <c r="AH556" i="7"/>
  <c r="AH81" i="7"/>
  <c r="AJ696" i="7"/>
  <c r="AJ695" i="7"/>
  <c r="AJ694" i="7"/>
  <c r="AJ693" i="7"/>
  <c r="AJ692" i="7"/>
  <c r="AJ691" i="7"/>
  <c r="AJ690" i="7"/>
  <c r="AJ689" i="7"/>
  <c r="AJ687" i="7"/>
  <c r="AJ684" i="7"/>
  <c r="AJ326" i="7" s="1"/>
  <c r="AJ683" i="7"/>
  <c r="AJ682" i="7"/>
  <c r="AJ324" i="7" s="1"/>
  <c r="AJ681" i="7"/>
  <c r="AJ323" i="7" s="1"/>
  <c r="AJ680" i="7"/>
  <c r="AJ679" i="7"/>
  <c r="AJ678" i="7"/>
  <c r="AJ320" i="7" s="1"/>
  <c r="AJ677" i="7"/>
  <c r="AJ319" i="7" s="1"/>
  <c r="AJ676" i="7"/>
  <c r="AJ318" i="7" s="1"/>
  <c r="AJ675" i="7"/>
  <c r="AJ664" i="7"/>
  <c r="AJ663" i="7"/>
  <c r="AJ662" i="7"/>
  <c r="AJ661" i="7"/>
  <c r="AJ660" i="7"/>
  <c r="AJ659" i="7"/>
  <c r="AJ658" i="7"/>
  <c r="AJ656" i="7"/>
  <c r="AJ655" i="7"/>
  <c r="AJ652" i="7"/>
  <c r="AJ300" i="7" s="1"/>
  <c r="AJ651" i="7"/>
  <c r="AJ299" i="7" s="1"/>
  <c r="AJ650" i="7"/>
  <c r="AJ649" i="7"/>
  <c r="AJ648" i="7"/>
  <c r="AJ296" i="7" s="1"/>
  <c r="AJ647" i="7"/>
  <c r="AJ295" i="7" s="1"/>
  <c r="AJ646" i="7"/>
  <c r="AJ645" i="7"/>
  <c r="AJ293" i="7" s="1"/>
  <c r="AJ644" i="7"/>
  <c r="AJ292" i="7" s="1"/>
  <c r="AJ643" i="7"/>
  <c r="AJ291" i="7" s="1"/>
  <c r="AJ632" i="7"/>
  <c r="AJ631" i="7"/>
  <c r="AJ630" i="7"/>
  <c r="AJ629" i="7"/>
  <c r="AJ628" i="7"/>
  <c r="AJ627" i="7"/>
  <c r="AJ626" i="7"/>
  <c r="AJ624" i="7"/>
  <c r="AJ623" i="7"/>
  <c r="AJ620" i="7"/>
  <c r="AJ275" i="7" s="1"/>
  <c r="AJ619" i="7"/>
  <c r="AJ274" i="7" s="1"/>
  <c r="AJ618" i="7"/>
  <c r="AJ617" i="7"/>
  <c r="AJ616" i="7"/>
  <c r="AJ271" i="7" s="1"/>
  <c r="AJ615" i="7"/>
  <c r="AJ270" i="7" s="1"/>
  <c r="AJ614" i="7"/>
  <c r="AJ269" i="7" s="1"/>
  <c r="AJ613" i="7"/>
  <c r="AJ612" i="7"/>
  <c r="AJ611" i="7"/>
  <c r="AJ266" i="7" s="1"/>
  <c r="AJ484" i="7"/>
  <c r="AJ485" i="7" s="1"/>
  <c r="AJ478" i="7"/>
  <c r="AJ479" i="7" s="1"/>
  <c r="AJ395" i="7"/>
  <c r="AJ322" i="7"/>
  <c r="AJ298" i="7"/>
  <c r="AJ294" i="7"/>
  <c r="AJ382" i="7"/>
  <c r="AJ381" i="7"/>
  <c r="AJ380" i="7"/>
  <c r="AJ379" i="7"/>
  <c r="AJ378" i="7"/>
  <c r="AJ377" i="7"/>
  <c r="AJ325" i="7"/>
  <c r="AJ321" i="7"/>
  <c r="AJ317" i="7"/>
  <c r="AJ297" i="7"/>
  <c r="AJ272" i="7"/>
  <c r="AJ268" i="7"/>
  <c r="AJ261" i="7"/>
  <c r="AJ273" i="7"/>
  <c r="AJ248" i="7"/>
  <c r="AJ247" i="7"/>
  <c r="AJ246" i="7"/>
  <c r="AJ245" i="7"/>
  <c r="AJ244" i="7"/>
  <c r="AJ243" i="7"/>
  <c r="AJ267" i="7"/>
  <c r="AJ30" i="7"/>
  <c r="AJ26" i="7"/>
  <c r="AJ25" i="7"/>
  <c r="AJ23" i="7"/>
  <c r="AJ19" i="7"/>
  <c r="AJ40" i="7"/>
  <c r="AK2" i="7"/>
  <c r="AK600" i="7" s="1"/>
  <c r="AI262" i="7"/>
  <c r="AI402" i="7"/>
  <c r="AI404" i="7"/>
  <c r="AI401" i="7"/>
  <c r="AI405" i="7"/>
  <c r="AI409" i="7"/>
  <c r="AI429" i="7"/>
  <c r="AI433" i="7"/>
  <c r="AI453" i="7"/>
  <c r="AI457" i="7"/>
  <c r="AI461" i="7"/>
  <c r="AI426" i="7"/>
  <c r="AI430" i="7"/>
  <c r="AI434" i="7"/>
  <c r="AI454" i="7"/>
  <c r="AI458" i="7"/>
  <c r="AI396" i="7"/>
  <c r="AI27" i="7"/>
  <c r="AI61" i="7"/>
  <c r="AI621" i="7"/>
  <c r="AI606" i="7" s="1"/>
  <c r="AI68" i="7" s="1"/>
  <c r="AI653" i="7"/>
  <c r="AI638" i="7" s="1"/>
  <c r="AI69" i="7" s="1"/>
  <c r="AI406" i="7"/>
  <c r="AI400" i="7"/>
  <c r="AI408" i="7"/>
  <c r="AI403" i="7"/>
  <c r="AI407" i="7"/>
  <c r="AI427" i="7"/>
  <c r="AI431" i="7"/>
  <c r="AI435" i="7"/>
  <c r="AI455" i="7"/>
  <c r="AI459" i="7"/>
  <c r="AI428" i="7"/>
  <c r="AI432" i="7"/>
  <c r="AI452" i="7"/>
  <c r="AI456" i="7"/>
  <c r="AI460" i="7"/>
  <c r="AI565" i="7"/>
  <c r="AI559" i="7"/>
  <c r="AI537" i="7" s="1"/>
  <c r="AI80" i="7" s="1"/>
  <c r="AJ592" i="7"/>
  <c r="AI685" i="7"/>
  <c r="AI670" i="7" s="1"/>
  <c r="AI70" i="7" s="1"/>
  <c r="D196" i="1"/>
  <c r="B92" i="10" s="1"/>
  <c r="B196" i="1"/>
  <c r="C196" i="1"/>
  <c r="E196" i="1"/>
  <c r="B77" i="7" s="1"/>
  <c r="C580" i="2"/>
  <c r="C267" i="2" s="1"/>
  <c r="A429" i="2"/>
  <c r="A438" i="2"/>
  <c r="A436" i="2"/>
  <c r="A433" i="2"/>
  <c r="A431" i="2"/>
  <c r="A442" i="2"/>
  <c r="A444" i="2"/>
  <c r="A439" i="2"/>
  <c r="A437" i="2"/>
  <c r="A435" i="2"/>
  <c r="A432" i="2"/>
  <c r="A430" i="2"/>
  <c r="A445" i="2"/>
  <c r="A443" i="2"/>
  <c r="C577" i="2"/>
  <c r="C225" i="2" s="1"/>
  <c r="B308" i="2"/>
  <c r="C579" i="2"/>
  <c r="B444" i="2"/>
  <c r="B310" i="2"/>
  <c r="C578" i="2"/>
  <c r="C226" i="2" s="1"/>
  <c r="B443" i="2"/>
  <c r="C252" i="2"/>
  <c r="C213" i="2"/>
  <c r="C254" i="2"/>
  <c r="C215" i="2"/>
  <c r="C253" i="2"/>
  <c r="C214" i="2"/>
  <c r="C255" i="2"/>
  <c r="C216" i="2"/>
  <c r="C569" i="2"/>
  <c r="AK595" i="7" l="1"/>
  <c r="AK546" i="7"/>
  <c r="AK547" i="7"/>
  <c r="M577" i="7"/>
  <c r="AJ170" i="7"/>
  <c r="AJ134" i="7"/>
  <c r="AJ55" i="7"/>
  <c r="AI534" i="7"/>
  <c r="AI539" i="7"/>
  <c r="AJ585" i="7"/>
  <c r="AJ579" i="7"/>
  <c r="AJ576" i="7" s="1"/>
  <c r="AK586" i="7"/>
  <c r="AK580" i="7"/>
  <c r="AK581" i="7"/>
  <c r="AK564" i="7"/>
  <c r="AK584" i="7" s="1"/>
  <c r="AK523" i="7"/>
  <c r="AK519" i="7"/>
  <c r="AK515" i="7"/>
  <c r="AK511" i="7"/>
  <c r="AK594" i="7"/>
  <c r="AK593" i="7"/>
  <c r="AJ549" i="7"/>
  <c r="B140" i="10"/>
  <c r="B152" i="10" s="1"/>
  <c r="AK56" i="10"/>
  <c r="AK85" i="10"/>
  <c r="AK86" i="10" s="1"/>
  <c r="AL629" i="10"/>
  <c r="AL625" i="10"/>
  <c r="AL621" i="10"/>
  <c r="AL617" i="10"/>
  <c r="AJ582" i="8"/>
  <c r="AJ594" i="8"/>
  <c r="AJ590" i="8"/>
  <c r="AJ586" i="8"/>
  <c r="AJ65" i="10"/>
  <c r="AJ68" i="10" s="1"/>
  <c r="AJ75" i="10" s="1"/>
  <c r="AI179" i="10"/>
  <c r="AI196" i="10" s="1"/>
  <c r="AK180" i="10"/>
  <c r="AK197" i="10" s="1"/>
  <c r="AK141" i="10"/>
  <c r="AK153" i="10" s="1"/>
  <c r="AK249" i="10"/>
  <c r="AK221" i="10"/>
  <c r="AF118" i="10"/>
  <c r="AK59" i="10"/>
  <c r="AK698" i="10"/>
  <c r="AK683" i="10" s="1"/>
  <c r="AK66" i="10" s="1"/>
  <c r="AM11" i="10"/>
  <c r="AL645" i="10"/>
  <c r="AL181" i="10" s="1"/>
  <c r="AL198" i="10" s="1"/>
  <c r="AL41" i="10"/>
  <c r="AL183" i="10" s="1"/>
  <c r="AL200" i="10" s="1"/>
  <c r="AA271" i="8"/>
  <c r="AA272" i="8" s="1"/>
  <c r="U233" i="8"/>
  <c r="U234" i="8" s="1"/>
  <c r="R271" i="8"/>
  <c r="R272" i="8" s="1"/>
  <c r="AK27" i="10"/>
  <c r="AK666" i="10"/>
  <c r="AK651" i="10" s="1"/>
  <c r="AJ118" i="10"/>
  <c r="AK509" i="10"/>
  <c r="AK513" i="10"/>
  <c r="AK533" i="10"/>
  <c r="AK537" i="10"/>
  <c r="AK541" i="10"/>
  <c r="AK561" i="10"/>
  <c r="AK565" i="10"/>
  <c r="AK506" i="10"/>
  <c r="AK510" i="10"/>
  <c r="AK514" i="10"/>
  <c r="AK534" i="10"/>
  <c r="AK538" i="10"/>
  <c r="AK558" i="10"/>
  <c r="AK562" i="10"/>
  <c r="AK566" i="10"/>
  <c r="AK730" i="10"/>
  <c r="AK715" i="10" s="1"/>
  <c r="AK67" i="10" s="1"/>
  <c r="AL741" i="10"/>
  <c r="AL740" i="10"/>
  <c r="AL739" i="10"/>
  <c r="AL738" i="10"/>
  <c r="AL737" i="10"/>
  <c r="AL736" i="10"/>
  <c r="AL735" i="10"/>
  <c r="AL734" i="10"/>
  <c r="AL732" i="10"/>
  <c r="AL729" i="10"/>
  <c r="AL728" i="10"/>
  <c r="AL727" i="10"/>
  <c r="AL430" i="10" s="1"/>
  <c r="AL726" i="10"/>
  <c r="AL725" i="10"/>
  <c r="AL724" i="10"/>
  <c r="AL723" i="10"/>
  <c r="AL722" i="10"/>
  <c r="AL425" i="10" s="1"/>
  <c r="AL721" i="10"/>
  <c r="AL720" i="10"/>
  <c r="AL709" i="10"/>
  <c r="AL708" i="10"/>
  <c r="AL707" i="10"/>
  <c r="AL706" i="10"/>
  <c r="AL705" i="10"/>
  <c r="AL704" i="10"/>
  <c r="AL703" i="10"/>
  <c r="AL701" i="10"/>
  <c r="AL700" i="10"/>
  <c r="AL697" i="10"/>
  <c r="AL696" i="10"/>
  <c r="AL695" i="10"/>
  <c r="AL694" i="10"/>
  <c r="AL403" i="10" s="1"/>
  <c r="AL693" i="10"/>
  <c r="AL402" i="10" s="1"/>
  <c r="AL692" i="10"/>
  <c r="AL691" i="10"/>
  <c r="AL690" i="10"/>
  <c r="AL689" i="10"/>
  <c r="AL688" i="10"/>
  <c r="AL677" i="10"/>
  <c r="AL676" i="10"/>
  <c r="AL675" i="10"/>
  <c r="AL674" i="10"/>
  <c r="AL673" i="10"/>
  <c r="AL672" i="10"/>
  <c r="AL671" i="10"/>
  <c r="AL669" i="10"/>
  <c r="AL668" i="10"/>
  <c r="AL665" i="10"/>
  <c r="AL381" i="10" s="1"/>
  <c r="AL664" i="10"/>
  <c r="AL663" i="10"/>
  <c r="AL662" i="10"/>
  <c r="AL661" i="10"/>
  <c r="AL377" i="10" s="1"/>
  <c r="AL660" i="10"/>
  <c r="AL376" i="10" s="1"/>
  <c r="AL659" i="10"/>
  <c r="AL658" i="10"/>
  <c r="AL657" i="10"/>
  <c r="AL373" i="10" s="1"/>
  <c r="AL656" i="10"/>
  <c r="AL590" i="10"/>
  <c r="AL591" i="10" s="1"/>
  <c r="AL584" i="10"/>
  <c r="AL585" i="10" s="1"/>
  <c r="AL501" i="10"/>
  <c r="AL432" i="10"/>
  <c r="AL428" i="10"/>
  <c r="AL426" i="10"/>
  <c r="AL424" i="10"/>
  <c r="AL406" i="10"/>
  <c r="AL404" i="10"/>
  <c r="AL400" i="10"/>
  <c r="AL398" i="10"/>
  <c r="AL379" i="10"/>
  <c r="AL375" i="10"/>
  <c r="AL354" i="10"/>
  <c r="AL353" i="10"/>
  <c r="AL352" i="10"/>
  <c r="AL351" i="10"/>
  <c r="AL350" i="10"/>
  <c r="AL349" i="10"/>
  <c r="AL488" i="10"/>
  <c r="AL487" i="10"/>
  <c r="AL486" i="10"/>
  <c r="AL485" i="10"/>
  <c r="AL484" i="10"/>
  <c r="AL483" i="10"/>
  <c r="AL431" i="10"/>
  <c r="AL429" i="10"/>
  <c r="AL427" i="10"/>
  <c r="AL423" i="10"/>
  <c r="AL405" i="10"/>
  <c r="AL401" i="10"/>
  <c r="AL399" i="10"/>
  <c r="AL397" i="10"/>
  <c r="AL380" i="10"/>
  <c r="AL378" i="10"/>
  <c r="AL374" i="10"/>
  <c r="AL372" i="10"/>
  <c r="AL367" i="10"/>
  <c r="AL40" i="10"/>
  <c r="AL30" i="10"/>
  <c r="AL26" i="10"/>
  <c r="AL25" i="10"/>
  <c r="AL23" i="10"/>
  <c r="AL19" i="10"/>
  <c r="AM2" i="10"/>
  <c r="AM639" i="10" s="1"/>
  <c r="AK368" i="10"/>
  <c r="AK507" i="10"/>
  <c r="AK511" i="10"/>
  <c r="AK515" i="10"/>
  <c r="AK535" i="10"/>
  <c r="AK539" i="10"/>
  <c r="AK559" i="10"/>
  <c r="AK563" i="10"/>
  <c r="AK567" i="10"/>
  <c r="AK508" i="10"/>
  <c r="AK512" i="10"/>
  <c r="AK532" i="10"/>
  <c r="AK536" i="10"/>
  <c r="AK540" i="10"/>
  <c r="AK560" i="10"/>
  <c r="AK564" i="10"/>
  <c r="AK502" i="10"/>
  <c r="AE233" i="8"/>
  <c r="AE234" i="8" s="1"/>
  <c r="B69" i="8"/>
  <c r="AC233" i="8"/>
  <c r="AC234" i="8" s="1"/>
  <c r="AA233" i="8"/>
  <c r="AA234" i="8" s="1"/>
  <c r="W233" i="8"/>
  <c r="W234" i="8" s="1"/>
  <c r="U271" i="8"/>
  <c r="U272" i="8" s="1"/>
  <c r="AK11" i="8"/>
  <c r="J271" i="8"/>
  <c r="J272" i="8" s="1"/>
  <c r="AE271" i="8"/>
  <c r="AE272" i="8" s="1"/>
  <c r="AB271" i="8"/>
  <c r="AB272" i="8" s="1"/>
  <c r="Z271" i="8"/>
  <c r="Z272" i="8" s="1"/>
  <c r="R233" i="8"/>
  <c r="R234" i="8" s="1"/>
  <c r="M271" i="8"/>
  <c r="M272" i="8" s="1"/>
  <c r="L233" i="8"/>
  <c r="L234" i="8" s="1"/>
  <c r="H233" i="8"/>
  <c r="H234" i="8" s="1"/>
  <c r="AD233" i="8"/>
  <c r="AD234" i="8" s="1"/>
  <c r="Y233" i="8"/>
  <c r="Y234" i="8" s="1"/>
  <c r="X233" i="8"/>
  <c r="X234" i="8" s="1"/>
  <c r="V271" i="8"/>
  <c r="V272" i="8" s="1"/>
  <c r="T233" i="8"/>
  <c r="T234" i="8" s="1"/>
  <c r="S233" i="8"/>
  <c r="S234" i="8" s="1"/>
  <c r="P271" i="8"/>
  <c r="P272" i="8" s="1"/>
  <c r="N271" i="8"/>
  <c r="N272" i="8" s="1"/>
  <c r="I233" i="8"/>
  <c r="I234" i="8" s="1"/>
  <c r="F271" i="8"/>
  <c r="F272" i="8" s="1"/>
  <c r="D233" i="8"/>
  <c r="D234" i="8" s="1"/>
  <c r="Q233" i="8"/>
  <c r="Q234" i="8" s="1"/>
  <c r="O233" i="8"/>
  <c r="O234" i="8" s="1"/>
  <c r="K271" i="8"/>
  <c r="K272" i="8" s="1"/>
  <c r="G271" i="8"/>
  <c r="G272" i="8" s="1"/>
  <c r="E271" i="8"/>
  <c r="E272" i="8" s="1"/>
  <c r="C271" i="8"/>
  <c r="AC271" i="8"/>
  <c r="AC272" i="8" s="1"/>
  <c r="AB233" i="8"/>
  <c r="AB234" i="8" s="1"/>
  <c r="Z233" i="8"/>
  <c r="Z234" i="8" s="1"/>
  <c r="W271" i="8"/>
  <c r="W272" i="8" s="1"/>
  <c r="L271" i="8"/>
  <c r="L272" i="8" s="1"/>
  <c r="H271" i="8"/>
  <c r="H272" i="8" s="1"/>
  <c r="AD271" i="8"/>
  <c r="AD272" i="8" s="1"/>
  <c r="Y271" i="8"/>
  <c r="Y272" i="8" s="1"/>
  <c r="X271" i="8"/>
  <c r="X272" i="8" s="1"/>
  <c r="V233" i="8"/>
  <c r="V234" i="8" s="1"/>
  <c r="T271" i="8"/>
  <c r="T272" i="8" s="1"/>
  <c r="S271" i="8"/>
  <c r="S272" i="8" s="1"/>
  <c r="P233" i="8"/>
  <c r="P234" i="8" s="1"/>
  <c r="N233" i="8"/>
  <c r="N234" i="8" s="1"/>
  <c r="I271" i="8"/>
  <c r="I272" i="8" s="1"/>
  <c r="F233" i="8"/>
  <c r="F234" i="8" s="1"/>
  <c r="D271" i="8"/>
  <c r="D272" i="8" s="1"/>
  <c r="Q271" i="8"/>
  <c r="Q272" i="8" s="1"/>
  <c r="O271" i="8"/>
  <c r="O272" i="8" s="1"/>
  <c r="K233" i="8"/>
  <c r="K234" i="8" s="1"/>
  <c r="G233" i="8"/>
  <c r="G234" i="8" s="1"/>
  <c r="E233" i="8"/>
  <c r="E234" i="8" s="1"/>
  <c r="C233" i="8"/>
  <c r="AI657" i="8"/>
  <c r="AI642" i="8" s="1"/>
  <c r="AI61" i="8" s="1"/>
  <c r="AI27" i="8"/>
  <c r="AH72" i="8"/>
  <c r="AJ700" i="8"/>
  <c r="AJ699" i="8"/>
  <c r="AJ698" i="8"/>
  <c r="AJ697" i="8"/>
  <c r="AJ696" i="8"/>
  <c r="AJ695" i="8"/>
  <c r="AJ694" i="8"/>
  <c r="AJ693" i="8"/>
  <c r="AJ691" i="8"/>
  <c r="AJ688" i="8"/>
  <c r="AJ687" i="8"/>
  <c r="AJ396" i="8" s="1"/>
  <c r="AJ686" i="8"/>
  <c r="AJ685" i="8"/>
  <c r="AJ394" i="8" s="1"/>
  <c r="AJ684" i="8"/>
  <c r="AJ683" i="8"/>
  <c r="AJ682" i="8"/>
  <c r="AJ681" i="8"/>
  <c r="AJ390" i="8" s="1"/>
  <c r="AJ680" i="8"/>
  <c r="AJ679" i="8"/>
  <c r="AJ388" i="8" s="1"/>
  <c r="AJ668" i="8"/>
  <c r="AJ667" i="8"/>
  <c r="AJ666" i="8"/>
  <c r="AJ665" i="8"/>
  <c r="AJ664" i="8"/>
  <c r="AJ663" i="8"/>
  <c r="AJ662" i="8"/>
  <c r="AJ660" i="8"/>
  <c r="AJ659" i="8"/>
  <c r="AJ656" i="8"/>
  <c r="AJ371" i="8" s="1"/>
  <c r="AJ655" i="8"/>
  <c r="AJ654" i="8"/>
  <c r="AJ369" i="8" s="1"/>
  <c r="AJ653" i="8"/>
  <c r="AJ368" i="8" s="1"/>
  <c r="AJ652" i="8"/>
  <c r="AJ367" i="8" s="1"/>
  <c r="AJ651" i="8"/>
  <c r="AJ650" i="8"/>
  <c r="AJ365" i="8" s="1"/>
  <c r="AJ649" i="8"/>
  <c r="AJ648" i="8"/>
  <c r="AJ647" i="8"/>
  <c r="AJ636" i="8"/>
  <c r="AJ635" i="8"/>
  <c r="AJ634" i="8"/>
  <c r="AJ633" i="8"/>
  <c r="AJ632" i="8"/>
  <c r="AJ631" i="8"/>
  <c r="AJ630" i="8"/>
  <c r="AJ628" i="8"/>
  <c r="AJ627" i="8"/>
  <c r="AJ624" i="8"/>
  <c r="AJ346" i="8" s="1"/>
  <c r="AJ623" i="8"/>
  <c r="AJ345" i="8" s="1"/>
  <c r="AJ622" i="8"/>
  <c r="AJ344" i="8" s="1"/>
  <c r="AJ621" i="8"/>
  <c r="AJ343" i="8" s="1"/>
  <c r="AJ620" i="8"/>
  <c r="AJ619" i="8"/>
  <c r="AJ341" i="8" s="1"/>
  <c r="AJ618" i="8"/>
  <c r="AJ617" i="8"/>
  <c r="AJ339" i="8" s="1"/>
  <c r="AJ616" i="8"/>
  <c r="AJ615" i="8"/>
  <c r="AJ337" i="8" s="1"/>
  <c r="AJ555" i="8"/>
  <c r="AJ556" i="8" s="1"/>
  <c r="AJ549" i="8"/>
  <c r="AJ550" i="8" s="1"/>
  <c r="AJ604" i="8"/>
  <c r="AJ466" i="8"/>
  <c r="AJ397" i="8"/>
  <c r="AJ395" i="8"/>
  <c r="AJ393" i="8"/>
  <c r="AJ391" i="8"/>
  <c r="AJ389" i="8"/>
  <c r="AJ363" i="8"/>
  <c r="AJ342" i="8"/>
  <c r="AJ453" i="8"/>
  <c r="AJ452" i="8"/>
  <c r="AJ451" i="8"/>
  <c r="AJ450" i="8"/>
  <c r="AJ449" i="8"/>
  <c r="AJ448" i="8"/>
  <c r="AJ392" i="8"/>
  <c r="AJ370" i="8"/>
  <c r="AJ366" i="8"/>
  <c r="AJ364" i="8"/>
  <c r="AJ362" i="8"/>
  <c r="AJ332" i="8"/>
  <c r="AJ340" i="8"/>
  <c r="AJ319" i="8"/>
  <c r="AJ318" i="8"/>
  <c r="AJ317" i="8"/>
  <c r="AJ316" i="8"/>
  <c r="AJ315" i="8"/>
  <c r="AJ314" i="8"/>
  <c r="AJ338" i="8"/>
  <c r="AJ40" i="8"/>
  <c r="AK2" i="8"/>
  <c r="AJ30" i="8"/>
  <c r="AJ26" i="8"/>
  <c r="AJ25" i="8"/>
  <c r="AJ23" i="8"/>
  <c r="AJ19" i="8"/>
  <c r="AI333" i="8"/>
  <c r="AI473" i="8"/>
  <c r="AI471" i="8"/>
  <c r="AI474" i="8"/>
  <c r="AI478" i="8"/>
  <c r="AI498" i="8"/>
  <c r="AI502" i="8"/>
  <c r="AI506" i="8"/>
  <c r="AI526" i="8"/>
  <c r="AI530" i="8"/>
  <c r="AI477" i="8"/>
  <c r="AI497" i="8"/>
  <c r="AI501" i="8"/>
  <c r="AI505" i="8"/>
  <c r="AI525" i="8"/>
  <c r="AI529" i="8"/>
  <c r="AI467" i="8"/>
  <c r="AH63" i="8"/>
  <c r="AG233" i="8"/>
  <c r="AG234" i="8" s="1"/>
  <c r="AI625" i="8"/>
  <c r="AI610" i="8" s="1"/>
  <c r="AI60" i="8" s="1"/>
  <c r="AI689" i="8"/>
  <c r="AI674" i="8" s="1"/>
  <c r="AI62" i="8" s="1"/>
  <c r="AI472" i="8"/>
  <c r="AI476" i="8"/>
  <c r="AI480" i="8"/>
  <c r="AI500" i="8"/>
  <c r="AI504" i="8"/>
  <c r="AI524" i="8"/>
  <c r="AI528" i="8"/>
  <c r="AI532" i="8"/>
  <c r="AI475" i="8"/>
  <c r="AI479" i="8"/>
  <c r="AI499" i="8"/>
  <c r="AI503" i="8"/>
  <c r="AI523" i="8"/>
  <c r="AI527" i="8"/>
  <c r="AI531" i="8"/>
  <c r="AG271" i="8"/>
  <c r="AG272" i="8" s="1"/>
  <c r="AK566" i="7"/>
  <c r="AK560" i="7"/>
  <c r="AK538" i="7" s="1"/>
  <c r="AK551" i="7"/>
  <c r="AK550" i="7"/>
  <c r="AK561" i="7" s="1"/>
  <c r="AK544" i="7"/>
  <c r="AK543" i="7"/>
  <c r="AL11" i="7"/>
  <c r="AI556" i="7"/>
  <c r="AI81" i="7"/>
  <c r="AK696" i="7"/>
  <c r="AK695" i="7"/>
  <c r="AK694" i="7"/>
  <c r="AK693" i="7"/>
  <c r="AK692" i="7"/>
  <c r="AK691" i="7"/>
  <c r="AK690" i="7"/>
  <c r="AK689" i="7"/>
  <c r="AK684" i="7"/>
  <c r="AK683" i="7"/>
  <c r="AK682" i="7"/>
  <c r="AK324" i="7" s="1"/>
  <c r="AK681" i="7"/>
  <c r="AK680" i="7"/>
  <c r="AK679" i="7"/>
  <c r="AK321" i="7" s="1"/>
  <c r="AK678" i="7"/>
  <c r="AK677" i="7"/>
  <c r="AK687" i="7"/>
  <c r="AK676" i="7"/>
  <c r="AK318" i="7" s="1"/>
  <c r="AK652" i="7"/>
  <c r="AK300" i="7" s="1"/>
  <c r="AK651" i="7"/>
  <c r="AK650" i="7"/>
  <c r="AK649" i="7"/>
  <c r="AK297" i="7" s="1"/>
  <c r="AK648" i="7"/>
  <c r="AK647" i="7"/>
  <c r="AK646" i="7"/>
  <c r="AK294" i="7" s="1"/>
  <c r="AK675" i="7"/>
  <c r="AK317" i="7" s="1"/>
  <c r="AK664" i="7"/>
  <c r="AK663" i="7"/>
  <c r="AK662" i="7"/>
  <c r="AK661" i="7"/>
  <c r="AK660" i="7"/>
  <c r="AK659" i="7"/>
  <c r="AK658" i="7"/>
  <c r="AK656" i="7"/>
  <c r="AK655" i="7"/>
  <c r="AK645" i="7"/>
  <c r="AK293" i="7" s="1"/>
  <c r="AK620" i="7"/>
  <c r="AK619" i="7"/>
  <c r="AK274" i="7" s="1"/>
  <c r="AK618" i="7"/>
  <c r="AK617" i="7"/>
  <c r="AK616" i="7"/>
  <c r="AK271" i="7" s="1"/>
  <c r="AK615" i="7"/>
  <c r="AK270" i="7" s="1"/>
  <c r="AK644" i="7"/>
  <c r="AK292" i="7" s="1"/>
  <c r="AK643" i="7"/>
  <c r="AK291" i="7" s="1"/>
  <c r="AK632" i="7"/>
  <c r="AK631" i="7"/>
  <c r="AK630" i="7"/>
  <c r="AK629" i="7"/>
  <c r="AK628" i="7"/>
  <c r="AK627" i="7"/>
  <c r="AK626" i="7"/>
  <c r="AK624" i="7"/>
  <c r="AK623" i="7"/>
  <c r="AK614" i="7"/>
  <c r="AK269" i="7" s="1"/>
  <c r="AK613" i="7"/>
  <c r="AK612" i="7"/>
  <c r="AK611" i="7"/>
  <c r="AK266" i="7" s="1"/>
  <c r="AK484" i="7"/>
  <c r="AK485" i="7" s="1"/>
  <c r="AK478" i="7"/>
  <c r="AK479" i="7" s="1"/>
  <c r="AK382" i="7"/>
  <c r="AK381" i="7"/>
  <c r="AK380" i="7"/>
  <c r="AK379" i="7"/>
  <c r="AK378" i="7"/>
  <c r="AK377" i="7"/>
  <c r="AK325" i="7"/>
  <c r="AK323" i="7"/>
  <c r="AK319" i="7"/>
  <c r="AK299" i="7"/>
  <c r="AK295" i="7"/>
  <c r="AK395" i="7"/>
  <c r="AK326" i="7"/>
  <c r="AK322" i="7"/>
  <c r="AK320" i="7"/>
  <c r="AK298" i="7"/>
  <c r="AK296" i="7"/>
  <c r="AK275" i="7"/>
  <c r="AK273" i="7"/>
  <c r="AK267" i="7"/>
  <c r="AK272" i="7"/>
  <c r="AK268" i="7"/>
  <c r="AK261" i="7"/>
  <c r="AK248" i="7"/>
  <c r="AK247" i="7"/>
  <c r="AK246" i="7"/>
  <c r="AK245" i="7"/>
  <c r="AK244" i="7"/>
  <c r="AK243" i="7"/>
  <c r="AK40" i="7"/>
  <c r="AK30" i="7"/>
  <c r="AK26" i="7"/>
  <c r="AK25" i="7"/>
  <c r="AK23" i="7"/>
  <c r="AK19" i="7"/>
  <c r="AL2" i="7"/>
  <c r="AL600" i="7" s="1"/>
  <c r="AJ401" i="7"/>
  <c r="AJ409" i="7"/>
  <c r="AJ407" i="7"/>
  <c r="AJ400" i="7"/>
  <c r="AJ404" i="7"/>
  <c r="AJ408" i="7"/>
  <c r="AJ428" i="7"/>
  <c r="AJ432" i="7"/>
  <c r="AJ452" i="7"/>
  <c r="AJ456" i="7"/>
  <c r="AJ460" i="7"/>
  <c r="AJ429" i="7"/>
  <c r="AJ433" i="7"/>
  <c r="AJ453" i="7"/>
  <c r="AJ457" i="7"/>
  <c r="AJ461" i="7"/>
  <c r="AJ565" i="7"/>
  <c r="AJ559" i="7"/>
  <c r="AJ537" i="7" s="1"/>
  <c r="AJ80" i="7" s="1"/>
  <c r="AK592" i="7"/>
  <c r="AJ27" i="7"/>
  <c r="AJ61" i="7"/>
  <c r="AJ621" i="7"/>
  <c r="AJ606" i="7" s="1"/>
  <c r="AJ68" i="7" s="1"/>
  <c r="AJ653" i="7"/>
  <c r="AJ638" i="7" s="1"/>
  <c r="AJ69" i="7" s="1"/>
  <c r="AJ685" i="7"/>
  <c r="AJ670" i="7" s="1"/>
  <c r="AJ70" i="7" s="1"/>
  <c r="AJ405" i="7"/>
  <c r="AJ262" i="7"/>
  <c r="AJ403" i="7"/>
  <c r="AJ402" i="7"/>
  <c r="AJ406" i="7"/>
  <c r="AJ426" i="7"/>
  <c r="AJ430" i="7"/>
  <c r="AJ434" i="7"/>
  <c r="AJ454" i="7"/>
  <c r="AJ458" i="7"/>
  <c r="AJ396" i="7"/>
  <c r="AJ427" i="7"/>
  <c r="AJ431" i="7"/>
  <c r="AJ435" i="7"/>
  <c r="AJ455" i="7"/>
  <c r="AJ459" i="7"/>
  <c r="AI71" i="7"/>
  <c r="B77" i="2"/>
  <c r="C227" i="2"/>
  <c r="C264" i="2"/>
  <c r="C228" i="2"/>
  <c r="C265" i="2"/>
  <c r="C266" i="2"/>
  <c r="C581" i="2"/>
  <c r="B446" i="2"/>
  <c r="E425" i="2" s="1"/>
  <c r="E418" i="2" s="1"/>
  <c r="B312" i="2"/>
  <c r="E291" i="2" s="1"/>
  <c r="C256" i="2"/>
  <c r="C217" i="2"/>
  <c r="A15" i="2"/>
  <c r="A50" i="2" s="1"/>
  <c r="A16" i="2"/>
  <c r="A51" i="2" s="1"/>
  <c r="A17" i="2"/>
  <c r="A52" i="2" s="1"/>
  <c r="A14" i="2"/>
  <c r="A49" i="2" s="1"/>
  <c r="AK548" i="7" l="1"/>
  <c r="AK549" i="7" s="1"/>
  <c r="AL547" i="7"/>
  <c r="AL595" i="7"/>
  <c r="AL546" i="7"/>
  <c r="AL548" i="7" s="1"/>
  <c r="N580" i="7"/>
  <c r="N579" i="7" s="1"/>
  <c r="N576" i="7" s="1"/>
  <c r="N574" i="7"/>
  <c r="AK170" i="7"/>
  <c r="AK134" i="7"/>
  <c r="AK55" i="7"/>
  <c r="AJ539" i="7"/>
  <c r="AJ534" i="7"/>
  <c r="AK579" i="7"/>
  <c r="AK576" i="7" s="1"/>
  <c r="AK585" i="7"/>
  <c r="AL581" i="7"/>
  <c r="AL586" i="7"/>
  <c r="AL580" i="7"/>
  <c r="AL564" i="7"/>
  <c r="AL584" i="7" s="1"/>
  <c r="AL523" i="7"/>
  <c r="AL519" i="7"/>
  <c r="AL515" i="7"/>
  <c r="AL511" i="7"/>
  <c r="AL594" i="7"/>
  <c r="AL593" i="7"/>
  <c r="AL56" i="10"/>
  <c r="AL85" i="10"/>
  <c r="AL86" i="10" s="1"/>
  <c r="AM629" i="10"/>
  <c r="AM625" i="10"/>
  <c r="AM621" i="10"/>
  <c r="AM617" i="10"/>
  <c r="AK594" i="8"/>
  <c r="AK590" i="8"/>
  <c r="AK586" i="8"/>
  <c r="AK582" i="8"/>
  <c r="AK65" i="10"/>
  <c r="AK68" i="10" s="1"/>
  <c r="AK179" i="10" s="1"/>
  <c r="AK196" i="10" s="1"/>
  <c r="AJ179" i="10"/>
  <c r="AJ196" i="10" s="1"/>
  <c r="AL180" i="10"/>
  <c r="AL197" i="10" s="1"/>
  <c r="AL141" i="10"/>
  <c r="AL153" i="10" s="1"/>
  <c r="AL249" i="10"/>
  <c r="AL221" i="10"/>
  <c r="AH122" i="10"/>
  <c r="AL59" i="10"/>
  <c r="AN11" i="10"/>
  <c r="AM41" i="10"/>
  <c r="AM183" i="10" s="1"/>
  <c r="AM200" i="10" s="1"/>
  <c r="AM645" i="10"/>
  <c r="AM181" i="10" s="1"/>
  <c r="AM198" i="10" s="1"/>
  <c r="AL666" i="10"/>
  <c r="AL651" i="10" s="1"/>
  <c r="AL730" i="10"/>
  <c r="AL715" i="10" s="1"/>
  <c r="AL67" i="10" s="1"/>
  <c r="AL698" i="10"/>
  <c r="AL683" i="10" s="1"/>
  <c r="AL66" i="10" s="1"/>
  <c r="AK118" i="10"/>
  <c r="AM741" i="10"/>
  <c r="AM740" i="10"/>
  <c r="AM739" i="10"/>
  <c r="AM738" i="10"/>
  <c r="AM737" i="10"/>
  <c r="AM736" i="10"/>
  <c r="AM735" i="10"/>
  <c r="AM734" i="10"/>
  <c r="AM732" i="10"/>
  <c r="AM729" i="10"/>
  <c r="AM432" i="10" s="1"/>
  <c r="AM728" i="10"/>
  <c r="AM431" i="10" s="1"/>
  <c r="AM727" i="10"/>
  <c r="AM430" i="10" s="1"/>
  <c r="AM726" i="10"/>
  <c r="AM725" i="10"/>
  <c r="AM428" i="10" s="1"/>
  <c r="AM724" i="10"/>
  <c r="AM723" i="10"/>
  <c r="AM426" i="10" s="1"/>
  <c r="AM722" i="10"/>
  <c r="AM721" i="10"/>
  <c r="AM424" i="10" s="1"/>
  <c r="AM697" i="10"/>
  <c r="AM696" i="10"/>
  <c r="AM405" i="10" s="1"/>
  <c r="AM695" i="10"/>
  <c r="AM694" i="10"/>
  <c r="AM403" i="10" s="1"/>
  <c r="AM693" i="10"/>
  <c r="AM402" i="10" s="1"/>
  <c r="AM692" i="10"/>
  <c r="AM691" i="10"/>
  <c r="AM690" i="10"/>
  <c r="AM720" i="10"/>
  <c r="AM423" i="10" s="1"/>
  <c r="AM709" i="10"/>
  <c r="AM708" i="10"/>
  <c r="AM707" i="10"/>
  <c r="AM706" i="10"/>
  <c r="AM705" i="10"/>
  <c r="AM704" i="10"/>
  <c r="AM703" i="10"/>
  <c r="AM701" i="10"/>
  <c r="AM700" i="10"/>
  <c r="AM665" i="10"/>
  <c r="AM664" i="10"/>
  <c r="AM380" i="10" s="1"/>
  <c r="AM663" i="10"/>
  <c r="AM379" i="10" s="1"/>
  <c r="AM662" i="10"/>
  <c r="AM378" i="10" s="1"/>
  <c r="AM661" i="10"/>
  <c r="AM660" i="10"/>
  <c r="AM376" i="10" s="1"/>
  <c r="AM659" i="10"/>
  <c r="AM689" i="10"/>
  <c r="AM688" i="10"/>
  <c r="AM677" i="10"/>
  <c r="AM676" i="10"/>
  <c r="AM675" i="10"/>
  <c r="AM674" i="10"/>
  <c r="AM673" i="10"/>
  <c r="AM672" i="10"/>
  <c r="AM670" i="10"/>
  <c r="AM669" i="10"/>
  <c r="AM668" i="10"/>
  <c r="AM657" i="10"/>
  <c r="AM373" i="10" s="1"/>
  <c r="AM590" i="10"/>
  <c r="AM591" i="10" s="1"/>
  <c r="AM584" i="10"/>
  <c r="AM585" i="10" s="1"/>
  <c r="AM658" i="10"/>
  <c r="AM374" i="10" s="1"/>
  <c r="AM656" i="10"/>
  <c r="AM488" i="10"/>
  <c r="AM487" i="10"/>
  <c r="AM486" i="10"/>
  <c r="AM485" i="10"/>
  <c r="AM484" i="10"/>
  <c r="AM483" i="10"/>
  <c r="AM429" i="10"/>
  <c r="AM427" i="10"/>
  <c r="AM425" i="10"/>
  <c r="AM401" i="10"/>
  <c r="AM399" i="10"/>
  <c r="AM397" i="10"/>
  <c r="AM372" i="10"/>
  <c r="AM367" i="10"/>
  <c r="AM501" i="10"/>
  <c r="AM406" i="10"/>
  <c r="AM404" i="10"/>
  <c r="AM400" i="10"/>
  <c r="AM398" i="10"/>
  <c r="AM381" i="10"/>
  <c r="AM377" i="10"/>
  <c r="AM375" i="10"/>
  <c r="AM354" i="10"/>
  <c r="AM353" i="10"/>
  <c r="AM352" i="10"/>
  <c r="AM351" i="10"/>
  <c r="AM350" i="10"/>
  <c r="AM349" i="10"/>
  <c r="AM30" i="10"/>
  <c r="AM26" i="10"/>
  <c r="AM25" i="10"/>
  <c r="AM23" i="10"/>
  <c r="AM19" i="10"/>
  <c r="AM40" i="10"/>
  <c r="AN2" i="10"/>
  <c r="AN639" i="10" s="1"/>
  <c r="AL508" i="10"/>
  <c r="AL512" i="10"/>
  <c r="AL532" i="10"/>
  <c r="AL536" i="10"/>
  <c r="AL540" i="10"/>
  <c r="AL560" i="10"/>
  <c r="AL564" i="10"/>
  <c r="AL502" i="10"/>
  <c r="AL368" i="10"/>
  <c r="AL507" i="10"/>
  <c r="AL511" i="10"/>
  <c r="AL515" i="10"/>
  <c r="AL535" i="10"/>
  <c r="AL539" i="10"/>
  <c r="AL559" i="10"/>
  <c r="AL563" i="10"/>
  <c r="AL567" i="10"/>
  <c r="AL27" i="10"/>
  <c r="AG122" i="10"/>
  <c r="AL506" i="10"/>
  <c r="AL510" i="10"/>
  <c r="AL514" i="10"/>
  <c r="AL534" i="10"/>
  <c r="AL538" i="10"/>
  <c r="AL558" i="10"/>
  <c r="AL562" i="10"/>
  <c r="AL566" i="10"/>
  <c r="AL509" i="10"/>
  <c r="AL513" i="10"/>
  <c r="AL533" i="10"/>
  <c r="AL537" i="10"/>
  <c r="AL541" i="10"/>
  <c r="AL561" i="10"/>
  <c r="AL565" i="10"/>
  <c r="AL11" i="8"/>
  <c r="AJ657" i="8"/>
  <c r="AJ642" i="8" s="1"/>
  <c r="AJ61" i="8" s="1"/>
  <c r="AJ625" i="8"/>
  <c r="AJ610" i="8" s="1"/>
  <c r="AJ60" i="8" s="1"/>
  <c r="AJ689" i="8"/>
  <c r="AJ674" i="8" s="1"/>
  <c r="AJ62" i="8" s="1"/>
  <c r="AI72" i="8"/>
  <c r="AK700" i="8"/>
  <c r="AK699" i="8"/>
  <c r="AK698" i="8"/>
  <c r="AK697" i="8"/>
  <c r="AK696" i="8"/>
  <c r="AK695" i="8"/>
  <c r="AK694" i="8"/>
  <c r="AK693" i="8"/>
  <c r="AK691" i="8"/>
  <c r="AK688" i="8"/>
  <c r="AK397" i="8" s="1"/>
  <c r="AK687" i="8"/>
  <c r="AK686" i="8"/>
  <c r="AK685" i="8"/>
  <c r="AK394" i="8" s="1"/>
  <c r="AK684" i="8"/>
  <c r="AK683" i="8"/>
  <c r="AK392" i="8" s="1"/>
  <c r="AK682" i="8"/>
  <c r="AK681" i="8"/>
  <c r="AK390" i="8" s="1"/>
  <c r="AK680" i="8"/>
  <c r="AK389" i="8" s="1"/>
  <c r="AK679" i="8"/>
  <c r="AK388" i="8" s="1"/>
  <c r="AK668" i="8"/>
  <c r="AK666" i="8"/>
  <c r="AK664" i="8"/>
  <c r="AK662" i="8"/>
  <c r="AK656" i="8"/>
  <c r="AK655" i="8"/>
  <c r="AK370" i="8" s="1"/>
  <c r="AK654" i="8"/>
  <c r="AK653" i="8"/>
  <c r="AK368" i="8" s="1"/>
  <c r="AK652" i="8"/>
  <c r="AK651" i="8"/>
  <c r="AK366" i="8" s="1"/>
  <c r="AK650" i="8"/>
  <c r="AK365" i="8" s="1"/>
  <c r="AK649" i="8"/>
  <c r="AK364" i="8" s="1"/>
  <c r="AK648" i="8"/>
  <c r="AK647" i="8"/>
  <c r="AK362" i="8" s="1"/>
  <c r="AK667" i="8"/>
  <c r="AK665" i="8"/>
  <c r="AK663" i="8"/>
  <c r="AK660" i="8"/>
  <c r="AK659" i="8"/>
  <c r="AK624" i="8"/>
  <c r="AK623" i="8"/>
  <c r="AK622" i="8"/>
  <c r="AK344" i="8" s="1"/>
  <c r="AK621" i="8"/>
  <c r="AK620" i="8"/>
  <c r="AK342" i="8" s="1"/>
  <c r="AK619" i="8"/>
  <c r="AK618" i="8"/>
  <c r="AK340" i="8" s="1"/>
  <c r="AK617" i="8"/>
  <c r="AK339" i="8" s="1"/>
  <c r="AK616" i="8"/>
  <c r="AK338" i="8" s="1"/>
  <c r="AK615" i="8"/>
  <c r="AK636" i="8"/>
  <c r="AK635" i="8"/>
  <c r="AK634" i="8"/>
  <c r="AK633" i="8"/>
  <c r="AK632" i="8"/>
  <c r="AK631" i="8"/>
  <c r="AK630" i="8"/>
  <c r="AK628" i="8"/>
  <c r="AK627" i="8"/>
  <c r="AK604" i="8"/>
  <c r="AK555" i="8"/>
  <c r="AK556" i="8" s="1"/>
  <c r="AK549" i="8"/>
  <c r="AK550" i="8" s="1"/>
  <c r="AK453" i="8"/>
  <c r="AK452" i="8"/>
  <c r="AK451" i="8"/>
  <c r="AK450" i="8"/>
  <c r="AK449" i="8"/>
  <c r="AK448" i="8"/>
  <c r="AK396" i="8"/>
  <c r="AK345" i="8"/>
  <c r="AK343" i="8"/>
  <c r="AK341" i="8"/>
  <c r="AK466" i="8"/>
  <c r="AK395" i="8"/>
  <c r="AK393" i="8"/>
  <c r="AK391" i="8"/>
  <c r="AK371" i="8"/>
  <c r="AK369" i="8"/>
  <c r="AK367" i="8"/>
  <c r="AK363" i="8"/>
  <c r="AK346" i="8"/>
  <c r="AK337" i="8"/>
  <c r="AK332" i="8"/>
  <c r="AK319" i="8"/>
  <c r="AK318" i="8"/>
  <c r="AK317" i="8"/>
  <c r="AK316" i="8"/>
  <c r="AK315" i="8"/>
  <c r="AK314" i="8"/>
  <c r="AK30" i="8"/>
  <c r="AK26" i="8"/>
  <c r="AK25" i="8"/>
  <c r="AK23" i="8"/>
  <c r="AK19" i="8"/>
  <c r="AK40" i="8"/>
  <c r="AL2" i="8"/>
  <c r="AJ333" i="8"/>
  <c r="AJ474" i="8"/>
  <c r="AJ471" i="8"/>
  <c r="AJ475" i="8"/>
  <c r="AJ479" i="8"/>
  <c r="AJ499" i="8"/>
  <c r="AJ503" i="8"/>
  <c r="AJ523" i="8"/>
  <c r="AJ527" i="8"/>
  <c r="AJ531" i="8"/>
  <c r="AJ478" i="8"/>
  <c r="AJ498" i="8"/>
  <c r="AJ502" i="8"/>
  <c r="AJ506" i="8"/>
  <c r="AJ526" i="8"/>
  <c r="AJ530" i="8"/>
  <c r="AJ27" i="8"/>
  <c r="AH271" i="8"/>
  <c r="AH272" i="8" s="1"/>
  <c r="AJ472" i="8"/>
  <c r="AJ473" i="8"/>
  <c r="AJ477" i="8"/>
  <c r="AJ497" i="8"/>
  <c r="AJ501" i="8"/>
  <c r="AJ505" i="8"/>
  <c r="AJ525" i="8"/>
  <c r="AJ529" i="8"/>
  <c r="AJ467" i="8"/>
  <c r="AJ476" i="8"/>
  <c r="AJ480" i="8"/>
  <c r="AJ500" i="8"/>
  <c r="AJ504" i="8"/>
  <c r="AJ524" i="8"/>
  <c r="AJ528" i="8"/>
  <c r="AJ532" i="8"/>
  <c r="AI63" i="8"/>
  <c r="AH233" i="8"/>
  <c r="AH234" i="8" s="1"/>
  <c r="AK685" i="7"/>
  <c r="AK670" i="7" s="1"/>
  <c r="AK70" i="7" s="1"/>
  <c r="AM11" i="7"/>
  <c r="AL566" i="7"/>
  <c r="AL560" i="7"/>
  <c r="AL538" i="7" s="1"/>
  <c r="AL551" i="7"/>
  <c r="AL550" i="7"/>
  <c r="AL561" i="7" s="1"/>
  <c r="AL544" i="7"/>
  <c r="AL543" i="7"/>
  <c r="AK27" i="7"/>
  <c r="AK400" i="7"/>
  <c r="AK408" i="7"/>
  <c r="AK406" i="7"/>
  <c r="AK403" i="7"/>
  <c r="AK407" i="7"/>
  <c r="AK427" i="7"/>
  <c r="AK431" i="7"/>
  <c r="AK435" i="7"/>
  <c r="AK455" i="7"/>
  <c r="AK459" i="7"/>
  <c r="AK428" i="7"/>
  <c r="AK432" i="7"/>
  <c r="AK452" i="7"/>
  <c r="AK456" i="7"/>
  <c r="AK460" i="7"/>
  <c r="AK565" i="7"/>
  <c r="AK559" i="7"/>
  <c r="AK537" i="7" s="1"/>
  <c r="AK80" i="7" s="1"/>
  <c r="AL592" i="7"/>
  <c r="AJ556" i="7"/>
  <c r="AJ81" i="7"/>
  <c r="AL696" i="7"/>
  <c r="AL695" i="7"/>
  <c r="AL694" i="7"/>
  <c r="AL693" i="7"/>
  <c r="AL692" i="7"/>
  <c r="AL691" i="7"/>
  <c r="AL690" i="7"/>
  <c r="AL689" i="7"/>
  <c r="AL687" i="7"/>
  <c r="AL684" i="7"/>
  <c r="AL326" i="7" s="1"/>
  <c r="AL683" i="7"/>
  <c r="AL682" i="7"/>
  <c r="AL681" i="7"/>
  <c r="AL323" i="7" s="1"/>
  <c r="AL680" i="7"/>
  <c r="AL322" i="7" s="1"/>
  <c r="AL679" i="7"/>
  <c r="AL678" i="7"/>
  <c r="AL677" i="7"/>
  <c r="AL319" i="7" s="1"/>
  <c r="AL676" i="7"/>
  <c r="AL318" i="7" s="1"/>
  <c r="AL675" i="7"/>
  <c r="AL664" i="7"/>
  <c r="AL663" i="7"/>
  <c r="AL662" i="7"/>
  <c r="AL661" i="7"/>
  <c r="AL660" i="7"/>
  <c r="AL659" i="7"/>
  <c r="AL658" i="7"/>
  <c r="AL656" i="7"/>
  <c r="AL655" i="7"/>
  <c r="AL652" i="7"/>
  <c r="AL300" i="7" s="1"/>
  <c r="AL651" i="7"/>
  <c r="AL299" i="7" s="1"/>
  <c r="AL650" i="7"/>
  <c r="AL649" i="7"/>
  <c r="AL648" i="7"/>
  <c r="AL296" i="7" s="1"/>
  <c r="AL647" i="7"/>
  <c r="AL295" i="7" s="1"/>
  <c r="AL646" i="7"/>
  <c r="AL645" i="7"/>
  <c r="AL644" i="7"/>
  <c r="AL292" i="7" s="1"/>
  <c r="AL643" i="7"/>
  <c r="AL291" i="7" s="1"/>
  <c r="AL632" i="7"/>
  <c r="AL631" i="7"/>
  <c r="AL630" i="7"/>
  <c r="AL629" i="7"/>
  <c r="AL628" i="7"/>
  <c r="AL627" i="7"/>
  <c r="AL626" i="7"/>
  <c r="AL624" i="7"/>
  <c r="AL623" i="7"/>
  <c r="AL620" i="7"/>
  <c r="AL619" i="7"/>
  <c r="AL274" i="7" s="1"/>
  <c r="AL618" i="7"/>
  <c r="AL273" i="7" s="1"/>
  <c r="AL617" i="7"/>
  <c r="AL272" i="7" s="1"/>
  <c r="AL616" i="7"/>
  <c r="AL615" i="7"/>
  <c r="AL270" i="7" s="1"/>
  <c r="AL614" i="7"/>
  <c r="AL269" i="7" s="1"/>
  <c r="AL613" i="7"/>
  <c r="AL268" i="7" s="1"/>
  <c r="AL612" i="7"/>
  <c r="AL267" i="7" s="1"/>
  <c r="AL611" i="7"/>
  <c r="AL266" i="7" s="1"/>
  <c r="AL484" i="7"/>
  <c r="AL485" i="7" s="1"/>
  <c r="AL478" i="7"/>
  <c r="AL479" i="7" s="1"/>
  <c r="AL395" i="7"/>
  <c r="AL324" i="7"/>
  <c r="AL320" i="7"/>
  <c r="AL298" i="7"/>
  <c r="AL294" i="7"/>
  <c r="AL382" i="7"/>
  <c r="AL381" i="7"/>
  <c r="AL380" i="7"/>
  <c r="AL379" i="7"/>
  <c r="AL378" i="7"/>
  <c r="AL377" i="7"/>
  <c r="AL325" i="7"/>
  <c r="AL321" i="7"/>
  <c r="AL317" i="7"/>
  <c r="AL297" i="7"/>
  <c r="AL293" i="7"/>
  <c r="AL261" i="7"/>
  <c r="AL275" i="7"/>
  <c r="AL271" i="7"/>
  <c r="AL248" i="7"/>
  <c r="AL247" i="7"/>
  <c r="AL246" i="7"/>
  <c r="AL245" i="7"/>
  <c r="AL244" i="7"/>
  <c r="AL243" i="7"/>
  <c r="AL30" i="7"/>
  <c r="AL26" i="7"/>
  <c r="AL25" i="7"/>
  <c r="AL23" i="7"/>
  <c r="AL19" i="7"/>
  <c r="AL40" i="7"/>
  <c r="AM2" i="7"/>
  <c r="AM600" i="7" s="1"/>
  <c r="AK262" i="7"/>
  <c r="AK404" i="7"/>
  <c r="AK402" i="7"/>
  <c r="AK401" i="7"/>
  <c r="AK405" i="7"/>
  <c r="AK409" i="7"/>
  <c r="AK429" i="7"/>
  <c r="AK433" i="7"/>
  <c r="AK453" i="7"/>
  <c r="AK457" i="7"/>
  <c r="AK461" i="7"/>
  <c r="AK426" i="7"/>
  <c r="AK430" i="7"/>
  <c r="AK434" i="7"/>
  <c r="AK454" i="7"/>
  <c r="AK458" i="7"/>
  <c r="AK396" i="7"/>
  <c r="AJ71" i="7"/>
  <c r="AK61" i="7"/>
  <c r="AK621" i="7"/>
  <c r="AK606" i="7" s="1"/>
  <c r="AK68" i="7" s="1"/>
  <c r="AK653" i="7"/>
  <c r="AK638" i="7" s="1"/>
  <c r="AK69" i="7" s="1"/>
  <c r="C229" i="2"/>
  <c r="C268" i="2"/>
  <c r="C2" i="2"/>
  <c r="C674" i="2" s="1"/>
  <c r="AM595" i="7" l="1"/>
  <c r="AM546" i="7"/>
  <c r="AM547" i="7"/>
  <c r="N577" i="7"/>
  <c r="O574" i="7" s="1"/>
  <c r="AL170" i="7"/>
  <c r="AL134" i="7"/>
  <c r="AL55" i="7"/>
  <c r="AK534" i="7"/>
  <c r="AK539" i="7"/>
  <c r="AL585" i="7"/>
  <c r="AL579" i="7"/>
  <c r="AL576" i="7" s="1"/>
  <c r="AM586" i="7"/>
  <c r="AM580" i="7"/>
  <c r="AM581" i="7"/>
  <c r="AM564" i="7"/>
  <c r="AM584" i="7" s="1"/>
  <c r="AL549" i="7"/>
  <c r="AM523" i="7"/>
  <c r="AM519" i="7"/>
  <c r="AM515" i="7"/>
  <c r="AM511" i="7"/>
  <c r="AM594" i="7"/>
  <c r="AM593" i="7"/>
  <c r="C597" i="2"/>
  <c r="C593" i="2"/>
  <c r="C589" i="2"/>
  <c r="C585" i="2"/>
  <c r="AM85" i="10"/>
  <c r="AM86" i="10" s="1"/>
  <c r="AM56" i="10"/>
  <c r="AK75" i="10"/>
  <c r="AN629" i="10"/>
  <c r="AN625" i="10"/>
  <c r="AN621" i="10"/>
  <c r="AN617" i="10"/>
  <c r="AL582" i="8"/>
  <c r="AL594" i="8"/>
  <c r="AL590" i="8"/>
  <c r="AL586" i="8"/>
  <c r="AL65" i="10"/>
  <c r="AL68" i="10" s="1"/>
  <c r="AL75" i="10" s="1"/>
  <c r="AM180" i="10"/>
  <c r="AM197" i="10" s="1"/>
  <c r="AM141" i="10"/>
  <c r="AM153" i="10" s="1"/>
  <c r="AM249" i="10"/>
  <c r="AM221" i="10"/>
  <c r="AM59" i="10"/>
  <c r="AM730" i="10"/>
  <c r="AM715" i="10" s="1"/>
  <c r="AM67" i="10" s="1"/>
  <c r="AM666" i="10"/>
  <c r="AM651" i="10" s="1"/>
  <c r="AO11" i="10"/>
  <c r="AN645" i="10"/>
  <c r="AN181" i="10" s="1"/>
  <c r="AN198" i="10" s="1"/>
  <c r="AN41" i="10"/>
  <c r="AN183" i="10" s="1"/>
  <c r="AN200" i="10" s="1"/>
  <c r="AL118" i="10"/>
  <c r="AM368" i="10"/>
  <c r="AM507" i="10"/>
  <c r="AM511" i="10"/>
  <c r="AM515" i="10"/>
  <c r="AM535" i="10"/>
  <c r="AM539" i="10"/>
  <c r="AM559" i="10"/>
  <c r="AM563" i="10"/>
  <c r="AM567" i="10"/>
  <c r="AM508" i="10"/>
  <c r="AM512" i="10"/>
  <c r="AM532" i="10"/>
  <c r="AM536" i="10"/>
  <c r="AM540" i="10"/>
  <c r="AM560" i="10"/>
  <c r="AM564" i="10"/>
  <c r="AM502" i="10"/>
  <c r="AM27" i="10"/>
  <c r="AM698" i="10"/>
  <c r="AM683" i="10" s="1"/>
  <c r="AM66" i="10" s="1"/>
  <c r="AN741" i="10"/>
  <c r="AN740" i="10"/>
  <c r="AN739" i="10"/>
  <c r="AN738" i="10"/>
  <c r="AN737" i="10"/>
  <c r="AN736" i="10"/>
  <c r="AN735" i="10"/>
  <c r="AN734" i="10"/>
  <c r="AN732" i="10"/>
  <c r="AN729" i="10"/>
  <c r="AN728" i="10"/>
  <c r="AN727" i="10"/>
  <c r="AN430" i="10" s="1"/>
  <c r="AN726" i="10"/>
  <c r="AN725" i="10"/>
  <c r="AN724" i="10"/>
  <c r="AN427" i="10" s="1"/>
  <c r="AN723" i="10"/>
  <c r="AN722" i="10"/>
  <c r="AN721" i="10"/>
  <c r="AN720" i="10"/>
  <c r="AN709" i="10"/>
  <c r="AN708" i="10"/>
  <c r="AN707" i="10"/>
  <c r="AN706" i="10"/>
  <c r="AN705" i="10"/>
  <c r="AN704" i="10"/>
  <c r="AN703" i="10"/>
  <c r="AN701" i="10"/>
  <c r="AN700" i="10"/>
  <c r="AN697" i="10"/>
  <c r="AN696" i="10"/>
  <c r="AN695" i="10"/>
  <c r="AN694" i="10"/>
  <c r="AN403" i="10" s="1"/>
  <c r="AN693" i="10"/>
  <c r="AN692" i="10"/>
  <c r="AN691" i="10"/>
  <c r="AN400" i="10" s="1"/>
  <c r="AN690" i="10"/>
  <c r="AN399" i="10" s="1"/>
  <c r="AN689" i="10"/>
  <c r="AN688" i="10"/>
  <c r="AN677" i="10"/>
  <c r="AN676" i="10"/>
  <c r="AN675" i="10"/>
  <c r="AN674" i="10"/>
  <c r="AN673" i="10"/>
  <c r="AN672" i="10"/>
  <c r="AN670" i="10"/>
  <c r="AN669" i="10"/>
  <c r="AN668" i="10"/>
  <c r="AN665" i="10"/>
  <c r="AN381" i="10" s="1"/>
  <c r="AN664" i="10"/>
  <c r="AN663" i="10"/>
  <c r="AN662" i="10"/>
  <c r="AN378" i="10" s="1"/>
  <c r="AN661" i="10"/>
  <c r="AN377" i="10" s="1"/>
  <c r="AN660" i="10"/>
  <c r="AN659" i="10"/>
  <c r="AN375" i="10" s="1"/>
  <c r="AN658" i="10"/>
  <c r="AN657" i="10"/>
  <c r="AN373" i="10" s="1"/>
  <c r="AN656" i="10"/>
  <c r="AN590" i="10"/>
  <c r="AN591" i="10" s="1"/>
  <c r="AN584" i="10"/>
  <c r="AN585" i="10" s="1"/>
  <c r="AN501" i="10"/>
  <c r="AN432" i="10"/>
  <c r="AN428" i="10"/>
  <c r="AN426" i="10"/>
  <c r="AN424" i="10"/>
  <c r="AN406" i="10"/>
  <c r="AN404" i="10"/>
  <c r="AN402" i="10"/>
  <c r="AN398" i="10"/>
  <c r="AN379" i="10"/>
  <c r="AN354" i="10"/>
  <c r="AN353" i="10"/>
  <c r="AN352" i="10"/>
  <c r="AN351" i="10"/>
  <c r="AN350" i="10"/>
  <c r="AN349" i="10"/>
  <c r="AN488" i="10"/>
  <c r="AN487" i="10"/>
  <c r="AN486" i="10"/>
  <c r="AN485" i="10"/>
  <c r="AN484" i="10"/>
  <c r="AN483" i="10"/>
  <c r="AN431" i="10"/>
  <c r="AN429" i="10"/>
  <c r="AN425" i="10"/>
  <c r="AN423" i="10"/>
  <c r="AN405" i="10"/>
  <c r="AN401" i="10"/>
  <c r="AN397" i="10"/>
  <c r="AN380" i="10"/>
  <c r="AN376" i="10"/>
  <c r="AN374" i="10"/>
  <c r="AN372" i="10"/>
  <c r="AN367" i="10"/>
  <c r="AN40" i="10"/>
  <c r="AO2" i="10"/>
  <c r="AO639" i="10" s="1"/>
  <c r="AN30" i="10"/>
  <c r="AN26" i="10"/>
  <c r="AN25" i="10"/>
  <c r="AN23" i="10"/>
  <c r="AN19" i="10"/>
  <c r="AM509" i="10"/>
  <c r="AM513" i="10"/>
  <c r="AM533" i="10"/>
  <c r="AM537" i="10"/>
  <c r="AM541" i="10"/>
  <c r="AM561" i="10"/>
  <c r="AM565" i="10"/>
  <c r="AM506" i="10"/>
  <c r="AM510" i="10"/>
  <c r="AM514" i="10"/>
  <c r="AM534" i="10"/>
  <c r="AM538" i="10"/>
  <c r="AM558" i="10"/>
  <c r="AM562" i="10"/>
  <c r="AM566" i="10"/>
  <c r="AM11" i="8"/>
  <c r="AL621" i="7"/>
  <c r="AL606" i="7" s="1"/>
  <c r="AL68" i="7" s="1"/>
  <c r="AL685" i="7"/>
  <c r="AL670" i="7" s="1"/>
  <c r="AL70" i="7" s="1"/>
  <c r="AK27" i="8"/>
  <c r="AK657" i="8"/>
  <c r="AK642" i="8" s="1"/>
  <c r="AK61" i="8" s="1"/>
  <c r="AJ63" i="8"/>
  <c r="AK689" i="8"/>
  <c r="AK674" i="8" s="1"/>
  <c r="AK62" i="8" s="1"/>
  <c r="AI271" i="8"/>
  <c r="AI272" i="8" s="1"/>
  <c r="AK625" i="8"/>
  <c r="AK610" i="8" s="1"/>
  <c r="AK60" i="8" s="1"/>
  <c r="AJ72" i="8"/>
  <c r="AK471" i="8"/>
  <c r="AK472" i="8"/>
  <c r="AK476" i="8"/>
  <c r="AK480" i="8"/>
  <c r="AK500" i="8"/>
  <c r="AK504" i="8"/>
  <c r="AK524" i="8"/>
  <c r="AK528" i="8"/>
  <c r="AK532" i="8"/>
  <c r="AK475" i="8"/>
  <c r="AK479" i="8"/>
  <c r="AK499" i="8"/>
  <c r="AK503" i="8"/>
  <c r="AK523" i="8"/>
  <c r="AK527" i="8"/>
  <c r="AK531" i="8"/>
  <c r="AI233" i="8"/>
  <c r="AI234" i="8" s="1"/>
  <c r="AL700" i="8"/>
  <c r="AL699" i="8"/>
  <c r="AL698" i="8"/>
  <c r="AL697" i="8"/>
  <c r="AL696" i="8"/>
  <c r="AL695" i="8"/>
  <c r="AL694" i="8"/>
  <c r="AL693" i="8"/>
  <c r="AL691" i="8"/>
  <c r="AL688" i="8"/>
  <c r="AL687" i="8"/>
  <c r="AL686" i="8"/>
  <c r="AL395" i="8" s="1"/>
  <c r="AL685" i="8"/>
  <c r="AL394" i="8" s="1"/>
  <c r="AL684" i="8"/>
  <c r="AL683" i="8"/>
  <c r="AL682" i="8"/>
  <c r="AL681" i="8"/>
  <c r="AL390" i="8" s="1"/>
  <c r="AL680" i="8"/>
  <c r="AL679" i="8"/>
  <c r="AL668" i="8"/>
  <c r="AL667" i="8"/>
  <c r="AL666" i="8"/>
  <c r="AL665" i="8"/>
  <c r="AL664" i="8"/>
  <c r="AL663" i="8"/>
  <c r="AL662" i="8"/>
  <c r="AL660" i="8"/>
  <c r="AL659" i="8"/>
  <c r="AL656" i="8"/>
  <c r="AL371" i="8" s="1"/>
  <c r="AL655" i="8"/>
  <c r="AL370" i="8" s="1"/>
  <c r="AL654" i="8"/>
  <c r="AL653" i="8"/>
  <c r="AL652" i="8"/>
  <c r="AL651" i="8"/>
  <c r="AL650" i="8"/>
  <c r="AL649" i="8"/>
  <c r="AL364" i="8" s="1"/>
  <c r="AL648" i="8"/>
  <c r="AL363" i="8" s="1"/>
  <c r="AL647" i="8"/>
  <c r="AL362" i="8" s="1"/>
  <c r="AL636" i="8"/>
  <c r="AL635" i="8"/>
  <c r="AL634" i="8"/>
  <c r="AL633" i="8"/>
  <c r="AL632" i="8"/>
  <c r="AL631" i="8"/>
  <c r="AL630" i="8"/>
  <c r="AL628" i="8"/>
  <c r="AL627" i="8"/>
  <c r="AL624" i="8"/>
  <c r="AL623" i="8"/>
  <c r="AL345" i="8" s="1"/>
  <c r="AL622" i="8"/>
  <c r="AL344" i="8" s="1"/>
  <c r="AL621" i="8"/>
  <c r="AL620" i="8"/>
  <c r="AL342" i="8" s="1"/>
  <c r="AL619" i="8"/>
  <c r="AL618" i="8"/>
  <c r="AL340" i="8" s="1"/>
  <c r="AL617" i="8"/>
  <c r="AL339" i="8" s="1"/>
  <c r="AL616" i="8"/>
  <c r="AL615" i="8"/>
  <c r="AL337" i="8" s="1"/>
  <c r="AL555" i="8"/>
  <c r="AL556" i="8" s="1"/>
  <c r="AL549" i="8"/>
  <c r="AL550" i="8" s="1"/>
  <c r="AL604" i="8"/>
  <c r="AL466" i="8"/>
  <c r="AL397" i="8"/>
  <c r="AL393" i="8"/>
  <c r="AL391" i="8"/>
  <c r="AL389" i="8"/>
  <c r="AL369" i="8"/>
  <c r="AL367" i="8"/>
  <c r="AL365" i="8"/>
  <c r="AL346" i="8"/>
  <c r="AL453" i="8"/>
  <c r="AL452" i="8"/>
  <c r="AL451" i="8"/>
  <c r="AL450" i="8"/>
  <c r="AL449" i="8"/>
  <c r="AL448" i="8"/>
  <c r="AL396" i="8"/>
  <c r="AL392" i="8"/>
  <c r="AL388" i="8"/>
  <c r="AL368" i="8"/>
  <c r="AL366" i="8"/>
  <c r="AL343" i="8"/>
  <c r="AL341" i="8"/>
  <c r="AL332" i="8"/>
  <c r="AL338" i="8"/>
  <c r="AL319" i="8"/>
  <c r="AL318" i="8"/>
  <c r="AL317" i="8"/>
  <c r="AL316" i="8"/>
  <c r="AL315" i="8"/>
  <c r="AL314" i="8"/>
  <c r="AL40" i="8"/>
  <c r="AM2" i="8"/>
  <c r="AL30" i="8"/>
  <c r="AL26" i="8"/>
  <c r="AL25" i="8"/>
  <c r="AL23" i="8"/>
  <c r="AL19" i="8"/>
  <c r="AK333" i="8"/>
  <c r="AK473" i="8"/>
  <c r="AK474" i="8"/>
  <c r="AK478" i="8"/>
  <c r="AK498" i="8"/>
  <c r="AK502" i="8"/>
  <c r="AK506" i="8"/>
  <c r="AK526" i="8"/>
  <c r="AK530" i="8"/>
  <c r="AK477" i="8"/>
  <c r="AK497" i="8"/>
  <c r="AK501" i="8"/>
  <c r="AK505" i="8"/>
  <c r="AK525" i="8"/>
  <c r="AK529" i="8"/>
  <c r="AK467" i="8"/>
  <c r="AM566" i="7"/>
  <c r="AM560" i="7"/>
  <c r="AM538" i="7" s="1"/>
  <c r="AM551" i="7"/>
  <c r="AM550" i="7"/>
  <c r="AM561" i="7" s="1"/>
  <c r="AM544" i="7"/>
  <c r="AM543" i="7"/>
  <c r="AN11" i="7"/>
  <c r="AL27" i="7"/>
  <c r="AL653" i="7"/>
  <c r="AL638" i="7" s="1"/>
  <c r="AL69" i="7" s="1"/>
  <c r="AL61" i="7"/>
  <c r="AM696" i="7"/>
  <c r="AM695" i="7"/>
  <c r="AM694" i="7"/>
  <c r="AM693" i="7"/>
  <c r="AM692" i="7"/>
  <c r="AM691" i="7"/>
  <c r="AM690" i="7"/>
  <c r="AM689" i="7"/>
  <c r="AM687" i="7"/>
  <c r="AM684" i="7"/>
  <c r="AM326" i="7" s="1"/>
  <c r="AM683" i="7"/>
  <c r="AM325" i="7" s="1"/>
  <c r="AM682" i="7"/>
  <c r="AM681" i="7"/>
  <c r="AM680" i="7"/>
  <c r="AM679" i="7"/>
  <c r="AM678" i="7"/>
  <c r="AM677" i="7"/>
  <c r="AM319" i="7" s="1"/>
  <c r="AM675" i="7"/>
  <c r="AM317" i="7" s="1"/>
  <c r="AM652" i="7"/>
  <c r="AM300" i="7" s="1"/>
  <c r="AM651" i="7"/>
  <c r="AM650" i="7"/>
  <c r="AM649" i="7"/>
  <c r="AM297" i="7" s="1"/>
  <c r="AM648" i="7"/>
  <c r="AM647" i="7"/>
  <c r="AM646" i="7"/>
  <c r="AM294" i="7" s="1"/>
  <c r="AM676" i="7"/>
  <c r="AM318" i="7" s="1"/>
  <c r="AM664" i="7"/>
  <c r="AM663" i="7"/>
  <c r="AM662" i="7"/>
  <c r="AM661" i="7"/>
  <c r="AM660" i="7"/>
  <c r="AM659" i="7"/>
  <c r="AM658" i="7"/>
  <c r="AM656" i="7"/>
  <c r="AM655" i="7"/>
  <c r="AM620" i="7"/>
  <c r="AM619" i="7"/>
  <c r="AM274" i="7" s="1"/>
  <c r="AM618" i="7"/>
  <c r="AM273" i="7" s="1"/>
  <c r="AM617" i="7"/>
  <c r="AM616" i="7"/>
  <c r="AM615" i="7"/>
  <c r="AM645" i="7"/>
  <c r="AM293" i="7" s="1"/>
  <c r="AM644" i="7"/>
  <c r="AM292" i="7" s="1"/>
  <c r="AM643" i="7"/>
  <c r="AM632" i="7"/>
  <c r="AM631" i="7"/>
  <c r="AM630" i="7"/>
  <c r="AM629" i="7"/>
  <c r="AM628" i="7"/>
  <c r="AM627" i="7"/>
  <c r="AM625" i="7"/>
  <c r="AM624" i="7"/>
  <c r="AM623" i="7"/>
  <c r="AM613" i="7"/>
  <c r="AM268" i="7" s="1"/>
  <c r="AM614" i="7"/>
  <c r="AM269" i="7" s="1"/>
  <c r="AM612" i="7"/>
  <c r="AM611" i="7"/>
  <c r="AM266" i="7" s="1"/>
  <c r="AM484" i="7"/>
  <c r="AM485" i="7" s="1"/>
  <c r="AM478" i="7"/>
  <c r="AM479" i="7" s="1"/>
  <c r="AM382" i="7"/>
  <c r="AM381" i="7"/>
  <c r="AM380" i="7"/>
  <c r="AM379" i="7"/>
  <c r="AM378" i="7"/>
  <c r="AM377" i="7"/>
  <c r="AM323" i="7"/>
  <c r="AM321" i="7"/>
  <c r="AM299" i="7"/>
  <c r="AM295" i="7"/>
  <c r="AM291" i="7"/>
  <c r="AM395" i="7"/>
  <c r="AM324" i="7"/>
  <c r="AM322" i="7"/>
  <c r="AM320" i="7"/>
  <c r="AM298" i="7"/>
  <c r="AM296" i="7"/>
  <c r="AM275" i="7"/>
  <c r="AM271" i="7"/>
  <c r="AM267" i="7"/>
  <c r="AM270" i="7"/>
  <c r="AM261" i="7"/>
  <c r="AM272" i="7"/>
  <c r="AM248" i="7"/>
  <c r="AM247" i="7"/>
  <c r="AM246" i="7"/>
  <c r="AM245" i="7"/>
  <c r="AM244" i="7"/>
  <c r="AM243" i="7"/>
  <c r="AM40" i="7"/>
  <c r="AM30" i="7"/>
  <c r="AM26" i="7"/>
  <c r="AM25" i="7"/>
  <c r="AM23" i="7"/>
  <c r="AM19" i="7"/>
  <c r="AN2" i="7"/>
  <c r="AN600" i="7" s="1"/>
  <c r="AL407" i="7"/>
  <c r="AL405" i="7"/>
  <c r="AL402" i="7"/>
  <c r="AL406" i="7"/>
  <c r="AL426" i="7"/>
  <c r="AL430" i="7"/>
  <c r="AL434" i="7"/>
  <c r="AL454" i="7"/>
  <c r="AL458" i="7"/>
  <c r="AL396" i="7"/>
  <c r="AL427" i="7"/>
  <c r="AL431" i="7"/>
  <c r="AL435" i="7"/>
  <c r="AL455" i="7"/>
  <c r="AL459" i="7"/>
  <c r="AK556" i="7"/>
  <c r="AK81" i="7"/>
  <c r="AK71" i="7"/>
  <c r="AL403" i="7"/>
  <c r="AL262" i="7"/>
  <c r="AL401" i="7"/>
  <c r="AL409" i="7"/>
  <c r="AL400" i="7"/>
  <c r="AL404" i="7"/>
  <c r="AL408" i="7"/>
  <c r="AL428" i="7"/>
  <c r="AL432" i="7"/>
  <c r="AL452" i="7"/>
  <c r="AL456" i="7"/>
  <c r="AL460" i="7"/>
  <c r="AL429" i="7"/>
  <c r="AL433" i="7"/>
  <c r="AL453" i="7"/>
  <c r="AL457" i="7"/>
  <c r="AL461" i="7"/>
  <c r="AL565" i="7"/>
  <c r="AL559" i="7"/>
  <c r="AL537" i="7" s="1"/>
  <c r="AL80" i="7" s="1"/>
  <c r="AM592" i="7"/>
  <c r="C752" i="2"/>
  <c r="C394" i="2" s="1"/>
  <c r="C529" i="2" s="1"/>
  <c r="C754" i="2"/>
  <c r="C396" i="2" s="1"/>
  <c r="C531" i="2" s="1"/>
  <c r="C756" i="2"/>
  <c r="C398" i="2" s="1"/>
  <c r="C533" i="2" s="1"/>
  <c r="C758" i="2"/>
  <c r="C400" i="2" s="1"/>
  <c r="C535" i="2" s="1"/>
  <c r="C749" i="2"/>
  <c r="C391" i="2" s="1"/>
  <c r="C526" i="2" s="1"/>
  <c r="C751" i="2"/>
  <c r="C393" i="2" s="1"/>
  <c r="C528" i="2" s="1"/>
  <c r="C753" i="2"/>
  <c r="C395" i="2" s="1"/>
  <c r="C530" i="2" s="1"/>
  <c r="C755" i="2"/>
  <c r="C397" i="2" s="1"/>
  <c r="C532" i="2" s="1"/>
  <c r="C757" i="2"/>
  <c r="C399" i="2" s="1"/>
  <c r="C534" i="2" s="1"/>
  <c r="C750" i="2"/>
  <c r="C392" i="2" s="1"/>
  <c r="C527" i="2" s="1"/>
  <c r="C720" i="2"/>
  <c r="C722" i="2"/>
  <c r="C724" i="2"/>
  <c r="C726" i="2"/>
  <c r="C717" i="2"/>
  <c r="C688" i="2"/>
  <c r="C690" i="2"/>
  <c r="C692" i="2"/>
  <c r="C694" i="2"/>
  <c r="C685" i="2"/>
  <c r="C719" i="2"/>
  <c r="C723" i="2"/>
  <c r="C718" i="2"/>
  <c r="C721" i="2"/>
  <c r="C725" i="2"/>
  <c r="C689" i="2"/>
  <c r="C693" i="2"/>
  <c r="C687" i="2"/>
  <c r="C686" i="2"/>
  <c r="C764" i="2"/>
  <c r="C766" i="2"/>
  <c r="C768" i="2"/>
  <c r="C770" i="2"/>
  <c r="C736" i="2"/>
  <c r="C691" i="2"/>
  <c r="C763" i="2"/>
  <c r="C765" i="2"/>
  <c r="C767" i="2"/>
  <c r="C769" i="2"/>
  <c r="C762" i="2"/>
  <c r="C731" i="2"/>
  <c r="C733" i="2"/>
  <c r="C735" i="2"/>
  <c r="C737" i="2"/>
  <c r="C730" i="2"/>
  <c r="C732" i="2"/>
  <c r="C734" i="2"/>
  <c r="C738" i="2"/>
  <c r="C552" i="2"/>
  <c r="C553" i="2" s="1"/>
  <c r="C558" i="2"/>
  <c r="C559" i="2" s="1"/>
  <c r="C624" i="2"/>
  <c r="C617" i="2"/>
  <c r="D11" i="2"/>
  <c r="C321" i="2"/>
  <c r="C319" i="2"/>
  <c r="C317" i="2"/>
  <c r="C455" i="2"/>
  <c r="C453" i="2"/>
  <c r="C451" i="2"/>
  <c r="C320" i="2"/>
  <c r="C452" i="2"/>
  <c r="C322" i="2"/>
  <c r="C318" i="2"/>
  <c r="C454" i="2"/>
  <c r="C456" i="2"/>
  <c r="C19" i="2"/>
  <c r="C699" i="2"/>
  <c r="C701" i="2"/>
  <c r="C703" i="2"/>
  <c r="C705" i="2"/>
  <c r="C698" i="2"/>
  <c r="C700" i="2"/>
  <c r="C702" i="2"/>
  <c r="C704" i="2"/>
  <c r="C706" i="2"/>
  <c r="C469" i="2"/>
  <c r="C335" i="2"/>
  <c r="C23" i="2"/>
  <c r="C26" i="2"/>
  <c r="C30" i="2"/>
  <c r="C668" i="2"/>
  <c r="C25" i="2"/>
  <c r="D2" i="2"/>
  <c r="D674" i="2" s="1"/>
  <c r="AM548" i="7" l="1"/>
  <c r="AM549" i="7" s="1"/>
  <c r="AN547" i="7"/>
  <c r="AN595" i="7"/>
  <c r="AN546" i="7"/>
  <c r="AN548" i="7" s="1"/>
  <c r="O580" i="7"/>
  <c r="O579" i="7" s="1"/>
  <c r="O576" i="7" s="1"/>
  <c r="O577" i="7" s="1"/>
  <c r="P574" i="7" s="1"/>
  <c r="P577" i="7" s="1"/>
  <c r="Q574" i="7" s="1"/>
  <c r="Q577" i="7" s="1"/>
  <c r="R574" i="7" s="1"/>
  <c r="R577" i="7" s="1"/>
  <c r="S574" i="7" s="1"/>
  <c r="S577" i="7" s="1"/>
  <c r="T574" i="7" s="1"/>
  <c r="T577" i="7" s="1"/>
  <c r="U574" i="7" s="1"/>
  <c r="U577" i="7" s="1"/>
  <c r="V574" i="7" s="1"/>
  <c r="V577" i="7" s="1"/>
  <c r="W574" i="7" s="1"/>
  <c r="W577" i="7" s="1"/>
  <c r="X574" i="7" s="1"/>
  <c r="X577" i="7" s="1"/>
  <c r="Y574" i="7" s="1"/>
  <c r="Y577" i="7" s="1"/>
  <c r="Z574" i="7" s="1"/>
  <c r="Z577" i="7" s="1"/>
  <c r="AA574" i="7" s="1"/>
  <c r="AA577" i="7" s="1"/>
  <c r="AB574" i="7" s="1"/>
  <c r="AB577" i="7" s="1"/>
  <c r="AC574" i="7" s="1"/>
  <c r="AC577" i="7" s="1"/>
  <c r="AD574" i="7" s="1"/>
  <c r="AD577" i="7" s="1"/>
  <c r="AE574" i="7" s="1"/>
  <c r="AE577" i="7" s="1"/>
  <c r="AF574" i="7" s="1"/>
  <c r="AF577" i="7" s="1"/>
  <c r="AG574" i="7" s="1"/>
  <c r="AG577" i="7" s="1"/>
  <c r="AH574" i="7" s="1"/>
  <c r="AH577" i="7" s="1"/>
  <c r="AI574" i="7" s="1"/>
  <c r="AI577" i="7" s="1"/>
  <c r="AJ574" i="7" s="1"/>
  <c r="AJ577" i="7" s="1"/>
  <c r="AK574" i="7" s="1"/>
  <c r="AK577" i="7" s="1"/>
  <c r="AL574" i="7" s="1"/>
  <c r="AL577" i="7" s="1"/>
  <c r="AM574" i="7" s="1"/>
  <c r="AM170" i="7"/>
  <c r="AM134" i="7"/>
  <c r="AM55" i="7"/>
  <c r="AL539" i="7"/>
  <c r="AL534" i="7"/>
  <c r="AM579" i="7"/>
  <c r="AM576" i="7" s="1"/>
  <c r="AM585" i="7"/>
  <c r="AN581" i="7"/>
  <c r="AN586" i="7"/>
  <c r="AN580" i="7"/>
  <c r="AN564" i="7"/>
  <c r="AN584" i="7" s="1"/>
  <c r="C618" i="2"/>
  <c r="D655" i="2"/>
  <c r="D659" i="2" s="1"/>
  <c r="AL71" i="7"/>
  <c r="AN523" i="7"/>
  <c r="AN519" i="7"/>
  <c r="AN515" i="7"/>
  <c r="AN511" i="7"/>
  <c r="AN594" i="7"/>
  <c r="AN593" i="7"/>
  <c r="D597" i="2"/>
  <c r="D593" i="2"/>
  <c r="D589" i="2"/>
  <c r="D585" i="2"/>
  <c r="AN56" i="10"/>
  <c r="AN85" i="10"/>
  <c r="AN86" i="10" s="1"/>
  <c r="AO629" i="10"/>
  <c r="AO625" i="10"/>
  <c r="AO621" i="10"/>
  <c r="AO617" i="10"/>
  <c r="AM594" i="8"/>
  <c r="AM590" i="8"/>
  <c r="AM586" i="8"/>
  <c r="AM582" i="8"/>
  <c r="AL179" i="10"/>
  <c r="AL196" i="10" s="1"/>
  <c r="AM65" i="10"/>
  <c r="AM68" i="10" s="1"/>
  <c r="AN180" i="10"/>
  <c r="AN197" i="10" s="1"/>
  <c r="AN141" i="10"/>
  <c r="AN153" i="10" s="1"/>
  <c r="AN249" i="10"/>
  <c r="AN221" i="10"/>
  <c r="AN59" i="10"/>
  <c r="AP11" i="10"/>
  <c r="AO41" i="10"/>
  <c r="AO183" i="10" s="1"/>
  <c r="AO200" i="10" s="1"/>
  <c r="AO645" i="10"/>
  <c r="AO181" i="10" s="1"/>
  <c r="AO198" i="10" s="1"/>
  <c r="AK63" i="8"/>
  <c r="AN666" i="10"/>
  <c r="AN651" i="10" s="1"/>
  <c r="AN730" i="10"/>
  <c r="AN715" i="10" s="1"/>
  <c r="AN67" i="10" s="1"/>
  <c r="AN27" i="10"/>
  <c r="AN698" i="10"/>
  <c r="AN683" i="10" s="1"/>
  <c r="AN66" i="10" s="1"/>
  <c r="AN508" i="10"/>
  <c r="AN512" i="10"/>
  <c r="AN532" i="10"/>
  <c r="AN536" i="10"/>
  <c r="AN540" i="10"/>
  <c r="AN560" i="10"/>
  <c r="AN564" i="10"/>
  <c r="AN502" i="10"/>
  <c r="AN368" i="10"/>
  <c r="AN507" i="10"/>
  <c r="AN511" i="10"/>
  <c r="AN515" i="10"/>
  <c r="AN535" i="10"/>
  <c r="AN539" i="10"/>
  <c r="AN559" i="10"/>
  <c r="AN563" i="10"/>
  <c r="AN567" i="10"/>
  <c r="AM118" i="10"/>
  <c r="AO741" i="10"/>
  <c r="AO740" i="10"/>
  <c r="AO739" i="10"/>
  <c r="AO738" i="10"/>
  <c r="AO737" i="10"/>
  <c r="AO736" i="10"/>
  <c r="AO735" i="10"/>
  <c r="AO734" i="10"/>
  <c r="AO729" i="10"/>
  <c r="AO728" i="10"/>
  <c r="AO727" i="10"/>
  <c r="AO726" i="10"/>
  <c r="AO725" i="10"/>
  <c r="AO724" i="10"/>
  <c r="AO723" i="10"/>
  <c r="AO722" i="10"/>
  <c r="AO721" i="10"/>
  <c r="AO732" i="10"/>
  <c r="AO720" i="10"/>
  <c r="AO423" i="10" s="1"/>
  <c r="AO697" i="10"/>
  <c r="AO696" i="10"/>
  <c r="AO695" i="10"/>
  <c r="AO694" i="10"/>
  <c r="AO403" i="10" s="1"/>
  <c r="AO693" i="10"/>
  <c r="AO692" i="10"/>
  <c r="AO691" i="10"/>
  <c r="AO690" i="10"/>
  <c r="AO399" i="10" s="1"/>
  <c r="AO709" i="10"/>
  <c r="AO708" i="10"/>
  <c r="AO707" i="10"/>
  <c r="AO706" i="10"/>
  <c r="AO705" i="10"/>
  <c r="AO704" i="10"/>
  <c r="AO703" i="10"/>
  <c r="AO701" i="10"/>
  <c r="AO700" i="10"/>
  <c r="AO689" i="10"/>
  <c r="AO398" i="10" s="1"/>
  <c r="AO665" i="10"/>
  <c r="AO664" i="10"/>
  <c r="AO380" i="10" s="1"/>
  <c r="AO663" i="10"/>
  <c r="AO662" i="10"/>
  <c r="AO661" i="10"/>
  <c r="AO660" i="10"/>
  <c r="AO376" i="10" s="1"/>
  <c r="AO659" i="10"/>
  <c r="AO688" i="10"/>
  <c r="AO677" i="10"/>
  <c r="AO676" i="10"/>
  <c r="AO675" i="10"/>
  <c r="AO674" i="10"/>
  <c r="AO673" i="10"/>
  <c r="AO672" i="10"/>
  <c r="AO670" i="10"/>
  <c r="AO669" i="10"/>
  <c r="AO668" i="10"/>
  <c r="AO658" i="10"/>
  <c r="AO374" i="10" s="1"/>
  <c r="AO656" i="10"/>
  <c r="AO590" i="10"/>
  <c r="AO591" i="10" s="1"/>
  <c r="AO584" i="10"/>
  <c r="AO585" i="10" s="1"/>
  <c r="AO657" i="10"/>
  <c r="AO373" i="10" s="1"/>
  <c r="AO488" i="10"/>
  <c r="AO487" i="10"/>
  <c r="AO486" i="10"/>
  <c r="AO485" i="10"/>
  <c r="AO484" i="10"/>
  <c r="AO483" i="10"/>
  <c r="AO431" i="10"/>
  <c r="AO429" i="10"/>
  <c r="AO427" i="10"/>
  <c r="AO425" i="10"/>
  <c r="AO405" i="10"/>
  <c r="AO401" i="10"/>
  <c r="AO397" i="10"/>
  <c r="AO378" i="10"/>
  <c r="AO372" i="10"/>
  <c r="AO367" i="10"/>
  <c r="AO501" i="10"/>
  <c r="AO432" i="10"/>
  <c r="AO430" i="10"/>
  <c r="AO428" i="10"/>
  <c r="AO426" i="10"/>
  <c r="AO424" i="10"/>
  <c r="AO406" i="10"/>
  <c r="AO404" i="10"/>
  <c r="AO402" i="10"/>
  <c r="AO400" i="10"/>
  <c r="AO381" i="10"/>
  <c r="AO379" i="10"/>
  <c r="AO377" i="10"/>
  <c r="AO375" i="10"/>
  <c r="AO354" i="10"/>
  <c r="AO353" i="10"/>
  <c r="AO352" i="10"/>
  <c r="AO351" i="10"/>
  <c r="AO350" i="10"/>
  <c r="AO349" i="10"/>
  <c r="AO30" i="10"/>
  <c r="AO26" i="10"/>
  <c r="AO25" i="10"/>
  <c r="AO23" i="10"/>
  <c r="AO19" i="10"/>
  <c r="AO40" i="10"/>
  <c r="AP2" i="10"/>
  <c r="AP638" i="10" s="1"/>
  <c r="AN506" i="10"/>
  <c r="AN510" i="10"/>
  <c r="AN514" i="10"/>
  <c r="AN534" i="10"/>
  <c r="AN538" i="10"/>
  <c r="AN558" i="10"/>
  <c r="AN562" i="10"/>
  <c r="AN566" i="10"/>
  <c r="AN509" i="10"/>
  <c r="AN513" i="10"/>
  <c r="AN533" i="10"/>
  <c r="AN537" i="10"/>
  <c r="AN541" i="10"/>
  <c r="AN561" i="10"/>
  <c r="AN565" i="10"/>
  <c r="AI122" i="10"/>
  <c r="AN11" i="8"/>
  <c r="AL27" i="8"/>
  <c r="AL333" i="8"/>
  <c r="AL472" i="8"/>
  <c r="AL471" i="8"/>
  <c r="AL475" i="8"/>
  <c r="AL479" i="8"/>
  <c r="AL499" i="8"/>
  <c r="AL503" i="8"/>
  <c r="AL523" i="8"/>
  <c r="AL527" i="8"/>
  <c r="AL531" i="8"/>
  <c r="AL476" i="8"/>
  <c r="AL480" i="8"/>
  <c r="AL500" i="8"/>
  <c r="AL504" i="8"/>
  <c r="AL524" i="8"/>
  <c r="AL528" i="8"/>
  <c r="AL532" i="8"/>
  <c r="AL625" i="8"/>
  <c r="AL610" i="8" s="1"/>
  <c r="AL60" i="8" s="1"/>
  <c r="AL657" i="8"/>
  <c r="AL642" i="8" s="1"/>
  <c r="AL61" i="8" s="1"/>
  <c r="AL689" i="8"/>
  <c r="AL674" i="8" s="1"/>
  <c r="AL62" i="8" s="1"/>
  <c r="AJ233" i="8"/>
  <c r="AJ234" i="8" s="1"/>
  <c r="AK72" i="8"/>
  <c r="AM700" i="8"/>
  <c r="AM699" i="8"/>
  <c r="AM698" i="8"/>
  <c r="AM697" i="8"/>
  <c r="AM696" i="8"/>
  <c r="AM695" i="8"/>
  <c r="AM694" i="8"/>
  <c r="AM693" i="8"/>
  <c r="AM691" i="8"/>
  <c r="AM688" i="8"/>
  <c r="AM687" i="8"/>
  <c r="AM686" i="8"/>
  <c r="AM685" i="8"/>
  <c r="AM394" i="8" s="1"/>
  <c r="AM684" i="8"/>
  <c r="AM683" i="8"/>
  <c r="AM392" i="8" s="1"/>
  <c r="AM682" i="8"/>
  <c r="AM681" i="8"/>
  <c r="AM390" i="8" s="1"/>
  <c r="AM680" i="8"/>
  <c r="AM679" i="8"/>
  <c r="AM667" i="8"/>
  <c r="AM665" i="8"/>
  <c r="AM663" i="8"/>
  <c r="AM656" i="8"/>
  <c r="AM371" i="8" s="1"/>
  <c r="AM655" i="8"/>
  <c r="AM654" i="8"/>
  <c r="AM653" i="8"/>
  <c r="AM652" i="8"/>
  <c r="AM367" i="8" s="1"/>
  <c r="AM651" i="8"/>
  <c r="AM650" i="8"/>
  <c r="AM649" i="8"/>
  <c r="AM648" i="8"/>
  <c r="AM363" i="8" s="1"/>
  <c r="AM647" i="8"/>
  <c r="AM362" i="8" s="1"/>
  <c r="AM668" i="8"/>
  <c r="AM666" i="8"/>
  <c r="AM664" i="8"/>
  <c r="AM662" i="8"/>
  <c r="AM660" i="8"/>
  <c r="AM659" i="8"/>
  <c r="AM624" i="8"/>
  <c r="AM346" i="8" s="1"/>
  <c r="AM623" i="8"/>
  <c r="AM622" i="8"/>
  <c r="AM344" i="8" s="1"/>
  <c r="AM621" i="8"/>
  <c r="AM620" i="8"/>
  <c r="AM619" i="8"/>
  <c r="AM618" i="8"/>
  <c r="AM340" i="8" s="1"/>
  <c r="AM617" i="8"/>
  <c r="AM616" i="8"/>
  <c r="AM338" i="8" s="1"/>
  <c r="AM615" i="8"/>
  <c r="AM636" i="8"/>
  <c r="AM635" i="8"/>
  <c r="AM634" i="8"/>
  <c r="AM633" i="8"/>
  <c r="AM632" i="8"/>
  <c r="AM631" i="8"/>
  <c r="AM629" i="8"/>
  <c r="AM628" i="8"/>
  <c r="AM627" i="8"/>
  <c r="AM604" i="8"/>
  <c r="AM555" i="8"/>
  <c r="AM556" i="8" s="1"/>
  <c r="AM549" i="8"/>
  <c r="AM550" i="8" s="1"/>
  <c r="AM453" i="8"/>
  <c r="AM452" i="8"/>
  <c r="AM451" i="8"/>
  <c r="AM450" i="8"/>
  <c r="AM449" i="8"/>
  <c r="AM448" i="8"/>
  <c r="AM396" i="8"/>
  <c r="AM388" i="8"/>
  <c r="AM370" i="8"/>
  <c r="AM368" i="8"/>
  <c r="AM366" i="8"/>
  <c r="AM364" i="8"/>
  <c r="AM345" i="8"/>
  <c r="AM343" i="8"/>
  <c r="AM341" i="8"/>
  <c r="AM466" i="8"/>
  <c r="AM397" i="8"/>
  <c r="AM395" i="8"/>
  <c r="AM393" i="8"/>
  <c r="AM391" i="8"/>
  <c r="AM389" i="8"/>
  <c r="AM369" i="8"/>
  <c r="AM365" i="8"/>
  <c r="AM342" i="8"/>
  <c r="AM337" i="8"/>
  <c r="AM332" i="8"/>
  <c r="AM339" i="8"/>
  <c r="AM319" i="8"/>
  <c r="AM318" i="8"/>
  <c r="AM317" i="8"/>
  <c r="AM316" i="8"/>
  <c r="AM315" i="8"/>
  <c r="AM314" i="8"/>
  <c r="AM30" i="8"/>
  <c r="AM26" i="8"/>
  <c r="AM25" i="8"/>
  <c r="AM23" i="8"/>
  <c r="AM19" i="8"/>
  <c r="AM40" i="8"/>
  <c r="AN2" i="8"/>
  <c r="AL473" i="8"/>
  <c r="AL477" i="8"/>
  <c r="AL497" i="8"/>
  <c r="AL501" i="8"/>
  <c r="AL505" i="8"/>
  <c r="AL525" i="8"/>
  <c r="AL529" i="8"/>
  <c r="AL467" i="8"/>
  <c r="AL474" i="8"/>
  <c r="AL478" i="8"/>
  <c r="AL498" i="8"/>
  <c r="AL502" i="8"/>
  <c r="AL506" i="8"/>
  <c r="AL526" i="8"/>
  <c r="AL530" i="8"/>
  <c r="AJ271" i="8"/>
  <c r="AJ272" i="8" s="1"/>
  <c r="AM27" i="7"/>
  <c r="AM621" i="7"/>
  <c r="AM606" i="7" s="1"/>
  <c r="AM68" i="7" s="1"/>
  <c r="AM653" i="7"/>
  <c r="AM638" i="7" s="1"/>
  <c r="AM69" i="7" s="1"/>
  <c r="AO11" i="7"/>
  <c r="AN566" i="7"/>
  <c r="AN560" i="7"/>
  <c r="AN538" i="7" s="1"/>
  <c r="AN551" i="7"/>
  <c r="AN550" i="7"/>
  <c r="AN561" i="7" s="1"/>
  <c r="AN544" i="7"/>
  <c r="AN543" i="7"/>
  <c r="AM61" i="7"/>
  <c r="AM406" i="7"/>
  <c r="AM400" i="7"/>
  <c r="AM408" i="7"/>
  <c r="AM403" i="7"/>
  <c r="AM407" i="7"/>
  <c r="AM427" i="7"/>
  <c r="AM431" i="7"/>
  <c r="AM435" i="7"/>
  <c r="AM455" i="7"/>
  <c r="AM459" i="7"/>
  <c r="AM428" i="7"/>
  <c r="AM432" i="7"/>
  <c r="AM452" i="7"/>
  <c r="AM456" i="7"/>
  <c r="AM460" i="7"/>
  <c r="AM565" i="7"/>
  <c r="AM559" i="7"/>
  <c r="AM537" i="7" s="1"/>
  <c r="AM80" i="7" s="1"/>
  <c r="AN592" i="7"/>
  <c r="AM685" i="7"/>
  <c r="AM670" i="7" s="1"/>
  <c r="AM70" i="7" s="1"/>
  <c r="AL556" i="7"/>
  <c r="AL81" i="7"/>
  <c r="AN696" i="7"/>
  <c r="AN695" i="7"/>
  <c r="AN694" i="7"/>
  <c r="AN693" i="7"/>
  <c r="AN692" i="7"/>
  <c r="AN691" i="7"/>
  <c r="AN690" i="7"/>
  <c r="AN689" i="7"/>
  <c r="AN687" i="7"/>
  <c r="AN684" i="7"/>
  <c r="AN326" i="7" s="1"/>
  <c r="AN683" i="7"/>
  <c r="AN682" i="7"/>
  <c r="AN681" i="7"/>
  <c r="AN680" i="7"/>
  <c r="AN322" i="7" s="1"/>
  <c r="AN679" i="7"/>
  <c r="AN321" i="7" s="1"/>
  <c r="AN678" i="7"/>
  <c r="AN677" i="7"/>
  <c r="AN676" i="7"/>
  <c r="AN318" i="7" s="1"/>
  <c r="AN675" i="7"/>
  <c r="AN317" i="7" s="1"/>
  <c r="AN664" i="7"/>
  <c r="AN663" i="7"/>
  <c r="AN662" i="7"/>
  <c r="AN661" i="7"/>
  <c r="AN660" i="7"/>
  <c r="AN659" i="7"/>
  <c r="AN658" i="7"/>
  <c r="AN656" i="7"/>
  <c r="AN655" i="7"/>
  <c r="AN652" i="7"/>
  <c r="AN651" i="7"/>
  <c r="AN650" i="7"/>
  <c r="AN298" i="7" s="1"/>
  <c r="AN649" i="7"/>
  <c r="AN297" i="7" s="1"/>
  <c r="AN648" i="7"/>
  <c r="AN647" i="7"/>
  <c r="AN646" i="7"/>
  <c r="AN294" i="7" s="1"/>
  <c r="AN645" i="7"/>
  <c r="AN293" i="7" s="1"/>
  <c r="AN644" i="7"/>
  <c r="AN643" i="7"/>
  <c r="AN291" i="7" s="1"/>
  <c r="AN632" i="7"/>
  <c r="AN631" i="7"/>
  <c r="AN630" i="7"/>
  <c r="AN629" i="7"/>
  <c r="AN628" i="7"/>
  <c r="AN627" i="7"/>
  <c r="AN625" i="7"/>
  <c r="AN624" i="7"/>
  <c r="AN623" i="7"/>
  <c r="AN620" i="7"/>
  <c r="AN275" i="7" s="1"/>
  <c r="AN619" i="7"/>
  <c r="AN618" i="7"/>
  <c r="AN273" i="7" s="1"/>
  <c r="AN617" i="7"/>
  <c r="AN272" i="7" s="1"/>
  <c r="AN616" i="7"/>
  <c r="AN615" i="7"/>
  <c r="AN614" i="7"/>
  <c r="AN613" i="7"/>
  <c r="AN268" i="7" s="1"/>
  <c r="AN612" i="7"/>
  <c r="AN267" i="7" s="1"/>
  <c r="AN611" i="7"/>
  <c r="AN484" i="7"/>
  <c r="AN485" i="7" s="1"/>
  <c r="AN478" i="7"/>
  <c r="AN479" i="7" s="1"/>
  <c r="AN395" i="7"/>
  <c r="AN324" i="7"/>
  <c r="AN320" i="7"/>
  <c r="AN300" i="7"/>
  <c r="AN296" i="7"/>
  <c r="AN292" i="7"/>
  <c r="AN382" i="7"/>
  <c r="AN381" i="7"/>
  <c r="AN380" i="7"/>
  <c r="AN379" i="7"/>
  <c r="AN378" i="7"/>
  <c r="AN377" i="7"/>
  <c r="AN325" i="7"/>
  <c r="AN323" i="7"/>
  <c r="AN319" i="7"/>
  <c r="AN299" i="7"/>
  <c r="AN295" i="7"/>
  <c r="AN274" i="7"/>
  <c r="AN270" i="7"/>
  <c r="AN266" i="7"/>
  <c r="AN261" i="7"/>
  <c r="AN269" i="7"/>
  <c r="AN248" i="7"/>
  <c r="AN247" i="7"/>
  <c r="AN246" i="7"/>
  <c r="AN245" i="7"/>
  <c r="AN244" i="7"/>
  <c r="AN243" i="7"/>
  <c r="AN271" i="7"/>
  <c r="AN30" i="7"/>
  <c r="AN26" i="7"/>
  <c r="AN25" i="7"/>
  <c r="AN23" i="7"/>
  <c r="AN19" i="7"/>
  <c r="AN40" i="7"/>
  <c r="AO2" i="7"/>
  <c r="AO600" i="7" s="1"/>
  <c r="AM262" i="7"/>
  <c r="AM402" i="7"/>
  <c r="AM404" i="7"/>
  <c r="AM401" i="7"/>
  <c r="AM405" i="7"/>
  <c r="AM409" i="7"/>
  <c r="AM429" i="7"/>
  <c r="AM433" i="7"/>
  <c r="AM453" i="7"/>
  <c r="AM457" i="7"/>
  <c r="AM461" i="7"/>
  <c r="AM426" i="7"/>
  <c r="AM430" i="7"/>
  <c r="AM434" i="7"/>
  <c r="AM454" i="7"/>
  <c r="AM458" i="7"/>
  <c r="AM396" i="7"/>
  <c r="C470" i="2"/>
  <c r="C369" i="2"/>
  <c r="C504" i="2" s="1"/>
  <c r="C371" i="2"/>
  <c r="C506" i="2" s="1"/>
  <c r="C374" i="2"/>
  <c r="C509" i="2" s="1"/>
  <c r="C370" i="2"/>
  <c r="C505" i="2" s="1"/>
  <c r="C373" i="2"/>
  <c r="C508" i="2" s="1"/>
  <c r="C366" i="2"/>
  <c r="C501" i="2" s="1"/>
  <c r="C367" i="2"/>
  <c r="C502" i="2" s="1"/>
  <c r="C365" i="2"/>
  <c r="C500" i="2" s="1"/>
  <c r="C372" i="2"/>
  <c r="C507" i="2" s="1"/>
  <c r="C368" i="2"/>
  <c r="C503" i="2" s="1"/>
  <c r="C727" i="2"/>
  <c r="C712" i="2" s="1"/>
  <c r="C69" i="2" s="1"/>
  <c r="D757" i="2"/>
  <c r="D399" i="2" s="1"/>
  <c r="D534" i="2" s="1"/>
  <c r="D755" i="2"/>
  <c r="D397" i="2" s="1"/>
  <c r="D532" i="2" s="1"/>
  <c r="D753" i="2"/>
  <c r="D395" i="2" s="1"/>
  <c r="D530" i="2" s="1"/>
  <c r="D751" i="2"/>
  <c r="D393" i="2" s="1"/>
  <c r="D528" i="2" s="1"/>
  <c r="D749" i="2"/>
  <c r="D391" i="2" s="1"/>
  <c r="D526" i="2" s="1"/>
  <c r="D725" i="2"/>
  <c r="D758" i="2"/>
  <c r="D400" i="2" s="1"/>
  <c r="D535" i="2" s="1"/>
  <c r="D756" i="2"/>
  <c r="D398" i="2" s="1"/>
  <c r="D533" i="2" s="1"/>
  <c r="D754" i="2"/>
  <c r="D396" i="2" s="1"/>
  <c r="D531" i="2" s="1"/>
  <c r="D752" i="2"/>
  <c r="D394" i="2" s="1"/>
  <c r="D529" i="2" s="1"/>
  <c r="D750" i="2"/>
  <c r="D392" i="2" s="1"/>
  <c r="D527" i="2" s="1"/>
  <c r="D726" i="2"/>
  <c r="D723" i="2"/>
  <c r="D721" i="2"/>
  <c r="D719" i="2"/>
  <c r="D367" i="2" s="1"/>
  <c r="D502" i="2" s="1"/>
  <c r="D717" i="2"/>
  <c r="D693" i="2"/>
  <c r="D691" i="2"/>
  <c r="D689" i="2"/>
  <c r="D687" i="2"/>
  <c r="D685" i="2"/>
  <c r="D340" i="2" s="1"/>
  <c r="D474" i="2" s="1"/>
  <c r="D764" i="2"/>
  <c r="D765" i="2"/>
  <c r="D767" i="2"/>
  <c r="D769" i="2"/>
  <c r="D722" i="2"/>
  <c r="D718" i="2"/>
  <c r="D694" i="2"/>
  <c r="D690" i="2"/>
  <c r="D724" i="2"/>
  <c r="D720" i="2"/>
  <c r="D692" i="2"/>
  <c r="D688" i="2"/>
  <c r="D763" i="2"/>
  <c r="D768" i="2"/>
  <c r="D686" i="2"/>
  <c r="D762" i="2"/>
  <c r="D770" i="2"/>
  <c r="D730" i="2"/>
  <c r="D732" i="2"/>
  <c r="D734" i="2"/>
  <c r="D736" i="2"/>
  <c r="D738" i="2"/>
  <c r="D766" i="2"/>
  <c r="D731" i="2"/>
  <c r="D733" i="2"/>
  <c r="D735" i="2"/>
  <c r="D737" i="2"/>
  <c r="C759" i="2"/>
  <c r="C744" i="2" s="1"/>
  <c r="C70" i="2" s="1"/>
  <c r="C34" i="2"/>
  <c r="D552" i="2"/>
  <c r="D553" i="2" s="1"/>
  <c r="D558" i="2"/>
  <c r="D559" i="2" s="1"/>
  <c r="D617" i="2"/>
  <c r="D624" i="2"/>
  <c r="E11" i="2"/>
  <c r="D318" i="2"/>
  <c r="D320" i="2"/>
  <c r="D322" i="2"/>
  <c r="D451" i="2"/>
  <c r="D453" i="2"/>
  <c r="D455" i="2"/>
  <c r="D317" i="2"/>
  <c r="D321" i="2"/>
  <c r="D452" i="2"/>
  <c r="D456" i="2"/>
  <c r="D319" i="2"/>
  <c r="D454" i="2"/>
  <c r="D19" i="2"/>
  <c r="D700" i="2"/>
  <c r="D701" i="2"/>
  <c r="D702" i="2"/>
  <c r="D703" i="2"/>
  <c r="D704" i="2"/>
  <c r="D705" i="2"/>
  <c r="D706" i="2"/>
  <c r="D698" i="2"/>
  <c r="D699" i="2"/>
  <c r="D469" i="2"/>
  <c r="C336" i="2"/>
  <c r="D335" i="2"/>
  <c r="C340" i="2"/>
  <c r="C474" i="2" s="1"/>
  <c r="C346" i="2"/>
  <c r="C480" i="2" s="1"/>
  <c r="C342" i="2"/>
  <c r="C476" i="2" s="1"/>
  <c r="C347" i="2"/>
  <c r="C481" i="2" s="1"/>
  <c r="C343" i="2"/>
  <c r="C477" i="2" s="1"/>
  <c r="C348" i="2"/>
  <c r="C482" i="2" s="1"/>
  <c r="C344" i="2"/>
  <c r="C478" i="2" s="1"/>
  <c r="C349" i="2"/>
  <c r="C483" i="2" s="1"/>
  <c r="C345" i="2"/>
  <c r="C479" i="2" s="1"/>
  <c r="C341" i="2"/>
  <c r="C475" i="2" s="1"/>
  <c r="C695" i="2"/>
  <c r="C680" i="2" s="1"/>
  <c r="C68" i="2" s="1"/>
  <c r="D23" i="2"/>
  <c r="D26" i="2"/>
  <c r="D30" i="2"/>
  <c r="D668" i="2"/>
  <c r="C27" i="2"/>
  <c r="D25" i="2"/>
  <c r="E2" i="2"/>
  <c r="E674" i="2" s="1"/>
  <c r="AO595" i="7" l="1"/>
  <c r="AO546" i="7"/>
  <c r="AO547" i="7"/>
  <c r="AM577" i="7"/>
  <c r="AN574" i="7" s="1"/>
  <c r="AN170" i="7"/>
  <c r="AN134" i="7"/>
  <c r="AN55" i="7"/>
  <c r="AM534" i="7"/>
  <c r="AM539" i="7"/>
  <c r="AN585" i="7"/>
  <c r="AN579" i="7"/>
  <c r="AN576" i="7" s="1"/>
  <c r="AO586" i="7"/>
  <c r="AO580" i="7"/>
  <c r="AO581" i="7"/>
  <c r="AO564" i="7"/>
  <c r="AO584" i="7" s="1"/>
  <c r="E655" i="2"/>
  <c r="E659" i="2" s="1"/>
  <c r="C654" i="2"/>
  <c r="C655" i="2"/>
  <c r="C659" i="2" s="1"/>
  <c r="D618" i="2"/>
  <c r="AO523" i="7"/>
  <c r="AO519" i="7"/>
  <c r="AO515" i="7"/>
  <c r="AO511" i="7"/>
  <c r="AO594" i="7"/>
  <c r="AO593" i="7"/>
  <c r="D470" i="2"/>
  <c r="E597" i="2"/>
  <c r="E593" i="2"/>
  <c r="E589" i="2"/>
  <c r="E585" i="2"/>
  <c r="AO56" i="10"/>
  <c r="AO85" i="10"/>
  <c r="AO86" i="10" s="1"/>
  <c r="AP629" i="10"/>
  <c r="AP625" i="10"/>
  <c r="AP621" i="10"/>
  <c r="AP617" i="10"/>
  <c r="AN582" i="8"/>
  <c r="AN594" i="8"/>
  <c r="AN590" i="8"/>
  <c r="AN586" i="8"/>
  <c r="AM75" i="10"/>
  <c r="AM179" i="10"/>
  <c r="AM196" i="10" s="1"/>
  <c r="AN65" i="10"/>
  <c r="AN68" i="10" s="1"/>
  <c r="AN75" i="10" s="1"/>
  <c r="AO180" i="10"/>
  <c r="AO197" i="10" s="1"/>
  <c r="AO141" i="10"/>
  <c r="AO153" i="10" s="1"/>
  <c r="AO249" i="10"/>
  <c r="AO221" i="10"/>
  <c r="AO59" i="10"/>
  <c r="AP41" i="10"/>
  <c r="AP183" i="10" s="1"/>
  <c r="AP200" i="10" s="1"/>
  <c r="AM71" i="7"/>
  <c r="AO730" i="10"/>
  <c r="AO715" i="10" s="1"/>
  <c r="AO67" i="10" s="1"/>
  <c r="AO509" i="10"/>
  <c r="AO513" i="10"/>
  <c r="AO533" i="10"/>
  <c r="AO537" i="10"/>
  <c r="AO541" i="10"/>
  <c r="AO561" i="10"/>
  <c r="AO565" i="10"/>
  <c r="AO506" i="10"/>
  <c r="AO510" i="10"/>
  <c r="AO514" i="10"/>
  <c r="AO534" i="10"/>
  <c r="AO538" i="10"/>
  <c r="AO558" i="10"/>
  <c r="AO562" i="10"/>
  <c r="AO566" i="10"/>
  <c r="AN118" i="10"/>
  <c r="AJ122" i="10"/>
  <c r="AP741" i="10"/>
  <c r="AP740" i="10"/>
  <c r="AP739" i="10"/>
  <c r="AP738" i="10"/>
  <c r="AP737" i="10"/>
  <c r="AP736" i="10"/>
  <c r="AP735" i="10"/>
  <c r="AP734" i="10"/>
  <c r="AP732" i="10"/>
  <c r="AP729" i="10"/>
  <c r="B729" i="10" s="1"/>
  <c r="AO444" i="10" s="1"/>
  <c r="AP728" i="10"/>
  <c r="B728" i="10" s="1"/>
  <c r="AP727" i="10"/>
  <c r="B727" i="10" s="1"/>
  <c r="AP726" i="10"/>
  <c r="B726" i="10" s="1"/>
  <c r="AN576" i="10" s="1"/>
  <c r="AP725" i="10"/>
  <c r="B725" i="10" s="1"/>
  <c r="AO440" i="10" s="1"/>
  <c r="AP724" i="10"/>
  <c r="B724" i="10" s="1"/>
  <c r="AP723" i="10"/>
  <c r="B723" i="10" s="1"/>
  <c r="AP722" i="10"/>
  <c r="B722" i="10" s="1"/>
  <c r="AP721" i="10"/>
  <c r="B721" i="10" s="1"/>
  <c r="AO436" i="10" s="1"/>
  <c r="AP720" i="10"/>
  <c r="AP709" i="10"/>
  <c r="B709" i="10" s="1"/>
  <c r="AP708" i="10"/>
  <c r="B708" i="10" s="1"/>
  <c r="AP707" i="10"/>
  <c r="B707" i="10" s="1"/>
  <c r="AP706" i="10"/>
  <c r="B706" i="10" s="1"/>
  <c r="AP705" i="10"/>
  <c r="B705" i="10" s="1"/>
  <c r="AP704" i="10"/>
  <c r="B704" i="10" s="1"/>
  <c r="AP703" i="10"/>
  <c r="B703" i="10" s="1"/>
  <c r="AP701" i="10"/>
  <c r="AP700" i="10"/>
  <c r="AP697" i="10"/>
  <c r="B697" i="10" s="1"/>
  <c r="AN553" i="10" s="1"/>
  <c r="AP696" i="10"/>
  <c r="B696" i="10" s="1"/>
  <c r="AO417" i="10" s="1"/>
  <c r="AP695" i="10"/>
  <c r="B695" i="10" s="1"/>
  <c r="AO416" i="10" s="1"/>
  <c r="AP694" i="10"/>
  <c r="B694" i="10" s="1"/>
  <c r="AP693" i="10"/>
  <c r="B693" i="10" s="1"/>
  <c r="AP692" i="10"/>
  <c r="B692" i="10" s="1"/>
  <c r="AO413" i="10" s="1"/>
  <c r="AP691" i="10"/>
  <c r="B691" i="10" s="1"/>
  <c r="AO412" i="10" s="1"/>
  <c r="AP690" i="10"/>
  <c r="B690" i="10" s="1"/>
  <c r="AP689" i="10"/>
  <c r="B689" i="10" s="1"/>
  <c r="AN545" i="10" s="1"/>
  <c r="AP688" i="10"/>
  <c r="AP397" i="10" s="1"/>
  <c r="AP677" i="10"/>
  <c r="B677" i="10" s="1"/>
  <c r="AP676" i="10"/>
  <c r="B676" i="10" s="1"/>
  <c r="AP675" i="10"/>
  <c r="B675" i="10" s="1"/>
  <c r="AP674" i="10"/>
  <c r="B674" i="10" s="1"/>
  <c r="AP673" i="10"/>
  <c r="B673" i="10" s="1"/>
  <c r="AP672" i="10"/>
  <c r="B672" i="10" s="1"/>
  <c r="AP670" i="10"/>
  <c r="AP669" i="10"/>
  <c r="AP668" i="10"/>
  <c r="AP665" i="10"/>
  <c r="B665" i="10" s="1"/>
  <c r="AO392" i="10" s="1"/>
  <c r="AP664" i="10"/>
  <c r="B664" i="10" s="1"/>
  <c r="AP663" i="10"/>
  <c r="B663" i="10" s="1"/>
  <c r="AP662" i="10"/>
  <c r="B662" i="10" s="1"/>
  <c r="AO389" i="10" s="1"/>
  <c r="AP661" i="10"/>
  <c r="B661" i="10" s="1"/>
  <c r="AO388" i="10" s="1"/>
  <c r="AP660" i="10"/>
  <c r="B660" i="10" s="1"/>
  <c r="AP659" i="10"/>
  <c r="B659" i="10" s="1"/>
  <c r="AN521" i="10" s="1"/>
  <c r="AP658" i="10"/>
  <c r="B658" i="10" s="1"/>
  <c r="AO385" i="10" s="1"/>
  <c r="AP657" i="10"/>
  <c r="B657" i="10" s="1"/>
  <c r="AO384" i="10" s="1"/>
  <c r="AP656" i="10"/>
  <c r="AP372" i="10" s="1"/>
  <c r="AP590" i="10"/>
  <c r="AP591" i="10" s="1"/>
  <c r="AP584" i="10"/>
  <c r="AP585" i="10" s="1"/>
  <c r="AP501" i="10"/>
  <c r="AP432" i="10"/>
  <c r="AP430" i="10"/>
  <c r="AP426" i="10"/>
  <c r="AP404" i="10"/>
  <c r="AP402" i="10"/>
  <c r="AP400" i="10"/>
  <c r="AP381" i="10"/>
  <c r="AP377" i="10"/>
  <c r="AP375" i="10"/>
  <c r="AP373" i="10"/>
  <c r="AP354" i="10"/>
  <c r="AP353" i="10"/>
  <c r="AP352" i="10"/>
  <c r="AP351" i="10"/>
  <c r="AP350" i="10"/>
  <c r="AP349" i="10"/>
  <c r="AP488" i="10"/>
  <c r="AP487" i="10"/>
  <c r="AP486" i="10"/>
  <c r="AP485" i="10"/>
  <c r="AP484" i="10"/>
  <c r="AP483" i="10"/>
  <c r="AP431" i="10"/>
  <c r="AP429" i="10"/>
  <c r="AP427" i="10"/>
  <c r="AP425" i="10"/>
  <c r="AP423" i="10"/>
  <c r="AP403" i="10"/>
  <c r="AP399" i="10"/>
  <c r="AP378" i="10"/>
  <c r="AP376" i="10"/>
  <c r="AP374" i="10"/>
  <c r="AP367" i="10"/>
  <c r="AP40" i="10"/>
  <c r="AP30" i="10"/>
  <c r="AP26" i="10"/>
  <c r="AP25" i="10"/>
  <c r="AP23" i="10"/>
  <c r="AP19" i="10"/>
  <c r="AO368" i="10"/>
  <c r="AO507" i="10"/>
  <c r="AO511" i="10"/>
  <c r="AO515" i="10"/>
  <c r="AO535" i="10"/>
  <c r="AO547" i="10" s="1"/>
  <c r="AO539" i="10"/>
  <c r="AO559" i="10"/>
  <c r="AO563" i="10"/>
  <c r="AO567" i="10"/>
  <c r="AO508" i="10"/>
  <c r="AO512" i="10"/>
  <c r="AO532" i="10"/>
  <c r="AO536" i="10"/>
  <c r="AO540" i="10"/>
  <c r="AO560" i="10"/>
  <c r="AO437" i="10"/>
  <c r="AO564" i="10"/>
  <c r="AO441" i="10"/>
  <c r="AO502" i="10"/>
  <c r="AO27" i="10"/>
  <c r="AO666" i="10"/>
  <c r="AO651" i="10" s="1"/>
  <c r="AO698" i="10"/>
  <c r="AO683" i="10" s="1"/>
  <c r="AO66" i="10" s="1"/>
  <c r="AN551" i="10"/>
  <c r="AO11" i="8"/>
  <c r="AM657" i="8"/>
  <c r="AM642" i="8" s="1"/>
  <c r="AM61" i="8" s="1"/>
  <c r="AM689" i="8"/>
  <c r="AM674" i="8" s="1"/>
  <c r="AM62" i="8" s="1"/>
  <c r="AN700" i="8"/>
  <c r="AN699" i="8"/>
  <c r="AN698" i="8"/>
  <c r="AN697" i="8"/>
  <c r="AN696" i="8"/>
  <c r="AN695" i="8"/>
  <c r="AN694" i="8"/>
  <c r="AN693" i="8"/>
  <c r="AN691" i="8"/>
  <c r="AN688" i="8"/>
  <c r="AN687" i="8"/>
  <c r="AN396" i="8" s="1"/>
  <c r="AN686" i="8"/>
  <c r="AN685" i="8"/>
  <c r="AN684" i="8"/>
  <c r="AN683" i="8"/>
  <c r="AN392" i="8" s="1"/>
  <c r="AN682" i="8"/>
  <c r="AN681" i="8"/>
  <c r="AN680" i="8"/>
  <c r="AN679" i="8"/>
  <c r="AN388" i="8" s="1"/>
  <c r="AN668" i="8"/>
  <c r="AN667" i="8"/>
  <c r="AN666" i="8"/>
  <c r="AN665" i="8"/>
  <c r="AN664" i="8"/>
  <c r="AN663" i="8"/>
  <c r="AN662" i="8"/>
  <c r="AN660" i="8"/>
  <c r="AN659" i="8"/>
  <c r="AN656" i="8"/>
  <c r="AN371" i="8" s="1"/>
  <c r="AN655" i="8"/>
  <c r="AN654" i="8"/>
  <c r="AN369" i="8" s="1"/>
  <c r="AN653" i="8"/>
  <c r="AN652" i="8"/>
  <c r="AN367" i="8" s="1"/>
  <c r="AN651" i="8"/>
  <c r="AN650" i="8"/>
  <c r="AN365" i="8" s="1"/>
  <c r="AN649" i="8"/>
  <c r="AN648" i="8"/>
  <c r="AN647" i="8"/>
  <c r="AN636" i="8"/>
  <c r="AN635" i="8"/>
  <c r="AN634" i="8"/>
  <c r="AN633" i="8"/>
  <c r="AN632" i="8"/>
  <c r="AN631" i="8"/>
  <c r="AN629" i="8"/>
  <c r="AN628" i="8"/>
  <c r="AN627" i="8"/>
  <c r="AN624" i="8"/>
  <c r="AN623" i="8"/>
  <c r="AN345" i="8" s="1"/>
  <c r="AN622" i="8"/>
  <c r="AN344" i="8" s="1"/>
  <c r="AN621" i="8"/>
  <c r="AN343" i="8" s="1"/>
  <c r="AN620" i="8"/>
  <c r="AN619" i="8"/>
  <c r="AN341" i="8" s="1"/>
  <c r="AN618" i="8"/>
  <c r="AN617" i="8"/>
  <c r="AN616" i="8"/>
  <c r="AN615" i="8"/>
  <c r="AN555" i="8"/>
  <c r="AN556" i="8" s="1"/>
  <c r="AN549" i="8"/>
  <c r="AN550" i="8" s="1"/>
  <c r="AN604" i="8"/>
  <c r="AN466" i="8"/>
  <c r="AN397" i="8"/>
  <c r="AN395" i="8"/>
  <c r="AN393" i="8"/>
  <c r="AN391" i="8"/>
  <c r="AN389" i="8"/>
  <c r="AN363" i="8"/>
  <c r="AN346" i="8"/>
  <c r="AN342" i="8"/>
  <c r="AN340" i="8"/>
  <c r="AN453" i="8"/>
  <c r="AN452" i="8"/>
  <c r="AN451" i="8"/>
  <c r="AN450" i="8"/>
  <c r="AN449" i="8"/>
  <c r="AN448" i="8"/>
  <c r="AN394" i="8"/>
  <c r="AN390" i="8"/>
  <c r="AN370" i="8"/>
  <c r="AN368" i="8"/>
  <c r="AN366" i="8"/>
  <c r="AN364" i="8"/>
  <c r="AN362" i="8"/>
  <c r="AN339" i="8"/>
  <c r="AN337" i="8"/>
  <c r="AN332" i="8"/>
  <c r="AN319" i="8"/>
  <c r="AN318" i="8"/>
  <c r="AN317" i="8"/>
  <c r="AN316" i="8"/>
  <c r="AN315" i="8"/>
  <c r="AN314" i="8"/>
  <c r="AN338" i="8"/>
  <c r="AN40" i="8"/>
  <c r="AO2" i="8"/>
  <c r="AN30" i="8"/>
  <c r="AN26" i="8"/>
  <c r="AN25" i="8"/>
  <c r="AN23" i="8"/>
  <c r="AN19" i="8"/>
  <c r="AM333" i="8"/>
  <c r="AM473" i="8"/>
  <c r="AM471" i="8"/>
  <c r="AM474" i="8"/>
  <c r="AM478" i="8"/>
  <c r="AM498" i="8"/>
  <c r="AM502" i="8"/>
  <c r="AM506" i="8"/>
  <c r="AM526" i="8"/>
  <c r="AM530" i="8"/>
  <c r="AM477" i="8"/>
  <c r="AM497" i="8"/>
  <c r="AM501" i="8"/>
  <c r="AM505" i="8"/>
  <c r="AM525" i="8"/>
  <c r="AM529" i="8"/>
  <c r="AM467" i="8"/>
  <c r="AL72" i="8"/>
  <c r="AM27" i="8"/>
  <c r="AM625" i="8"/>
  <c r="AM610" i="8" s="1"/>
  <c r="AM60" i="8" s="1"/>
  <c r="AL63" i="8"/>
  <c r="AK233" i="8"/>
  <c r="AK234" i="8" s="1"/>
  <c r="AM472" i="8"/>
  <c r="AM476" i="8"/>
  <c r="AM480" i="8"/>
  <c r="AM500" i="8"/>
  <c r="AM504" i="8"/>
  <c r="AM524" i="8"/>
  <c r="AM528" i="8"/>
  <c r="AM532" i="8"/>
  <c r="AM475" i="8"/>
  <c r="AM479" i="8"/>
  <c r="AM499" i="8"/>
  <c r="AM503" i="8"/>
  <c r="AM523" i="8"/>
  <c r="AM527" i="8"/>
  <c r="AM531" i="8"/>
  <c r="AK271" i="8"/>
  <c r="AK272" i="8" s="1"/>
  <c r="AO566" i="7"/>
  <c r="AO560" i="7"/>
  <c r="AO538" i="7" s="1"/>
  <c r="AO551" i="7"/>
  <c r="AO550" i="7"/>
  <c r="AO561" i="7" s="1"/>
  <c r="AO544" i="7"/>
  <c r="AO543" i="7"/>
  <c r="AP11" i="7"/>
  <c r="AN549" i="7"/>
  <c r="AN405" i="7"/>
  <c r="AN262" i="7"/>
  <c r="AN403" i="7"/>
  <c r="AN402" i="7"/>
  <c r="AN406" i="7"/>
  <c r="AN426" i="7"/>
  <c r="AN430" i="7"/>
  <c r="AN434" i="7"/>
  <c r="AN454" i="7"/>
  <c r="AN458" i="7"/>
  <c r="AN396" i="7"/>
  <c r="AN427" i="7"/>
  <c r="AN431" i="7"/>
  <c r="AN435" i="7"/>
  <c r="AN455" i="7"/>
  <c r="AN459" i="7"/>
  <c r="AM556" i="7"/>
  <c r="AM81" i="7"/>
  <c r="AO696" i="7"/>
  <c r="AO695" i="7"/>
  <c r="AO694" i="7"/>
  <c r="AO693" i="7"/>
  <c r="AO692" i="7"/>
  <c r="AO691" i="7"/>
  <c r="AO690" i="7"/>
  <c r="AO689" i="7"/>
  <c r="AO684" i="7"/>
  <c r="AO326" i="7" s="1"/>
  <c r="AO683" i="7"/>
  <c r="AO682" i="7"/>
  <c r="AO681" i="7"/>
  <c r="AO323" i="7" s="1"/>
  <c r="AO680" i="7"/>
  <c r="AO679" i="7"/>
  <c r="AO678" i="7"/>
  <c r="AO677" i="7"/>
  <c r="AO319" i="7" s="1"/>
  <c r="AO687" i="7"/>
  <c r="AO676" i="7"/>
  <c r="AO652" i="7"/>
  <c r="AO651" i="7"/>
  <c r="AO299" i="7" s="1"/>
  <c r="AO650" i="7"/>
  <c r="AO649" i="7"/>
  <c r="AO648" i="7"/>
  <c r="AO647" i="7"/>
  <c r="AO295" i="7" s="1"/>
  <c r="AO646" i="7"/>
  <c r="AO294" i="7" s="1"/>
  <c r="AO675" i="7"/>
  <c r="AO664" i="7"/>
  <c r="AO663" i="7"/>
  <c r="AO662" i="7"/>
  <c r="AO661" i="7"/>
  <c r="AO660" i="7"/>
  <c r="AO659" i="7"/>
  <c r="AO658" i="7"/>
  <c r="AO656" i="7"/>
  <c r="AO655" i="7"/>
  <c r="AO645" i="7"/>
  <c r="AO293" i="7" s="1"/>
  <c r="AO620" i="7"/>
  <c r="AO275" i="7" s="1"/>
  <c r="AO619" i="7"/>
  <c r="AO618" i="7"/>
  <c r="AO617" i="7"/>
  <c r="AO272" i="7" s="1"/>
  <c r="AO616" i="7"/>
  <c r="AO271" i="7" s="1"/>
  <c r="AO615" i="7"/>
  <c r="AO644" i="7"/>
  <c r="AO643" i="7"/>
  <c r="AO291" i="7" s="1"/>
  <c r="AO632" i="7"/>
  <c r="AO631" i="7"/>
  <c r="AO630" i="7"/>
  <c r="AO629" i="7"/>
  <c r="AO628" i="7"/>
  <c r="AO627" i="7"/>
  <c r="AO625" i="7"/>
  <c r="AO624" i="7"/>
  <c r="AO623" i="7"/>
  <c r="AO614" i="7"/>
  <c r="AO613" i="7"/>
  <c r="AO268" i="7" s="1"/>
  <c r="AO612" i="7"/>
  <c r="AO267" i="7" s="1"/>
  <c r="AO611" i="7"/>
  <c r="AO484" i="7"/>
  <c r="AO485" i="7" s="1"/>
  <c r="AO478" i="7"/>
  <c r="AO479" i="7" s="1"/>
  <c r="AO382" i="7"/>
  <c r="AO381" i="7"/>
  <c r="AO380" i="7"/>
  <c r="AO379" i="7"/>
  <c r="AO378" i="7"/>
  <c r="AO377" i="7"/>
  <c r="AO325" i="7"/>
  <c r="AO321" i="7"/>
  <c r="AO317" i="7"/>
  <c r="AO297" i="7"/>
  <c r="AO395" i="7"/>
  <c r="AO324" i="7"/>
  <c r="AO322" i="7"/>
  <c r="AO320" i="7"/>
  <c r="AO318" i="7"/>
  <c r="AO300" i="7"/>
  <c r="AO298" i="7"/>
  <c r="AO296" i="7"/>
  <c r="AO292" i="7"/>
  <c r="AO273" i="7"/>
  <c r="AO269" i="7"/>
  <c r="AO274" i="7"/>
  <c r="AO270" i="7"/>
  <c r="AO266" i="7"/>
  <c r="AO261" i="7"/>
  <c r="AO248" i="7"/>
  <c r="AO247" i="7"/>
  <c r="AO246" i="7"/>
  <c r="AO245" i="7"/>
  <c r="AO244" i="7"/>
  <c r="AO243" i="7"/>
  <c r="AO40" i="7"/>
  <c r="AP2" i="7"/>
  <c r="AP599" i="7" s="1"/>
  <c r="AO30" i="7"/>
  <c r="AO26" i="7"/>
  <c r="AO25" i="7"/>
  <c r="AO23" i="7"/>
  <c r="AO19" i="7"/>
  <c r="AN401" i="7"/>
  <c r="AN409" i="7"/>
  <c r="AN407" i="7"/>
  <c r="AN400" i="7"/>
  <c r="AN404" i="7"/>
  <c r="AN408" i="7"/>
  <c r="AN428" i="7"/>
  <c r="AN432" i="7"/>
  <c r="AN452" i="7"/>
  <c r="AN456" i="7"/>
  <c r="AN460" i="7"/>
  <c r="AN429" i="7"/>
  <c r="AN433" i="7"/>
  <c r="AN453" i="7"/>
  <c r="AN457" i="7"/>
  <c r="AN461" i="7"/>
  <c r="AN565" i="7"/>
  <c r="AN559" i="7"/>
  <c r="AN537" i="7" s="1"/>
  <c r="AN80" i="7" s="1"/>
  <c r="AO592" i="7"/>
  <c r="AN27" i="7"/>
  <c r="AN61" i="7"/>
  <c r="AN621" i="7"/>
  <c r="AN606" i="7" s="1"/>
  <c r="AN68" i="7" s="1"/>
  <c r="AN653" i="7"/>
  <c r="AN638" i="7" s="1"/>
  <c r="AN69" i="7" s="1"/>
  <c r="AN685" i="7"/>
  <c r="AN670" i="7" s="1"/>
  <c r="AN70" i="7" s="1"/>
  <c r="C15" i="2"/>
  <c r="C17" i="2"/>
  <c r="C71" i="2"/>
  <c r="D368" i="2"/>
  <c r="D503" i="2" s="1"/>
  <c r="D372" i="2"/>
  <c r="D507" i="2" s="1"/>
  <c r="D365" i="2"/>
  <c r="D500" i="2" s="1"/>
  <c r="D366" i="2"/>
  <c r="D501" i="2" s="1"/>
  <c r="D373" i="2"/>
  <c r="D508" i="2" s="1"/>
  <c r="D370" i="2"/>
  <c r="D505" i="2" s="1"/>
  <c r="D374" i="2"/>
  <c r="D509" i="2" s="1"/>
  <c r="D371" i="2"/>
  <c r="D506" i="2" s="1"/>
  <c r="D369" i="2"/>
  <c r="D504" i="2" s="1"/>
  <c r="E758" i="2"/>
  <c r="E400" i="2" s="1"/>
  <c r="E535" i="2" s="1"/>
  <c r="E756" i="2"/>
  <c r="E398" i="2" s="1"/>
  <c r="E533" i="2" s="1"/>
  <c r="E754" i="2"/>
  <c r="E396" i="2" s="1"/>
  <c r="E531" i="2" s="1"/>
  <c r="E752" i="2"/>
  <c r="E394" i="2" s="1"/>
  <c r="E529" i="2" s="1"/>
  <c r="E750" i="2"/>
  <c r="E392" i="2" s="1"/>
  <c r="E527" i="2" s="1"/>
  <c r="E726" i="2"/>
  <c r="E757" i="2"/>
  <c r="E399" i="2" s="1"/>
  <c r="E534" i="2" s="1"/>
  <c r="E755" i="2"/>
  <c r="E397" i="2" s="1"/>
  <c r="E532" i="2" s="1"/>
  <c r="E753" i="2"/>
  <c r="E395" i="2" s="1"/>
  <c r="E530" i="2" s="1"/>
  <c r="E751" i="2"/>
  <c r="E393" i="2" s="1"/>
  <c r="E528" i="2" s="1"/>
  <c r="E749" i="2"/>
  <c r="E391" i="2" s="1"/>
  <c r="E526" i="2" s="1"/>
  <c r="E725" i="2"/>
  <c r="E724" i="2"/>
  <c r="E722" i="2"/>
  <c r="E720" i="2"/>
  <c r="E368" i="2" s="1"/>
  <c r="E503" i="2" s="1"/>
  <c r="E718" i="2"/>
  <c r="E694" i="2"/>
  <c r="E692" i="2"/>
  <c r="E690" i="2"/>
  <c r="E688" i="2"/>
  <c r="E686" i="2"/>
  <c r="E762" i="2"/>
  <c r="E763" i="2"/>
  <c r="E766" i="2"/>
  <c r="E768" i="2"/>
  <c r="E770" i="2"/>
  <c r="E723" i="2"/>
  <c r="E719" i="2"/>
  <c r="E691" i="2"/>
  <c r="E721" i="2"/>
  <c r="E717" i="2"/>
  <c r="E365" i="2" s="1"/>
  <c r="E500" i="2" s="1"/>
  <c r="E693" i="2"/>
  <c r="E689" i="2"/>
  <c r="E685" i="2"/>
  <c r="E765" i="2"/>
  <c r="E769" i="2"/>
  <c r="E687" i="2"/>
  <c r="E764" i="2"/>
  <c r="E731" i="2"/>
  <c r="E733" i="2"/>
  <c r="E735" i="2"/>
  <c r="E737" i="2"/>
  <c r="E767" i="2"/>
  <c r="E730" i="2"/>
  <c r="E732" i="2"/>
  <c r="E734" i="2"/>
  <c r="E736" i="2"/>
  <c r="E738" i="2"/>
  <c r="D759" i="2"/>
  <c r="D744" i="2" s="1"/>
  <c r="D70" i="2" s="1"/>
  <c r="D727" i="2"/>
  <c r="D712" i="2" s="1"/>
  <c r="D69" i="2" s="1"/>
  <c r="E552" i="2"/>
  <c r="E553" i="2" s="1"/>
  <c r="E558" i="2"/>
  <c r="E559" i="2" s="1"/>
  <c r="E624" i="2"/>
  <c r="E617" i="2"/>
  <c r="F11" i="2"/>
  <c r="E317" i="2"/>
  <c r="E319" i="2"/>
  <c r="E321" i="2"/>
  <c r="E452" i="2"/>
  <c r="E454" i="2"/>
  <c r="E456" i="2"/>
  <c r="E318" i="2"/>
  <c r="E322" i="2"/>
  <c r="E451" i="2"/>
  <c r="E455" i="2"/>
  <c r="E320" i="2"/>
  <c r="E453" i="2"/>
  <c r="E19" i="2"/>
  <c r="E698" i="2"/>
  <c r="E699" i="2"/>
  <c r="E700" i="2"/>
  <c r="E701" i="2"/>
  <c r="E702" i="2"/>
  <c r="E703" i="2"/>
  <c r="E704" i="2"/>
  <c r="E705" i="2"/>
  <c r="E706" i="2"/>
  <c r="E469" i="2"/>
  <c r="D336" i="2"/>
  <c r="E335" i="2"/>
  <c r="D341" i="2"/>
  <c r="D475" i="2" s="1"/>
  <c r="D347" i="2"/>
  <c r="D481" i="2" s="1"/>
  <c r="D342" i="2"/>
  <c r="D476" i="2" s="1"/>
  <c r="D345" i="2"/>
  <c r="D479" i="2" s="1"/>
  <c r="D349" i="2"/>
  <c r="D483" i="2" s="1"/>
  <c r="D344" i="2"/>
  <c r="D478" i="2" s="1"/>
  <c r="D348" i="2"/>
  <c r="D482" i="2" s="1"/>
  <c r="D343" i="2"/>
  <c r="D477" i="2" s="1"/>
  <c r="D346" i="2"/>
  <c r="D480" i="2" s="1"/>
  <c r="D695" i="2"/>
  <c r="D680" i="2" s="1"/>
  <c r="D68" i="2" s="1"/>
  <c r="E23" i="2"/>
  <c r="E26" i="2"/>
  <c r="E30" i="2"/>
  <c r="C14" i="2"/>
  <c r="E668" i="2"/>
  <c r="D27" i="2"/>
  <c r="F2" i="2"/>
  <c r="F674" i="2" s="1"/>
  <c r="E25" i="2"/>
  <c r="AP380" i="10" l="1"/>
  <c r="AP398" i="10"/>
  <c r="AP406" i="10"/>
  <c r="AP401" i="10"/>
  <c r="AP428" i="10"/>
  <c r="AP405" i="10"/>
  <c r="AP424" i="10"/>
  <c r="AP379" i="10"/>
  <c r="AP513" i="10" s="1"/>
  <c r="AP525" i="10" s="1"/>
  <c r="AO548" i="7"/>
  <c r="AO549" i="7" s="1"/>
  <c r="AP547" i="7"/>
  <c r="AP595" i="7"/>
  <c r="AP546" i="7"/>
  <c r="AN577" i="7"/>
  <c r="AO574" i="7" s="1"/>
  <c r="AO170" i="7"/>
  <c r="AO134" i="7"/>
  <c r="AO55" i="7"/>
  <c r="AN539" i="7"/>
  <c r="AN534" i="7"/>
  <c r="AO579" i="7"/>
  <c r="AO576" i="7" s="1"/>
  <c r="AO585" i="7"/>
  <c r="AP581" i="7"/>
  <c r="AP586" i="7"/>
  <c r="AP580" i="7"/>
  <c r="B580" i="7" s="1"/>
  <c r="AP564" i="7"/>
  <c r="AP584" i="7" s="1"/>
  <c r="F655" i="2"/>
  <c r="F659" i="2" s="1"/>
  <c r="C653" i="2"/>
  <c r="E618" i="2"/>
  <c r="AO527" i="10"/>
  <c r="AO519" i="10"/>
  <c r="C18" i="2"/>
  <c r="AP523" i="7"/>
  <c r="AP519" i="7"/>
  <c r="AP515" i="7"/>
  <c r="AP511" i="7"/>
  <c r="AP594" i="7"/>
  <c r="AP593" i="7"/>
  <c r="F597" i="2"/>
  <c r="F593" i="2"/>
  <c r="F589" i="2"/>
  <c r="F585" i="2"/>
  <c r="AN524" i="10"/>
  <c r="AO551" i="10"/>
  <c r="AP56" i="10"/>
  <c r="AP85" i="10"/>
  <c r="AP86" i="10" s="1"/>
  <c r="AO524" i="10"/>
  <c r="AN572" i="10"/>
  <c r="I734" i="10"/>
  <c r="J734" i="10"/>
  <c r="K734" i="10"/>
  <c r="O736" i="10"/>
  <c r="P736" i="10"/>
  <c r="Q736" i="10"/>
  <c r="U738" i="10"/>
  <c r="V738" i="10"/>
  <c r="W738" i="10"/>
  <c r="AA740" i="10"/>
  <c r="AB740" i="10"/>
  <c r="AC740" i="10"/>
  <c r="AP733" i="10"/>
  <c r="AP742" i="10" s="1"/>
  <c r="AP714" i="10" s="1"/>
  <c r="F733" i="10"/>
  <c r="G733" i="10"/>
  <c r="H733" i="10"/>
  <c r="L735" i="10"/>
  <c r="M735" i="10"/>
  <c r="N735" i="10"/>
  <c r="AN575" i="10"/>
  <c r="R737" i="10"/>
  <c r="S737" i="10"/>
  <c r="T737" i="10"/>
  <c r="AN577" i="10"/>
  <c r="X739" i="10"/>
  <c r="Y739" i="10"/>
  <c r="Z739" i="10"/>
  <c r="AN579" i="10"/>
  <c r="AD741" i="10"/>
  <c r="AE741" i="10"/>
  <c r="AF741" i="10"/>
  <c r="AO594" i="8"/>
  <c r="AO590" i="8"/>
  <c r="AO586" i="8"/>
  <c r="AO582" i="8"/>
  <c r="AO65" i="10"/>
  <c r="AN520" i="10"/>
  <c r="AN547" i="10"/>
  <c r="AO576" i="10"/>
  <c r="AO572" i="10"/>
  <c r="AN179" i="10"/>
  <c r="AN196" i="10" s="1"/>
  <c r="AP141" i="10"/>
  <c r="AP153" i="10" s="1"/>
  <c r="AP249" i="10"/>
  <c r="AP221" i="10"/>
  <c r="AN527" i="10"/>
  <c r="AN552" i="10"/>
  <c r="AO552" i="10"/>
  <c r="AN548" i="10"/>
  <c r="AN523" i="10"/>
  <c r="AN571" i="10"/>
  <c r="AO579" i="10"/>
  <c r="AO575" i="10"/>
  <c r="AO571" i="10"/>
  <c r="AO523" i="10"/>
  <c r="AN519" i="10"/>
  <c r="AO548" i="10"/>
  <c r="AO520" i="10"/>
  <c r="AP506" i="10"/>
  <c r="AP510" i="10"/>
  <c r="AP522" i="10" s="1"/>
  <c r="AP387" i="10"/>
  <c r="AP514" i="10"/>
  <c r="AP526" i="10" s="1"/>
  <c r="AP391" i="10"/>
  <c r="AP534" i="10"/>
  <c r="AP546" i="10" s="1"/>
  <c r="AP411" i="10"/>
  <c r="AP538" i="10"/>
  <c r="AP550" i="10" s="1"/>
  <c r="AP415" i="10"/>
  <c r="AP558" i="10"/>
  <c r="AP562" i="10"/>
  <c r="AP574" i="10" s="1"/>
  <c r="AP439" i="10"/>
  <c r="AP566" i="10"/>
  <c r="AP578" i="10" s="1"/>
  <c r="AP443" i="10"/>
  <c r="B484" i="10"/>
  <c r="B486" i="10"/>
  <c r="B488" i="10"/>
  <c r="B350" i="10"/>
  <c r="B352" i="10"/>
  <c r="B354" i="10"/>
  <c r="AP509" i="10"/>
  <c r="AP521" i="10" s="1"/>
  <c r="AP386" i="10"/>
  <c r="AP533" i="10"/>
  <c r="AP545" i="10" s="1"/>
  <c r="AP410" i="10"/>
  <c r="AP537" i="10"/>
  <c r="AP549" i="10" s="1"/>
  <c r="AP414" i="10"/>
  <c r="AP541" i="10"/>
  <c r="AP553" i="10" s="1"/>
  <c r="AP418" i="10"/>
  <c r="AP561" i="10"/>
  <c r="AP573" i="10" s="1"/>
  <c r="AP438" i="10"/>
  <c r="AP565" i="10"/>
  <c r="AP577" i="10" s="1"/>
  <c r="AP442" i="10"/>
  <c r="AP666" i="10"/>
  <c r="AP651" i="10" s="1"/>
  <c r="B656" i="10"/>
  <c r="T520" i="10"/>
  <c r="D520" i="10"/>
  <c r="E520" i="10"/>
  <c r="G520" i="10"/>
  <c r="I520" i="10"/>
  <c r="J520" i="10"/>
  <c r="M520" i="10"/>
  <c r="N520" i="10"/>
  <c r="O520" i="10"/>
  <c r="P520" i="10"/>
  <c r="C385" i="10"/>
  <c r="D385" i="10"/>
  <c r="F385" i="10"/>
  <c r="G385" i="10"/>
  <c r="K385" i="10"/>
  <c r="L385" i="10"/>
  <c r="N385" i="10"/>
  <c r="Q385" i="10"/>
  <c r="R385" i="10"/>
  <c r="S385" i="10"/>
  <c r="T385" i="10"/>
  <c r="V385" i="10"/>
  <c r="C520" i="10"/>
  <c r="F520" i="10"/>
  <c r="H520" i="10"/>
  <c r="K520" i="10"/>
  <c r="L520" i="10"/>
  <c r="Q520" i="10"/>
  <c r="R520" i="10"/>
  <c r="S520" i="10"/>
  <c r="U520" i="10"/>
  <c r="E385" i="10"/>
  <c r="H385" i="10"/>
  <c r="I385" i="10"/>
  <c r="J385" i="10"/>
  <c r="M385" i="10"/>
  <c r="O385" i="10"/>
  <c r="P385" i="10"/>
  <c r="U385" i="10"/>
  <c r="W385" i="10"/>
  <c r="V520" i="10"/>
  <c r="X385" i="10"/>
  <c r="W520" i="10"/>
  <c r="X520" i="10"/>
  <c r="Y385" i="10"/>
  <c r="Y520" i="10"/>
  <c r="Z385" i="10"/>
  <c r="AA670" i="10"/>
  <c r="AA678" i="10" s="1"/>
  <c r="AA650" i="10" s="1"/>
  <c r="AA60" i="10" s="1"/>
  <c r="AA385" i="10"/>
  <c r="AB670" i="10"/>
  <c r="AB678" i="10" s="1"/>
  <c r="AB650" i="10" s="1"/>
  <c r="AB60" i="10" s="1"/>
  <c r="Z520" i="10"/>
  <c r="AC670" i="10"/>
  <c r="AC678" i="10" s="1"/>
  <c r="AC650" i="10" s="1"/>
  <c r="AC60" i="10" s="1"/>
  <c r="AB385" i="10"/>
  <c r="AA520" i="10"/>
  <c r="AC385" i="10"/>
  <c r="AD670" i="10"/>
  <c r="AD678" i="10" s="1"/>
  <c r="AD650" i="10" s="1"/>
  <c r="AD60" i="10" s="1"/>
  <c r="AB520" i="10"/>
  <c r="AC520" i="10"/>
  <c r="AE670" i="10"/>
  <c r="AE678" i="10" s="1"/>
  <c r="AE650" i="10" s="1"/>
  <c r="AE60" i="10" s="1"/>
  <c r="AD385" i="10"/>
  <c r="AF670" i="10"/>
  <c r="AF678" i="10" s="1"/>
  <c r="AF650" i="10" s="1"/>
  <c r="AF60" i="10" s="1"/>
  <c r="AE385" i="10"/>
  <c r="AD520" i="10"/>
  <c r="AG670" i="10"/>
  <c r="AG678" i="10" s="1"/>
  <c r="AG650" i="10" s="1"/>
  <c r="AG60" i="10" s="1"/>
  <c r="AF385" i="10"/>
  <c r="AE520" i="10"/>
  <c r="AF520" i="10"/>
  <c r="AG385" i="10"/>
  <c r="AH670" i="10"/>
  <c r="AH678" i="10" s="1"/>
  <c r="AH650" i="10" s="1"/>
  <c r="AH60" i="10" s="1"/>
  <c r="AH385" i="10"/>
  <c r="AI670" i="10"/>
  <c r="AI678" i="10" s="1"/>
  <c r="AI650" i="10" s="1"/>
  <c r="AI60" i="10" s="1"/>
  <c r="AG520" i="10"/>
  <c r="AI385" i="10"/>
  <c r="AH520" i="10"/>
  <c r="AJ670" i="10"/>
  <c r="AJ678" i="10" s="1"/>
  <c r="AJ650" i="10" s="1"/>
  <c r="AJ60" i="10" s="1"/>
  <c r="AI520" i="10"/>
  <c r="AK670" i="10"/>
  <c r="AK678" i="10" s="1"/>
  <c r="AK650" i="10" s="1"/>
  <c r="AK60" i="10" s="1"/>
  <c r="AJ385" i="10"/>
  <c r="AJ520" i="10"/>
  <c r="AL670" i="10"/>
  <c r="AL678" i="10" s="1"/>
  <c r="AL650" i="10" s="1"/>
  <c r="AL60" i="10" s="1"/>
  <c r="AK385" i="10"/>
  <c r="AL385" i="10"/>
  <c r="AK520" i="10"/>
  <c r="AM385" i="10"/>
  <c r="AL520" i="10"/>
  <c r="AN385" i="10"/>
  <c r="AM520" i="10"/>
  <c r="T522" i="10"/>
  <c r="C522" i="10"/>
  <c r="D522" i="10"/>
  <c r="G522" i="10"/>
  <c r="I522" i="10"/>
  <c r="J522" i="10"/>
  <c r="L522" i="10"/>
  <c r="M522" i="10"/>
  <c r="N522" i="10"/>
  <c r="P522" i="10"/>
  <c r="U387" i="10"/>
  <c r="E387" i="10"/>
  <c r="F387" i="10"/>
  <c r="L387" i="10"/>
  <c r="N387" i="10"/>
  <c r="O387" i="10"/>
  <c r="Q387" i="10"/>
  <c r="R387" i="10"/>
  <c r="T387" i="10"/>
  <c r="U522" i="10"/>
  <c r="V387" i="10"/>
  <c r="E522" i="10"/>
  <c r="F522" i="10"/>
  <c r="H522" i="10"/>
  <c r="K522" i="10"/>
  <c r="O522" i="10"/>
  <c r="Q522" i="10"/>
  <c r="R522" i="10"/>
  <c r="S522" i="10"/>
  <c r="C387" i="10"/>
  <c r="D387" i="10"/>
  <c r="G387" i="10"/>
  <c r="H387" i="10"/>
  <c r="I387" i="10"/>
  <c r="J387" i="10"/>
  <c r="K387" i="10"/>
  <c r="M387" i="10"/>
  <c r="P387" i="10"/>
  <c r="S387" i="10"/>
  <c r="V522" i="10"/>
  <c r="W387" i="10"/>
  <c r="X387" i="10"/>
  <c r="W522" i="10"/>
  <c r="Y387" i="10"/>
  <c r="X522" i="10"/>
  <c r="Y522" i="10"/>
  <c r="Z387" i="10"/>
  <c r="Z522" i="10"/>
  <c r="AA387" i="10"/>
  <c r="AB387" i="10"/>
  <c r="AA522" i="10"/>
  <c r="AB522" i="10"/>
  <c r="AC387" i="10"/>
  <c r="AD387" i="10"/>
  <c r="AC522" i="10"/>
  <c r="AE387" i="10"/>
  <c r="AD522" i="10"/>
  <c r="AF387" i="10"/>
  <c r="AE522" i="10"/>
  <c r="AF522" i="10"/>
  <c r="AG387" i="10"/>
  <c r="AG522" i="10"/>
  <c r="AH387" i="10"/>
  <c r="AI387" i="10"/>
  <c r="AH522" i="10"/>
  <c r="AJ387" i="10"/>
  <c r="AI522" i="10"/>
  <c r="AJ522" i="10"/>
  <c r="AK387" i="10"/>
  <c r="AL387" i="10"/>
  <c r="AK522" i="10"/>
  <c r="AL522" i="10"/>
  <c r="AM387" i="10"/>
  <c r="AN387" i="10"/>
  <c r="AM522" i="10"/>
  <c r="T524" i="10"/>
  <c r="C524" i="10"/>
  <c r="E524" i="10"/>
  <c r="F524" i="10"/>
  <c r="H524" i="10"/>
  <c r="K524" i="10"/>
  <c r="R524" i="10"/>
  <c r="U524" i="10"/>
  <c r="C389" i="10"/>
  <c r="E389" i="10"/>
  <c r="H389" i="10"/>
  <c r="I389" i="10"/>
  <c r="J389" i="10"/>
  <c r="M389" i="10"/>
  <c r="P389" i="10"/>
  <c r="V389" i="10"/>
  <c r="U389" i="10"/>
  <c r="D524" i="10"/>
  <c r="G524" i="10"/>
  <c r="I524" i="10"/>
  <c r="J524" i="10"/>
  <c r="L524" i="10"/>
  <c r="M524" i="10"/>
  <c r="N524" i="10"/>
  <c r="O524" i="10"/>
  <c r="P524" i="10"/>
  <c r="Q524" i="10"/>
  <c r="S524" i="10"/>
  <c r="D389" i="10"/>
  <c r="F389" i="10"/>
  <c r="G389" i="10"/>
  <c r="K389" i="10"/>
  <c r="L389" i="10"/>
  <c r="N389" i="10"/>
  <c r="O389" i="10"/>
  <c r="Q389" i="10"/>
  <c r="R389" i="10"/>
  <c r="S389" i="10"/>
  <c r="T389" i="10"/>
  <c r="W389" i="10"/>
  <c r="V524" i="10"/>
  <c r="X389" i="10"/>
  <c r="W524" i="10"/>
  <c r="X524" i="10"/>
  <c r="Y389" i="10"/>
  <c r="Z389" i="10"/>
  <c r="Y524" i="10"/>
  <c r="AA389" i="10"/>
  <c r="Z524" i="10"/>
  <c r="AB389" i="10"/>
  <c r="AA524" i="10"/>
  <c r="AC389" i="10"/>
  <c r="AB524" i="10"/>
  <c r="AC524" i="10"/>
  <c r="AD389" i="10"/>
  <c r="AE389" i="10"/>
  <c r="AD524" i="10"/>
  <c r="AF389" i="10"/>
  <c r="AE524" i="10"/>
  <c r="AG389" i="10"/>
  <c r="AF524" i="10"/>
  <c r="AG524" i="10"/>
  <c r="AH389" i="10"/>
  <c r="AI389" i="10"/>
  <c r="AH524" i="10"/>
  <c r="AJ389" i="10"/>
  <c r="AI524" i="10"/>
  <c r="AJ524" i="10"/>
  <c r="AK389" i="10"/>
  <c r="AK524" i="10"/>
  <c r="AL389" i="10"/>
  <c r="AM389" i="10"/>
  <c r="AL524" i="10"/>
  <c r="AM524" i="10"/>
  <c r="AN389" i="10"/>
  <c r="U391" i="10"/>
  <c r="T526" i="10"/>
  <c r="C526" i="10"/>
  <c r="D526" i="10"/>
  <c r="E526" i="10"/>
  <c r="F526" i="10"/>
  <c r="G526" i="10"/>
  <c r="H526" i="10"/>
  <c r="I526" i="10"/>
  <c r="K526" i="10"/>
  <c r="L526" i="10"/>
  <c r="M526" i="10"/>
  <c r="O526" i="10"/>
  <c r="Q526" i="10"/>
  <c r="R526" i="10"/>
  <c r="S526" i="10"/>
  <c r="C391" i="10"/>
  <c r="D391" i="10"/>
  <c r="G391" i="10"/>
  <c r="H391" i="10"/>
  <c r="J391" i="10"/>
  <c r="K391" i="10"/>
  <c r="P391" i="10"/>
  <c r="Q391" i="10"/>
  <c r="S391" i="10"/>
  <c r="V391" i="10"/>
  <c r="J526" i="10"/>
  <c r="N526" i="10"/>
  <c r="P526" i="10"/>
  <c r="U526" i="10"/>
  <c r="E391" i="10"/>
  <c r="F391" i="10"/>
  <c r="I391" i="10"/>
  <c r="L391" i="10"/>
  <c r="M391" i="10"/>
  <c r="N391" i="10"/>
  <c r="O391" i="10"/>
  <c r="R391" i="10"/>
  <c r="T391" i="10"/>
  <c r="W391" i="10"/>
  <c r="V526" i="10"/>
  <c r="X391" i="10"/>
  <c r="W526" i="10"/>
  <c r="X526" i="10"/>
  <c r="Y391" i="10"/>
  <c r="Y526" i="10"/>
  <c r="Z391" i="10"/>
  <c r="AA391" i="10"/>
  <c r="Z526" i="10"/>
  <c r="AB391" i="10"/>
  <c r="AA526" i="10"/>
  <c r="AC391" i="10"/>
  <c r="AB526" i="10"/>
  <c r="AD391" i="10"/>
  <c r="AC526" i="10"/>
  <c r="AD526" i="10"/>
  <c r="AE391" i="10"/>
  <c r="AF391" i="10"/>
  <c r="AE526" i="10"/>
  <c r="AG391" i="10"/>
  <c r="AF526" i="10"/>
  <c r="AH391" i="10"/>
  <c r="AG526" i="10"/>
  <c r="AI391" i="10"/>
  <c r="AH526" i="10"/>
  <c r="AJ391" i="10"/>
  <c r="AI526" i="10"/>
  <c r="AK391" i="10"/>
  <c r="AJ526" i="10"/>
  <c r="AK526" i="10"/>
  <c r="AL391" i="10"/>
  <c r="AM391" i="10"/>
  <c r="AL526" i="10"/>
  <c r="AN391" i="10"/>
  <c r="AM526" i="10"/>
  <c r="AP698" i="10"/>
  <c r="AP683" i="10" s="1"/>
  <c r="AP66" i="10" s="1"/>
  <c r="B688" i="10"/>
  <c r="AO544" i="10" s="1"/>
  <c r="U411" i="10"/>
  <c r="T546" i="10"/>
  <c r="F546" i="10"/>
  <c r="H546" i="10"/>
  <c r="K546" i="10"/>
  <c r="O546" i="10"/>
  <c r="Q546" i="10"/>
  <c r="R546" i="10"/>
  <c r="S546" i="10"/>
  <c r="U546" i="10"/>
  <c r="E411" i="10"/>
  <c r="F411" i="10"/>
  <c r="I411" i="10"/>
  <c r="L411" i="10"/>
  <c r="M411" i="10"/>
  <c r="N411" i="10"/>
  <c r="O411" i="10"/>
  <c r="R411" i="10"/>
  <c r="T411" i="10"/>
  <c r="V411" i="10"/>
  <c r="C546" i="10"/>
  <c r="D546" i="10"/>
  <c r="E546" i="10"/>
  <c r="G546" i="10"/>
  <c r="I546" i="10"/>
  <c r="J546" i="10"/>
  <c r="L546" i="10"/>
  <c r="M546" i="10"/>
  <c r="N546" i="10"/>
  <c r="P546" i="10"/>
  <c r="C411" i="10"/>
  <c r="D411" i="10"/>
  <c r="G411" i="10"/>
  <c r="H411" i="10"/>
  <c r="J411" i="10"/>
  <c r="K411" i="10"/>
  <c r="P411" i="10"/>
  <c r="Q411" i="10"/>
  <c r="S411" i="10"/>
  <c r="V546" i="10"/>
  <c r="W411" i="10"/>
  <c r="X411" i="10"/>
  <c r="W546" i="10"/>
  <c r="Y411" i="10"/>
  <c r="X546" i="10"/>
  <c r="Z411" i="10"/>
  <c r="Y546" i="10"/>
  <c r="Z546" i="10"/>
  <c r="AA411" i="10"/>
  <c r="AB411" i="10"/>
  <c r="AA546" i="10"/>
  <c r="AB546" i="10"/>
  <c r="AC411" i="10"/>
  <c r="AC546" i="10"/>
  <c r="AD411" i="10"/>
  <c r="AE411" i="10"/>
  <c r="AD546" i="10"/>
  <c r="AF411" i="10"/>
  <c r="AE546" i="10"/>
  <c r="AG702" i="10"/>
  <c r="AG710" i="10" s="1"/>
  <c r="AG682" i="10" s="1"/>
  <c r="AG61" i="10" s="1"/>
  <c r="AG411" i="10"/>
  <c r="AF546" i="10"/>
  <c r="AH702" i="10"/>
  <c r="AH710" i="10" s="1"/>
  <c r="AH682" i="10" s="1"/>
  <c r="AH61" i="10" s="1"/>
  <c r="AI702" i="10"/>
  <c r="AI710" i="10" s="1"/>
  <c r="AI682" i="10" s="1"/>
  <c r="AI61" i="10" s="1"/>
  <c r="AG546" i="10"/>
  <c r="AH411" i="10"/>
  <c r="AI411" i="10"/>
  <c r="AH546" i="10"/>
  <c r="AJ702" i="10"/>
  <c r="AJ710" i="10" s="1"/>
  <c r="AJ682" i="10" s="1"/>
  <c r="AJ61" i="10" s="1"/>
  <c r="AJ411" i="10"/>
  <c r="AI546" i="10"/>
  <c r="AK702" i="10"/>
  <c r="AK710" i="10" s="1"/>
  <c r="AK682" i="10" s="1"/>
  <c r="AK61" i="10" s="1"/>
  <c r="AK411" i="10"/>
  <c r="AJ546" i="10"/>
  <c r="AL702" i="10"/>
  <c r="AL710" i="10" s="1"/>
  <c r="AL682" i="10" s="1"/>
  <c r="AL61" i="10" s="1"/>
  <c r="AM702" i="10"/>
  <c r="AM710" i="10" s="1"/>
  <c r="AM682" i="10" s="1"/>
  <c r="AM61" i="10" s="1"/>
  <c r="AK546" i="10"/>
  <c r="AL411" i="10"/>
  <c r="AN702" i="10"/>
  <c r="AN710" i="10" s="1"/>
  <c r="AN682" i="10" s="1"/>
  <c r="AN61" i="10" s="1"/>
  <c r="AL546" i="10"/>
  <c r="AM411" i="10"/>
  <c r="AN411" i="10"/>
  <c r="AO702" i="10"/>
  <c r="AO710" i="10" s="1"/>
  <c r="AO682" i="10" s="1"/>
  <c r="AO61" i="10" s="1"/>
  <c r="AM546" i="10"/>
  <c r="T548" i="10"/>
  <c r="D548" i="10"/>
  <c r="G548" i="10"/>
  <c r="I548" i="10"/>
  <c r="J548" i="10"/>
  <c r="L548" i="10"/>
  <c r="M548" i="10"/>
  <c r="N548" i="10"/>
  <c r="O548" i="10"/>
  <c r="P548" i="10"/>
  <c r="Q548" i="10"/>
  <c r="S548" i="10"/>
  <c r="U548" i="10"/>
  <c r="C413" i="10"/>
  <c r="E413" i="10"/>
  <c r="H413" i="10"/>
  <c r="I413" i="10"/>
  <c r="J413" i="10"/>
  <c r="M413" i="10"/>
  <c r="P413" i="10"/>
  <c r="V413" i="10"/>
  <c r="U413" i="10"/>
  <c r="C548" i="10"/>
  <c r="E548" i="10"/>
  <c r="F548" i="10"/>
  <c r="H548" i="10"/>
  <c r="K548" i="10"/>
  <c r="R548" i="10"/>
  <c r="D413" i="10"/>
  <c r="F413" i="10"/>
  <c r="G413" i="10"/>
  <c r="K413" i="10"/>
  <c r="L413" i="10"/>
  <c r="N413" i="10"/>
  <c r="O413" i="10"/>
  <c r="Q413" i="10"/>
  <c r="R413" i="10"/>
  <c r="S413" i="10"/>
  <c r="T413" i="10"/>
  <c r="W413" i="10"/>
  <c r="V548" i="10"/>
  <c r="X413" i="10"/>
  <c r="W548" i="10"/>
  <c r="X548" i="10"/>
  <c r="Y413" i="10"/>
  <c r="Z413" i="10"/>
  <c r="Y548" i="10"/>
  <c r="AA413" i="10"/>
  <c r="Z548" i="10"/>
  <c r="AB413" i="10"/>
  <c r="AA548" i="10"/>
  <c r="AC413" i="10"/>
  <c r="AB548" i="10"/>
  <c r="AC548" i="10"/>
  <c r="AD413" i="10"/>
  <c r="AE413" i="10"/>
  <c r="AD548" i="10"/>
  <c r="AF413" i="10"/>
  <c r="AE548" i="10"/>
  <c r="AG413" i="10"/>
  <c r="AF548" i="10"/>
  <c r="AG548" i="10"/>
  <c r="AH413" i="10"/>
  <c r="AI413" i="10"/>
  <c r="AH548" i="10"/>
  <c r="AJ413" i="10"/>
  <c r="AI548" i="10"/>
  <c r="AJ548" i="10"/>
  <c r="AK413" i="10"/>
  <c r="AK548" i="10"/>
  <c r="AL413" i="10"/>
  <c r="AM413" i="10"/>
  <c r="AL548" i="10"/>
  <c r="AM548" i="10"/>
  <c r="AN413" i="10"/>
  <c r="U415" i="10"/>
  <c r="T550" i="10"/>
  <c r="J550" i="10"/>
  <c r="N550" i="10"/>
  <c r="P550" i="10"/>
  <c r="C415" i="10"/>
  <c r="D415" i="10"/>
  <c r="G415" i="10"/>
  <c r="H415" i="10"/>
  <c r="J415" i="10"/>
  <c r="K415" i="10"/>
  <c r="P415" i="10"/>
  <c r="Q415" i="10"/>
  <c r="S415" i="10"/>
  <c r="V415" i="10"/>
  <c r="C550" i="10"/>
  <c r="D550" i="10"/>
  <c r="E550" i="10"/>
  <c r="F550" i="10"/>
  <c r="G550" i="10"/>
  <c r="H550" i="10"/>
  <c r="I550" i="10"/>
  <c r="K550" i="10"/>
  <c r="L550" i="10"/>
  <c r="M550" i="10"/>
  <c r="O550" i="10"/>
  <c r="Q550" i="10"/>
  <c r="R550" i="10"/>
  <c r="S550" i="10"/>
  <c r="U550" i="10"/>
  <c r="E415" i="10"/>
  <c r="F415" i="10"/>
  <c r="I415" i="10"/>
  <c r="L415" i="10"/>
  <c r="M415" i="10"/>
  <c r="N415" i="10"/>
  <c r="O415" i="10"/>
  <c r="R415" i="10"/>
  <c r="T415" i="10"/>
  <c r="W415" i="10"/>
  <c r="V550" i="10"/>
  <c r="X415" i="10"/>
  <c r="W550" i="10"/>
  <c r="X550" i="10"/>
  <c r="Y415" i="10"/>
  <c r="Y550" i="10"/>
  <c r="Z415" i="10"/>
  <c r="AA415" i="10"/>
  <c r="Z550" i="10"/>
  <c r="AB415" i="10"/>
  <c r="AA550" i="10"/>
  <c r="AC415" i="10"/>
  <c r="AB550" i="10"/>
  <c r="AD415" i="10"/>
  <c r="AC550" i="10"/>
  <c r="AD550" i="10"/>
  <c r="AE415" i="10"/>
  <c r="AF415" i="10"/>
  <c r="AE550" i="10"/>
  <c r="AG415" i="10"/>
  <c r="AF550" i="10"/>
  <c r="AH415" i="10"/>
  <c r="AG550" i="10"/>
  <c r="AI415" i="10"/>
  <c r="AH550" i="10"/>
  <c r="AJ415" i="10"/>
  <c r="AI550" i="10"/>
  <c r="AK415" i="10"/>
  <c r="AJ550" i="10"/>
  <c r="AK550" i="10"/>
  <c r="AL415" i="10"/>
  <c r="AM415" i="10"/>
  <c r="AL550" i="10"/>
  <c r="AN415" i="10"/>
  <c r="AM550" i="10"/>
  <c r="T552" i="10"/>
  <c r="C552" i="10"/>
  <c r="D552" i="10"/>
  <c r="E552" i="10"/>
  <c r="G552" i="10"/>
  <c r="I552" i="10"/>
  <c r="J552" i="10"/>
  <c r="K552" i="10"/>
  <c r="M552" i="10"/>
  <c r="N552" i="10"/>
  <c r="O552" i="10"/>
  <c r="P552" i="10"/>
  <c r="D417" i="10"/>
  <c r="F417" i="10"/>
  <c r="G417" i="10"/>
  <c r="K417" i="10"/>
  <c r="L417" i="10"/>
  <c r="N417" i="10"/>
  <c r="O417" i="10"/>
  <c r="Q417" i="10"/>
  <c r="R417" i="10"/>
  <c r="S417" i="10"/>
  <c r="T417" i="10"/>
  <c r="V417" i="10"/>
  <c r="F552" i="10"/>
  <c r="H552" i="10"/>
  <c r="L552" i="10"/>
  <c r="Q552" i="10"/>
  <c r="R552" i="10"/>
  <c r="S552" i="10"/>
  <c r="U552" i="10"/>
  <c r="C417" i="10"/>
  <c r="E417" i="10"/>
  <c r="H417" i="10"/>
  <c r="I417" i="10"/>
  <c r="J417" i="10"/>
  <c r="M417" i="10"/>
  <c r="P417" i="10"/>
  <c r="U417" i="10"/>
  <c r="V552" i="10"/>
  <c r="W417" i="10"/>
  <c r="X417" i="10"/>
  <c r="W552" i="10"/>
  <c r="X552" i="10"/>
  <c r="Y417" i="10"/>
  <c r="Y552" i="10"/>
  <c r="Z417" i="10"/>
  <c r="Z552" i="10"/>
  <c r="AA417" i="10"/>
  <c r="AA552" i="10"/>
  <c r="AB417" i="10"/>
  <c r="AC417" i="10"/>
  <c r="AB552" i="10"/>
  <c r="AC552" i="10"/>
  <c r="AD417" i="10"/>
  <c r="AE417" i="10"/>
  <c r="AD552" i="10"/>
  <c r="AF417" i="10"/>
  <c r="AE552" i="10"/>
  <c r="AF552" i="10"/>
  <c r="AG417" i="10"/>
  <c r="AH417" i="10"/>
  <c r="AG552" i="10"/>
  <c r="AH552" i="10"/>
  <c r="AI417" i="10"/>
  <c r="AJ417" i="10"/>
  <c r="AI552" i="10"/>
  <c r="AJ552" i="10"/>
  <c r="AK417" i="10"/>
  <c r="AL417" i="10"/>
  <c r="AK552" i="10"/>
  <c r="AL552" i="10"/>
  <c r="AM417" i="10"/>
  <c r="AN417" i="10"/>
  <c r="AM552" i="10"/>
  <c r="AP730" i="10"/>
  <c r="AP715" i="10" s="1"/>
  <c r="AP67" i="10" s="1"/>
  <c r="B720" i="10"/>
  <c r="AP435" i="10" s="1"/>
  <c r="T572" i="10"/>
  <c r="C572" i="10"/>
  <c r="E572" i="10"/>
  <c r="F572" i="10"/>
  <c r="H572" i="10"/>
  <c r="K572" i="10"/>
  <c r="R572" i="10"/>
  <c r="U572" i="10"/>
  <c r="C437" i="10"/>
  <c r="E437" i="10"/>
  <c r="H437" i="10"/>
  <c r="I437" i="10"/>
  <c r="J437" i="10"/>
  <c r="M437" i="10"/>
  <c r="P437" i="10"/>
  <c r="V437" i="10"/>
  <c r="U437" i="10"/>
  <c r="D572" i="10"/>
  <c r="G572" i="10"/>
  <c r="I572" i="10"/>
  <c r="J572" i="10"/>
  <c r="L572" i="10"/>
  <c r="M572" i="10"/>
  <c r="N572" i="10"/>
  <c r="O572" i="10"/>
  <c r="P572" i="10"/>
  <c r="Q572" i="10"/>
  <c r="S572" i="10"/>
  <c r="D437" i="10"/>
  <c r="F437" i="10"/>
  <c r="G437" i="10"/>
  <c r="K437" i="10"/>
  <c r="L437" i="10"/>
  <c r="N437" i="10"/>
  <c r="O437" i="10"/>
  <c r="Q437" i="10"/>
  <c r="R437" i="10"/>
  <c r="S437" i="10"/>
  <c r="T437" i="10"/>
  <c r="W437" i="10"/>
  <c r="V572" i="10"/>
  <c r="X437" i="10"/>
  <c r="W572" i="10"/>
  <c r="X572" i="10"/>
  <c r="Y437" i="10"/>
  <c r="Z437" i="10"/>
  <c r="Y572" i="10"/>
  <c r="AA437" i="10"/>
  <c r="Z572" i="10"/>
  <c r="AB437" i="10"/>
  <c r="AA572" i="10"/>
  <c r="AC437" i="10"/>
  <c r="AB572" i="10"/>
  <c r="AC572" i="10"/>
  <c r="AD437" i="10"/>
  <c r="AE437" i="10"/>
  <c r="AD572" i="10"/>
  <c r="AF437" i="10"/>
  <c r="AE572" i="10"/>
  <c r="AG437" i="10"/>
  <c r="AF572" i="10"/>
  <c r="AG572" i="10"/>
  <c r="AH437" i="10"/>
  <c r="AI437" i="10"/>
  <c r="AH572" i="10"/>
  <c r="AJ437" i="10"/>
  <c r="AI572" i="10"/>
  <c r="AJ572" i="10"/>
  <c r="AK437" i="10"/>
  <c r="AK572" i="10"/>
  <c r="AL437" i="10"/>
  <c r="AM437" i="10"/>
  <c r="AL572" i="10"/>
  <c r="AM572" i="10"/>
  <c r="AN437" i="10"/>
  <c r="U439" i="10"/>
  <c r="T574" i="10"/>
  <c r="C574" i="10"/>
  <c r="D574" i="10"/>
  <c r="E574" i="10"/>
  <c r="F574" i="10"/>
  <c r="G574" i="10"/>
  <c r="H574" i="10"/>
  <c r="I574" i="10"/>
  <c r="K574" i="10"/>
  <c r="L574" i="10"/>
  <c r="M574" i="10"/>
  <c r="O574" i="10"/>
  <c r="Q574" i="10"/>
  <c r="R574" i="10"/>
  <c r="S574" i="10"/>
  <c r="C439" i="10"/>
  <c r="D439" i="10"/>
  <c r="G439" i="10"/>
  <c r="H439" i="10"/>
  <c r="J439" i="10"/>
  <c r="K439" i="10"/>
  <c r="P439" i="10"/>
  <c r="Q439" i="10"/>
  <c r="S439" i="10"/>
  <c r="V439" i="10"/>
  <c r="J574" i="10"/>
  <c r="N574" i="10"/>
  <c r="P574" i="10"/>
  <c r="U574" i="10"/>
  <c r="E439" i="10"/>
  <c r="F439" i="10"/>
  <c r="I439" i="10"/>
  <c r="L439" i="10"/>
  <c r="M439" i="10"/>
  <c r="N439" i="10"/>
  <c r="O439" i="10"/>
  <c r="R439" i="10"/>
  <c r="T439" i="10"/>
  <c r="W439" i="10"/>
  <c r="V574" i="10"/>
  <c r="X439" i="10"/>
  <c r="W574" i="10"/>
  <c r="X574" i="10"/>
  <c r="Y439" i="10"/>
  <c r="Y574" i="10"/>
  <c r="Z439" i="10"/>
  <c r="AA439" i="10"/>
  <c r="Z574" i="10"/>
  <c r="AB439" i="10"/>
  <c r="AA574" i="10"/>
  <c r="AC439" i="10"/>
  <c r="AB574" i="10"/>
  <c r="AD439" i="10"/>
  <c r="AC574" i="10"/>
  <c r="AD574" i="10"/>
  <c r="AE439" i="10"/>
  <c r="AF439" i="10"/>
  <c r="AE574" i="10"/>
  <c r="AG439" i="10"/>
  <c r="AF574" i="10"/>
  <c r="AH439" i="10"/>
  <c r="AG574" i="10"/>
  <c r="AI439" i="10"/>
  <c r="AH574" i="10"/>
  <c r="AJ439" i="10"/>
  <c r="AI574" i="10"/>
  <c r="AK439" i="10"/>
  <c r="AJ574" i="10"/>
  <c r="AK574" i="10"/>
  <c r="AL439" i="10"/>
  <c r="AM439" i="10"/>
  <c r="AL574" i="10"/>
  <c r="AN439" i="10"/>
  <c r="AM574" i="10"/>
  <c r="T576" i="10"/>
  <c r="F576" i="10"/>
  <c r="H576" i="10"/>
  <c r="L576" i="10"/>
  <c r="Q576" i="10"/>
  <c r="R576" i="10"/>
  <c r="S576" i="10"/>
  <c r="D441" i="10"/>
  <c r="F441" i="10"/>
  <c r="G441" i="10"/>
  <c r="K441" i="10"/>
  <c r="L441" i="10"/>
  <c r="N441" i="10"/>
  <c r="O441" i="10"/>
  <c r="Q441" i="10"/>
  <c r="R441" i="10"/>
  <c r="S441" i="10"/>
  <c r="T441" i="10"/>
  <c r="V441" i="10"/>
  <c r="C576" i="10"/>
  <c r="D576" i="10"/>
  <c r="E576" i="10"/>
  <c r="G576" i="10"/>
  <c r="I576" i="10"/>
  <c r="J576" i="10"/>
  <c r="K576" i="10"/>
  <c r="M576" i="10"/>
  <c r="N576" i="10"/>
  <c r="O576" i="10"/>
  <c r="P576" i="10"/>
  <c r="U576" i="10"/>
  <c r="C441" i="10"/>
  <c r="E441" i="10"/>
  <c r="H441" i="10"/>
  <c r="I441" i="10"/>
  <c r="J441" i="10"/>
  <c r="M441" i="10"/>
  <c r="P441" i="10"/>
  <c r="U441" i="10"/>
  <c r="V576" i="10"/>
  <c r="W441" i="10"/>
  <c r="X441" i="10"/>
  <c r="W576" i="10"/>
  <c r="X576" i="10"/>
  <c r="Y441" i="10"/>
  <c r="Y576" i="10"/>
  <c r="Z441" i="10"/>
  <c r="Z576" i="10"/>
  <c r="AA441" i="10"/>
  <c r="AA576" i="10"/>
  <c r="AB441" i="10"/>
  <c r="AC441" i="10"/>
  <c r="AB576" i="10"/>
  <c r="AC576" i="10"/>
  <c r="AD441" i="10"/>
  <c r="AE441" i="10"/>
  <c r="AD576" i="10"/>
  <c r="AF441" i="10"/>
  <c r="AE576" i="10"/>
  <c r="AF576" i="10"/>
  <c r="AG441" i="10"/>
  <c r="AH441" i="10"/>
  <c r="AG576" i="10"/>
  <c r="AH576" i="10"/>
  <c r="AI441" i="10"/>
  <c r="AJ441" i="10"/>
  <c r="AI576" i="10"/>
  <c r="AJ576" i="10"/>
  <c r="AK441" i="10"/>
  <c r="AL441" i="10"/>
  <c r="AK576" i="10"/>
  <c r="AL576" i="10"/>
  <c r="AM441" i="10"/>
  <c r="AN441" i="10"/>
  <c r="AM576" i="10"/>
  <c r="U443" i="10"/>
  <c r="T578" i="10"/>
  <c r="F578" i="10"/>
  <c r="H578" i="10"/>
  <c r="K578" i="10"/>
  <c r="O578" i="10"/>
  <c r="Q578" i="10"/>
  <c r="R578" i="10"/>
  <c r="S578" i="10"/>
  <c r="U578" i="10"/>
  <c r="E443" i="10"/>
  <c r="F443" i="10"/>
  <c r="I443" i="10"/>
  <c r="L443" i="10"/>
  <c r="M443" i="10"/>
  <c r="N443" i="10"/>
  <c r="O443" i="10"/>
  <c r="R443" i="10"/>
  <c r="T443" i="10"/>
  <c r="V443" i="10"/>
  <c r="C578" i="10"/>
  <c r="D578" i="10"/>
  <c r="E578" i="10"/>
  <c r="G578" i="10"/>
  <c r="I578" i="10"/>
  <c r="J578" i="10"/>
  <c r="L578" i="10"/>
  <c r="M578" i="10"/>
  <c r="N578" i="10"/>
  <c r="P578" i="10"/>
  <c r="C443" i="10"/>
  <c r="D443" i="10"/>
  <c r="G443" i="10"/>
  <c r="H443" i="10"/>
  <c r="J443" i="10"/>
  <c r="K443" i="10"/>
  <c r="P443" i="10"/>
  <c r="Q443" i="10"/>
  <c r="S443" i="10"/>
  <c r="V578" i="10"/>
  <c r="W443" i="10"/>
  <c r="X443" i="10"/>
  <c r="W578" i="10"/>
  <c r="Y443" i="10"/>
  <c r="X578" i="10"/>
  <c r="Z443" i="10"/>
  <c r="Y578" i="10"/>
  <c r="Z578" i="10"/>
  <c r="AA443" i="10"/>
  <c r="AB443" i="10"/>
  <c r="AA578" i="10"/>
  <c r="AB578" i="10"/>
  <c r="AC443" i="10"/>
  <c r="AC578" i="10"/>
  <c r="AD443" i="10"/>
  <c r="AE443" i="10"/>
  <c r="AD578" i="10"/>
  <c r="AF443" i="10"/>
  <c r="AE578" i="10"/>
  <c r="AG443" i="10"/>
  <c r="AF578" i="10"/>
  <c r="AG578" i="10"/>
  <c r="AH443" i="10"/>
  <c r="AI443" i="10"/>
  <c r="AH578" i="10"/>
  <c r="AJ443" i="10"/>
  <c r="AI578" i="10"/>
  <c r="AK443" i="10"/>
  <c r="AJ578" i="10"/>
  <c r="AK578" i="10"/>
  <c r="AL443" i="10"/>
  <c r="AL578" i="10"/>
  <c r="AM443" i="10"/>
  <c r="AN443" i="10"/>
  <c r="AM578" i="10"/>
  <c r="AK122" i="10"/>
  <c r="AP27" i="10"/>
  <c r="AP702" i="10"/>
  <c r="AN526" i="10"/>
  <c r="AN550" i="10"/>
  <c r="AN574" i="10"/>
  <c r="AO578" i="10"/>
  <c r="AO574" i="10"/>
  <c r="AO550" i="10"/>
  <c r="AO546" i="10"/>
  <c r="AO526" i="10"/>
  <c r="AO387" i="10"/>
  <c r="AO577" i="10"/>
  <c r="AO573" i="10"/>
  <c r="AO553" i="10"/>
  <c r="AO549" i="10"/>
  <c r="AO545" i="10"/>
  <c r="AO525" i="10"/>
  <c r="AO521" i="10"/>
  <c r="AO118" i="10"/>
  <c r="AP508" i="10"/>
  <c r="AP520" i="10" s="1"/>
  <c r="AP385" i="10"/>
  <c r="AP512" i="10"/>
  <c r="AP524" i="10" s="1"/>
  <c r="AP389" i="10"/>
  <c r="AP532" i="10"/>
  <c r="AP536" i="10"/>
  <c r="AP548" i="10" s="1"/>
  <c r="AP413" i="10"/>
  <c r="AP540" i="10"/>
  <c r="AP552" i="10" s="1"/>
  <c r="AP417" i="10"/>
  <c r="AP560" i="10"/>
  <c r="AP572" i="10" s="1"/>
  <c r="AP437" i="10"/>
  <c r="AP564" i="10"/>
  <c r="AP576" i="10" s="1"/>
  <c r="AP441" i="10"/>
  <c r="AP502" i="10"/>
  <c r="B483" i="10"/>
  <c r="B485" i="10"/>
  <c r="B487" i="10"/>
  <c r="AP368" i="10"/>
  <c r="B349" i="10"/>
  <c r="B351" i="10"/>
  <c r="B353" i="10"/>
  <c r="AP507" i="10"/>
  <c r="AP519" i="10" s="1"/>
  <c r="AP384" i="10"/>
  <c r="AP511" i="10"/>
  <c r="AP523" i="10" s="1"/>
  <c r="AP388" i="10"/>
  <c r="AP515" i="10"/>
  <c r="AP527" i="10" s="1"/>
  <c r="AP392" i="10"/>
  <c r="AP535" i="10"/>
  <c r="AP547" i="10" s="1"/>
  <c r="AP412" i="10"/>
  <c r="AP539" i="10"/>
  <c r="AP551" i="10" s="1"/>
  <c r="AP416" i="10"/>
  <c r="AP559" i="10"/>
  <c r="AP571" i="10" s="1"/>
  <c r="AP436" i="10"/>
  <c r="AP563" i="10"/>
  <c r="AP575" i="10" s="1"/>
  <c r="AP440" i="10"/>
  <c r="AP567" i="10"/>
  <c r="AP579" i="10" s="1"/>
  <c r="AP444" i="10"/>
  <c r="O669" i="10"/>
  <c r="O678" i="10" s="1"/>
  <c r="O650" i="10" s="1"/>
  <c r="O60" i="10" s="1"/>
  <c r="P669" i="10"/>
  <c r="P678" i="10" s="1"/>
  <c r="P650" i="10" s="1"/>
  <c r="P60" i="10" s="1"/>
  <c r="Q669" i="10"/>
  <c r="Q678" i="10" s="1"/>
  <c r="Q650" i="10" s="1"/>
  <c r="Q60" i="10" s="1"/>
  <c r="R669" i="10"/>
  <c r="R678" i="10" s="1"/>
  <c r="R650" i="10" s="1"/>
  <c r="R60" i="10" s="1"/>
  <c r="S669" i="10"/>
  <c r="S678" i="10" s="1"/>
  <c r="S650" i="10" s="1"/>
  <c r="S60" i="10" s="1"/>
  <c r="T669" i="10"/>
  <c r="T678" i="10" s="1"/>
  <c r="T650" i="10" s="1"/>
  <c r="T60" i="10" s="1"/>
  <c r="U669" i="10"/>
  <c r="U678" i="10" s="1"/>
  <c r="U650" i="10" s="1"/>
  <c r="U60" i="10" s="1"/>
  <c r="V669" i="10"/>
  <c r="V678" i="10" s="1"/>
  <c r="V650" i="10" s="1"/>
  <c r="V60" i="10" s="1"/>
  <c r="T519" i="10"/>
  <c r="W669" i="10"/>
  <c r="W678" i="10" s="1"/>
  <c r="W650" i="10" s="1"/>
  <c r="W60" i="10" s="1"/>
  <c r="C519" i="10"/>
  <c r="D519" i="10"/>
  <c r="E519" i="10"/>
  <c r="I519" i="10"/>
  <c r="K519" i="10"/>
  <c r="L519" i="10"/>
  <c r="M519" i="10"/>
  <c r="N519" i="10"/>
  <c r="P519" i="10"/>
  <c r="C384" i="10"/>
  <c r="P384" i="10"/>
  <c r="Q384" i="10"/>
  <c r="V384" i="10"/>
  <c r="F519" i="10"/>
  <c r="G519" i="10"/>
  <c r="H519" i="10"/>
  <c r="J519" i="10"/>
  <c r="O519" i="10"/>
  <c r="Q519" i="10"/>
  <c r="R519" i="10"/>
  <c r="S519" i="10"/>
  <c r="U519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R384" i="10"/>
  <c r="S384" i="10"/>
  <c r="T384" i="10"/>
  <c r="U384" i="10"/>
  <c r="W384" i="10"/>
  <c r="V519" i="10"/>
  <c r="X669" i="10"/>
  <c r="X678" i="10" s="1"/>
  <c r="X650" i="10" s="1"/>
  <c r="X60" i="10" s="1"/>
  <c r="X384" i="10"/>
  <c r="W519" i="10"/>
  <c r="Y669" i="10"/>
  <c r="Y678" i="10" s="1"/>
  <c r="Y650" i="10" s="1"/>
  <c r="Y60" i="10" s="1"/>
  <c r="X519" i="10"/>
  <c r="Z669" i="10"/>
  <c r="Z678" i="10" s="1"/>
  <c r="Z650" i="10" s="1"/>
  <c r="Z60" i="10" s="1"/>
  <c r="Y384" i="10"/>
  <c r="Y519" i="10"/>
  <c r="Z384" i="10"/>
  <c r="AA384" i="10"/>
  <c r="Z519" i="10"/>
  <c r="AB384" i="10"/>
  <c r="AA519" i="10"/>
  <c r="AC384" i="10"/>
  <c r="AB519" i="10"/>
  <c r="AC519" i="10"/>
  <c r="AD384" i="10"/>
  <c r="AE384" i="10"/>
  <c r="AD519" i="10"/>
  <c r="AF384" i="10"/>
  <c r="AE519" i="10"/>
  <c r="AG384" i="10"/>
  <c r="AF519" i="10"/>
  <c r="AH384" i="10"/>
  <c r="AG519" i="10"/>
  <c r="AI384" i="10"/>
  <c r="AH519" i="10"/>
  <c r="AJ384" i="10"/>
  <c r="AI519" i="10"/>
  <c r="AJ519" i="10"/>
  <c r="AK384" i="10"/>
  <c r="AL384" i="10"/>
  <c r="AK519" i="10"/>
  <c r="AM384" i="10"/>
  <c r="AL519" i="10"/>
  <c r="AM519" i="10"/>
  <c r="AN384" i="10"/>
  <c r="U386" i="10"/>
  <c r="T521" i="10"/>
  <c r="V386" i="10"/>
  <c r="C521" i="10"/>
  <c r="D521" i="10"/>
  <c r="E521" i="10"/>
  <c r="G521" i="10"/>
  <c r="J521" i="10"/>
  <c r="N521" i="10"/>
  <c r="P521" i="10"/>
  <c r="Q521" i="10"/>
  <c r="E386" i="10"/>
  <c r="H386" i="10"/>
  <c r="I386" i="10"/>
  <c r="J386" i="10"/>
  <c r="M386" i="10"/>
  <c r="O386" i="10"/>
  <c r="P386" i="10"/>
  <c r="F521" i="10"/>
  <c r="H521" i="10"/>
  <c r="I521" i="10"/>
  <c r="K521" i="10"/>
  <c r="L521" i="10"/>
  <c r="M521" i="10"/>
  <c r="O521" i="10"/>
  <c r="R521" i="10"/>
  <c r="S521" i="10"/>
  <c r="U521" i="10"/>
  <c r="C386" i="10"/>
  <c r="D386" i="10"/>
  <c r="F386" i="10"/>
  <c r="G386" i="10"/>
  <c r="K386" i="10"/>
  <c r="L386" i="10"/>
  <c r="N386" i="10"/>
  <c r="Q386" i="10"/>
  <c r="R386" i="10"/>
  <c r="S386" i="10"/>
  <c r="T386" i="10"/>
  <c r="V521" i="10"/>
  <c r="W386" i="10"/>
  <c r="X386" i="10"/>
  <c r="W521" i="10"/>
  <c r="X521" i="10"/>
  <c r="Y386" i="10"/>
  <c r="Z386" i="10"/>
  <c r="Y521" i="10"/>
  <c r="AA386" i="10"/>
  <c r="Z521" i="10"/>
  <c r="AB386" i="10"/>
  <c r="AA521" i="10"/>
  <c r="AC386" i="10"/>
  <c r="AB521" i="10"/>
  <c r="AC521" i="10"/>
  <c r="AD386" i="10"/>
  <c r="AD521" i="10"/>
  <c r="AE386" i="10"/>
  <c r="AF386" i="10"/>
  <c r="AE521" i="10"/>
  <c r="AG386" i="10"/>
  <c r="AF521" i="10"/>
  <c r="AG521" i="10"/>
  <c r="AH386" i="10"/>
  <c r="AI386" i="10"/>
  <c r="AH521" i="10"/>
  <c r="AJ386" i="10"/>
  <c r="AI521" i="10"/>
  <c r="AK386" i="10"/>
  <c r="AJ521" i="10"/>
  <c r="AM671" i="10"/>
  <c r="AM678" i="10" s="1"/>
  <c r="AM650" i="10" s="1"/>
  <c r="AM60" i="10" s="1"/>
  <c r="AK521" i="10"/>
  <c r="AL386" i="10"/>
  <c r="AN671" i="10"/>
  <c r="AN678" i="10" s="1"/>
  <c r="AN650" i="10" s="1"/>
  <c r="AN60" i="10" s="1"/>
  <c r="AM386" i="10"/>
  <c r="AL521" i="10"/>
  <c r="AN386" i="10"/>
  <c r="AO671" i="10"/>
  <c r="AO678" i="10" s="1"/>
  <c r="AO650" i="10" s="1"/>
  <c r="AO60" i="10" s="1"/>
  <c r="AM521" i="10"/>
  <c r="T523" i="10"/>
  <c r="D523" i="10"/>
  <c r="E523" i="10"/>
  <c r="H523" i="10"/>
  <c r="J523" i="10"/>
  <c r="N523" i="10"/>
  <c r="P523" i="10"/>
  <c r="S523" i="10"/>
  <c r="U523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R388" i="10"/>
  <c r="S388" i="10"/>
  <c r="T388" i="10"/>
  <c r="V388" i="10"/>
  <c r="U388" i="10"/>
  <c r="C523" i="10"/>
  <c r="F523" i="10"/>
  <c r="G523" i="10"/>
  <c r="I523" i="10"/>
  <c r="K523" i="10"/>
  <c r="L523" i="10"/>
  <c r="M523" i="10"/>
  <c r="O523" i="10"/>
  <c r="Q523" i="10"/>
  <c r="R523" i="10"/>
  <c r="C388" i="10"/>
  <c r="P388" i="10"/>
  <c r="Q388" i="10"/>
  <c r="V523" i="10"/>
  <c r="W388" i="10"/>
  <c r="X388" i="10"/>
  <c r="W523" i="10"/>
  <c r="X523" i="10"/>
  <c r="Y388" i="10"/>
  <c r="Z388" i="10"/>
  <c r="Y523" i="10"/>
  <c r="Z523" i="10"/>
  <c r="AA388" i="10"/>
  <c r="AA523" i="10"/>
  <c r="AB388" i="10"/>
  <c r="AC388" i="10"/>
  <c r="AB523" i="10"/>
  <c r="AC523" i="10"/>
  <c r="AD388" i="10"/>
  <c r="AE388" i="10"/>
  <c r="AD523" i="10"/>
  <c r="AF388" i="10"/>
  <c r="AE523" i="10"/>
  <c r="AF523" i="10"/>
  <c r="AG388" i="10"/>
  <c r="AG523" i="10"/>
  <c r="AH388" i="10"/>
  <c r="AH523" i="10"/>
  <c r="AI388" i="10"/>
  <c r="AJ388" i="10"/>
  <c r="AI523" i="10"/>
  <c r="AJ523" i="10"/>
  <c r="AK388" i="10"/>
  <c r="AK523" i="10"/>
  <c r="AL388" i="10"/>
  <c r="AL523" i="10"/>
  <c r="AM388" i="10"/>
  <c r="AN388" i="10"/>
  <c r="AM523" i="10"/>
  <c r="U390" i="10"/>
  <c r="T525" i="10"/>
  <c r="V390" i="10"/>
  <c r="C525" i="10"/>
  <c r="D525" i="10"/>
  <c r="G525" i="10"/>
  <c r="J525" i="10"/>
  <c r="K525" i="10"/>
  <c r="L525" i="10"/>
  <c r="N525" i="10"/>
  <c r="O525" i="10"/>
  <c r="P525" i="10"/>
  <c r="S525" i="10"/>
  <c r="U525" i="10"/>
  <c r="C390" i="10"/>
  <c r="D390" i="10"/>
  <c r="F390" i="10"/>
  <c r="G390" i="10"/>
  <c r="K390" i="10"/>
  <c r="L390" i="10"/>
  <c r="N390" i="10"/>
  <c r="Q390" i="10"/>
  <c r="R390" i="10"/>
  <c r="S390" i="10"/>
  <c r="T390" i="10"/>
  <c r="E525" i="10"/>
  <c r="F525" i="10"/>
  <c r="H525" i="10"/>
  <c r="I525" i="10"/>
  <c r="M525" i="10"/>
  <c r="Q525" i="10"/>
  <c r="R525" i="10"/>
  <c r="E390" i="10"/>
  <c r="H390" i="10"/>
  <c r="I390" i="10"/>
  <c r="J390" i="10"/>
  <c r="M390" i="10"/>
  <c r="O390" i="10"/>
  <c r="P390" i="10"/>
  <c r="V525" i="10"/>
  <c r="W390" i="10"/>
  <c r="X390" i="10"/>
  <c r="W525" i="10"/>
  <c r="Y390" i="10"/>
  <c r="X525" i="10"/>
  <c r="Y525" i="10"/>
  <c r="Z390" i="10"/>
  <c r="Z525" i="10"/>
  <c r="AA390" i="10"/>
  <c r="AB390" i="10"/>
  <c r="AA525" i="10"/>
  <c r="AB525" i="10"/>
  <c r="AC390" i="10"/>
  <c r="AD390" i="10"/>
  <c r="AC525" i="10"/>
  <c r="AE390" i="10"/>
  <c r="AD525" i="10"/>
  <c r="AF390" i="10"/>
  <c r="AE525" i="10"/>
  <c r="AG390" i="10"/>
  <c r="AF525" i="10"/>
  <c r="AH390" i="10"/>
  <c r="AG525" i="10"/>
  <c r="AI390" i="10"/>
  <c r="AH525" i="10"/>
  <c r="AJ390" i="10"/>
  <c r="AI525" i="10"/>
  <c r="AK390" i="10"/>
  <c r="AJ525" i="10"/>
  <c r="AK525" i="10"/>
  <c r="AL390" i="10"/>
  <c r="AL525" i="10"/>
  <c r="AM390" i="10"/>
  <c r="AN390" i="10"/>
  <c r="AM525" i="10"/>
  <c r="T527" i="10"/>
  <c r="F527" i="10"/>
  <c r="G527" i="10"/>
  <c r="H527" i="10"/>
  <c r="J527" i="10"/>
  <c r="O527" i="10"/>
  <c r="Q527" i="10"/>
  <c r="R527" i="10"/>
  <c r="S527" i="10"/>
  <c r="C392" i="10"/>
  <c r="P392" i="10"/>
  <c r="Q392" i="10"/>
  <c r="V392" i="10"/>
  <c r="C527" i="10"/>
  <c r="D527" i="10"/>
  <c r="E527" i="10"/>
  <c r="I527" i="10"/>
  <c r="K527" i="10"/>
  <c r="L527" i="10"/>
  <c r="M527" i="10"/>
  <c r="N527" i="10"/>
  <c r="P527" i="10"/>
  <c r="U527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R392" i="10"/>
  <c r="S392" i="10"/>
  <c r="T392" i="10"/>
  <c r="U392" i="10"/>
  <c r="W392" i="10"/>
  <c r="V527" i="10"/>
  <c r="X392" i="10"/>
  <c r="W527" i="10"/>
  <c r="X527" i="10"/>
  <c r="Y392" i="10"/>
  <c r="Y527" i="10"/>
  <c r="Z392" i="10"/>
  <c r="AA392" i="10"/>
  <c r="Z527" i="10"/>
  <c r="AB392" i="10"/>
  <c r="AA527" i="10"/>
  <c r="AC392" i="10"/>
  <c r="AB527" i="10"/>
  <c r="AC527" i="10"/>
  <c r="AD392" i="10"/>
  <c r="AE392" i="10"/>
  <c r="AD527" i="10"/>
  <c r="AF392" i="10"/>
  <c r="AE527" i="10"/>
  <c r="AG392" i="10"/>
  <c r="AF527" i="10"/>
  <c r="AH392" i="10"/>
  <c r="AG527" i="10"/>
  <c r="AI392" i="10"/>
  <c r="AH527" i="10"/>
  <c r="AJ392" i="10"/>
  <c r="AI527" i="10"/>
  <c r="AJ527" i="10"/>
  <c r="AK392" i="10"/>
  <c r="AL392" i="10"/>
  <c r="AK527" i="10"/>
  <c r="AM392" i="10"/>
  <c r="AL527" i="10"/>
  <c r="AM527" i="10"/>
  <c r="AN392" i="10"/>
  <c r="R701" i="10"/>
  <c r="R710" i="10" s="1"/>
  <c r="R682" i="10" s="1"/>
  <c r="R61" i="10" s="1"/>
  <c r="S701" i="10"/>
  <c r="S710" i="10" s="1"/>
  <c r="S682" i="10" s="1"/>
  <c r="S61" i="10" s="1"/>
  <c r="T701" i="10"/>
  <c r="T710" i="10" s="1"/>
  <c r="T682" i="10" s="1"/>
  <c r="T61" i="10" s="1"/>
  <c r="U701" i="10"/>
  <c r="U710" i="10" s="1"/>
  <c r="U682" i="10" s="1"/>
  <c r="U61" i="10" s="1"/>
  <c r="V701" i="10"/>
  <c r="V710" i="10" s="1"/>
  <c r="V682" i="10" s="1"/>
  <c r="V61" i="10" s="1"/>
  <c r="U410" i="10"/>
  <c r="T545" i="10"/>
  <c r="D545" i="10"/>
  <c r="E545" i="10"/>
  <c r="F545" i="10"/>
  <c r="H545" i="10"/>
  <c r="I545" i="10"/>
  <c r="K545" i="10"/>
  <c r="L545" i="10"/>
  <c r="M545" i="10"/>
  <c r="O545" i="10"/>
  <c r="R545" i="10"/>
  <c r="S545" i="10"/>
  <c r="E410" i="10"/>
  <c r="H410" i="10"/>
  <c r="I410" i="10"/>
  <c r="J410" i="10"/>
  <c r="M410" i="10"/>
  <c r="O410" i="10"/>
  <c r="P410" i="10"/>
  <c r="V410" i="10"/>
  <c r="W701" i="10"/>
  <c r="W710" i="10" s="1"/>
  <c r="W682" i="10" s="1"/>
  <c r="W61" i="10" s="1"/>
  <c r="C545" i="10"/>
  <c r="G545" i="10"/>
  <c r="J545" i="10"/>
  <c r="N545" i="10"/>
  <c r="P545" i="10"/>
  <c r="Q545" i="10"/>
  <c r="U545" i="10"/>
  <c r="C410" i="10"/>
  <c r="D410" i="10"/>
  <c r="F410" i="10"/>
  <c r="G410" i="10"/>
  <c r="K410" i="10"/>
  <c r="L410" i="10"/>
  <c r="N410" i="10"/>
  <c r="Q410" i="10"/>
  <c r="R410" i="10"/>
  <c r="S410" i="10"/>
  <c r="T410" i="10"/>
  <c r="X701" i="10"/>
  <c r="X710" i="10" s="1"/>
  <c r="X682" i="10" s="1"/>
  <c r="X61" i="10" s="1"/>
  <c r="W410" i="10"/>
  <c r="V545" i="10"/>
  <c r="Y701" i="10"/>
  <c r="Y710" i="10" s="1"/>
  <c r="Y682" i="10" s="1"/>
  <c r="Y61" i="10" s="1"/>
  <c r="X410" i="10"/>
  <c r="W545" i="10"/>
  <c r="X545" i="10"/>
  <c r="Y410" i="10"/>
  <c r="Z701" i="10"/>
  <c r="Z710" i="10" s="1"/>
  <c r="Z682" i="10" s="1"/>
  <c r="Z61" i="10" s="1"/>
  <c r="AA701" i="10"/>
  <c r="AA710" i="10" s="1"/>
  <c r="AA682" i="10" s="1"/>
  <c r="AA61" i="10" s="1"/>
  <c r="Z410" i="10"/>
  <c r="Y545" i="10"/>
  <c r="AB701" i="10"/>
  <c r="AB710" i="10" s="1"/>
  <c r="AB682" i="10" s="1"/>
  <c r="AB61" i="10" s="1"/>
  <c r="AA410" i="10"/>
  <c r="Z545" i="10"/>
  <c r="AB410" i="10"/>
  <c r="AA545" i="10"/>
  <c r="AC701" i="10"/>
  <c r="AC710" i="10" s="1"/>
  <c r="AC682" i="10" s="1"/>
  <c r="AC61" i="10" s="1"/>
  <c r="AD701" i="10"/>
  <c r="AD710" i="10" s="1"/>
  <c r="AD682" i="10" s="1"/>
  <c r="AD61" i="10" s="1"/>
  <c r="AC410" i="10"/>
  <c r="AB545" i="10"/>
  <c r="AC545" i="10"/>
  <c r="AE701" i="10"/>
  <c r="AE710" i="10" s="1"/>
  <c r="AE682" i="10" s="1"/>
  <c r="AE61" i="10" s="1"/>
  <c r="AD410" i="10"/>
  <c r="AD545" i="10"/>
  <c r="AF701" i="10"/>
  <c r="AF710" i="10" s="1"/>
  <c r="AF682" i="10" s="1"/>
  <c r="AF61" i="10" s="1"/>
  <c r="AE410" i="10"/>
  <c r="AF410" i="10"/>
  <c r="AE545" i="10"/>
  <c r="AG410" i="10"/>
  <c r="AF545" i="10"/>
  <c r="AG545" i="10"/>
  <c r="AH410" i="10"/>
  <c r="AI410" i="10"/>
  <c r="AH545" i="10"/>
  <c r="AJ410" i="10"/>
  <c r="AI545" i="10"/>
  <c r="AK410" i="10"/>
  <c r="AJ545" i="10"/>
  <c r="AK545" i="10"/>
  <c r="AL410" i="10"/>
  <c r="AM410" i="10"/>
  <c r="AL545" i="10"/>
  <c r="AN410" i="10"/>
  <c r="AM545" i="10"/>
  <c r="T547" i="10"/>
  <c r="C547" i="10"/>
  <c r="F547" i="10"/>
  <c r="G547" i="10"/>
  <c r="I547" i="10"/>
  <c r="K547" i="10"/>
  <c r="L547" i="10"/>
  <c r="M547" i="10"/>
  <c r="O547" i="10"/>
  <c r="Q547" i="10"/>
  <c r="R547" i="10"/>
  <c r="U547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R412" i="10"/>
  <c r="S412" i="10"/>
  <c r="T412" i="10"/>
  <c r="V412" i="10"/>
  <c r="U412" i="10"/>
  <c r="D547" i="10"/>
  <c r="E547" i="10"/>
  <c r="H547" i="10"/>
  <c r="J547" i="10"/>
  <c r="N547" i="10"/>
  <c r="P547" i="10"/>
  <c r="S547" i="10"/>
  <c r="C412" i="10"/>
  <c r="P412" i="10"/>
  <c r="Q412" i="10"/>
  <c r="V547" i="10"/>
  <c r="W412" i="10"/>
  <c r="X412" i="10"/>
  <c r="W547" i="10"/>
  <c r="X547" i="10"/>
  <c r="Y412" i="10"/>
  <c r="Z412" i="10"/>
  <c r="Y547" i="10"/>
  <c r="Z547" i="10"/>
  <c r="AA412" i="10"/>
  <c r="AA547" i="10"/>
  <c r="AB412" i="10"/>
  <c r="AC412" i="10"/>
  <c r="AB547" i="10"/>
  <c r="AC547" i="10"/>
  <c r="AD412" i="10"/>
  <c r="AE412" i="10"/>
  <c r="AD547" i="10"/>
  <c r="AF412" i="10"/>
  <c r="AE547" i="10"/>
  <c r="AF547" i="10"/>
  <c r="AG412" i="10"/>
  <c r="AG547" i="10"/>
  <c r="AH412" i="10"/>
  <c r="AH547" i="10"/>
  <c r="AI412" i="10"/>
  <c r="AJ412" i="10"/>
  <c r="AI547" i="10"/>
  <c r="AJ547" i="10"/>
  <c r="AK412" i="10"/>
  <c r="AK547" i="10"/>
  <c r="AL412" i="10"/>
  <c r="AL547" i="10"/>
  <c r="AM412" i="10"/>
  <c r="AN412" i="10"/>
  <c r="AM547" i="10"/>
  <c r="U414" i="10"/>
  <c r="T549" i="10"/>
  <c r="D549" i="10"/>
  <c r="E549" i="10"/>
  <c r="F549" i="10"/>
  <c r="H549" i="10"/>
  <c r="I549" i="10"/>
  <c r="M549" i="10"/>
  <c r="Q549" i="10"/>
  <c r="R549" i="10"/>
  <c r="U549" i="10"/>
  <c r="C414" i="10"/>
  <c r="D414" i="10"/>
  <c r="F414" i="10"/>
  <c r="G414" i="10"/>
  <c r="K414" i="10"/>
  <c r="L414" i="10"/>
  <c r="N414" i="10"/>
  <c r="Q414" i="10"/>
  <c r="R414" i="10"/>
  <c r="S414" i="10"/>
  <c r="T414" i="10"/>
  <c r="V414" i="10"/>
  <c r="C549" i="10"/>
  <c r="G549" i="10"/>
  <c r="J549" i="10"/>
  <c r="K549" i="10"/>
  <c r="L549" i="10"/>
  <c r="N549" i="10"/>
  <c r="O549" i="10"/>
  <c r="P549" i="10"/>
  <c r="S549" i="10"/>
  <c r="E414" i="10"/>
  <c r="H414" i="10"/>
  <c r="I414" i="10"/>
  <c r="J414" i="10"/>
  <c r="M414" i="10"/>
  <c r="O414" i="10"/>
  <c r="P414" i="10"/>
  <c r="V549" i="10"/>
  <c r="W414" i="10"/>
  <c r="X414" i="10"/>
  <c r="W549" i="10"/>
  <c r="Y414" i="10"/>
  <c r="X549" i="10"/>
  <c r="Y549" i="10"/>
  <c r="Z414" i="10"/>
  <c r="Z549" i="10"/>
  <c r="AA414" i="10"/>
  <c r="AB414" i="10"/>
  <c r="AA549" i="10"/>
  <c r="AB549" i="10"/>
  <c r="AC414" i="10"/>
  <c r="AD414" i="10"/>
  <c r="AC549" i="10"/>
  <c r="AE414" i="10"/>
  <c r="AD549" i="10"/>
  <c r="AF414" i="10"/>
  <c r="AE549" i="10"/>
  <c r="AG414" i="10"/>
  <c r="AF549" i="10"/>
  <c r="AH414" i="10"/>
  <c r="AG549" i="10"/>
  <c r="AI414" i="10"/>
  <c r="AH549" i="10"/>
  <c r="AJ414" i="10"/>
  <c r="AI549" i="10"/>
  <c r="AK414" i="10"/>
  <c r="AJ549" i="10"/>
  <c r="AK549" i="10"/>
  <c r="AL414" i="10"/>
  <c r="AL549" i="10"/>
  <c r="AM414" i="10"/>
  <c r="AN414" i="10"/>
  <c r="AM549" i="10"/>
  <c r="T551" i="10"/>
  <c r="C551" i="10"/>
  <c r="D551" i="10"/>
  <c r="E551" i="10"/>
  <c r="I551" i="10"/>
  <c r="K551" i="10"/>
  <c r="L551" i="10"/>
  <c r="M551" i="10"/>
  <c r="N551" i="10"/>
  <c r="P551" i="10"/>
  <c r="C416" i="10"/>
  <c r="P416" i="10"/>
  <c r="Q416" i="10"/>
  <c r="V416" i="10"/>
  <c r="F551" i="10"/>
  <c r="G551" i="10"/>
  <c r="H551" i="10"/>
  <c r="J551" i="10"/>
  <c r="O551" i="10"/>
  <c r="Q551" i="10"/>
  <c r="R551" i="10"/>
  <c r="S551" i="10"/>
  <c r="U551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R416" i="10"/>
  <c r="S416" i="10"/>
  <c r="T416" i="10"/>
  <c r="U416" i="10"/>
  <c r="W416" i="10"/>
  <c r="V551" i="10"/>
  <c r="X416" i="10"/>
  <c r="W551" i="10"/>
  <c r="X551" i="10"/>
  <c r="Y416" i="10"/>
  <c r="Y551" i="10"/>
  <c r="Z416" i="10"/>
  <c r="AA416" i="10"/>
  <c r="Z551" i="10"/>
  <c r="AB416" i="10"/>
  <c r="AA551" i="10"/>
  <c r="AC416" i="10"/>
  <c r="AB551" i="10"/>
  <c r="AC551" i="10"/>
  <c r="AD416" i="10"/>
  <c r="AE416" i="10"/>
  <c r="AD551" i="10"/>
  <c r="AF416" i="10"/>
  <c r="AE551" i="10"/>
  <c r="AG416" i="10"/>
  <c r="AF551" i="10"/>
  <c r="AH416" i="10"/>
  <c r="AG551" i="10"/>
  <c r="AI416" i="10"/>
  <c r="AH551" i="10"/>
  <c r="AJ416" i="10"/>
  <c r="AI551" i="10"/>
  <c r="AJ551" i="10"/>
  <c r="AK416" i="10"/>
  <c r="AL416" i="10"/>
  <c r="AK551" i="10"/>
  <c r="AM416" i="10"/>
  <c r="AL551" i="10"/>
  <c r="AM551" i="10"/>
  <c r="AN416" i="10"/>
  <c r="U418" i="10"/>
  <c r="T553" i="10"/>
  <c r="C553" i="10"/>
  <c r="G553" i="10"/>
  <c r="J553" i="10"/>
  <c r="N553" i="10"/>
  <c r="P553" i="10"/>
  <c r="Q553" i="10"/>
  <c r="E418" i="10"/>
  <c r="H418" i="10"/>
  <c r="I418" i="10"/>
  <c r="J418" i="10"/>
  <c r="M418" i="10"/>
  <c r="O418" i="10"/>
  <c r="P418" i="10"/>
  <c r="V418" i="10"/>
  <c r="D553" i="10"/>
  <c r="E553" i="10"/>
  <c r="F553" i="10"/>
  <c r="H553" i="10"/>
  <c r="I553" i="10"/>
  <c r="K553" i="10"/>
  <c r="L553" i="10"/>
  <c r="M553" i="10"/>
  <c r="O553" i="10"/>
  <c r="R553" i="10"/>
  <c r="S553" i="10"/>
  <c r="U553" i="10"/>
  <c r="C418" i="10"/>
  <c r="D418" i="10"/>
  <c r="F418" i="10"/>
  <c r="G418" i="10"/>
  <c r="K418" i="10"/>
  <c r="L418" i="10"/>
  <c r="N418" i="10"/>
  <c r="Q418" i="10"/>
  <c r="R418" i="10"/>
  <c r="S418" i="10"/>
  <c r="T418" i="10"/>
  <c r="W418" i="10"/>
  <c r="V553" i="10"/>
  <c r="X418" i="10"/>
  <c r="W553" i="10"/>
  <c r="X553" i="10"/>
  <c r="Y418" i="10"/>
  <c r="Z418" i="10"/>
  <c r="Y553" i="10"/>
  <c r="AA418" i="10"/>
  <c r="Z553" i="10"/>
  <c r="AB418" i="10"/>
  <c r="AA553" i="10"/>
  <c r="AC418" i="10"/>
  <c r="AB553" i="10"/>
  <c r="AC553" i="10"/>
  <c r="AD418" i="10"/>
  <c r="AD553" i="10"/>
  <c r="AE418" i="10"/>
  <c r="AF418" i="10"/>
  <c r="AE553" i="10"/>
  <c r="AG418" i="10"/>
  <c r="AF553" i="10"/>
  <c r="AG553" i="10"/>
  <c r="AH418" i="10"/>
  <c r="AI418" i="10"/>
  <c r="AH553" i="10"/>
  <c r="AJ418" i="10"/>
  <c r="AI553" i="10"/>
  <c r="AK418" i="10"/>
  <c r="AJ553" i="10"/>
  <c r="AK553" i="10"/>
  <c r="AL418" i="10"/>
  <c r="AM418" i="10"/>
  <c r="AL553" i="10"/>
  <c r="AN418" i="10"/>
  <c r="AM553" i="10"/>
  <c r="T571" i="10"/>
  <c r="W733" i="10"/>
  <c r="D571" i="10"/>
  <c r="E571" i="10"/>
  <c r="H571" i="10"/>
  <c r="J571" i="10"/>
  <c r="N571" i="10"/>
  <c r="P571" i="10"/>
  <c r="S571" i="10"/>
  <c r="U571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R436" i="10"/>
  <c r="S436" i="10"/>
  <c r="T436" i="10"/>
  <c r="V436" i="10"/>
  <c r="U436" i="10"/>
  <c r="C571" i="10"/>
  <c r="F571" i="10"/>
  <c r="G571" i="10"/>
  <c r="I571" i="10"/>
  <c r="K571" i="10"/>
  <c r="L571" i="10"/>
  <c r="M571" i="10"/>
  <c r="O571" i="10"/>
  <c r="Q571" i="10"/>
  <c r="R571" i="10"/>
  <c r="C436" i="10"/>
  <c r="P436" i="10"/>
  <c r="Q436" i="10"/>
  <c r="V571" i="10"/>
  <c r="X733" i="10"/>
  <c r="X742" i="10" s="1"/>
  <c r="X714" i="10" s="1"/>
  <c r="X62" i="10" s="1"/>
  <c r="W436" i="10"/>
  <c r="Y733" i="10"/>
  <c r="X436" i="10"/>
  <c r="W571" i="10"/>
  <c r="X571" i="10"/>
  <c r="Z733" i="10"/>
  <c r="Z742" i="10" s="1"/>
  <c r="Z714" i="10" s="1"/>
  <c r="Z62" i="10" s="1"/>
  <c r="Y436" i="10"/>
  <c r="AA733" i="10"/>
  <c r="Z436" i="10"/>
  <c r="Y571" i="10"/>
  <c r="AB733" i="10"/>
  <c r="AB742" i="10" s="1"/>
  <c r="AB714" i="10" s="1"/>
  <c r="AB62" i="10" s="1"/>
  <c r="Z571" i="10"/>
  <c r="AA436" i="10"/>
  <c r="AA571" i="10"/>
  <c r="AC733" i="10"/>
  <c r="AC742" i="10" s="1"/>
  <c r="AC714" i="10" s="1"/>
  <c r="AC62" i="10" s="1"/>
  <c r="AB436" i="10"/>
  <c r="AC436" i="10"/>
  <c r="AD733" i="10"/>
  <c r="AB571" i="10"/>
  <c r="AE733" i="10"/>
  <c r="AC571" i="10"/>
  <c r="AD436" i="10"/>
  <c r="AE436" i="10"/>
  <c r="AF733" i="10"/>
  <c r="AD571" i="10"/>
  <c r="AG733" i="10"/>
  <c r="AG742" i="10" s="1"/>
  <c r="AG714" i="10" s="1"/>
  <c r="AG62" i="10" s="1"/>
  <c r="AF436" i="10"/>
  <c r="AE571" i="10"/>
  <c r="AF571" i="10"/>
  <c r="AG436" i="10"/>
  <c r="AH733" i="10"/>
  <c r="AH742" i="10" s="1"/>
  <c r="AH714" i="10" s="1"/>
  <c r="AH62" i="10" s="1"/>
  <c r="AG571" i="10"/>
  <c r="AH436" i="10"/>
  <c r="AI733" i="10"/>
  <c r="AI742" i="10" s="1"/>
  <c r="AI714" i="10" s="1"/>
  <c r="AI62" i="10" s="1"/>
  <c r="AH571" i="10"/>
  <c r="AI436" i="10"/>
  <c r="AJ733" i="10"/>
  <c r="AJ742" i="10" s="1"/>
  <c r="AJ714" i="10" s="1"/>
  <c r="AJ62" i="10" s="1"/>
  <c r="AK733" i="10"/>
  <c r="AK742" i="10" s="1"/>
  <c r="AK714" i="10" s="1"/>
  <c r="AK62" i="10" s="1"/>
  <c r="AJ436" i="10"/>
  <c r="AI571" i="10"/>
  <c r="AJ571" i="10"/>
  <c r="AL733" i="10"/>
  <c r="AL742" i="10" s="1"/>
  <c r="AL714" i="10" s="1"/>
  <c r="AL62" i="10" s="1"/>
  <c r="AK436" i="10"/>
  <c r="AK571" i="10"/>
  <c r="AM733" i="10"/>
  <c r="AM742" i="10" s="1"/>
  <c r="AM714" i="10" s="1"/>
  <c r="AM62" i="10" s="1"/>
  <c r="AL436" i="10"/>
  <c r="AN733" i="10"/>
  <c r="AN742" i="10" s="1"/>
  <c r="AN714" i="10" s="1"/>
  <c r="AN62" i="10" s="1"/>
  <c r="AL571" i="10"/>
  <c r="AM436" i="10"/>
  <c r="AO733" i="10"/>
  <c r="AO742" i="10" s="1"/>
  <c r="AO714" i="10" s="1"/>
  <c r="AO62" i="10" s="1"/>
  <c r="AN436" i="10"/>
  <c r="AM571" i="10"/>
  <c r="U438" i="10"/>
  <c r="T573" i="10"/>
  <c r="C573" i="10"/>
  <c r="G573" i="10"/>
  <c r="J573" i="10"/>
  <c r="K573" i="10"/>
  <c r="L573" i="10"/>
  <c r="N573" i="10"/>
  <c r="O573" i="10"/>
  <c r="P573" i="10"/>
  <c r="S573" i="10"/>
  <c r="U573" i="10"/>
  <c r="C438" i="10"/>
  <c r="F438" i="10"/>
  <c r="G438" i="10"/>
  <c r="K438" i="10"/>
  <c r="L438" i="10"/>
  <c r="N438" i="10"/>
  <c r="Q438" i="10"/>
  <c r="R438" i="10"/>
  <c r="S438" i="10"/>
  <c r="T438" i="10"/>
  <c r="V438" i="10"/>
  <c r="D573" i="10"/>
  <c r="E573" i="10"/>
  <c r="F573" i="10"/>
  <c r="H573" i="10"/>
  <c r="I573" i="10"/>
  <c r="M573" i="10"/>
  <c r="Q573" i="10"/>
  <c r="R573" i="10"/>
  <c r="D438" i="10"/>
  <c r="E438" i="10"/>
  <c r="H438" i="10"/>
  <c r="I438" i="10"/>
  <c r="J438" i="10"/>
  <c r="M438" i="10"/>
  <c r="O438" i="10"/>
  <c r="P438" i="10"/>
  <c r="W438" i="10"/>
  <c r="V573" i="10"/>
  <c r="X438" i="10"/>
  <c r="W573" i="10"/>
  <c r="Y438" i="10"/>
  <c r="X573" i="10"/>
  <c r="Y573" i="10"/>
  <c r="Z438" i="10"/>
  <c r="Z573" i="10"/>
  <c r="AA438" i="10"/>
  <c r="AB438" i="10"/>
  <c r="AA573" i="10"/>
  <c r="AB573" i="10"/>
  <c r="AC438" i="10"/>
  <c r="AD438" i="10"/>
  <c r="AC573" i="10"/>
  <c r="AE438" i="10"/>
  <c r="AD573" i="10"/>
  <c r="AF438" i="10"/>
  <c r="AE573" i="10"/>
  <c r="AG438" i="10"/>
  <c r="AF573" i="10"/>
  <c r="AH438" i="10"/>
  <c r="AG573" i="10"/>
  <c r="AI438" i="10"/>
  <c r="AH573" i="10"/>
  <c r="AJ438" i="10"/>
  <c r="AI573" i="10"/>
  <c r="AK438" i="10"/>
  <c r="AJ573" i="10"/>
  <c r="AK573" i="10"/>
  <c r="AL438" i="10"/>
  <c r="AL573" i="10"/>
  <c r="AM438" i="10"/>
  <c r="AN438" i="10"/>
  <c r="AM573" i="10"/>
  <c r="T575" i="10"/>
  <c r="F575" i="10"/>
  <c r="G575" i="10"/>
  <c r="H575" i="10"/>
  <c r="J575" i="10"/>
  <c r="O575" i="10"/>
  <c r="Q575" i="10"/>
  <c r="R575" i="10"/>
  <c r="S575" i="10"/>
  <c r="C440" i="10"/>
  <c r="P440" i="10"/>
  <c r="Q440" i="10"/>
  <c r="V440" i="10"/>
  <c r="C575" i="10"/>
  <c r="D575" i="10"/>
  <c r="E575" i="10"/>
  <c r="I575" i="10"/>
  <c r="K575" i="10"/>
  <c r="L575" i="10"/>
  <c r="M575" i="10"/>
  <c r="N575" i="10"/>
  <c r="P575" i="10"/>
  <c r="U575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R440" i="10"/>
  <c r="S440" i="10"/>
  <c r="T440" i="10"/>
  <c r="U440" i="10"/>
  <c r="W440" i="10"/>
  <c r="V575" i="10"/>
  <c r="X440" i="10"/>
  <c r="W575" i="10"/>
  <c r="X575" i="10"/>
  <c r="Y440" i="10"/>
  <c r="Y575" i="10"/>
  <c r="Z440" i="10"/>
  <c r="AA440" i="10"/>
  <c r="Z575" i="10"/>
  <c r="AB440" i="10"/>
  <c r="AA575" i="10"/>
  <c r="AC440" i="10"/>
  <c r="AB575" i="10"/>
  <c r="AC575" i="10"/>
  <c r="AD440" i="10"/>
  <c r="AE440" i="10"/>
  <c r="AD575" i="10"/>
  <c r="AF440" i="10"/>
  <c r="AE575" i="10"/>
  <c r="AG440" i="10"/>
  <c r="AF575" i="10"/>
  <c r="AH440" i="10"/>
  <c r="AG575" i="10"/>
  <c r="AI440" i="10"/>
  <c r="AH575" i="10"/>
  <c r="AJ440" i="10"/>
  <c r="AI575" i="10"/>
  <c r="AJ575" i="10"/>
  <c r="AK440" i="10"/>
  <c r="AL440" i="10"/>
  <c r="AK575" i="10"/>
  <c r="AM440" i="10"/>
  <c r="AL575" i="10"/>
  <c r="AM575" i="10"/>
  <c r="AN440" i="10"/>
  <c r="U442" i="10"/>
  <c r="T577" i="10"/>
  <c r="E577" i="10"/>
  <c r="F577" i="10"/>
  <c r="H577" i="10"/>
  <c r="I577" i="10"/>
  <c r="K577" i="10"/>
  <c r="L577" i="10"/>
  <c r="M577" i="10"/>
  <c r="O577" i="10"/>
  <c r="R577" i="10"/>
  <c r="S577" i="10"/>
  <c r="D442" i="10"/>
  <c r="E442" i="10"/>
  <c r="H442" i="10"/>
  <c r="I442" i="10"/>
  <c r="J442" i="10"/>
  <c r="M442" i="10"/>
  <c r="O442" i="10"/>
  <c r="P442" i="10"/>
  <c r="V442" i="10"/>
  <c r="C577" i="10"/>
  <c r="D577" i="10"/>
  <c r="G577" i="10"/>
  <c r="J577" i="10"/>
  <c r="N577" i="10"/>
  <c r="P577" i="10"/>
  <c r="Q577" i="10"/>
  <c r="U577" i="10"/>
  <c r="C442" i="10"/>
  <c r="F442" i="10"/>
  <c r="G442" i="10"/>
  <c r="K442" i="10"/>
  <c r="L442" i="10"/>
  <c r="N442" i="10"/>
  <c r="Q442" i="10"/>
  <c r="R442" i="10"/>
  <c r="S442" i="10"/>
  <c r="T442" i="10"/>
  <c r="V577" i="10"/>
  <c r="W442" i="10"/>
  <c r="X442" i="10"/>
  <c r="W577" i="10"/>
  <c r="X577" i="10"/>
  <c r="Y442" i="10"/>
  <c r="Z442" i="10"/>
  <c r="Y577" i="10"/>
  <c r="AA442" i="10"/>
  <c r="Z577" i="10"/>
  <c r="AB442" i="10"/>
  <c r="AA577" i="10"/>
  <c r="AC442" i="10"/>
  <c r="AB577" i="10"/>
  <c r="AC577" i="10"/>
  <c r="AD442" i="10"/>
  <c r="AD577" i="10"/>
  <c r="AE442" i="10"/>
  <c r="AF442" i="10"/>
  <c r="AE577" i="10"/>
  <c r="AG442" i="10"/>
  <c r="AF577" i="10"/>
  <c r="AG577" i="10"/>
  <c r="AH442" i="10"/>
  <c r="AI442" i="10"/>
  <c r="AH577" i="10"/>
  <c r="AJ442" i="10"/>
  <c r="AI577" i="10"/>
  <c r="AK442" i="10"/>
  <c r="AJ577" i="10"/>
  <c r="AK577" i="10"/>
  <c r="AL442" i="10"/>
  <c r="AM442" i="10"/>
  <c r="AL577" i="10"/>
  <c r="AN442" i="10"/>
  <c r="AM577" i="10"/>
  <c r="T579" i="10"/>
  <c r="C579" i="10"/>
  <c r="F579" i="10"/>
  <c r="G579" i="10"/>
  <c r="I579" i="10"/>
  <c r="K579" i="10"/>
  <c r="L579" i="10"/>
  <c r="M579" i="10"/>
  <c r="O579" i="10"/>
  <c r="Q579" i="10"/>
  <c r="R579" i="10"/>
  <c r="U579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R444" i="10"/>
  <c r="S444" i="10"/>
  <c r="T444" i="10"/>
  <c r="V444" i="10"/>
  <c r="U444" i="10"/>
  <c r="D579" i="10"/>
  <c r="E579" i="10"/>
  <c r="H579" i="10"/>
  <c r="J579" i="10"/>
  <c r="N579" i="10"/>
  <c r="P579" i="10"/>
  <c r="S579" i="10"/>
  <c r="C444" i="10"/>
  <c r="P444" i="10"/>
  <c r="Q444" i="10"/>
  <c r="V579" i="10"/>
  <c r="W444" i="10"/>
  <c r="X444" i="10"/>
  <c r="W579" i="10"/>
  <c r="X579" i="10"/>
  <c r="Y444" i="10"/>
  <c r="Z444" i="10"/>
  <c r="Y579" i="10"/>
  <c r="Z579" i="10"/>
  <c r="AA444" i="10"/>
  <c r="AA579" i="10"/>
  <c r="AB444" i="10"/>
  <c r="AC444" i="10"/>
  <c r="AB579" i="10"/>
  <c r="AC579" i="10"/>
  <c r="AD444" i="10"/>
  <c r="AE444" i="10"/>
  <c r="AD579" i="10"/>
  <c r="AF444" i="10"/>
  <c r="AE579" i="10"/>
  <c r="AF579" i="10"/>
  <c r="AG444" i="10"/>
  <c r="AG579" i="10"/>
  <c r="AH444" i="10"/>
  <c r="AH579" i="10"/>
  <c r="AI444" i="10"/>
  <c r="AJ444" i="10"/>
  <c r="AI579" i="10"/>
  <c r="AJ579" i="10"/>
  <c r="AK444" i="10"/>
  <c r="AK579" i="10"/>
  <c r="AL444" i="10"/>
  <c r="AL579" i="10"/>
  <c r="AM444" i="10"/>
  <c r="AN444" i="10"/>
  <c r="AM579" i="10"/>
  <c r="AO68" i="10"/>
  <c r="AO75" i="10" s="1"/>
  <c r="AP671" i="10"/>
  <c r="AN522" i="10"/>
  <c r="AN546" i="10"/>
  <c r="AN578" i="10"/>
  <c r="AN525" i="10"/>
  <c r="AN549" i="10"/>
  <c r="AN573" i="10"/>
  <c r="AO443" i="10"/>
  <c r="AO439" i="10"/>
  <c r="AO415" i="10"/>
  <c r="AO411" i="10"/>
  <c r="AO391" i="10"/>
  <c r="AO522" i="10"/>
  <c r="AO518" i="10"/>
  <c r="AO442" i="10"/>
  <c r="AO438" i="10"/>
  <c r="AO418" i="10"/>
  <c r="AO414" i="10"/>
  <c r="AO410" i="10"/>
  <c r="AO390" i="10"/>
  <c r="AO386" i="10"/>
  <c r="AP11" i="8"/>
  <c r="AM63" i="8"/>
  <c r="AN657" i="8"/>
  <c r="AN642" i="8" s="1"/>
  <c r="AN61" i="8" s="1"/>
  <c r="AN625" i="8"/>
  <c r="AN610" i="8" s="1"/>
  <c r="AN60" i="8" s="1"/>
  <c r="AN689" i="8"/>
  <c r="AN674" i="8" s="1"/>
  <c r="AN62" i="8" s="1"/>
  <c r="AM72" i="8"/>
  <c r="AN472" i="8"/>
  <c r="AN471" i="8"/>
  <c r="AN475" i="8"/>
  <c r="AN479" i="8"/>
  <c r="AN499" i="8"/>
  <c r="AN503" i="8"/>
  <c r="AN523" i="8"/>
  <c r="AN527" i="8"/>
  <c r="AN531" i="8"/>
  <c r="AN476" i="8"/>
  <c r="AN480" i="8"/>
  <c r="AN500" i="8"/>
  <c r="AN504" i="8"/>
  <c r="AN524" i="8"/>
  <c r="AN528" i="8"/>
  <c r="AN532" i="8"/>
  <c r="AL233" i="8"/>
  <c r="AL234" i="8" s="1"/>
  <c r="AL271" i="8"/>
  <c r="AL272" i="8" s="1"/>
  <c r="AO700" i="8"/>
  <c r="AO699" i="8"/>
  <c r="AO698" i="8"/>
  <c r="AO697" i="8"/>
  <c r="AO696" i="8"/>
  <c r="AO695" i="8"/>
  <c r="AO694" i="8"/>
  <c r="AO693" i="8"/>
  <c r="AO691" i="8"/>
  <c r="AO688" i="8"/>
  <c r="AO397" i="8" s="1"/>
  <c r="AO687" i="8"/>
  <c r="AO686" i="8"/>
  <c r="AO395" i="8" s="1"/>
  <c r="AO685" i="8"/>
  <c r="AO394" i="8" s="1"/>
  <c r="AO684" i="8"/>
  <c r="AO393" i="8" s="1"/>
  <c r="AO683" i="8"/>
  <c r="AO392" i="8" s="1"/>
  <c r="AO682" i="8"/>
  <c r="AO391" i="8" s="1"/>
  <c r="AO681" i="8"/>
  <c r="AO390" i="8" s="1"/>
  <c r="AO680" i="8"/>
  <c r="AO389" i="8" s="1"/>
  <c r="AO679" i="8"/>
  <c r="AO388" i="8" s="1"/>
  <c r="AO668" i="8"/>
  <c r="AO666" i="8"/>
  <c r="AO664" i="8"/>
  <c r="AO662" i="8"/>
  <c r="AO656" i="8"/>
  <c r="AO371" i="8" s="1"/>
  <c r="AO655" i="8"/>
  <c r="AO370" i="8" s="1"/>
  <c r="AO654" i="8"/>
  <c r="AO369" i="8" s="1"/>
  <c r="AO653" i="8"/>
  <c r="AO368" i="8" s="1"/>
  <c r="AO652" i="8"/>
  <c r="AO367" i="8" s="1"/>
  <c r="AO651" i="8"/>
  <c r="AO366" i="8" s="1"/>
  <c r="AO650" i="8"/>
  <c r="AO365" i="8" s="1"/>
  <c r="AO649" i="8"/>
  <c r="AO648" i="8"/>
  <c r="AO363" i="8" s="1"/>
  <c r="AO647" i="8"/>
  <c r="AO362" i="8" s="1"/>
  <c r="AO667" i="8"/>
  <c r="AO665" i="8"/>
  <c r="AO663" i="8"/>
  <c r="AO660" i="8"/>
  <c r="AO659" i="8"/>
  <c r="AO624" i="8"/>
  <c r="AO346" i="8" s="1"/>
  <c r="AO623" i="8"/>
  <c r="AO345" i="8" s="1"/>
  <c r="AO622" i="8"/>
  <c r="AO344" i="8" s="1"/>
  <c r="AO621" i="8"/>
  <c r="AO343" i="8" s="1"/>
  <c r="AO620" i="8"/>
  <c r="AO342" i="8" s="1"/>
  <c r="AO619" i="8"/>
  <c r="AO341" i="8" s="1"/>
  <c r="AO618" i="8"/>
  <c r="AO340" i="8" s="1"/>
  <c r="AO617" i="8"/>
  <c r="AO339" i="8" s="1"/>
  <c r="AO616" i="8"/>
  <c r="AO615" i="8"/>
  <c r="AO337" i="8" s="1"/>
  <c r="AO636" i="8"/>
  <c r="AO635" i="8"/>
  <c r="AO634" i="8"/>
  <c r="AO633" i="8"/>
  <c r="AO632" i="8"/>
  <c r="AO631" i="8"/>
  <c r="AO629" i="8"/>
  <c r="AO628" i="8"/>
  <c r="AO627" i="8"/>
  <c r="AO604" i="8"/>
  <c r="AO555" i="8"/>
  <c r="AO556" i="8" s="1"/>
  <c r="AO549" i="8"/>
  <c r="AO550" i="8" s="1"/>
  <c r="AO453" i="8"/>
  <c r="AO452" i="8"/>
  <c r="AO451" i="8"/>
  <c r="AO450" i="8"/>
  <c r="AO449" i="8"/>
  <c r="AO448" i="8"/>
  <c r="AO396" i="8"/>
  <c r="AO364" i="8"/>
  <c r="AO466" i="8"/>
  <c r="AO338" i="8"/>
  <c r="AO332" i="8"/>
  <c r="AO319" i="8"/>
  <c r="AO318" i="8"/>
  <c r="AO317" i="8"/>
  <c r="AO316" i="8"/>
  <c r="AO315" i="8"/>
  <c r="AO314" i="8"/>
  <c r="AO30" i="8"/>
  <c r="AO26" i="8"/>
  <c r="AO25" i="8"/>
  <c r="AO23" i="8"/>
  <c r="AO19" i="8"/>
  <c r="AO40" i="8"/>
  <c r="AP2" i="8"/>
  <c r="AP603" i="8" s="1"/>
  <c r="AN333" i="8"/>
  <c r="AN473" i="8"/>
  <c r="AN477" i="8"/>
  <c r="AN497" i="8"/>
  <c r="AN501" i="8"/>
  <c r="AN505" i="8"/>
  <c r="AN525" i="8"/>
  <c r="AN529" i="8"/>
  <c r="AN467" i="8"/>
  <c r="AN474" i="8"/>
  <c r="AN478" i="8"/>
  <c r="AN498" i="8"/>
  <c r="AN502" i="8"/>
  <c r="AN506" i="8"/>
  <c r="AN526" i="8"/>
  <c r="AN530" i="8"/>
  <c r="AN27" i="8"/>
  <c r="AP566" i="7"/>
  <c r="AP560" i="7"/>
  <c r="AP538" i="7" s="1"/>
  <c r="AP551" i="7"/>
  <c r="AP550" i="7"/>
  <c r="AP561" i="7" s="1"/>
  <c r="AP544" i="7"/>
  <c r="AP543" i="7"/>
  <c r="AO27" i="7"/>
  <c r="AO621" i="7"/>
  <c r="AO606" i="7" s="1"/>
  <c r="AO68" i="7" s="1"/>
  <c r="AO653" i="7"/>
  <c r="AO638" i="7" s="1"/>
  <c r="AO69" i="7" s="1"/>
  <c r="AO61" i="7"/>
  <c r="AO400" i="7"/>
  <c r="AO408" i="7"/>
  <c r="AO406" i="7"/>
  <c r="AO403" i="7"/>
  <c r="AO407" i="7"/>
  <c r="AO427" i="7"/>
  <c r="AO431" i="7"/>
  <c r="AO435" i="7"/>
  <c r="AO455" i="7"/>
  <c r="AO459" i="7"/>
  <c r="AO428" i="7"/>
  <c r="AO432" i="7"/>
  <c r="AO452" i="7"/>
  <c r="AO456" i="7"/>
  <c r="AO460" i="7"/>
  <c r="AO565" i="7"/>
  <c r="AO559" i="7"/>
  <c r="AO537" i="7" s="1"/>
  <c r="AO80" i="7" s="1"/>
  <c r="AP592" i="7"/>
  <c r="AO685" i="7"/>
  <c r="AO670" i="7" s="1"/>
  <c r="AO70" i="7" s="1"/>
  <c r="AN556" i="7"/>
  <c r="AN81" i="7"/>
  <c r="AP696" i="7"/>
  <c r="AP695" i="7"/>
  <c r="AP694" i="7"/>
  <c r="AP693" i="7"/>
  <c r="AP692" i="7"/>
  <c r="AP691" i="7"/>
  <c r="AP690" i="7"/>
  <c r="AP689" i="7"/>
  <c r="AP687" i="7"/>
  <c r="AP684" i="7"/>
  <c r="B684" i="7" s="1"/>
  <c r="AP683" i="7"/>
  <c r="B683" i="7" s="1"/>
  <c r="AP682" i="7"/>
  <c r="B682" i="7" s="1"/>
  <c r="AP681" i="7"/>
  <c r="B681" i="7" s="1"/>
  <c r="AP680" i="7"/>
  <c r="B680" i="7" s="1"/>
  <c r="AP679" i="7"/>
  <c r="B679" i="7" s="1"/>
  <c r="AP678" i="7"/>
  <c r="B678" i="7" s="1"/>
  <c r="AP677" i="7"/>
  <c r="B677" i="7" s="1"/>
  <c r="AP676" i="7"/>
  <c r="B676" i="7" s="1"/>
  <c r="AP675" i="7"/>
  <c r="AP664" i="7"/>
  <c r="B664" i="7" s="1"/>
  <c r="AP663" i="7"/>
  <c r="B663" i="7" s="1"/>
  <c r="AP662" i="7"/>
  <c r="B662" i="7" s="1"/>
  <c r="AP661" i="7"/>
  <c r="B661" i="7" s="1"/>
  <c r="AP660" i="7"/>
  <c r="B660" i="7" s="1"/>
  <c r="AP659" i="7"/>
  <c r="B659" i="7" s="1"/>
  <c r="AP658" i="7"/>
  <c r="B658" i="7" s="1"/>
  <c r="AP656" i="7"/>
  <c r="AP655" i="7"/>
  <c r="AP652" i="7"/>
  <c r="B652" i="7" s="1"/>
  <c r="AN447" i="7" s="1"/>
  <c r="AP651" i="7"/>
  <c r="B651" i="7" s="1"/>
  <c r="AO311" i="7" s="1"/>
  <c r="AP650" i="7"/>
  <c r="B650" i="7" s="1"/>
  <c r="AO310" i="7" s="1"/>
  <c r="AP649" i="7"/>
  <c r="B649" i="7" s="1"/>
  <c r="AO309" i="7" s="1"/>
  <c r="AP648" i="7"/>
  <c r="B648" i="7" s="1"/>
  <c r="AN443" i="7" s="1"/>
  <c r="AP647" i="7"/>
  <c r="B647" i="7" s="1"/>
  <c r="AN442" i="7" s="1"/>
  <c r="AP646" i="7"/>
  <c r="B646" i="7" s="1"/>
  <c r="AO306" i="7" s="1"/>
  <c r="AP645" i="7"/>
  <c r="B645" i="7" s="1"/>
  <c r="AO305" i="7" s="1"/>
  <c r="AP644" i="7"/>
  <c r="B644" i="7" s="1"/>
  <c r="AN439" i="7" s="1"/>
  <c r="AP643" i="7"/>
  <c r="AP291" i="7" s="1"/>
  <c r="AP632" i="7"/>
  <c r="B632" i="7" s="1"/>
  <c r="AP631" i="7"/>
  <c r="B631" i="7" s="1"/>
  <c r="AP630" i="7"/>
  <c r="B630" i="7" s="1"/>
  <c r="AP629" i="7"/>
  <c r="B629" i="7" s="1"/>
  <c r="AP628" i="7"/>
  <c r="B628" i="7" s="1"/>
  <c r="AP627" i="7"/>
  <c r="B627" i="7" s="1"/>
  <c r="AP625" i="7"/>
  <c r="AP624" i="7"/>
  <c r="AP623" i="7"/>
  <c r="AP620" i="7"/>
  <c r="B620" i="7" s="1"/>
  <c r="AO286" i="7" s="1"/>
  <c r="AP619" i="7"/>
  <c r="B619" i="7" s="1"/>
  <c r="AP618" i="7"/>
  <c r="B618" i="7" s="1"/>
  <c r="AP617" i="7"/>
  <c r="B617" i="7" s="1"/>
  <c r="AO283" i="7" s="1"/>
  <c r="AP616" i="7"/>
  <c r="B616" i="7" s="1"/>
  <c r="AO282" i="7" s="1"/>
  <c r="AP615" i="7"/>
  <c r="B615" i="7" s="1"/>
  <c r="AN416" i="7" s="1"/>
  <c r="AP614" i="7"/>
  <c r="B614" i="7" s="1"/>
  <c r="AN415" i="7" s="1"/>
  <c r="AP613" i="7"/>
  <c r="B613" i="7" s="1"/>
  <c r="AO279" i="7" s="1"/>
  <c r="AP612" i="7"/>
  <c r="B612" i="7" s="1"/>
  <c r="AO278" i="7" s="1"/>
  <c r="AP611" i="7"/>
  <c r="AP266" i="7" s="1"/>
  <c r="AP484" i="7"/>
  <c r="AP485" i="7" s="1"/>
  <c r="AP478" i="7"/>
  <c r="AP479" i="7" s="1"/>
  <c r="AP395" i="7"/>
  <c r="AP300" i="7"/>
  <c r="AP296" i="7"/>
  <c r="AP294" i="7"/>
  <c r="AP292" i="7"/>
  <c r="AP382" i="7"/>
  <c r="AP381" i="7"/>
  <c r="AP380" i="7"/>
  <c r="AP379" i="7"/>
  <c r="AP378" i="7"/>
  <c r="AP377" i="7"/>
  <c r="AP325" i="7"/>
  <c r="AP323" i="7"/>
  <c r="AP321" i="7"/>
  <c r="AP319" i="7"/>
  <c r="AP317" i="7"/>
  <c r="AP274" i="7"/>
  <c r="AP272" i="7"/>
  <c r="AP270" i="7"/>
  <c r="AP261" i="7"/>
  <c r="AP248" i="7"/>
  <c r="AP247" i="7"/>
  <c r="AP246" i="7"/>
  <c r="AP245" i="7"/>
  <c r="AP244" i="7"/>
  <c r="AP243" i="7"/>
  <c r="AP30" i="7"/>
  <c r="AP26" i="7"/>
  <c r="AP25" i="7"/>
  <c r="AP23" i="7"/>
  <c r="AP19" i="7"/>
  <c r="AP40" i="7"/>
  <c r="AO262" i="7"/>
  <c r="AO404" i="7"/>
  <c r="AO402" i="7"/>
  <c r="AO401" i="7"/>
  <c r="AO405" i="7"/>
  <c r="AO409" i="7"/>
  <c r="AO429" i="7"/>
  <c r="AO433" i="7"/>
  <c r="AO453" i="7"/>
  <c r="AO457" i="7"/>
  <c r="AO461" i="7"/>
  <c r="AO426" i="7"/>
  <c r="AO430" i="7"/>
  <c r="AO434" i="7"/>
  <c r="AO454" i="7"/>
  <c r="AO458" i="7"/>
  <c r="AO396" i="7"/>
  <c r="AN71" i="7"/>
  <c r="E470" i="2"/>
  <c r="D71" i="2"/>
  <c r="E366" i="2"/>
  <c r="E501" i="2" s="1"/>
  <c r="E367" i="2"/>
  <c r="E502" i="2" s="1"/>
  <c r="E369" i="2"/>
  <c r="E504" i="2" s="1"/>
  <c r="E371" i="2"/>
  <c r="E506" i="2" s="1"/>
  <c r="E373" i="2"/>
  <c r="E508" i="2" s="1"/>
  <c r="E374" i="2"/>
  <c r="E509" i="2" s="1"/>
  <c r="E370" i="2"/>
  <c r="E505" i="2" s="1"/>
  <c r="E372" i="2"/>
  <c r="E507" i="2" s="1"/>
  <c r="F757" i="2"/>
  <c r="F399" i="2" s="1"/>
  <c r="F534" i="2" s="1"/>
  <c r="F755" i="2"/>
  <c r="F397" i="2" s="1"/>
  <c r="F532" i="2" s="1"/>
  <c r="F753" i="2"/>
  <c r="F395" i="2" s="1"/>
  <c r="F530" i="2" s="1"/>
  <c r="F751" i="2"/>
  <c r="F393" i="2" s="1"/>
  <c r="F528" i="2" s="1"/>
  <c r="F749" i="2"/>
  <c r="F391" i="2" s="1"/>
  <c r="F526" i="2" s="1"/>
  <c r="F725" i="2"/>
  <c r="F758" i="2"/>
  <c r="F400" i="2" s="1"/>
  <c r="F535" i="2" s="1"/>
  <c r="F756" i="2"/>
  <c r="F398" i="2" s="1"/>
  <c r="F533" i="2" s="1"/>
  <c r="F754" i="2"/>
  <c r="F396" i="2" s="1"/>
  <c r="F531" i="2" s="1"/>
  <c r="F752" i="2"/>
  <c r="F394" i="2" s="1"/>
  <c r="F529" i="2" s="1"/>
  <c r="F750" i="2"/>
  <c r="F392" i="2" s="1"/>
  <c r="F527" i="2" s="1"/>
  <c r="F726" i="2"/>
  <c r="F374" i="2" s="1"/>
  <c r="F509" i="2" s="1"/>
  <c r="F723" i="2"/>
  <c r="F721" i="2"/>
  <c r="F719" i="2"/>
  <c r="F717" i="2"/>
  <c r="F693" i="2"/>
  <c r="F691" i="2"/>
  <c r="F689" i="2"/>
  <c r="F344" i="2" s="1"/>
  <c r="F478" i="2" s="1"/>
  <c r="F687" i="2"/>
  <c r="F685" i="2"/>
  <c r="F764" i="2"/>
  <c r="F765" i="2"/>
  <c r="F767" i="2"/>
  <c r="F769" i="2"/>
  <c r="F724" i="2"/>
  <c r="F720" i="2"/>
  <c r="F692" i="2"/>
  <c r="F688" i="2"/>
  <c r="F343" i="2" s="1"/>
  <c r="F477" i="2" s="1"/>
  <c r="F722" i="2"/>
  <c r="F718" i="2"/>
  <c r="F694" i="2"/>
  <c r="F690" i="2"/>
  <c r="F345" i="2" s="1"/>
  <c r="F479" i="2" s="1"/>
  <c r="F686" i="2"/>
  <c r="F766" i="2"/>
  <c r="F770" i="2"/>
  <c r="F763" i="2"/>
  <c r="F730" i="2"/>
  <c r="F732" i="2"/>
  <c r="F734" i="2"/>
  <c r="F736" i="2"/>
  <c r="F738" i="2"/>
  <c r="F768" i="2"/>
  <c r="F731" i="2"/>
  <c r="F733" i="2"/>
  <c r="F735" i="2"/>
  <c r="F737" i="2"/>
  <c r="E727" i="2"/>
  <c r="E712" i="2" s="1"/>
  <c r="E69" i="2" s="1"/>
  <c r="E759" i="2"/>
  <c r="E744" i="2" s="1"/>
  <c r="E70" i="2" s="1"/>
  <c r="F552" i="2"/>
  <c r="F553" i="2" s="1"/>
  <c r="F558" i="2"/>
  <c r="F559" i="2" s="1"/>
  <c r="F617" i="2"/>
  <c r="F624" i="2"/>
  <c r="G11" i="2"/>
  <c r="F318" i="2"/>
  <c r="F320" i="2"/>
  <c r="F322" i="2"/>
  <c r="F451" i="2"/>
  <c r="F453" i="2"/>
  <c r="F455" i="2"/>
  <c r="F470" i="2" s="1"/>
  <c r="F317" i="2"/>
  <c r="F319" i="2"/>
  <c r="F454" i="2"/>
  <c r="F321" i="2"/>
  <c r="F452" i="2"/>
  <c r="F456" i="2"/>
  <c r="F19" i="2"/>
  <c r="F700" i="2"/>
  <c r="F701" i="2"/>
  <c r="F702" i="2"/>
  <c r="F703" i="2"/>
  <c r="F704" i="2"/>
  <c r="F705" i="2"/>
  <c r="F706" i="2"/>
  <c r="F698" i="2"/>
  <c r="F699" i="2"/>
  <c r="E336" i="2"/>
  <c r="F469" i="2"/>
  <c r="F335" i="2"/>
  <c r="E340" i="2"/>
  <c r="E474" i="2" s="1"/>
  <c r="E347" i="2"/>
  <c r="E481" i="2" s="1"/>
  <c r="E343" i="2"/>
  <c r="E477" i="2" s="1"/>
  <c r="E346" i="2"/>
  <c r="E480" i="2" s="1"/>
  <c r="E342" i="2"/>
  <c r="E476" i="2" s="1"/>
  <c r="E348" i="2"/>
  <c r="E482" i="2" s="1"/>
  <c r="E344" i="2"/>
  <c r="E478" i="2" s="1"/>
  <c r="E349" i="2"/>
  <c r="E483" i="2" s="1"/>
  <c r="E345" i="2"/>
  <c r="E479" i="2" s="1"/>
  <c r="E341" i="2"/>
  <c r="E475" i="2" s="1"/>
  <c r="E695" i="2"/>
  <c r="E680" i="2" s="1"/>
  <c r="E68" i="2" s="1"/>
  <c r="F23" i="2"/>
  <c r="F26" i="2"/>
  <c r="F30" i="2"/>
  <c r="F668" i="2"/>
  <c r="E27" i="2"/>
  <c r="G2" i="2"/>
  <c r="G674" i="2" s="1"/>
  <c r="F25" i="2"/>
  <c r="AP390" i="10" l="1"/>
  <c r="AP269" i="7"/>
  <c r="AP298" i="7"/>
  <c r="AP268" i="7"/>
  <c r="AP297" i="7"/>
  <c r="AP548" i="7"/>
  <c r="AP549" i="7" s="1"/>
  <c r="AP275" i="7"/>
  <c r="AP322" i="7"/>
  <c r="AP267" i="7"/>
  <c r="AP293" i="7"/>
  <c r="AP318" i="7"/>
  <c r="AP326" i="7"/>
  <c r="AP273" i="7"/>
  <c r="AP271" i="7"/>
  <c r="AP295" i="7"/>
  <c r="AP299" i="7"/>
  <c r="AP320" i="7"/>
  <c r="AP324" i="7"/>
  <c r="AO577" i="7"/>
  <c r="AP574" i="7" s="1"/>
  <c r="Y742" i="10"/>
  <c r="Y714" i="10" s="1"/>
  <c r="Y62" i="10" s="1"/>
  <c r="AP170" i="7"/>
  <c r="AP134" i="7"/>
  <c r="AP55" i="7"/>
  <c r="AO534" i="7"/>
  <c r="AO539" i="7"/>
  <c r="AP585" i="7"/>
  <c r="B585" i="7" s="1"/>
  <c r="AP579" i="7"/>
  <c r="B581" i="7"/>
  <c r="G655" i="2"/>
  <c r="G659" i="2" s="1"/>
  <c r="C650" i="2"/>
  <c r="C651" i="2" s="1"/>
  <c r="D654" i="2" s="1"/>
  <c r="F618" i="2"/>
  <c r="AE742" i="10"/>
  <c r="AE714" i="10" s="1"/>
  <c r="AE62" i="10" s="1"/>
  <c r="AA742" i="10"/>
  <c r="AA714" i="10" s="1"/>
  <c r="AA62" i="10" s="1"/>
  <c r="G597" i="2"/>
  <c r="G593" i="2"/>
  <c r="G589" i="2"/>
  <c r="G585" i="2"/>
  <c r="B670" i="10"/>
  <c r="AP62" i="10"/>
  <c r="AF742" i="10"/>
  <c r="AF714" i="10" s="1"/>
  <c r="AF62" i="10" s="1"/>
  <c r="AD742" i="10"/>
  <c r="AD714" i="10" s="1"/>
  <c r="AD62" i="10" s="1"/>
  <c r="W742" i="10"/>
  <c r="W714" i="10" s="1"/>
  <c r="W62" i="10" s="1"/>
  <c r="B735" i="10"/>
  <c r="B739" i="10"/>
  <c r="B740" i="10"/>
  <c r="B736" i="10"/>
  <c r="B741" i="10"/>
  <c r="B737" i="10"/>
  <c r="B738" i="10"/>
  <c r="B734" i="10"/>
  <c r="AP688" i="7"/>
  <c r="F688" i="7"/>
  <c r="G688" i="7"/>
  <c r="H688" i="7"/>
  <c r="AN467" i="7"/>
  <c r="L690" i="7"/>
  <c r="M690" i="7"/>
  <c r="N690" i="7"/>
  <c r="AO334" i="7"/>
  <c r="R692" i="7"/>
  <c r="S692" i="7"/>
  <c r="T692" i="7"/>
  <c r="AN471" i="7"/>
  <c r="X694" i="7"/>
  <c r="Y694" i="7"/>
  <c r="Z694" i="7"/>
  <c r="AO338" i="7"/>
  <c r="AD696" i="7"/>
  <c r="AE696" i="7"/>
  <c r="AF696" i="7"/>
  <c r="AO331" i="7"/>
  <c r="I689" i="7"/>
  <c r="J689" i="7"/>
  <c r="K689" i="7"/>
  <c r="AO333" i="7"/>
  <c r="O691" i="7"/>
  <c r="P691" i="7"/>
  <c r="Q691" i="7"/>
  <c r="AN470" i="7"/>
  <c r="U693" i="7"/>
  <c r="V693" i="7"/>
  <c r="W693" i="7"/>
  <c r="AO337" i="7"/>
  <c r="AA695" i="7"/>
  <c r="AB695" i="7"/>
  <c r="AC695" i="7"/>
  <c r="AO473" i="7"/>
  <c r="AO465" i="7"/>
  <c r="AP582" i="8"/>
  <c r="AP594" i="8"/>
  <c r="AP590" i="8"/>
  <c r="AP586" i="8"/>
  <c r="AN466" i="7"/>
  <c r="AP65" i="10"/>
  <c r="AP68" i="10" s="1"/>
  <c r="AO179" i="10"/>
  <c r="AO196" i="10" s="1"/>
  <c r="D14" i="2"/>
  <c r="AP544" i="10"/>
  <c r="AP554" i="10" s="1"/>
  <c r="AP409" i="10"/>
  <c r="AP419" i="10" s="1"/>
  <c r="AO335" i="7"/>
  <c r="AO416" i="7"/>
  <c r="B671" i="10"/>
  <c r="AO570" i="10"/>
  <c r="AO580" i="10" s="1"/>
  <c r="AP445" i="10"/>
  <c r="B701" i="10"/>
  <c r="B669" i="10"/>
  <c r="B702" i="10"/>
  <c r="C700" i="10"/>
  <c r="D700" i="10"/>
  <c r="D710" i="10" s="1"/>
  <c r="D682" i="10" s="1"/>
  <c r="D61" i="10" s="1"/>
  <c r="E700" i="10"/>
  <c r="E710" i="10" s="1"/>
  <c r="E682" i="10" s="1"/>
  <c r="E61" i="10" s="1"/>
  <c r="F700" i="10"/>
  <c r="F710" i="10" s="1"/>
  <c r="F682" i="10" s="1"/>
  <c r="F61" i="10" s="1"/>
  <c r="G700" i="10"/>
  <c r="G710" i="10" s="1"/>
  <c r="G682" i="10" s="1"/>
  <c r="G61" i="10" s="1"/>
  <c r="H700" i="10"/>
  <c r="H710" i="10" s="1"/>
  <c r="H682" i="10" s="1"/>
  <c r="H61" i="10" s="1"/>
  <c r="I700" i="10"/>
  <c r="I710" i="10" s="1"/>
  <c r="I682" i="10" s="1"/>
  <c r="I61" i="10" s="1"/>
  <c r="J700" i="10"/>
  <c r="J710" i="10" s="1"/>
  <c r="J682" i="10" s="1"/>
  <c r="J61" i="10" s="1"/>
  <c r="K700" i="10"/>
  <c r="K710" i="10" s="1"/>
  <c r="K682" i="10" s="1"/>
  <c r="K61" i="10" s="1"/>
  <c r="L700" i="10"/>
  <c r="L710" i="10" s="1"/>
  <c r="L682" i="10" s="1"/>
  <c r="L61" i="10" s="1"/>
  <c r="M700" i="10"/>
  <c r="M710" i="10" s="1"/>
  <c r="M682" i="10" s="1"/>
  <c r="M61" i="10" s="1"/>
  <c r="N700" i="10"/>
  <c r="N710" i="10" s="1"/>
  <c r="N682" i="10" s="1"/>
  <c r="N61" i="10" s="1"/>
  <c r="O700" i="10"/>
  <c r="O710" i="10" s="1"/>
  <c r="O682" i="10" s="1"/>
  <c r="O61" i="10" s="1"/>
  <c r="P700" i="10"/>
  <c r="P710" i="10" s="1"/>
  <c r="P682" i="10" s="1"/>
  <c r="P61" i="10" s="1"/>
  <c r="Q700" i="10"/>
  <c r="Q710" i="10" s="1"/>
  <c r="Q682" i="10" s="1"/>
  <c r="Q61" i="10" s="1"/>
  <c r="T544" i="10"/>
  <c r="T554" i="10" s="1"/>
  <c r="F544" i="10"/>
  <c r="F554" i="10" s="1"/>
  <c r="H544" i="10"/>
  <c r="H554" i="10" s="1"/>
  <c r="L544" i="10"/>
  <c r="L554" i="10" s="1"/>
  <c r="Q544" i="10"/>
  <c r="Q554" i="10" s="1"/>
  <c r="R544" i="10"/>
  <c r="R554" i="10" s="1"/>
  <c r="S544" i="10"/>
  <c r="S554" i="10" s="1"/>
  <c r="D409" i="10"/>
  <c r="D419" i="10" s="1"/>
  <c r="F409" i="10"/>
  <c r="F419" i="10" s="1"/>
  <c r="G409" i="10"/>
  <c r="G419" i="10" s="1"/>
  <c r="K409" i="10"/>
  <c r="K419" i="10" s="1"/>
  <c r="L409" i="10"/>
  <c r="L419" i="10" s="1"/>
  <c r="N409" i="10"/>
  <c r="N419" i="10" s="1"/>
  <c r="O409" i="10"/>
  <c r="O419" i="10" s="1"/>
  <c r="Q409" i="10"/>
  <c r="Q419" i="10" s="1"/>
  <c r="R409" i="10"/>
  <c r="R419" i="10" s="1"/>
  <c r="S409" i="10"/>
  <c r="S419" i="10" s="1"/>
  <c r="T409" i="10"/>
  <c r="T419" i="10" s="1"/>
  <c r="V409" i="10"/>
  <c r="V419" i="10" s="1"/>
  <c r="C544" i="10"/>
  <c r="D544" i="10"/>
  <c r="D554" i="10" s="1"/>
  <c r="E544" i="10"/>
  <c r="E554" i="10" s="1"/>
  <c r="G544" i="10"/>
  <c r="G554" i="10" s="1"/>
  <c r="I544" i="10"/>
  <c r="I554" i="10" s="1"/>
  <c r="J544" i="10"/>
  <c r="J554" i="10" s="1"/>
  <c r="K544" i="10"/>
  <c r="K554" i="10" s="1"/>
  <c r="M544" i="10"/>
  <c r="M554" i="10" s="1"/>
  <c r="N544" i="10"/>
  <c r="N554" i="10" s="1"/>
  <c r="O544" i="10"/>
  <c r="O554" i="10" s="1"/>
  <c r="P544" i="10"/>
  <c r="P554" i="10" s="1"/>
  <c r="U544" i="10"/>
  <c r="U554" i="10" s="1"/>
  <c r="C409" i="10"/>
  <c r="E409" i="10"/>
  <c r="E419" i="10" s="1"/>
  <c r="H409" i="10"/>
  <c r="H419" i="10" s="1"/>
  <c r="I409" i="10"/>
  <c r="I419" i="10" s="1"/>
  <c r="J409" i="10"/>
  <c r="J419" i="10" s="1"/>
  <c r="M409" i="10"/>
  <c r="M419" i="10" s="1"/>
  <c r="P409" i="10"/>
  <c r="P419" i="10" s="1"/>
  <c r="U409" i="10"/>
  <c r="U419" i="10" s="1"/>
  <c r="V544" i="10"/>
  <c r="V554" i="10" s="1"/>
  <c r="W409" i="10"/>
  <c r="W419" i="10" s="1"/>
  <c r="W544" i="10"/>
  <c r="W554" i="10" s="1"/>
  <c r="X409" i="10"/>
  <c r="X419" i="10" s="1"/>
  <c r="Y409" i="10"/>
  <c r="Y419" i="10" s="1"/>
  <c r="Y544" i="10"/>
  <c r="Y554" i="10" s="1"/>
  <c r="Z409" i="10"/>
  <c r="Z419" i="10" s="1"/>
  <c r="X544" i="10"/>
  <c r="X554" i="10" s="1"/>
  <c r="Z544" i="10"/>
  <c r="Z554" i="10" s="1"/>
  <c r="AA409" i="10"/>
  <c r="AA419" i="10" s="1"/>
  <c r="AA544" i="10"/>
  <c r="AA554" i="10" s="1"/>
  <c r="AB409" i="10"/>
  <c r="AB419" i="10" s="1"/>
  <c r="AC409" i="10"/>
  <c r="AC419" i="10" s="1"/>
  <c r="AB544" i="10"/>
  <c r="AB554" i="10" s="1"/>
  <c r="AC544" i="10"/>
  <c r="AC554" i="10" s="1"/>
  <c r="AD409" i="10"/>
  <c r="AD419" i="10" s="1"/>
  <c r="AE409" i="10"/>
  <c r="AE419" i="10" s="1"/>
  <c r="AD544" i="10"/>
  <c r="AD554" i="10" s="1"/>
  <c r="AF409" i="10"/>
  <c r="AF419" i="10" s="1"/>
  <c r="AE544" i="10"/>
  <c r="AE554" i="10" s="1"/>
  <c r="AF544" i="10"/>
  <c r="AF554" i="10" s="1"/>
  <c r="AG409" i="10"/>
  <c r="AG419" i="10" s="1"/>
  <c r="AH409" i="10"/>
  <c r="AH419" i="10" s="1"/>
  <c r="AG544" i="10"/>
  <c r="AG554" i="10" s="1"/>
  <c r="AH544" i="10"/>
  <c r="AH554" i="10" s="1"/>
  <c r="AI409" i="10"/>
  <c r="AI419" i="10" s="1"/>
  <c r="AJ409" i="10"/>
  <c r="AJ419" i="10" s="1"/>
  <c r="AI544" i="10"/>
  <c r="AI554" i="10" s="1"/>
  <c r="AJ544" i="10"/>
  <c r="AJ554" i="10" s="1"/>
  <c r="AK409" i="10"/>
  <c r="AK419" i="10" s="1"/>
  <c r="AL409" i="10"/>
  <c r="AL419" i="10" s="1"/>
  <c r="AK544" i="10"/>
  <c r="AK554" i="10" s="1"/>
  <c r="AL544" i="10"/>
  <c r="AL554" i="10" s="1"/>
  <c r="AM409" i="10"/>
  <c r="AM419" i="10" s="1"/>
  <c r="AN409" i="10"/>
  <c r="AN419" i="10" s="1"/>
  <c r="AM544" i="10"/>
  <c r="AM554" i="10" s="1"/>
  <c r="AO409" i="10"/>
  <c r="AO419" i="10" s="1"/>
  <c r="AN544" i="10"/>
  <c r="AN554" i="10" s="1"/>
  <c r="C668" i="10"/>
  <c r="D668" i="10"/>
  <c r="D678" i="10" s="1"/>
  <c r="D650" i="10" s="1"/>
  <c r="D60" i="10" s="1"/>
  <c r="E668" i="10"/>
  <c r="E678" i="10" s="1"/>
  <c r="E650" i="10" s="1"/>
  <c r="E60" i="10" s="1"/>
  <c r="F668" i="10"/>
  <c r="F678" i="10" s="1"/>
  <c r="F650" i="10" s="1"/>
  <c r="F60" i="10" s="1"/>
  <c r="G668" i="10"/>
  <c r="G678" i="10" s="1"/>
  <c r="G650" i="10" s="1"/>
  <c r="G60" i="10" s="1"/>
  <c r="H668" i="10"/>
  <c r="H678" i="10" s="1"/>
  <c r="H650" i="10" s="1"/>
  <c r="H60" i="10" s="1"/>
  <c r="I668" i="10"/>
  <c r="I678" i="10" s="1"/>
  <c r="I650" i="10" s="1"/>
  <c r="I60" i="10" s="1"/>
  <c r="J668" i="10"/>
  <c r="J678" i="10" s="1"/>
  <c r="J650" i="10" s="1"/>
  <c r="J60" i="10" s="1"/>
  <c r="K668" i="10"/>
  <c r="K678" i="10" s="1"/>
  <c r="K650" i="10" s="1"/>
  <c r="K60" i="10" s="1"/>
  <c r="L668" i="10"/>
  <c r="L678" i="10" s="1"/>
  <c r="L650" i="10" s="1"/>
  <c r="L60" i="10" s="1"/>
  <c r="M668" i="10"/>
  <c r="M678" i="10" s="1"/>
  <c r="M650" i="10" s="1"/>
  <c r="M60" i="10" s="1"/>
  <c r="N668" i="10"/>
  <c r="N678" i="10" s="1"/>
  <c r="N650" i="10" s="1"/>
  <c r="N60" i="10" s="1"/>
  <c r="T518" i="10"/>
  <c r="T528" i="10" s="1"/>
  <c r="I518" i="10"/>
  <c r="I528" i="10" s="1"/>
  <c r="J518" i="10"/>
  <c r="J528" i="10" s="1"/>
  <c r="M518" i="10"/>
  <c r="M528" i="10" s="1"/>
  <c r="N518" i="10"/>
  <c r="N528" i="10" s="1"/>
  <c r="P518" i="10"/>
  <c r="P528" i="10" s="1"/>
  <c r="Q518" i="10"/>
  <c r="Q528" i="10" s="1"/>
  <c r="C383" i="10"/>
  <c r="D383" i="10"/>
  <c r="D393" i="10" s="1"/>
  <c r="G383" i="10"/>
  <c r="G393" i="10" s="1"/>
  <c r="H383" i="10"/>
  <c r="H393" i="10" s="1"/>
  <c r="I383" i="10"/>
  <c r="I393" i="10" s="1"/>
  <c r="J383" i="10"/>
  <c r="J393" i="10" s="1"/>
  <c r="K383" i="10"/>
  <c r="K393" i="10" s="1"/>
  <c r="M383" i="10"/>
  <c r="M393" i="10" s="1"/>
  <c r="P383" i="10"/>
  <c r="P393" i="10" s="1"/>
  <c r="S383" i="10"/>
  <c r="S393" i="10" s="1"/>
  <c r="U383" i="10"/>
  <c r="U393" i="10" s="1"/>
  <c r="C518" i="10"/>
  <c r="D518" i="10"/>
  <c r="D528" i="10" s="1"/>
  <c r="E518" i="10"/>
  <c r="E528" i="10" s="1"/>
  <c r="F518" i="10"/>
  <c r="F528" i="10" s="1"/>
  <c r="G518" i="10"/>
  <c r="G528" i="10" s="1"/>
  <c r="H518" i="10"/>
  <c r="H528" i="10" s="1"/>
  <c r="K518" i="10"/>
  <c r="K528" i="10" s="1"/>
  <c r="L518" i="10"/>
  <c r="L528" i="10" s="1"/>
  <c r="O518" i="10"/>
  <c r="O528" i="10" s="1"/>
  <c r="R518" i="10"/>
  <c r="R528" i="10" s="1"/>
  <c r="S518" i="10"/>
  <c r="S528" i="10" s="1"/>
  <c r="E383" i="10"/>
  <c r="E393" i="10" s="1"/>
  <c r="F383" i="10"/>
  <c r="F393" i="10" s="1"/>
  <c r="L383" i="10"/>
  <c r="L393" i="10" s="1"/>
  <c r="N383" i="10"/>
  <c r="N393" i="10" s="1"/>
  <c r="O383" i="10"/>
  <c r="O393" i="10" s="1"/>
  <c r="Q383" i="10"/>
  <c r="Q393" i="10" s="1"/>
  <c r="R383" i="10"/>
  <c r="R393" i="10" s="1"/>
  <c r="T383" i="10"/>
  <c r="T393" i="10" s="1"/>
  <c r="U518" i="10"/>
  <c r="U528" i="10" s="1"/>
  <c r="V383" i="10"/>
  <c r="V393" i="10" s="1"/>
  <c r="W383" i="10"/>
  <c r="W393" i="10" s="1"/>
  <c r="X383" i="10"/>
  <c r="X393" i="10" s="1"/>
  <c r="V518" i="10"/>
  <c r="V528" i="10" s="1"/>
  <c r="Y383" i="10"/>
  <c r="Y393" i="10" s="1"/>
  <c r="X518" i="10"/>
  <c r="X528" i="10" s="1"/>
  <c r="W518" i="10"/>
  <c r="W528" i="10" s="1"/>
  <c r="Y518" i="10"/>
  <c r="Y528" i="10" s="1"/>
  <c r="Z383" i="10"/>
  <c r="Z393" i="10" s="1"/>
  <c r="AA383" i="10"/>
  <c r="AA393" i="10" s="1"/>
  <c r="Z518" i="10"/>
  <c r="Z528" i="10" s="1"/>
  <c r="AB383" i="10"/>
  <c r="AB393" i="10" s="1"/>
  <c r="AA518" i="10"/>
  <c r="AA528" i="10" s="1"/>
  <c r="AB518" i="10"/>
  <c r="AB528" i="10" s="1"/>
  <c r="AC383" i="10"/>
  <c r="AC393" i="10" s="1"/>
  <c r="AC518" i="10"/>
  <c r="AC528" i="10" s="1"/>
  <c r="AD383" i="10"/>
  <c r="AD393" i="10" s="1"/>
  <c r="AD518" i="10"/>
  <c r="AD528" i="10" s="1"/>
  <c r="AE383" i="10"/>
  <c r="AE393" i="10" s="1"/>
  <c r="AF383" i="10"/>
  <c r="AF393" i="10" s="1"/>
  <c r="AE518" i="10"/>
  <c r="AE528" i="10" s="1"/>
  <c r="AG383" i="10"/>
  <c r="AG393" i="10" s="1"/>
  <c r="AF518" i="10"/>
  <c r="AF528" i="10" s="1"/>
  <c r="AH383" i="10"/>
  <c r="AH393" i="10" s="1"/>
  <c r="AG518" i="10"/>
  <c r="AG528" i="10" s="1"/>
  <c r="AI383" i="10"/>
  <c r="AI393" i="10" s="1"/>
  <c r="AH518" i="10"/>
  <c r="AH528" i="10" s="1"/>
  <c r="AJ383" i="10"/>
  <c r="AJ393" i="10" s="1"/>
  <c r="AI518" i="10"/>
  <c r="AI528" i="10" s="1"/>
  <c r="AK383" i="10"/>
  <c r="AK393" i="10" s="1"/>
  <c r="AJ518" i="10"/>
  <c r="AJ528" i="10" s="1"/>
  <c r="AK518" i="10"/>
  <c r="AK528" i="10" s="1"/>
  <c r="AL383" i="10"/>
  <c r="AL393" i="10" s="1"/>
  <c r="AM383" i="10"/>
  <c r="AM393" i="10" s="1"/>
  <c r="AL518" i="10"/>
  <c r="AL528" i="10" s="1"/>
  <c r="AN383" i="10"/>
  <c r="AN393" i="10" s="1"/>
  <c r="AM518" i="10"/>
  <c r="AM528" i="10" s="1"/>
  <c r="AO383" i="10"/>
  <c r="AO393" i="10" s="1"/>
  <c r="AN518" i="10"/>
  <c r="AN528" i="10" s="1"/>
  <c r="AN414" i="7"/>
  <c r="AO470" i="7"/>
  <c r="AO466" i="7"/>
  <c r="AO445" i="7"/>
  <c r="AO414" i="7"/>
  <c r="AO528" i="10"/>
  <c r="B444" i="10"/>
  <c r="B442" i="10"/>
  <c r="B577" i="10"/>
  <c r="B436" i="10"/>
  <c r="B571" i="10"/>
  <c r="B418" i="10"/>
  <c r="B553" i="10"/>
  <c r="B551" i="10"/>
  <c r="B547" i="10"/>
  <c r="B545" i="10"/>
  <c r="B525" i="10"/>
  <c r="B388" i="10"/>
  <c r="B523" i="10"/>
  <c r="B386" i="10"/>
  <c r="B384" i="10"/>
  <c r="AP710" i="10"/>
  <c r="AP682" i="10" s="1"/>
  <c r="AP61" i="10" s="1"/>
  <c r="AP678" i="10"/>
  <c r="AP650" i="10" s="1"/>
  <c r="AP60" i="10" s="1"/>
  <c r="B437" i="10"/>
  <c r="B417" i="10"/>
  <c r="B552" i="10"/>
  <c r="B413" i="10"/>
  <c r="B391" i="10"/>
  <c r="B526" i="10"/>
  <c r="B524" i="10"/>
  <c r="AP383" i="10"/>
  <c r="AP393" i="10" s="1"/>
  <c r="AL122" i="10"/>
  <c r="C732" i="10"/>
  <c r="D732" i="10"/>
  <c r="D742" i="10" s="1"/>
  <c r="D714" i="10" s="1"/>
  <c r="D62" i="10" s="1"/>
  <c r="E732" i="10"/>
  <c r="E742" i="10" s="1"/>
  <c r="E714" i="10" s="1"/>
  <c r="E62" i="10" s="1"/>
  <c r="F732" i="10"/>
  <c r="F742" i="10" s="1"/>
  <c r="F714" i="10" s="1"/>
  <c r="F62" i="10" s="1"/>
  <c r="G732" i="10"/>
  <c r="G742" i="10" s="1"/>
  <c r="G714" i="10" s="1"/>
  <c r="G62" i="10" s="1"/>
  <c r="H732" i="10"/>
  <c r="H742" i="10" s="1"/>
  <c r="H714" i="10" s="1"/>
  <c r="H62" i="10" s="1"/>
  <c r="I732" i="10"/>
  <c r="I742" i="10" s="1"/>
  <c r="I714" i="10" s="1"/>
  <c r="I62" i="10" s="1"/>
  <c r="J732" i="10"/>
  <c r="J742" i="10" s="1"/>
  <c r="J714" i="10" s="1"/>
  <c r="J62" i="10" s="1"/>
  <c r="K732" i="10"/>
  <c r="K742" i="10" s="1"/>
  <c r="K714" i="10" s="1"/>
  <c r="K62" i="10" s="1"/>
  <c r="L732" i="10"/>
  <c r="L742" i="10" s="1"/>
  <c r="L714" i="10" s="1"/>
  <c r="L62" i="10" s="1"/>
  <c r="M732" i="10"/>
  <c r="M742" i="10" s="1"/>
  <c r="M714" i="10" s="1"/>
  <c r="M62" i="10" s="1"/>
  <c r="N732" i="10"/>
  <c r="N742" i="10" s="1"/>
  <c r="N714" i="10" s="1"/>
  <c r="N62" i="10" s="1"/>
  <c r="O732" i="10"/>
  <c r="O742" i="10" s="1"/>
  <c r="O714" i="10" s="1"/>
  <c r="O62" i="10" s="1"/>
  <c r="P732" i="10"/>
  <c r="P742" i="10" s="1"/>
  <c r="P714" i="10" s="1"/>
  <c r="P62" i="10" s="1"/>
  <c r="Q732" i="10"/>
  <c r="Q742" i="10" s="1"/>
  <c r="Q714" i="10" s="1"/>
  <c r="Q62" i="10" s="1"/>
  <c r="R732" i="10"/>
  <c r="R742" i="10" s="1"/>
  <c r="R714" i="10" s="1"/>
  <c r="R62" i="10" s="1"/>
  <c r="S732" i="10"/>
  <c r="S742" i="10" s="1"/>
  <c r="S714" i="10" s="1"/>
  <c r="S62" i="10" s="1"/>
  <c r="T732" i="10"/>
  <c r="T742" i="10" s="1"/>
  <c r="T714" i="10" s="1"/>
  <c r="T62" i="10" s="1"/>
  <c r="U732" i="10"/>
  <c r="U742" i="10" s="1"/>
  <c r="U714" i="10" s="1"/>
  <c r="U62" i="10" s="1"/>
  <c r="U435" i="10"/>
  <c r="U445" i="10" s="1"/>
  <c r="T570" i="10"/>
  <c r="T580" i="10" s="1"/>
  <c r="V732" i="10"/>
  <c r="V742" i="10" s="1"/>
  <c r="V714" i="10" s="1"/>
  <c r="V62" i="10" s="1"/>
  <c r="C570" i="10"/>
  <c r="D570" i="10"/>
  <c r="D580" i="10" s="1"/>
  <c r="E570" i="10"/>
  <c r="E580" i="10" s="1"/>
  <c r="G570" i="10"/>
  <c r="G580" i="10" s="1"/>
  <c r="I570" i="10"/>
  <c r="I580" i="10" s="1"/>
  <c r="J570" i="10"/>
  <c r="J580" i="10" s="1"/>
  <c r="L570" i="10"/>
  <c r="L580" i="10" s="1"/>
  <c r="M570" i="10"/>
  <c r="M580" i="10" s="1"/>
  <c r="N570" i="10"/>
  <c r="N580" i="10" s="1"/>
  <c r="P570" i="10"/>
  <c r="P580" i="10" s="1"/>
  <c r="U570" i="10"/>
  <c r="U580" i="10" s="1"/>
  <c r="E435" i="10"/>
  <c r="E445" i="10" s="1"/>
  <c r="F435" i="10"/>
  <c r="F445" i="10" s="1"/>
  <c r="I435" i="10"/>
  <c r="I445" i="10" s="1"/>
  <c r="L435" i="10"/>
  <c r="L445" i="10" s="1"/>
  <c r="M435" i="10"/>
  <c r="M445" i="10" s="1"/>
  <c r="N435" i="10"/>
  <c r="N445" i="10" s="1"/>
  <c r="O435" i="10"/>
  <c r="O445" i="10" s="1"/>
  <c r="R435" i="10"/>
  <c r="R445" i="10" s="1"/>
  <c r="T435" i="10"/>
  <c r="T445" i="10" s="1"/>
  <c r="V435" i="10"/>
  <c r="V445" i="10" s="1"/>
  <c r="F570" i="10"/>
  <c r="F580" i="10" s="1"/>
  <c r="H570" i="10"/>
  <c r="H580" i="10" s="1"/>
  <c r="K570" i="10"/>
  <c r="K580" i="10" s="1"/>
  <c r="O570" i="10"/>
  <c r="O580" i="10" s="1"/>
  <c r="Q570" i="10"/>
  <c r="Q580" i="10" s="1"/>
  <c r="R570" i="10"/>
  <c r="R580" i="10" s="1"/>
  <c r="S570" i="10"/>
  <c r="S580" i="10" s="1"/>
  <c r="C435" i="10"/>
  <c r="D435" i="10"/>
  <c r="D445" i="10" s="1"/>
  <c r="G435" i="10"/>
  <c r="G445" i="10" s="1"/>
  <c r="H435" i="10"/>
  <c r="H445" i="10" s="1"/>
  <c r="J435" i="10"/>
  <c r="J445" i="10" s="1"/>
  <c r="K435" i="10"/>
  <c r="K445" i="10" s="1"/>
  <c r="P435" i="10"/>
  <c r="P445" i="10" s="1"/>
  <c r="Q435" i="10"/>
  <c r="Q445" i="10" s="1"/>
  <c r="S435" i="10"/>
  <c r="S445" i="10" s="1"/>
  <c r="V570" i="10"/>
  <c r="V580" i="10" s="1"/>
  <c r="W435" i="10"/>
  <c r="W445" i="10" s="1"/>
  <c r="X435" i="10"/>
  <c r="X445" i="10" s="1"/>
  <c r="W570" i="10"/>
  <c r="W580" i="10" s="1"/>
  <c r="Y435" i="10"/>
  <c r="Y445" i="10" s="1"/>
  <c r="X570" i="10"/>
  <c r="X580" i="10" s="1"/>
  <c r="Z435" i="10"/>
  <c r="Z445" i="10" s="1"/>
  <c r="Y570" i="10"/>
  <c r="Y580" i="10" s="1"/>
  <c r="Z570" i="10"/>
  <c r="Z580" i="10" s="1"/>
  <c r="AA435" i="10"/>
  <c r="AA445" i="10" s="1"/>
  <c r="AB435" i="10"/>
  <c r="AB445" i="10" s="1"/>
  <c r="AA570" i="10"/>
  <c r="AA580" i="10" s="1"/>
  <c r="AB570" i="10"/>
  <c r="AB580" i="10" s="1"/>
  <c r="AC435" i="10"/>
  <c r="AC445" i="10" s="1"/>
  <c r="AC570" i="10"/>
  <c r="AC580" i="10" s="1"/>
  <c r="AD435" i="10"/>
  <c r="AD445" i="10" s="1"/>
  <c r="AE435" i="10"/>
  <c r="AE445" i="10" s="1"/>
  <c r="AD570" i="10"/>
  <c r="AD580" i="10" s="1"/>
  <c r="AF435" i="10"/>
  <c r="AF445" i="10" s="1"/>
  <c r="AE570" i="10"/>
  <c r="AE580" i="10" s="1"/>
  <c r="AG435" i="10"/>
  <c r="AG445" i="10" s="1"/>
  <c r="AF570" i="10"/>
  <c r="AF580" i="10" s="1"/>
  <c r="AG570" i="10"/>
  <c r="AG580" i="10" s="1"/>
  <c r="AH435" i="10"/>
  <c r="AH445" i="10" s="1"/>
  <c r="AI435" i="10"/>
  <c r="AI445" i="10" s="1"/>
  <c r="AH570" i="10"/>
  <c r="AH580" i="10" s="1"/>
  <c r="AJ435" i="10"/>
  <c r="AJ445" i="10" s="1"/>
  <c r="AI570" i="10"/>
  <c r="AI580" i="10" s="1"/>
  <c r="AK435" i="10"/>
  <c r="AK445" i="10" s="1"/>
  <c r="AJ570" i="10"/>
  <c r="AJ580" i="10" s="1"/>
  <c r="AK570" i="10"/>
  <c r="AK580" i="10" s="1"/>
  <c r="AL435" i="10"/>
  <c r="AL445" i="10" s="1"/>
  <c r="AL570" i="10"/>
  <c r="AL580" i="10" s="1"/>
  <c r="AM435" i="10"/>
  <c r="AM445" i="10" s="1"/>
  <c r="AN435" i="10"/>
  <c r="AN445" i="10" s="1"/>
  <c r="AM570" i="10"/>
  <c r="AM580" i="10" s="1"/>
  <c r="AO435" i="10"/>
  <c r="AO445" i="10" s="1"/>
  <c r="AN570" i="10"/>
  <c r="AN580" i="10" s="1"/>
  <c r="B579" i="10"/>
  <c r="B575" i="10"/>
  <c r="B440" i="10"/>
  <c r="B438" i="10"/>
  <c r="B573" i="10"/>
  <c r="B416" i="10"/>
  <c r="B549" i="10"/>
  <c r="B414" i="10"/>
  <c r="B412" i="10"/>
  <c r="B410" i="10"/>
  <c r="B527" i="10"/>
  <c r="B392" i="10"/>
  <c r="B390" i="10"/>
  <c r="B521" i="10"/>
  <c r="B519" i="10"/>
  <c r="AO554" i="10"/>
  <c r="B443" i="10"/>
  <c r="B578" i="10"/>
  <c r="B441" i="10"/>
  <c r="B576" i="10"/>
  <c r="B439" i="10"/>
  <c r="B574" i="10"/>
  <c r="B572" i="10"/>
  <c r="B550" i="10"/>
  <c r="B415" i="10"/>
  <c r="B548" i="10"/>
  <c r="B411" i="10"/>
  <c r="B546" i="10"/>
  <c r="B389" i="10"/>
  <c r="B387" i="10"/>
  <c r="B522" i="10"/>
  <c r="B520" i="10"/>
  <c r="B385" i="10"/>
  <c r="AP570" i="10"/>
  <c r="AP580" i="10" s="1"/>
  <c r="AP518" i="10"/>
  <c r="AP528" i="10" s="1"/>
  <c r="B733" i="10"/>
  <c r="AN446" i="7"/>
  <c r="AO307" i="7"/>
  <c r="AO469" i="7"/>
  <c r="AO421" i="7"/>
  <c r="AO413" i="7"/>
  <c r="AO625" i="8"/>
  <c r="AO610" i="8" s="1"/>
  <c r="AO60" i="8" s="1"/>
  <c r="AO27" i="8"/>
  <c r="AO657" i="8"/>
  <c r="AO642" i="8" s="1"/>
  <c r="AO61" i="8" s="1"/>
  <c r="AO689" i="8"/>
  <c r="AO674" i="8" s="1"/>
  <c r="AO62" i="8" s="1"/>
  <c r="AN63" i="8"/>
  <c r="AO471" i="8"/>
  <c r="AO472" i="8"/>
  <c r="AO476" i="8"/>
  <c r="AO480" i="8"/>
  <c r="AO500" i="8"/>
  <c r="AO504" i="8"/>
  <c r="AO524" i="8"/>
  <c r="AO528" i="8"/>
  <c r="AO532" i="8"/>
  <c r="AO475" i="8"/>
  <c r="AO479" i="8"/>
  <c r="AO499" i="8"/>
  <c r="AO503" i="8"/>
  <c r="AO523" i="8"/>
  <c r="AO527" i="8"/>
  <c r="AO531" i="8"/>
  <c r="AN72" i="8"/>
  <c r="AN418" i="7"/>
  <c r="AO441" i="7"/>
  <c r="AO281" i="7"/>
  <c r="AM233" i="8"/>
  <c r="AM234" i="8" s="1"/>
  <c r="AP700" i="8"/>
  <c r="AP699" i="8"/>
  <c r="AP698" i="8"/>
  <c r="AP697" i="8"/>
  <c r="AP696" i="8"/>
  <c r="AP695" i="8"/>
  <c r="AP694" i="8"/>
  <c r="AP693" i="8"/>
  <c r="AP691" i="8"/>
  <c r="AP688" i="8"/>
  <c r="B688" i="8" s="1"/>
  <c r="AP687" i="8"/>
  <c r="B687" i="8" s="1"/>
  <c r="AP686" i="8"/>
  <c r="B686" i="8" s="1"/>
  <c r="AO407" i="8" s="1"/>
  <c r="AP685" i="8"/>
  <c r="B685" i="8" s="1"/>
  <c r="AP684" i="8"/>
  <c r="B684" i="8" s="1"/>
  <c r="AN540" i="8" s="1"/>
  <c r="AP683" i="8"/>
  <c r="B683" i="8" s="1"/>
  <c r="AP682" i="8"/>
  <c r="B682" i="8" s="1"/>
  <c r="AO403" i="8" s="1"/>
  <c r="AP681" i="8"/>
  <c r="B681" i="8" s="1"/>
  <c r="AP680" i="8"/>
  <c r="B680" i="8" s="1"/>
  <c r="AP679" i="8"/>
  <c r="AP388" i="8" s="1"/>
  <c r="AP668" i="8"/>
  <c r="B668" i="8" s="1"/>
  <c r="AP667" i="8"/>
  <c r="B667" i="8" s="1"/>
  <c r="AP666" i="8"/>
  <c r="B666" i="8" s="1"/>
  <c r="AP665" i="8"/>
  <c r="B665" i="8" s="1"/>
  <c r="AP664" i="8"/>
  <c r="B664" i="8" s="1"/>
  <c r="AP663" i="8"/>
  <c r="B663" i="8" s="1"/>
  <c r="AP662" i="8"/>
  <c r="B662" i="8" s="1"/>
  <c r="AP660" i="8"/>
  <c r="AP659" i="8"/>
  <c r="AP656" i="8"/>
  <c r="B656" i="8" s="1"/>
  <c r="AO383" i="8" s="1"/>
  <c r="AP655" i="8"/>
  <c r="B655" i="8" s="1"/>
  <c r="AO382" i="8" s="1"/>
  <c r="AP654" i="8"/>
  <c r="B654" i="8" s="1"/>
  <c r="AN516" i="8" s="1"/>
  <c r="AP653" i="8"/>
  <c r="B653" i="8" s="1"/>
  <c r="AN515" i="8" s="1"/>
  <c r="AP652" i="8"/>
  <c r="B652" i="8" s="1"/>
  <c r="AO379" i="8" s="1"/>
  <c r="AP651" i="8"/>
  <c r="B651" i="8" s="1"/>
  <c r="AN513" i="8" s="1"/>
  <c r="AP650" i="8"/>
  <c r="B650" i="8" s="1"/>
  <c r="AN512" i="8" s="1"/>
  <c r="AP649" i="8"/>
  <c r="B649" i="8" s="1"/>
  <c r="AN511" i="8" s="1"/>
  <c r="AP648" i="8"/>
  <c r="B648" i="8" s="1"/>
  <c r="AO375" i="8" s="1"/>
  <c r="AP647" i="8"/>
  <c r="AP636" i="8"/>
  <c r="B636" i="8" s="1"/>
  <c r="AP635" i="8"/>
  <c r="B635" i="8" s="1"/>
  <c r="AP634" i="8"/>
  <c r="B634" i="8" s="1"/>
  <c r="AP633" i="8"/>
  <c r="B633" i="8" s="1"/>
  <c r="AP632" i="8"/>
  <c r="B632" i="8" s="1"/>
  <c r="AP631" i="8"/>
  <c r="B631" i="8" s="1"/>
  <c r="AP629" i="8"/>
  <c r="AP628" i="8"/>
  <c r="AP627" i="8"/>
  <c r="AP624" i="8"/>
  <c r="B624" i="8" s="1"/>
  <c r="AN492" i="8" s="1"/>
  <c r="AP623" i="8"/>
  <c r="B623" i="8" s="1"/>
  <c r="AO356" i="8" s="1"/>
  <c r="AP622" i="8"/>
  <c r="B622" i="8" s="1"/>
  <c r="AO355" i="8" s="1"/>
  <c r="AP621" i="8"/>
  <c r="B621" i="8" s="1"/>
  <c r="AN489" i="8" s="1"/>
  <c r="AP620" i="8"/>
  <c r="B620" i="8" s="1"/>
  <c r="AN488" i="8" s="1"/>
  <c r="AP619" i="8"/>
  <c r="B619" i="8" s="1"/>
  <c r="AO352" i="8" s="1"/>
  <c r="AP618" i="8"/>
  <c r="B618" i="8" s="1"/>
  <c r="AO351" i="8" s="1"/>
  <c r="AP617" i="8"/>
  <c r="B617" i="8" s="1"/>
  <c r="AO350" i="8" s="1"/>
  <c r="AP616" i="8"/>
  <c r="B616" i="8" s="1"/>
  <c r="AN484" i="8" s="1"/>
  <c r="AP615" i="8"/>
  <c r="AP337" i="8" s="1"/>
  <c r="AP555" i="8"/>
  <c r="AP556" i="8" s="1"/>
  <c r="AP549" i="8"/>
  <c r="AP550" i="8" s="1"/>
  <c r="AP466" i="8"/>
  <c r="AP397" i="8"/>
  <c r="AP395" i="8"/>
  <c r="AP393" i="8"/>
  <c r="AP391" i="8"/>
  <c r="AP389" i="8"/>
  <c r="AP365" i="8"/>
  <c r="AP346" i="8"/>
  <c r="AP342" i="8"/>
  <c r="AP453" i="8"/>
  <c r="AP452" i="8"/>
  <c r="AP451" i="8"/>
  <c r="AP450" i="8"/>
  <c r="AP449" i="8"/>
  <c r="AP448" i="8"/>
  <c r="AP394" i="8"/>
  <c r="AP390" i="8"/>
  <c r="AP370" i="8"/>
  <c r="AP368" i="8"/>
  <c r="AP366" i="8"/>
  <c r="AP364" i="8"/>
  <c r="AP362" i="8"/>
  <c r="AP332" i="8"/>
  <c r="AP338" i="8"/>
  <c r="AP319" i="8"/>
  <c r="AP318" i="8"/>
  <c r="AP317" i="8"/>
  <c r="AP316" i="8"/>
  <c r="AP315" i="8"/>
  <c r="AP314" i="8"/>
  <c r="AP40" i="8"/>
  <c r="AP30" i="8"/>
  <c r="AP26" i="8"/>
  <c r="AP25" i="8"/>
  <c r="AP23" i="8"/>
  <c r="AP19" i="8"/>
  <c r="AO333" i="8"/>
  <c r="AO473" i="8"/>
  <c r="AO474" i="8"/>
  <c r="AO478" i="8"/>
  <c r="AO498" i="8"/>
  <c r="AO502" i="8"/>
  <c r="AO506" i="8"/>
  <c r="AO526" i="8"/>
  <c r="AO530" i="8"/>
  <c r="AO477" i="8"/>
  <c r="AO497" i="8"/>
  <c r="AO501" i="8"/>
  <c r="AO505" i="8"/>
  <c r="AO525" i="8"/>
  <c r="AO529" i="8"/>
  <c r="AO467" i="8"/>
  <c r="AM271" i="8"/>
  <c r="AM272" i="8" s="1"/>
  <c r="AP27" i="7"/>
  <c r="AO71" i="7"/>
  <c r="AO417" i="7"/>
  <c r="AN417" i="7"/>
  <c r="AO446" i="7"/>
  <c r="AO442" i="7"/>
  <c r="AO330" i="7"/>
  <c r="AP61" i="7"/>
  <c r="AP407" i="7"/>
  <c r="AP419" i="7" s="1"/>
  <c r="AP284" i="7"/>
  <c r="B244" i="7"/>
  <c r="B246" i="7"/>
  <c r="B248" i="7"/>
  <c r="AP405" i="7"/>
  <c r="AP417" i="7" s="1"/>
  <c r="AP282" i="7"/>
  <c r="AP402" i="7"/>
  <c r="AP414" i="7" s="1"/>
  <c r="AP279" i="7"/>
  <c r="AP406" i="7"/>
  <c r="AP418" i="7" s="1"/>
  <c r="AP283" i="7"/>
  <c r="AP426" i="7"/>
  <c r="AP430" i="7"/>
  <c r="AP442" i="7" s="1"/>
  <c r="AP307" i="7"/>
  <c r="AP434" i="7"/>
  <c r="AP446" i="7" s="1"/>
  <c r="AP311" i="7"/>
  <c r="AP454" i="7"/>
  <c r="AP466" i="7" s="1"/>
  <c r="AP331" i="7"/>
  <c r="AP458" i="7"/>
  <c r="AP470" i="7" s="1"/>
  <c r="AP335" i="7"/>
  <c r="AP396" i="7"/>
  <c r="B377" i="7"/>
  <c r="B379" i="7"/>
  <c r="B381" i="7"/>
  <c r="AP427" i="7"/>
  <c r="AP439" i="7" s="1"/>
  <c r="AP304" i="7"/>
  <c r="AP431" i="7"/>
  <c r="AP443" i="7" s="1"/>
  <c r="AP308" i="7"/>
  <c r="AP435" i="7"/>
  <c r="AP447" i="7" s="1"/>
  <c r="AP312" i="7"/>
  <c r="AP455" i="7"/>
  <c r="AP467" i="7" s="1"/>
  <c r="AP332" i="7"/>
  <c r="AP459" i="7"/>
  <c r="AP471" i="7" s="1"/>
  <c r="AP336" i="7"/>
  <c r="O624" i="7"/>
  <c r="O633" i="7" s="1"/>
  <c r="O605" i="7" s="1"/>
  <c r="P624" i="7"/>
  <c r="P633" i="7" s="1"/>
  <c r="P605" i="7" s="1"/>
  <c r="P63" i="7" s="1"/>
  <c r="Q624" i="7"/>
  <c r="Q633" i="7" s="1"/>
  <c r="Q605" i="7" s="1"/>
  <c r="Q63" i="7" s="1"/>
  <c r="R624" i="7"/>
  <c r="R633" i="7" s="1"/>
  <c r="R605" i="7" s="1"/>
  <c r="R63" i="7" s="1"/>
  <c r="S624" i="7"/>
  <c r="S633" i="7" s="1"/>
  <c r="S605" i="7" s="1"/>
  <c r="S63" i="7" s="1"/>
  <c r="T624" i="7"/>
  <c r="T633" i="7" s="1"/>
  <c r="T605" i="7" s="1"/>
  <c r="T63" i="7" s="1"/>
  <c r="U624" i="7"/>
  <c r="U633" i="7" s="1"/>
  <c r="U605" i="7" s="1"/>
  <c r="U63" i="7" s="1"/>
  <c r="U278" i="7"/>
  <c r="T413" i="7"/>
  <c r="V624" i="7"/>
  <c r="V633" i="7" s="1"/>
  <c r="V605" i="7" s="1"/>
  <c r="V63" i="7" s="1"/>
  <c r="V278" i="7"/>
  <c r="C413" i="7"/>
  <c r="E413" i="7"/>
  <c r="F413" i="7"/>
  <c r="H413" i="7"/>
  <c r="M413" i="7"/>
  <c r="N413" i="7"/>
  <c r="Q413" i="7"/>
  <c r="R413" i="7"/>
  <c r="S413" i="7"/>
  <c r="U413" i="7"/>
  <c r="E278" i="7"/>
  <c r="I278" i="7"/>
  <c r="K278" i="7"/>
  <c r="N278" i="7"/>
  <c r="O278" i="7"/>
  <c r="P278" i="7"/>
  <c r="W624" i="7"/>
  <c r="W633" i="7" s="1"/>
  <c r="W605" i="7" s="1"/>
  <c r="W63" i="7" s="1"/>
  <c r="D413" i="7"/>
  <c r="G413" i="7"/>
  <c r="I413" i="7"/>
  <c r="J413" i="7"/>
  <c r="K413" i="7"/>
  <c r="L413" i="7"/>
  <c r="O413" i="7"/>
  <c r="P413" i="7"/>
  <c r="D278" i="7"/>
  <c r="C278" i="7"/>
  <c r="F278" i="7"/>
  <c r="G278" i="7"/>
  <c r="H278" i="7"/>
  <c r="J278" i="7"/>
  <c r="L278" i="7"/>
  <c r="M278" i="7"/>
  <c r="S278" i="7"/>
  <c r="T278" i="7"/>
  <c r="Q278" i="7"/>
  <c r="R278" i="7"/>
  <c r="X624" i="7"/>
  <c r="X633" i="7" s="1"/>
  <c r="X605" i="7" s="1"/>
  <c r="X63" i="7" s="1"/>
  <c r="V413" i="7"/>
  <c r="W278" i="7"/>
  <c r="Y624" i="7"/>
  <c r="Y633" i="7" s="1"/>
  <c r="Y605" i="7" s="1"/>
  <c r="Y63" i="7" s="1"/>
  <c r="W413" i="7"/>
  <c r="X278" i="7"/>
  <c r="Z624" i="7"/>
  <c r="Z633" i="7" s="1"/>
  <c r="Z605" i="7" s="1"/>
  <c r="Z63" i="7" s="1"/>
  <c r="Y278" i="7"/>
  <c r="X413" i="7"/>
  <c r="Y413" i="7"/>
  <c r="Z278" i="7"/>
  <c r="Z413" i="7"/>
  <c r="AA278" i="7"/>
  <c r="AA413" i="7"/>
  <c r="AB278" i="7"/>
  <c r="AC278" i="7"/>
  <c r="AB413" i="7"/>
  <c r="AD278" i="7"/>
  <c r="AC413" i="7"/>
  <c r="AD413" i="7"/>
  <c r="AE278" i="7"/>
  <c r="AF278" i="7"/>
  <c r="AE413" i="7"/>
  <c r="AG278" i="7"/>
  <c r="AF413" i="7"/>
  <c r="AG413" i="7"/>
  <c r="AH278" i="7"/>
  <c r="AI278" i="7"/>
  <c r="AH413" i="7"/>
  <c r="AJ278" i="7"/>
  <c r="AI413" i="7"/>
  <c r="AJ413" i="7"/>
  <c r="AK278" i="7"/>
  <c r="AL278" i="7"/>
  <c r="AK413" i="7"/>
  <c r="AL413" i="7"/>
  <c r="AM278" i="7"/>
  <c r="AN278" i="7"/>
  <c r="AM413" i="7"/>
  <c r="T415" i="7"/>
  <c r="U280" i="7"/>
  <c r="V280" i="7"/>
  <c r="C415" i="7"/>
  <c r="I415" i="7"/>
  <c r="J415" i="7"/>
  <c r="K415" i="7"/>
  <c r="L415" i="7"/>
  <c r="M415" i="7"/>
  <c r="P415" i="7"/>
  <c r="Q415" i="7"/>
  <c r="R415" i="7"/>
  <c r="S415" i="7"/>
  <c r="U415" i="7"/>
  <c r="F280" i="7"/>
  <c r="J280" i="7"/>
  <c r="M280" i="7"/>
  <c r="O280" i="7"/>
  <c r="S280" i="7"/>
  <c r="D415" i="7"/>
  <c r="E415" i="7"/>
  <c r="F415" i="7"/>
  <c r="G415" i="7"/>
  <c r="H415" i="7"/>
  <c r="N415" i="7"/>
  <c r="O415" i="7"/>
  <c r="C280" i="7"/>
  <c r="D280" i="7"/>
  <c r="E280" i="7"/>
  <c r="G280" i="7"/>
  <c r="H280" i="7"/>
  <c r="I280" i="7"/>
  <c r="K280" i="7"/>
  <c r="L280" i="7"/>
  <c r="N280" i="7"/>
  <c r="P280" i="7"/>
  <c r="Q280" i="7"/>
  <c r="R280" i="7"/>
  <c r="T280" i="7"/>
  <c r="V415" i="7"/>
  <c r="W280" i="7"/>
  <c r="X280" i="7"/>
  <c r="W415" i="7"/>
  <c r="X415" i="7"/>
  <c r="Y280" i="7"/>
  <c r="Z280" i="7"/>
  <c r="Y415" i="7"/>
  <c r="AA280" i="7"/>
  <c r="Z415" i="7"/>
  <c r="AB280" i="7"/>
  <c r="AA415" i="7"/>
  <c r="AC280" i="7"/>
  <c r="AB415" i="7"/>
  <c r="AD280" i="7"/>
  <c r="AC415" i="7"/>
  <c r="AE280" i="7"/>
  <c r="AD415" i="7"/>
  <c r="AE415" i="7"/>
  <c r="AF280" i="7"/>
  <c r="AG280" i="7"/>
  <c r="AF415" i="7"/>
  <c r="AH280" i="7"/>
  <c r="AG415" i="7"/>
  <c r="AH415" i="7"/>
  <c r="AI280" i="7"/>
  <c r="AI415" i="7"/>
  <c r="AJ280" i="7"/>
  <c r="AJ415" i="7"/>
  <c r="AK280" i="7"/>
  <c r="AL280" i="7"/>
  <c r="AK415" i="7"/>
  <c r="AM626" i="7"/>
  <c r="AM633" i="7" s="1"/>
  <c r="AM605" i="7" s="1"/>
  <c r="AM63" i="7" s="1"/>
  <c r="AM280" i="7"/>
  <c r="AL415" i="7"/>
  <c r="AN626" i="7"/>
  <c r="AN633" i="7" s="1"/>
  <c r="AN605" i="7" s="1"/>
  <c r="AN63" i="7" s="1"/>
  <c r="AM415" i="7"/>
  <c r="AN280" i="7"/>
  <c r="AO626" i="7"/>
  <c r="AO633" i="7" s="1"/>
  <c r="AO605" i="7" s="1"/>
  <c r="AO63" i="7" s="1"/>
  <c r="U282" i="7"/>
  <c r="T417" i="7"/>
  <c r="C417" i="7"/>
  <c r="E417" i="7"/>
  <c r="D417" i="7"/>
  <c r="F417" i="7"/>
  <c r="G417" i="7"/>
  <c r="I417" i="7"/>
  <c r="J417" i="7"/>
  <c r="K417" i="7"/>
  <c r="N417" i="7"/>
  <c r="O417" i="7"/>
  <c r="P417" i="7"/>
  <c r="Q417" i="7"/>
  <c r="C282" i="7"/>
  <c r="D282" i="7"/>
  <c r="F282" i="7"/>
  <c r="G282" i="7"/>
  <c r="H282" i="7"/>
  <c r="J282" i="7"/>
  <c r="L282" i="7"/>
  <c r="M282" i="7"/>
  <c r="N282" i="7"/>
  <c r="P282" i="7"/>
  <c r="S282" i="7"/>
  <c r="H417" i="7"/>
  <c r="L417" i="7"/>
  <c r="M417" i="7"/>
  <c r="R417" i="7"/>
  <c r="S417" i="7"/>
  <c r="U417" i="7"/>
  <c r="E282" i="7"/>
  <c r="I282" i="7"/>
  <c r="K282" i="7"/>
  <c r="O282" i="7"/>
  <c r="Q282" i="7"/>
  <c r="R282" i="7"/>
  <c r="T282" i="7"/>
  <c r="V282" i="7"/>
  <c r="V417" i="7"/>
  <c r="W282" i="7"/>
  <c r="X282" i="7"/>
  <c r="W417" i="7"/>
  <c r="Y282" i="7"/>
  <c r="X417" i="7"/>
  <c r="Z282" i="7"/>
  <c r="Y417" i="7"/>
  <c r="Z417" i="7"/>
  <c r="AA282" i="7"/>
  <c r="AA417" i="7"/>
  <c r="AB282" i="7"/>
  <c r="AC282" i="7"/>
  <c r="AB417" i="7"/>
  <c r="AC417" i="7"/>
  <c r="AD282" i="7"/>
  <c r="AE282" i="7"/>
  <c r="AD417" i="7"/>
  <c r="AF282" i="7"/>
  <c r="AE417" i="7"/>
  <c r="AG282" i="7"/>
  <c r="AF417" i="7"/>
  <c r="AH282" i="7"/>
  <c r="AG417" i="7"/>
  <c r="AI282" i="7"/>
  <c r="AH417" i="7"/>
  <c r="AJ282" i="7"/>
  <c r="AI417" i="7"/>
  <c r="AK282" i="7"/>
  <c r="AJ417" i="7"/>
  <c r="AL282" i="7"/>
  <c r="AK417" i="7"/>
  <c r="AM282" i="7"/>
  <c r="AL417" i="7"/>
  <c r="AM417" i="7"/>
  <c r="AN282" i="7"/>
  <c r="T419" i="7"/>
  <c r="U284" i="7"/>
  <c r="E419" i="7"/>
  <c r="F419" i="7"/>
  <c r="G419" i="7"/>
  <c r="I419" i="7"/>
  <c r="J419" i="7"/>
  <c r="K419" i="7"/>
  <c r="L419" i="7"/>
  <c r="M419" i="7"/>
  <c r="O419" i="7"/>
  <c r="P419" i="7"/>
  <c r="R419" i="7"/>
  <c r="C284" i="7"/>
  <c r="E284" i="7"/>
  <c r="G284" i="7"/>
  <c r="I284" i="7"/>
  <c r="K284" i="7"/>
  <c r="O284" i="7"/>
  <c r="P284" i="7"/>
  <c r="R284" i="7"/>
  <c r="V284" i="7"/>
  <c r="C419" i="7"/>
  <c r="D419" i="7"/>
  <c r="H419" i="7"/>
  <c r="N419" i="7"/>
  <c r="Q419" i="7"/>
  <c r="S419" i="7"/>
  <c r="U419" i="7"/>
  <c r="D284" i="7"/>
  <c r="F284" i="7"/>
  <c r="H284" i="7"/>
  <c r="J284" i="7"/>
  <c r="L284" i="7"/>
  <c r="M284" i="7"/>
  <c r="N284" i="7"/>
  <c r="Q284" i="7"/>
  <c r="S284" i="7"/>
  <c r="T284" i="7"/>
  <c r="V419" i="7"/>
  <c r="W284" i="7"/>
  <c r="X284" i="7"/>
  <c r="W419" i="7"/>
  <c r="Y284" i="7"/>
  <c r="X419" i="7"/>
  <c r="Z284" i="7"/>
  <c r="Y419" i="7"/>
  <c r="AA284" i="7"/>
  <c r="Z419" i="7"/>
  <c r="AA419" i="7"/>
  <c r="AB284" i="7"/>
  <c r="AB419" i="7"/>
  <c r="AC284" i="7"/>
  <c r="AD284" i="7"/>
  <c r="AC419" i="7"/>
  <c r="AE284" i="7"/>
  <c r="AD419" i="7"/>
  <c r="AE419" i="7"/>
  <c r="AF284" i="7"/>
  <c r="AG284" i="7"/>
  <c r="AF419" i="7"/>
  <c r="AG419" i="7"/>
  <c r="AH284" i="7"/>
  <c r="AI284" i="7"/>
  <c r="AH419" i="7"/>
  <c r="AJ284" i="7"/>
  <c r="AI419" i="7"/>
  <c r="AK284" i="7"/>
  <c r="AJ419" i="7"/>
  <c r="AL284" i="7"/>
  <c r="AK419" i="7"/>
  <c r="AL419" i="7"/>
  <c r="AM284" i="7"/>
  <c r="AN284" i="7"/>
  <c r="AM419" i="7"/>
  <c r="U286" i="7"/>
  <c r="T421" i="7"/>
  <c r="V286" i="7"/>
  <c r="D421" i="7"/>
  <c r="F421" i="7"/>
  <c r="G421" i="7"/>
  <c r="H421" i="7"/>
  <c r="I421" i="7"/>
  <c r="K421" i="7"/>
  <c r="N421" i="7"/>
  <c r="U421" i="7"/>
  <c r="D286" i="7"/>
  <c r="E286" i="7"/>
  <c r="F286" i="7"/>
  <c r="H286" i="7"/>
  <c r="I286" i="7"/>
  <c r="J286" i="7"/>
  <c r="K286" i="7"/>
  <c r="L286" i="7"/>
  <c r="C421" i="7"/>
  <c r="E421" i="7"/>
  <c r="J421" i="7"/>
  <c r="L421" i="7"/>
  <c r="M421" i="7"/>
  <c r="O421" i="7"/>
  <c r="P421" i="7"/>
  <c r="Q421" i="7"/>
  <c r="R421" i="7"/>
  <c r="S421" i="7"/>
  <c r="C286" i="7"/>
  <c r="G286" i="7"/>
  <c r="M286" i="7"/>
  <c r="N286" i="7"/>
  <c r="O286" i="7"/>
  <c r="P286" i="7"/>
  <c r="R286" i="7"/>
  <c r="S286" i="7"/>
  <c r="T286" i="7"/>
  <c r="Q286" i="7"/>
  <c r="V421" i="7"/>
  <c r="W286" i="7"/>
  <c r="W421" i="7"/>
  <c r="X286" i="7"/>
  <c r="Y286" i="7"/>
  <c r="X421" i="7"/>
  <c r="Y421" i="7"/>
  <c r="Z286" i="7"/>
  <c r="AA286" i="7"/>
  <c r="Z421" i="7"/>
  <c r="AA421" i="7"/>
  <c r="AB286" i="7"/>
  <c r="AC286" i="7"/>
  <c r="AB421" i="7"/>
  <c r="AD286" i="7"/>
  <c r="AC421" i="7"/>
  <c r="AD421" i="7"/>
  <c r="AE286" i="7"/>
  <c r="AF286" i="7"/>
  <c r="AE421" i="7"/>
  <c r="AG286" i="7"/>
  <c r="AF421" i="7"/>
  <c r="AG421" i="7"/>
  <c r="AH286" i="7"/>
  <c r="AH421" i="7"/>
  <c r="AI286" i="7"/>
  <c r="AJ286" i="7"/>
  <c r="AI421" i="7"/>
  <c r="AJ421" i="7"/>
  <c r="AK286" i="7"/>
  <c r="AL286" i="7"/>
  <c r="AK421" i="7"/>
  <c r="AM286" i="7"/>
  <c r="AL421" i="7"/>
  <c r="AN286" i="7"/>
  <c r="AM421" i="7"/>
  <c r="R656" i="7"/>
  <c r="R665" i="7" s="1"/>
  <c r="R637" i="7" s="1"/>
  <c r="R64" i="7" s="1"/>
  <c r="S656" i="7"/>
  <c r="S665" i="7" s="1"/>
  <c r="S637" i="7" s="1"/>
  <c r="S64" i="7" s="1"/>
  <c r="T656" i="7"/>
  <c r="T665" i="7" s="1"/>
  <c r="T637" i="7" s="1"/>
  <c r="T64" i="7" s="1"/>
  <c r="U656" i="7"/>
  <c r="U665" i="7" s="1"/>
  <c r="U637" i="7" s="1"/>
  <c r="U64" i="7" s="1"/>
  <c r="T439" i="7"/>
  <c r="V656" i="7"/>
  <c r="V665" i="7" s="1"/>
  <c r="V637" i="7" s="1"/>
  <c r="V64" i="7" s="1"/>
  <c r="U304" i="7"/>
  <c r="W656" i="7"/>
  <c r="W665" i="7" s="1"/>
  <c r="W637" i="7" s="1"/>
  <c r="W64" i="7" s="1"/>
  <c r="V304" i="7"/>
  <c r="C439" i="7"/>
  <c r="D439" i="7"/>
  <c r="E439" i="7"/>
  <c r="F439" i="7"/>
  <c r="G439" i="7"/>
  <c r="K439" i="7"/>
  <c r="L439" i="7"/>
  <c r="N439" i="7"/>
  <c r="O439" i="7"/>
  <c r="P439" i="7"/>
  <c r="U439" i="7"/>
  <c r="D304" i="7"/>
  <c r="F304" i="7"/>
  <c r="K304" i="7"/>
  <c r="M304" i="7"/>
  <c r="O304" i="7"/>
  <c r="H439" i="7"/>
  <c r="I439" i="7"/>
  <c r="J439" i="7"/>
  <c r="M439" i="7"/>
  <c r="Q439" i="7"/>
  <c r="R439" i="7"/>
  <c r="S439" i="7"/>
  <c r="C304" i="7"/>
  <c r="E304" i="7"/>
  <c r="G304" i="7"/>
  <c r="H304" i="7"/>
  <c r="I304" i="7"/>
  <c r="J304" i="7"/>
  <c r="L304" i="7"/>
  <c r="N304" i="7"/>
  <c r="P304" i="7"/>
  <c r="Q304" i="7"/>
  <c r="S304" i="7"/>
  <c r="T304" i="7"/>
  <c r="R304" i="7"/>
  <c r="V439" i="7"/>
  <c r="X656" i="7"/>
  <c r="X665" i="7" s="1"/>
  <c r="X637" i="7" s="1"/>
  <c r="X64" i="7" s="1"/>
  <c r="W304" i="7"/>
  <c r="Y656" i="7"/>
  <c r="Y665" i="7" s="1"/>
  <c r="Y637" i="7" s="1"/>
  <c r="Y64" i="7" s="1"/>
  <c r="X304" i="7"/>
  <c r="W439" i="7"/>
  <c r="Z656" i="7"/>
  <c r="Z665" i="7" s="1"/>
  <c r="Z637" i="7" s="1"/>
  <c r="Z64" i="7" s="1"/>
  <c r="X439" i="7"/>
  <c r="Y304" i="7"/>
  <c r="AA656" i="7"/>
  <c r="AA665" i="7" s="1"/>
  <c r="AA637" i="7" s="1"/>
  <c r="AA64" i="7" s="1"/>
  <c r="Y439" i="7"/>
  <c r="Z304" i="7"/>
  <c r="AA304" i="7"/>
  <c r="AB656" i="7"/>
  <c r="AB665" i="7" s="1"/>
  <c r="AB637" i="7" s="1"/>
  <c r="AB64" i="7" s="1"/>
  <c r="Z439" i="7"/>
  <c r="AC656" i="7"/>
  <c r="AC665" i="7" s="1"/>
  <c r="AC637" i="7" s="1"/>
  <c r="AC64" i="7" s="1"/>
  <c r="AB304" i="7"/>
  <c r="AA439" i="7"/>
  <c r="AD656" i="7"/>
  <c r="AD665" i="7" s="1"/>
  <c r="AD637" i="7" s="1"/>
  <c r="AD64" i="7" s="1"/>
  <c r="AC304" i="7"/>
  <c r="AB439" i="7"/>
  <c r="AE656" i="7"/>
  <c r="AE665" i="7" s="1"/>
  <c r="AE637" i="7" s="1"/>
  <c r="AE64" i="7" s="1"/>
  <c r="AD304" i="7"/>
  <c r="AC439" i="7"/>
  <c r="AE304" i="7"/>
  <c r="AD439" i="7"/>
  <c r="AF656" i="7"/>
  <c r="AF665" i="7" s="1"/>
  <c r="AF637" i="7" s="1"/>
  <c r="AF64" i="7" s="1"/>
  <c r="AE439" i="7"/>
  <c r="AF304" i="7"/>
  <c r="AG304" i="7"/>
  <c r="AF439" i="7"/>
  <c r="AH304" i="7"/>
  <c r="AG439" i="7"/>
  <c r="AI304" i="7"/>
  <c r="AH439" i="7"/>
  <c r="AI439" i="7"/>
  <c r="AJ304" i="7"/>
  <c r="AK304" i="7"/>
  <c r="AJ439" i="7"/>
  <c r="AL304" i="7"/>
  <c r="AK439" i="7"/>
  <c r="AM304" i="7"/>
  <c r="AL439" i="7"/>
  <c r="AM439" i="7"/>
  <c r="AN304" i="7"/>
  <c r="U306" i="7"/>
  <c r="T441" i="7"/>
  <c r="H441" i="7"/>
  <c r="I441" i="7"/>
  <c r="L441" i="7"/>
  <c r="N441" i="7"/>
  <c r="P441" i="7"/>
  <c r="Q441" i="7"/>
  <c r="C306" i="7"/>
  <c r="G306" i="7"/>
  <c r="L306" i="7"/>
  <c r="M306" i="7"/>
  <c r="O306" i="7"/>
  <c r="R306" i="7"/>
  <c r="T306" i="7"/>
  <c r="C441" i="7"/>
  <c r="D441" i="7"/>
  <c r="E441" i="7"/>
  <c r="F441" i="7"/>
  <c r="G441" i="7"/>
  <c r="J441" i="7"/>
  <c r="K441" i="7"/>
  <c r="M441" i="7"/>
  <c r="O441" i="7"/>
  <c r="R441" i="7"/>
  <c r="S441" i="7"/>
  <c r="U441" i="7"/>
  <c r="D306" i="7"/>
  <c r="E306" i="7"/>
  <c r="F306" i="7"/>
  <c r="H306" i="7"/>
  <c r="I306" i="7"/>
  <c r="J306" i="7"/>
  <c r="K306" i="7"/>
  <c r="N306" i="7"/>
  <c r="P306" i="7"/>
  <c r="Q306" i="7"/>
  <c r="S306" i="7"/>
  <c r="V306" i="7"/>
  <c r="V441" i="7"/>
  <c r="W306" i="7"/>
  <c r="X306" i="7"/>
  <c r="W441" i="7"/>
  <c r="Y306" i="7"/>
  <c r="X441" i="7"/>
  <c r="Z306" i="7"/>
  <c r="Y441" i="7"/>
  <c r="AA306" i="7"/>
  <c r="Z441" i="7"/>
  <c r="AA441" i="7"/>
  <c r="AB306" i="7"/>
  <c r="AC306" i="7"/>
  <c r="AB441" i="7"/>
  <c r="AD306" i="7"/>
  <c r="AC441" i="7"/>
  <c r="AD441" i="7"/>
  <c r="AE306" i="7"/>
  <c r="AE441" i="7"/>
  <c r="AF306" i="7"/>
  <c r="AG306" i="7"/>
  <c r="AF441" i="7"/>
  <c r="AG441" i="7"/>
  <c r="AH306" i="7"/>
  <c r="AI306" i="7"/>
  <c r="AH441" i="7"/>
  <c r="AJ306" i="7"/>
  <c r="AI441" i="7"/>
  <c r="AJ441" i="7"/>
  <c r="AK306" i="7"/>
  <c r="AK441" i="7"/>
  <c r="AL306" i="7"/>
  <c r="AL441" i="7"/>
  <c r="AM306" i="7"/>
  <c r="AM441" i="7"/>
  <c r="AN306" i="7"/>
  <c r="U308" i="7"/>
  <c r="T443" i="7"/>
  <c r="V308" i="7"/>
  <c r="E443" i="7"/>
  <c r="F443" i="7"/>
  <c r="G443" i="7"/>
  <c r="J443" i="7"/>
  <c r="L443" i="7"/>
  <c r="P443" i="7"/>
  <c r="Q443" i="7"/>
  <c r="S443" i="7"/>
  <c r="D308" i="7"/>
  <c r="C308" i="7"/>
  <c r="E308" i="7"/>
  <c r="G308" i="7"/>
  <c r="H308" i="7"/>
  <c r="I308" i="7"/>
  <c r="J308" i="7"/>
  <c r="L308" i="7"/>
  <c r="N308" i="7"/>
  <c r="P308" i="7"/>
  <c r="Q308" i="7"/>
  <c r="T308" i="7"/>
  <c r="C443" i="7"/>
  <c r="D443" i="7"/>
  <c r="H443" i="7"/>
  <c r="I443" i="7"/>
  <c r="K443" i="7"/>
  <c r="M443" i="7"/>
  <c r="N443" i="7"/>
  <c r="O443" i="7"/>
  <c r="R443" i="7"/>
  <c r="U443" i="7"/>
  <c r="F308" i="7"/>
  <c r="K308" i="7"/>
  <c r="M308" i="7"/>
  <c r="O308" i="7"/>
  <c r="R308" i="7"/>
  <c r="S308" i="7"/>
  <c r="W308" i="7"/>
  <c r="V443" i="7"/>
  <c r="W443" i="7"/>
  <c r="X308" i="7"/>
  <c r="Y308" i="7"/>
  <c r="X443" i="7"/>
  <c r="Z308" i="7"/>
  <c r="Y443" i="7"/>
  <c r="AA308" i="7"/>
  <c r="Z443" i="7"/>
  <c r="AA443" i="7"/>
  <c r="AB308" i="7"/>
  <c r="AC308" i="7"/>
  <c r="AB443" i="7"/>
  <c r="AD308" i="7"/>
  <c r="AC443" i="7"/>
  <c r="AE308" i="7"/>
  <c r="AD443" i="7"/>
  <c r="AF308" i="7"/>
  <c r="AE443" i="7"/>
  <c r="AF443" i="7"/>
  <c r="AG308" i="7"/>
  <c r="AG443" i="7"/>
  <c r="AH308" i="7"/>
  <c r="AH443" i="7"/>
  <c r="AI308" i="7"/>
  <c r="AJ308" i="7"/>
  <c r="AI443" i="7"/>
  <c r="AK308" i="7"/>
  <c r="AJ443" i="7"/>
  <c r="AL308" i="7"/>
  <c r="AK443" i="7"/>
  <c r="AL443" i="7"/>
  <c r="AM308" i="7"/>
  <c r="AN308" i="7"/>
  <c r="AM443" i="7"/>
  <c r="U310" i="7"/>
  <c r="T445" i="7"/>
  <c r="C445" i="7"/>
  <c r="E445" i="7"/>
  <c r="D445" i="7"/>
  <c r="H445" i="7"/>
  <c r="M445" i="7"/>
  <c r="O445" i="7"/>
  <c r="Q445" i="7"/>
  <c r="R445" i="7"/>
  <c r="S445" i="7"/>
  <c r="U445" i="7"/>
  <c r="D310" i="7"/>
  <c r="E310" i="7"/>
  <c r="F310" i="7"/>
  <c r="H310" i="7"/>
  <c r="I310" i="7"/>
  <c r="J310" i="7"/>
  <c r="K310" i="7"/>
  <c r="N310" i="7"/>
  <c r="O310" i="7"/>
  <c r="P310" i="7"/>
  <c r="Q310" i="7"/>
  <c r="V310" i="7"/>
  <c r="F445" i="7"/>
  <c r="G445" i="7"/>
  <c r="I445" i="7"/>
  <c r="J445" i="7"/>
  <c r="K445" i="7"/>
  <c r="L445" i="7"/>
  <c r="N445" i="7"/>
  <c r="P445" i="7"/>
  <c r="C310" i="7"/>
  <c r="G310" i="7"/>
  <c r="L310" i="7"/>
  <c r="M310" i="7"/>
  <c r="R310" i="7"/>
  <c r="S310" i="7"/>
  <c r="T310" i="7"/>
  <c r="V445" i="7"/>
  <c r="W310" i="7"/>
  <c r="X310" i="7"/>
  <c r="W445" i="7"/>
  <c r="Y310" i="7"/>
  <c r="X445" i="7"/>
  <c r="Z310" i="7"/>
  <c r="Y445" i="7"/>
  <c r="Z445" i="7"/>
  <c r="AA310" i="7"/>
  <c r="AA445" i="7"/>
  <c r="AB310" i="7"/>
  <c r="AC310" i="7"/>
  <c r="AB445" i="7"/>
  <c r="AD310" i="7"/>
  <c r="AC445" i="7"/>
  <c r="AD445" i="7"/>
  <c r="AE310" i="7"/>
  <c r="AF310" i="7"/>
  <c r="AE445" i="7"/>
  <c r="AG310" i="7"/>
  <c r="AF445" i="7"/>
  <c r="AG445" i="7"/>
  <c r="AH310" i="7"/>
  <c r="AH445" i="7"/>
  <c r="AI310" i="7"/>
  <c r="AJ310" i="7"/>
  <c r="AI445" i="7"/>
  <c r="AJ445" i="7"/>
  <c r="AK310" i="7"/>
  <c r="AL310" i="7"/>
  <c r="AK445" i="7"/>
  <c r="AM310" i="7"/>
  <c r="AL445" i="7"/>
  <c r="AN310" i="7"/>
  <c r="AM445" i="7"/>
  <c r="T447" i="7"/>
  <c r="U312" i="7"/>
  <c r="V312" i="7"/>
  <c r="C447" i="7"/>
  <c r="D447" i="7"/>
  <c r="H447" i="7"/>
  <c r="J447" i="7"/>
  <c r="M447" i="7"/>
  <c r="O447" i="7"/>
  <c r="Q447" i="7"/>
  <c r="R447" i="7"/>
  <c r="S447" i="7"/>
  <c r="U447" i="7"/>
  <c r="F312" i="7"/>
  <c r="K312" i="7"/>
  <c r="M312" i="7"/>
  <c r="R312" i="7"/>
  <c r="S312" i="7"/>
  <c r="E447" i="7"/>
  <c r="F447" i="7"/>
  <c r="G447" i="7"/>
  <c r="I447" i="7"/>
  <c r="K447" i="7"/>
  <c r="L447" i="7"/>
  <c r="N447" i="7"/>
  <c r="P447" i="7"/>
  <c r="D312" i="7"/>
  <c r="C312" i="7"/>
  <c r="E312" i="7"/>
  <c r="G312" i="7"/>
  <c r="H312" i="7"/>
  <c r="I312" i="7"/>
  <c r="J312" i="7"/>
  <c r="L312" i="7"/>
  <c r="N312" i="7"/>
  <c r="O312" i="7"/>
  <c r="P312" i="7"/>
  <c r="Q312" i="7"/>
  <c r="T312" i="7"/>
  <c r="V447" i="7"/>
  <c r="W312" i="7"/>
  <c r="X312" i="7"/>
  <c r="W447" i="7"/>
  <c r="Y312" i="7"/>
  <c r="X447" i="7"/>
  <c r="Z312" i="7"/>
  <c r="Y447" i="7"/>
  <c r="AA312" i="7"/>
  <c r="Z447" i="7"/>
  <c r="AB312" i="7"/>
  <c r="AA447" i="7"/>
  <c r="AC312" i="7"/>
  <c r="AB447" i="7"/>
  <c r="AC447" i="7"/>
  <c r="AD312" i="7"/>
  <c r="AE312" i="7"/>
  <c r="AD447" i="7"/>
  <c r="AE447" i="7"/>
  <c r="AF312" i="7"/>
  <c r="AG312" i="7"/>
  <c r="AF447" i="7"/>
  <c r="AH312" i="7"/>
  <c r="AG447" i="7"/>
  <c r="AI312" i="7"/>
  <c r="AH447" i="7"/>
  <c r="AI447" i="7"/>
  <c r="AJ312" i="7"/>
  <c r="AJ447" i="7"/>
  <c r="AK312" i="7"/>
  <c r="AL312" i="7"/>
  <c r="AK447" i="7"/>
  <c r="AM312" i="7"/>
  <c r="AL447" i="7"/>
  <c r="AM447" i="7"/>
  <c r="AN312" i="7"/>
  <c r="U330" i="7"/>
  <c r="T465" i="7"/>
  <c r="C465" i="7"/>
  <c r="E465" i="7"/>
  <c r="F465" i="7"/>
  <c r="G465" i="7"/>
  <c r="J465" i="7"/>
  <c r="K465" i="7"/>
  <c r="M465" i="7"/>
  <c r="R465" i="7"/>
  <c r="S465" i="7"/>
  <c r="C330" i="7"/>
  <c r="D330" i="7"/>
  <c r="G330" i="7"/>
  <c r="L330" i="7"/>
  <c r="M330" i="7"/>
  <c r="N330" i="7"/>
  <c r="R330" i="7"/>
  <c r="S330" i="7"/>
  <c r="W688" i="7"/>
  <c r="W697" i="7" s="1"/>
  <c r="W669" i="7" s="1"/>
  <c r="W65" i="7" s="1"/>
  <c r="D465" i="7"/>
  <c r="H465" i="7"/>
  <c r="I465" i="7"/>
  <c r="L465" i="7"/>
  <c r="N465" i="7"/>
  <c r="O465" i="7"/>
  <c r="P465" i="7"/>
  <c r="Q465" i="7"/>
  <c r="U465" i="7"/>
  <c r="E330" i="7"/>
  <c r="F330" i="7"/>
  <c r="H330" i="7"/>
  <c r="I330" i="7"/>
  <c r="J330" i="7"/>
  <c r="K330" i="7"/>
  <c r="O330" i="7"/>
  <c r="P330" i="7"/>
  <c r="Q330" i="7"/>
  <c r="T330" i="7"/>
  <c r="V330" i="7"/>
  <c r="V465" i="7"/>
  <c r="X688" i="7"/>
  <c r="X697" i="7" s="1"/>
  <c r="X669" i="7" s="1"/>
  <c r="X65" i="7" s="1"/>
  <c r="W330" i="7"/>
  <c r="X330" i="7"/>
  <c r="W465" i="7"/>
  <c r="Y688" i="7"/>
  <c r="Y330" i="7"/>
  <c r="Z688" i="7"/>
  <c r="Z697" i="7" s="1"/>
  <c r="Z669" i="7" s="1"/>
  <c r="Z65" i="7" s="1"/>
  <c r="X465" i="7"/>
  <c r="Z330" i="7"/>
  <c r="AA688" i="7"/>
  <c r="AA697" i="7" s="1"/>
  <c r="AA669" i="7" s="1"/>
  <c r="AA65" i="7" s="1"/>
  <c r="Y465" i="7"/>
  <c r="AB688" i="7"/>
  <c r="AB697" i="7" s="1"/>
  <c r="AB669" i="7" s="1"/>
  <c r="AB65" i="7" s="1"/>
  <c r="AA330" i="7"/>
  <c r="Z465" i="7"/>
  <c r="AC688" i="7"/>
  <c r="AC697" i="7" s="1"/>
  <c r="AC669" i="7" s="1"/>
  <c r="AC65" i="7" s="1"/>
  <c r="AA465" i="7"/>
  <c r="AB330" i="7"/>
  <c r="AC330" i="7"/>
  <c r="AB465" i="7"/>
  <c r="AD688" i="7"/>
  <c r="AD697" i="7" s="1"/>
  <c r="AD669" i="7" s="1"/>
  <c r="AD65" i="7" s="1"/>
  <c r="AE688" i="7"/>
  <c r="AD330" i="7"/>
  <c r="AC465" i="7"/>
  <c r="AD465" i="7"/>
  <c r="AF688" i="7"/>
  <c r="AF697" i="7" s="1"/>
  <c r="AF669" i="7" s="1"/>
  <c r="AF65" i="7" s="1"/>
  <c r="AE330" i="7"/>
  <c r="AG688" i="7"/>
  <c r="AG697" i="7" s="1"/>
  <c r="AG669" i="7" s="1"/>
  <c r="AG65" i="7" s="1"/>
  <c r="AF330" i="7"/>
  <c r="AE465" i="7"/>
  <c r="AH688" i="7"/>
  <c r="AH697" i="7" s="1"/>
  <c r="AH669" i="7" s="1"/>
  <c r="AH65" i="7" s="1"/>
  <c r="AG330" i="7"/>
  <c r="AF465" i="7"/>
  <c r="AI688" i="7"/>
  <c r="AI697" i="7" s="1"/>
  <c r="AI669" i="7" s="1"/>
  <c r="AI65" i="7" s="1"/>
  <c r="AG465" i="7"/>
  <c r="AH330" i="7"/>
  <c r="AJ688" i="7"/>
  <c r="AJ697" i="7" s="1"/>
  <c r="AJ669" i="7" s="1"/>
  <c r="AJ65" i="7" s="1"/>
  <c r="AI330" i="7"/>
  <c r="AH465" i="7"/>
  <c r="AJ330" i="7"/>
  <c r="AK688" i="7"/>
  <c r="AK697" i="7" s="1"/>
  <c r="AK669" i="7" s="1"/>
  <c r="AK65" i="7" s="1"/>
  <c r="AI465" i="7"/>
  <c r="AJ465" i="7"/>
  <c r="AL688" i="7"/>
  <c r="AL697" i="7" s="1"/>
  <c r="AL669" i="7" s="1"/>
  <c r="AL65" i="7" s="1"/>
  <c r="AK330" i="7"/>
  <c r="AM688" i="7"/>
  <c r="AM697" i="7" s="1"/>
  <c r="AM669" i="7" s="1"/>
  <c r="AM65" i="7" s="1"/>
  <c r="AL330" i="7"/>
  <c r="AK465" i="7"/>
  <c r="AL465" i="7"/>
  <c r="AN688" i="7"/>
  <c r="AN697" i="7" s="1"/>
  <c r="AN669" i="7" s="1"/>
  <c r="AN65" i="7" s="1"/>
  <c r="AM330" i="7"/>
  <c r="AN330" i="7"/>
  <c r="AM465" i="7"/>
  <c r="AO688" i="7"/>
  <c r="AO697" i="7" s="1"/>
  <c r="AO669" i="7" s="1"/>
  <c r="AO65" i="7" s="1"/>
  <c r="T467" i="7"/>
  <c r="U332" i="7"/>
  <c r="V332" i="7"/>
  <c r="H467" i="7"/>
  <c r="I467" i="7"/>
  <c r="K467" i="7"/>
  <c r="M467" i="7"/>
  <c r="N467" i="7"/>
  <c r="R467" i="7"/>
  <c r="D332" i="7"/>
  <c r="C332" i="7"/>
  <c r="E332" i="7"/>
  <c r="G332" i="7"/>
  <c r="H332" i="7"/>
  <c r="I332" i="7"/>
  <c r="J332" i="7"/>
  <c r="L332" i="7"/>
  <c r="N332" i="7"/>
  <c r="O332" i="7"/>
  <c r="Q332" i="7"/>
  <c r="D467" i="7"/>
  <c r="C467" i="7"/>
  <c r="E467" i="7"/>
  <c r="F467" i="7"/>
  <c r="G467" i="7"/>
  <c r="J467" i="7"/>
  <c r="L467" i="7"/>
  <c r="O467" i="7"/>
  <c r="P467" i="7"/>
  <c r="Q467" i="7"/>
  <c r="S467" i="7"/>
  <c r="U467" i="7"/>
  <c r="F332" i="7"/>
  <c r="K332" i="7"/>
  <c r="M332" i="7"/>
  <c r="P332" i="7"/>
  <c r="R332" i="7"/>
  <c r="S332" i="7"/>
  <c r="T332" i="7"/>
  <c r="W332" i="7"/>
  <c r="V467" i="7"/>
  <c r="X332" i="7"/>
  <c r="W467" i="7"/>
  <c r="X467" i="7"/>
  <c r="Y332" i="7"/>
  <c r="Z332" i="7"/>
  <c r="Y467" i="7"/>
  <c r="AA332" i="7"/>
  <c r="Z467" i="7"/>
  <c r="AA467" i="7"/>
  <c r="AB332" i="7"/>
  <c r="AB467" i="7"/>
  <c r="AC332" i="7"/>
  <c r="AD332" i="7"/>
  <c r="AC467" i="7"/>
  <c r="AE332" i="7"/>
  <c r="AD467" i="7"/>
  <c r="AF332" i="7"/>
  <c r="AE467" i="7"/>
  <c r="AG332" i="7"/>
  <c r="AF467" i="7"/>
  <c r="AG467" i="7"/>
  <c r="AH332" i="7"/>
  <c r="AH467" i="7"/>
  <c r="AI332" i="7"/>
  <c r="AJ332" i="7"/>
  <c r="AI467" i="7"/>
  <c r="AK332" i="7"/>
  <c r="AJ467" i="7"/>
  <c r="AL332" i="7"/>
  <c r="AK467" i="7"/>
  <c r="AL467" i="7"/>
  <c r="AM332" i="7"/>
  <c r="AN332" i="7"/>
  <c r="AM467" i="7"/>
  <c r="U334" i="7"/>
  <c r="T469" i="7"/>
  <c r="F469" i="7"/>
  <c r="G469" i="7"/>
  <c r="J469" i="7"/>
  <c r="K469" i="7"/>
  <c r="L469" i="7"/>
  <c r="O469" i="7"/>
  <c r="P469" i="7"/>
  <c r="Q469" i="7"/>
  <c r="U469" i="7"/>
  <c r="D334" i="7"/>
  <c r="E334" i="7"/>
  <c r="F334" i="7"/>
  <c r="H334" i="7"/>
  <c r="I334" i="7"/>
  <c r="J334" i="7"/>
  <c r="K334" i="7"/>
  <c r="M334" i="7"/>
  <c r="O334" i="7"/>
  <c r="P334" i="7"/>
  <c r="V334" i="7"/>
  <c r="C469" i="7"/>
  <c r="D469" i="7"/>
  <c r="E469" i="7"/>
  <c r="H469" i="7"/>
  <c r="I469" i="7"/>
  <c r="M469" i="7"/>
  <c r="N469" i="7"/>
  <c r="R469" i="7"/>
  <c r="S469" i="7"/>
  <c r="C334" i="7"/>
  <c r="G334" i="7"/>
  <c r="L334" i="7"/>
  <c r="N334" i="7"/>
  <c r="R334" i="7"/>
  <c r="S334" i="7"/>
  <c r="T334" i="7"/>
  <c r="Q334" i="7"/>
  <c r="V469" i="7"/>
  <c r="W334" i="7"/>
  <c r="X334" i="7"/>
  <c r="W469" i="7"/>
  <c r="Y334" i="7"/>
  <c r="X469" i="7"/>
  <c r="Z334" i="7"/>
  <c r="Y469" i="7"/>
  <c r="Z469" i="7"/>
  <c r="AA334" i="7"/>
  <c r="AA469" i="7"/>
  <c r="AB334" i="7"/>
  <c r="AC334" i="7"/>
  <c r="AB469" i="7"/>
  <c r="AD334" i="7"/>
  <c r="AC469" i="7"/>
  <c r="AD469" i="7"/>
  <c r="AE334" i="7"/>
  <c r="AF334" i="7"/>
  <c r="AE469" i="7"/>
  <c r="AG334" i="7"/>
  <c r="AF469" i="7"/>
  <c r="AG469" i="7"/>
  <c r="AH334" i="7"/>
  <c r="AH469" i="7"/>
  <c r="AI334" i="7"/>
  <c r="AJ334" i="7"/>
  <c r="AI469" i="7"/>
  <c r="AJ469" i="7"/>
  <c r="AK334" i="7"/>
  <c r="AL334" i="7"/>
  <c r="AK469" i="7"/>
  <c r="AM334" i="7"/>
  <c r="AL469" i="7"/>
  <c r="AM469" i="7"/>
  <c r="AN334" i="7"/>
  <c r="T471" i="7"/>
  <c r="U336" i="7"/>
  <c r="V336" i="7"/>
  <c r="E471" i="7"/>
  <c r="G471" i="7"/>
  <c r="I471" i="7"/>
  <c r="K471" i="7"/>
  <c r="L471" i="7"/>
  <c r="N471" i="7"/>
  <c r="P471" i="7"/>
  <c r="U471" i="7"/>
  <c r="F336" i="7"/>
  <c r="J336" i="7"/>
  <c r="K336" i="7"/>
  <c r="M336" i="7"/>
  <c r="P336" i="7"/>
  <c r="C471" i="7"/>
  <c r="D471" i="7"/>
  <c r="F471" i="7"/>
  <c r="H471" i="7"/>
  <c r="J471" i="7"/>
  <c r="M471" i="7"/>
  <c r="O471" i="7"/>
  <c r="Q471" i="7"/>
  <c r="R471" i="7"/>
  <c r="S471" i="7"/>
  <c r="D336" i="7"/>
  <c r="C336" i="7"/>
  <c r="E336" i="7"/>
  <c r="G336" i="7"/>
  <c r="H336" i="7"/>
  <c r="I336" i="7"/>
  <c r="L336" i="7"/>
  <c r="N336" i="7"/>
  <c r="O336" i="7"/>
  <c r="Q336" i="7"/>
  <c r="R336" i="7"/>
  <c r="S336" i="7"/>
  <c r="T336" i="7"/>
  <c r="V471" i="7"/>
  <c r="W336" i="7"/>
  <c r="X336" i="7"/>
  <c r="W471" i="7"/>
  <c r="Y336" i="7"/>
  <c r="X471" i="7"/>
  <c r="Y471" i="7"/>
  <c r="Z336" i="7"/>
  <c r="AA336" i="7"/>
  <c r="Z471" i="7"/>
  <c r="AB336" i="7"/>
  <c r="AA471" i="7"/>
  <c r="AC336" i="7"/>
  <c r="AB471" i="7"/>
  <c r="AD336" i="7"/>
  <c r="AC471" i="7"/>
  <c r="AE336" i="7"/>
  <c r="AD471" i="7"/>
  <c r="AE471" i="7"/>
  <c r="AF336" i="7"/>
  <c r="AG336" i="7"/>
  <c r="AF471" i="7"/>
  <c r="AH336" i="7"/>
  <c r="AG471" i="7"/>
  <c r="AI336" i="7"/>
  <c r="AH471" i="7"/>
  <c r="AI471" i="7"/>
  <c r="AJ336" i="7"/>
  <c r="AK336" i="7"/>
  <c r="AJ471" i="7"/>
  <c r="AL336" i="7"/>
  <c r="AK471" i="7"/>
  <c r="AM336" i="7"/>
  <c r="AL471" i="7"/>
  <c r="AM471" i="7"/>
  <c r="AN336" i="7"/>
  <c r="U338" i="7"/>
  <c r="T473" i="7"/>
  <c r="D473" i="7"/>
  <c r="H473" i="7"/>
  <c r="L473" i="7"/>
  <c r="N473" i="7"/>
  <c r="P473" i="7"/>
  <c r="C338" i="7"/>
  <c r="G338" i="7"/>
  <c r="H338" i="7"/>
  <c r="L338" i="7"/>
  <c r="N338" i="7"/>
  <c r="T338" i="7"/>
  <c r="C473" i="7"/>
  <c r="E473" i="7"/>
  <c r="F473" i="7"/>
  <c r="G473" i="7"/>
  <c r="I473" i="7"/>
  <c r="J473" i="7"/>
  <c r="K473" i="7"/>
  <c r="M473" i="7"/>
  <c r="O473" i="7"/>
  <c r="Q473" i="7"/>
  <c r="R473" i="7"/>
  <c r="S473" i="7"/>
  <c r="U473" i="7"/>
  <c r="D338" i="7"/>
  <c r="E338" i="7"/>
  <c r="F338" i="7"/>
  <c r="I338" i="7"/>
  <c r="J338" i="7"/>
  <c r="K338" i="7"/>
  <c r="M338" i="7"/>
  <c r="O338" i="7"/>
  <c r="P338" i="7"/>
  <c r="Q338" i="7"/>
  <c r="R338" i="7"/>
  <c r="S338" i="7"/>
  <c r="V338" i="7"/>
  <c r="V473" i="7"/>
  <c r="W338" i="7"/>
  <c r="X338" i="7"/>
  <c r="W473" i="7"/>
  <c r="Y338" i="7"/>
  <c r="X473" i="7"/>
  <c r="Z338" i="7"/>
  <c r="Y473" i="7"/>
  <c r="Z473" i="7"/>
  <c r="AA338" i="7"/>
  <c r="AA473" i="7"/>
  <c r="AB338" i="7"/>
  <c r="AC338" i="7"/>
  <c r="AB473" i="7"/>
  <c r="AD338" i="7"/>
  <c r="AC473" i="7"/>
  <c r="AD473" i="7"/>
  <c r="AE338" i="7"/>
  <c r="AE473" i="7"/>
  <c r="AF338" i="7"/>
  <c r="AG338" i="7"/>
  <c r="AF473" i="7"/>
  <c r="AG473" i="7"/>
  <c r="AH338" i="7"/>
  <c r="AI338" i="7"/>
  <c r="AH473" i="7"/>
  <c r="AJ338" i="7"/>
  <c r="AI473" i="7"/>
  <c r="AJ473" i="7"/>
  <c r="AK338" i="7"/>
  <c r="AK473" i="7"/>
  <c r="AL338" i="7"/>
  <c r="AL473" i="7"/>
  <c r="AM338" i="7"/>
  <c r="AN338" i="7"/>
  <c r="AM473" i="7"/>
  <c r="AO556" i="7"/>
  <c r="AO81" i="7"/>
  <c r="AP626" i="7"/>
  <c r="AP633" i="7" s="1"/>
  <c r="AP605" i="7" s="1"/>
  <c r="AP697" i="7"/>
  <c r="AP669" i="7" s="1"/>
  <c r="AN413" i="7"/>
  <c r="AN419" i="7"/>
  <c r="AN440" i="7"/>
  <c r="AN472" i="7"/>
  <c r="AN445" i="7"/>
  <c r="AN469" i="7"/>
  <c r="AO336" i="7"/>
  <c r="AO332" i="7"/>
  <c r="AO312" i="7"/>
  <c r="AO308" i="7"/>
  <c r="AO304" i="7"/>
  <c r="AO284" i="7"/>
  <c r="AO280" i="7"/>
  <c r="AO420" i="7"/>
  <c r="AP403" i="7"/>
  <c r="AP415" i="7" s="1"/>
  <c r="AP280" i="7"/>
  <c r="AP262" i="7"/>
  <c r="B243" i="7"/>
  <c r="B245" i="7"/>
  <c r="B247" i="7"/>
  <c r="AP401" i="7"/>
  <c r="AP413" i="7" s="1"/>
  <c r="AP278" i="7"/>
  <c r="AP409" i="7"/>
  <c r="AP421" i="7" s="1"/>
  <c r="AP286" i="7"/>
  <c r="AP400" i="7"/>
  <c r="AP404" i="7"/>
  <c r="AP416" i="7" s="1"/>
  <c r="AP281" i="7"/>
  <c r="AP408" i="7"/>
  <c r="AP420" i="7" s="1"/>
  <c r="AP285" i="7"/>
  <c r="AP428" i="7"/>
  <c r="AP440" i="7" s="1"/>
  <c r="AP305" i="7"/>
  <c r="AP432" i="7"/>
  <c r="AP444" i="7" s="1"/>
  <c r="AP309" i="7"/>
  <c r="AP452" i="7"/>
  <c r="AP456" i="7"/>
  <c r="AP468" i="7" s="1"/>
  <c r="AP333" i="7"/>
  <c r="AP460" i="7"/>
  <c r="AP472" i="7" s="1"/>
  <c r="AP337" i="7"/>
  <c r="B378" i="7"/>
  <c r="B380" i="7"/>
  <c r="B382" i="7"/>
  <c r="AP429" i="7"/>
  <c r="AP441" i="7" s="1"/>
  <c r="AP306" i="7"/>
  <c r="AP433" i="7"/>
  <c r="AP445" i="7" s="1"/>
  <c r="AP310" i="7"/>
  <c r="AP453" i="7"/>
  <c r="AP465" i="7" s="1"/>
  <c r="AP330" i="7"/>
  <c r="AP457" i="7"/>
  <c r="AP469" i="7" s="1"/>
  <c r="AP334" i="7"/>
  <c r="AP461" i="7"/>
  <c r="AP473" i="7" s="1"/>
  <c r="AP338" i="7"/>
  <c r="AP565" i="7"/>
  <c r="AP559" i="7"/>
  <c r="AP537" i="7" s="1"/>
  <c r="AP80" i="7" s="1"/>
  <c r="AP621" i="7"/>
  <c r="AP606" i="7" s="1"/>
  <c r="AP68" i="7" s="1"/>
  <c r="B611" i="7"/>
  <c r="AP277" i="7" s="1"/>
  <c r="U279" i="7"/>
  <c r="T414" i="7"/>
  <c r="V279" i="7"/>
  <c r="G414" i="7"/>
  <c r="I414" i="7"/>
  <c r="J414" i="7"/>
  <c r="L414" i="7"/>
  <c r="M414" i="7"/>
  <c r="N414" i="7"/>
  <c r="O414" i="7"/>
  <c r="P414" i="7"/>
  <c r="C279" i="7"/>
  <c r="H279" i="7"/>
  <c r="L279" i="7"/>
  <c r="N279" i="7"/>
  <c r="R279" i="7"/>
  <c r="T279" i="7"/>
  <c r="C414" i="7"/>
  <c r="E414" i="7"/>
  <c r="D414" i="7"/>
  <c r="F414" i="7"/>
  <c r="H414" i="7"/>
  <c r="K414" i="7"/>
  <c r="Q414" i="7"/>
  <c r="R414" i="7"/>
  <c r="S414" i="7"/>
  <c r="U414" i="7"/>
  <c r="D279" i="7"/>
  <c r="E279" i="7"/>
  <c r="F279" i="7"/>
  <c r="G279" i="7"/>
  <c r="I279" i="7"/>
  <c r="J279" i="7"/>
  <c r="K279" i="7"/>
  <c r="M279" i="7"/>
  <c r="O279" i="7"/>
  <c r="P279" i="7"/>
  <c r="Q279" i="7"/>
  <c r="S279" i="7"/>
  <c r="V414" i="7"/>
  <c r="W279" i="7"/>
  <c r="W414" i="7"/>
  <c r="X279" i="7"/>
  <c r="Y279" i="7"/>
  <c r="X414" i="7"/>
  <c r="AA625" i="7"/>
  <c r="AA633" i="7" s="1"/>
  <c r="AA605" i="7" s="1"/>
  <c r="AA63" i="7" s="1"/>
  <c r="Y414" i="7"/>
  <c r="Z279" i="7"/>
  <c r="AB625" i="7"/>
  <c r="AB633" i="7" s="1"/>
  <c r="AB605" i="7" s="1"/>
  <c r="AB63" i="7" s="1"/>
  <c r="AA279" i="7"/>
  <c r="Z414" i="7"/>
  <c r="AC625" i="7"/>
  <c r="AC633" i="7" s="1"/>
  <c r="AC605" i="7" s="1"/>
  <c r="AC63" i="7" s="1"/>
  <c r="AB279" i="7"/>
  <c r="AA414" i="7"/>
  <c r="AC279" i="7"/>
  <c r="AB414" i="7"/>
  <c r="AD625" i="7"/>
  <c r="AD633" i="7" s="1"/>
  <c r="AD605" i="7" s="1"/>
  <c r="AD63" i="7" s="1"/>
  <c r="AE625" i="7"/>
  <c r="AE633" i="7" s="1"/>
  <c r="AE605" i="7" s="1"/>
  <c r="AE63" i="7" s="1"/>
  <c r="AC414" i="7"/>
  <c r="AD279" i="7"/>
  <c r="AF625" i="7"/>
  <c r="AF633" i="7" s="1"/>
  <c r="AF605" i="7" s="1"/>
  <c r="AF63" i="7" s="1"/>
  <c r="AD414" i="7"/>
  <c r="AE279" i="7"/>
  <c r="AG625" i="7"/>
  <c r="AG633" i="7" s="1"/>
  <c r="AG605" i="7" s="1"/>
  <c r="AG63" i="7" s="1"/>
  <c r="AF279" i="7"/>
  <c r="AE414" i="7"/>
  <c r="AH625" i="7"/>
  <c r="AH633" i="7" s="1"/>
  <c r="AH605" i="7" s="1"/>
  <c r="AH63" i="7" s="1"/>
  <c r="AG279" i="7"/>
  <c r="AF414" i="7"/>
  <c r="AI625" i="7"/>
  <c r="AI633" i="7" s="1"/>
  <c r="AI605" i="7" s="1"/>
  <c r="AI63" i="7" s="1"/>
  <c r="AH279" i="7"/>
  <c r="AG414" i="7"/>
  <c r="AH414" i="7"/>
  <c r="AJ625" i="7"/>
  <c r="AJ633" i="7" s="1"/>
  <c r="AJ605" i="7" s="1"/>
  <c r="AJ63" i="7" s="1"/>
  <c r="AI279" i="7"/>
  <c r="AK625" i="7"/>
  <c r="AK633" i="7" s="1"/>
  <c r="AK605" i="7" s="1"/>
  <c r="AK63" i="7" s="1"/>
  <c r="AI414" i="7"/>
  <c r="AJ279" i="7"/>
  <c r="AL625" i="7"/>
  <c r="AL633" i="7" s="1"/>
  <c r="AL605" i="7" s="1"/>
  <c r="AL63" i="7" s="1"/>
  <c r="AK279" i="7"/>
  <c r="AJ414" i="7"/>
  <c r="AL279" i="7"/>
  <c r="AK414" i="7"/>
  <c r="AL414" i="7"/>
  <c r="AM279" i="7"/>
  <c r="AN279" i="7"/>
  <c r="AM414" i="7"/>
  <c r="T416" i="7"/>
  <c r="U281" i="7"/>
  <c r="C416" i="7"/>
  <c r="E416" i="7"/>
  <c r="H416" i="7"/>
  <c r="I416" i="7"/>
  <c r="N416" i="7"/>
  <c r="O416" i="7"/>
  <c r="S416" i="7"/>
  <c r="U416" i="7"/>
  <c r="D281" i="7"/>
  <c r="F281" i="7"/>
  <c r="G281" i="7"/>
  <c r="H281" i="7"/>
  <c r="J281" i="7"/>
  <c r="M281" i="7"/>
  <c r="N281" i="7"/>
  <c r="O281" i="7"/>
  <c r="P281" i="7"/>
  <c r="D416" i="7"/>
  <c r="F416" i="7"/>
  <c r="G416" i="7"/>
  <c r="J416" i="7"/>
  <c r="K416" i="7"/>
  <c r="L416" i="7"/>
  <c r="M416" i="7"/>
  <c r="P416" i="7"/>
  <c r="Q416" i="7"/>
  <c r="R416" i="7"/>
  <c r="C281" i="7"/>
  <c r="E281" i="7"/>
  <c r="I281" i="7"/>
  <c r="K281" i="7"/>
  <c r="L281" i="7"/>
  <c r="Q281" i="7"/>
  <c r="R281" i="7"/>
  <c r="T281" i="7"/>
  <c r="S281" i="7"/>
  <c r="V281" i="7"/>
  <c r="V416" i="7"/>
  <c r="W281" i="7"/>
  <c r="X281" i="7"/>
  <c r="W416" i="7"/>
  <c r="X416" i="7"/>
  <c r="Y281" i="7"/>
  <c r="Z281" i="7"/>
  <c r="Y416" i="7"/>
  <c r="Z416" i="7"/>
  <c r="AA281" i="7"/>
  <c r="AA416" i="7"/>
  <c r="AB281" i="7"/>
  <c r="AC281" i="7"/>
  <c r="AB416" i="7"/>
  <c r="AD281" i="7"/>
  <c r="AC416" i="7"/>
  <c r="AD416" i="7"/>
  <c r="AE281" i="7"/>
  <c r="AE416" i="7"/>
  <c r="AF281" i="7"/>
  <c r="AG281" i="7"/>
  <c r="AF416" i="7"/>
  <c r="AG416" i="7"/>
  <c r="AH281" i="7"/>
  <c r="AH416" i="7"/>
  <c r="AI281" i="7"/>
  <c r="AJ281" i="7"/>
  <c r="AI416" i="7"/>
  <c r="AJ416" i="7"/>
  <c r="AK281" i="7"/>
  <c r="AL281" i="7"/>
  <c r="AK416" i="7"/>
  <c r="AM281" i="7"/>
  <c r="AL416" i="7"/>
  <c r="AM416" i="7"/>
  <c r="AN281" i="7"/>
  <c r="T418" i="7"/>
  <c r="U283" i="7"/>
  <c r="V283" i="7"/>
  <c r="C418" i="7"/>
  <c r="D418" i="7"/>
  <c r="G418" i="7"/>
  <c r="H418" i="7"/>
  <c r="J418" i="7"/>
  <c r="M418" i="7"/>
  <c r="Q418" i="7"/>
  <c r="R418" i="7"/>
  <c r="C283" i="7"/>
  <c r="E283" i="7"/>
  <c r="F283" i="7"/>
  <c r="G283" i="7"/>
  <c r="I283" i="7"/>
  <c r="J283" i="7"/>
  <c r="K283" i="7"/>
  <c r="O283" i="7"/>
  <c r="P283" i="7"/>
  <c r="Q283" i="7"/>
  <c r="S283" i="7"/>
  <c r="E418" i="7"/>
  <c r="F418" i="7"/>
  <c r="I418" i="7"/>
  <c r="K418" i="7"/>
  <c r="L418" i="7"/>
  <c r="N418" i="7"/>
  <c r="O418" i="7"/>
  <c r="P418" i="7"/>
  <c r="S418" i="7"/>
  <c r="U418" i="7"/>
  <c r="D283" i="7"/>
  <c r="H283" i="7"/>
  <c r="L283" i="7"/>
  <c r="M283" i="7"/>
  <c r="N283" i="7"/>
  <c r="R283" i="7"/>
  <c r="T283" i="7"/>
  <c r="V418" i="7"/>
  <c r="W283" i="7"/>
  <c r="W418" i="7"/>
  <c r="X283" i="7"/>
  <c r="Y283" i="7"/>
  <c r="X418" i="7"/>
  <c r="Z283" i="7"/>
  <c r="Y418" i="7"/>
  <c r="AA283" i="7"/>
  <c r="Z418" i="7"/>
  <c r="AA418" i="7"/>
  <c r="AB283" i="7"/>
  <c r="AC283" i="7"/>
  <c r="AB418" i="7"/>
  <c r="AD283" i="7"/>
  <c r="AC418" i="7"/>
  <c r="AE283" i="7"/>
  <c r="AD418" i="7"/>
  <c r="AE418" i="7"/>
  <c r="AF283" i="7"/>
  <c r="AG283" i="7"/>
  <c r="AF418" i="7"/>
  <c r="AG418" i="7"/>
  <c r="AH283" i="7"/>
  <c r="AI283" i="7"/>
  <c r="AH418" i="7"/>
  <c r="AI418" i="7"/>
  <c r="AJ283" i="7"/>
  <c r="AK283" i="7"/>
  <c r="AJ418" i="7"/>
  <c r="AL283" i="7"/>
  <c r="AK418" i="7"/>
  <c r="AM283" i="7"/>
  <c r="AL418" i="7"/>
  <c r="AM418" i="7"/>
  <c r="AN283" i="7"/>
  <c r="U285" i="7"/>
  <c r="T420" i="7"/>
  <c r="F420" i="7"/>
  <c r="I420" i="7"/>
  <c r="J420" i="7"/>
  <c r="K420" i="7"/>
  <c r="M420" i="7"/>
  <c r="N420" i="7"/>
  <c r="R420" i="7"/>
  <c r="S420" i="7"/>
  <c r="U420" i="7"/>
  <c r="C285" i="7"/>
  <c r="D285" i="7"/>
  <c r="E285" i="7"/>
  <c r="G285" i="7"/>
  <c r="I285" i="7"/>
  <c r="L285" i="7"/>
  <c r="N285" i="7"/>
  <c r="Q285" i="7"/>
  <c r="R285" i="7"/>
  <c r="V285" i="7"/>
  <c r="C420" i="7"/>
  <c r="E420" i="7"/>
  <c r="D420" i="7"/>
  <c r="G420" i="7"/>
  <c r="H420" i="7"/>
  <c r="L420" i="7"/>
  <c r="O420" i="7"/>
  <c r="P420" i="7"/>
  <c r="Q420" i="7"/>
  <c r="F285" i="7"/>
  <c r="H285" i="7"/>
  <c r="J285" i="7"/>
  <c r="K285" i="7"/>
  <c r="M285" i="7"/>
  <c r="O285" i="7"/>
  <c r="P285" i="7"/>
  <c r="S285" i="7"/>
  <c r="T285" i="7"/>
  <c r="V420" i="7"/>
  <c r="W285" i="7"/>
  <c r="X285" i="7"/>
  <c r="W420" i="7"/>
  <c r="Y285" i="7"/>
  <c r="X420" i="7"/>
  <c r="Z285" i="7"/>
  <c r="Y420" i="7"/>
  <c r="AA285" i="7"/>
  <c r="Z420" i="7"/>
  <c r="AA420" i="7"/>
  <c r="AB285" i="7"/>
  <c r="AB420" i="7"/>
  <c r="AC285" i="7"/>
  <c r="AD285" i="7"/>
  <c r="AC420" i="7"/>
  <c r="AD420" i="7"/>
  <c r="AE285" i="7"/>
  <c r="AE420" i="7"/>
  <c r="AF285" i="7"/>
  <c r="AG285" i="7"/>
  <c r="AF420" i="7"/>
  <c r="AG420" i="7"/>
  <c r="AH285" i="7"/>
  <c r="AI285" i="7"/>
  <c r="AH420" i="7"/>
  <c r="AJ285" i="7"/>
  <c r="AI420" i="7"/>
  <c r="AK285" i="7"/>
  <c r="AJ420" i="7"/>
  <c r="AK420" i="7"/>
  <c r="AL285" i="7"/>
  <c r="AM285" i="7"/>
  <c r="AL420" i="7"/>
  <c r="AN285" i="7"/>
  <c r="AM420" i="7"/>
  <c r="AP653" i="7"/>
  <c r="AP638" i="7" s="1"/>
  <c r="AP69" i="7" s="1"/>
  <c r="B643" i="7"/>
  <c r="AP303" i="7" s="1"/>
  <c r="T440" i="7"/>
  <c r="U305" i="7"/>
  <c r="C440" i="7"/>
  <c r="D440" i="7"/>
  <c r="F440" i="7"/>
  <c r="G440" i="7"/>
  <c r="J440" i="7"/>
  <c r="K440" i="7"/>
  <c r="L440" i="7"/>
  <c r="P440" i="7"/>
  <c r="Q440" i="7"/>
  <c r="R440" i="7"/>
  <c r="S440" i="7"/>
  <c r="C305" i="7"/>
  <c r="E305" i="7"/>
  <c r="F305" i="7"/>
  <c r="G305" i="7"/>
  <c r="H305" i="7"/>
  <c r="I305" i="7"/>
  <c r="J305" i="7"/>
  <c r="P305" i="7"/>
  <c r="E440" i="7"/>
  <c r="H440" i="7"/>
  <c r="I440" i="7"/>
  <c r="M440" i="7"/>
  <c r="N440" i="7"/>
  <c r="O440" i="7"/>
  <c r="U440" i="7"/>
  <c r="D305" i="7"/>
  <c r="K305" i="7"/>
  <c r="L305" i="7"/>
  <c r="M305" i="7"/>
  <c r="N305" i="7"/>
  <c r="O305" i="7"/>
  <c r="R305" i="7"/>
  <c r="T305" i="7"/>
  <c r="Q305" i="7"/>
  <c r="S305" i="7"/>
  <c r="V305" i="7"/>
  <c r="W305" i="7"/>
  <c r="V440" i="7"/>
  <c r="X305" i="7"/>
  <c r="W440" i="7"/>
  <c r="X440" i="7"/>
  <c r="Y305" i="7"/>
  <c r="Z305" i="7"/>
  <c r="Y440" i="7"/>
  <c r="AA305" i="7"/>
  <c r="Z440" i="7"/>
  <c r="AA440" i="7"/>
  <c r="AB305" i="7"/>
  <c r="AC305" i="7"/>
  <c r="AB440" i="7"/>
  <c r="AD305" i="7"/>
  <c r="AC440" i="7"/>
  <c r="AE305" i="7"/>
  <c r="AD440" i="7"/>
  <c r="AG657" i="7"/>
  <c r="AG665" i="7" s="1"/>
  <c r="AG637" i="7" s="1"/>
  <c r="AG64" i="7" s="1"/>
  <c r="AE440" i="7"/>
  <c r="AF305" i="7"/>
  <c r="AH657" i="7"/>
  <c r="AH665" i="7" s="1"/>
  <c r="AH637" i="7" s="1"/>
  <c r="AH64" i="7" s="1"/>
  <c r="AG305" i="7"/>
  <c r="AF440" i="7"/>
  <c r="AI657" i="7"/>
  <c r="AI665" i="7" s="1"/>
  <c r="AI637" i="7" s="1"/>
  <c r="AI64" i="7" s="1"/>
  <c r="AG440" i="7"/>
  <c r="AH305" i="7"/>
  <c r="AH440" i="7"/>
  <c r="AJ657" i="7"/>
  <c r="AJ665" i="7" s="1"/>
  <c r="AJ637" i="7" s="1"/>
  <c r="AJ64" i="7" s="1"/>
  <c r="AI305" i="7"/>
  <c r="AJ305" i="7"/>
  <c r="AK657" i="7"/>
  <c r="AK665" i="7" s="1"/>
  <c r="AK637" i="7" s="1"/>
  <c r="AK64" i="7" s="1"/>
  <c r="AI440" i="7"/>
  <c r="AL657" i="7"/>
  <c r="AL665" i="7" s="1"/>
  <c r="AL637" i="7" s="1"/>
  <c r="AL64" i="7" s="1"/>
  <c r="AK305" i="7"/>
  <c r="AJ440" i="7"/>
  <c r="AL305" i="7"/>
  <c r="AM657" i="7"/>
  <c r="AM665" i="7" s="1"/>
  <c r="AM637" i="7" s="1"/>
  <c r="AM64" i="7" s="1"/>
  <c r="AK440" i="7"/>
  <c r="AN657" i="7"/>
  <c r="AN665" i="7" s="1"/>
  <c r="AN637" i="7" s="1"/>
  <c r="AN64" i="7" s="1"/>
  <c r="AM305" i="7"/>
  <c r="AL440" i="7"/>
  <c r="AN305" i="7"/>
  <c r="AO657" i="7"/>
  <c r="AO665" i="7" s="1"/>
  <c r="AO637" i="7" s="1"/>
  <c r="AO64" i="7" s="1"/>
  <c r="AM440" i="7"/>
  <c r="U307" i="7"/>
  <c r="T442" i="7"/>
  <c r="V307" i="7"/>
  <c r="C442" i="7"/>
  <c r="E442" i="7"/>
  <c r="F442" i="7"/>
  <c r="G442" i="7"/>
  <c r="I442" i="7"/>
  <c r="K442" i="7"/>
  <c r="L442" i="7"/>
  <c r="N442" i="7"/>
  <c r="P442" i="7"/>
  <c r="S442" i="7"/>
  <c r="C307" i="7"/>
  <c r="D307" i="7"/>
  <c r="F307" i="7"/>
  <c r="G307" i="7"/>
  <c r="M307" i="7"/>
  <c r="O307" i="7"/>
  <c r="S307" i="7"/>
  <c r="D442" i="7"/>
  <c r="H442" i="7"/>
  <c r="J442" i="7"/>
  <c r="M442" i="7"/>
  <c r="O442" i="7"/>
  <c r="Q442" i="7"/>
  <c r="R442" i="7"/>
  <c r="U442" i="7"/>
  <c r="E307" i="7"/>
  <c r="H307" i="7"/>
  <c r="I307" i="7"/>
  <c r="J307" i="7"/>
  <c r="K307" i="7"/>
  <c r="L307" i="7"/>
  <c r="N307" i="7"/>
  <c r="P307" i="7"/>
  <c r="Q307" i="7"/>
  <c r="R307" i="7"/>
  <c r="T307" i="7"/>
  <c r="V442" i="7"/>
  <c r="W307" i="7"/>
  <c r="W442" i="7"/>
  <c r="X307" i="7"/>
  <c r="Y307" i="7"/>
  <c r="X442" i="7"/>
  <c r="Y442" i="7"/>
  <c r="Z307" i="7"/>
  <c r="Z442" i="7"/>
  <c r="AA307" i="7"/>
  <c r="AA442" i="7"/>
  <c r="AB307" i="7"/>
  <c r="AC307" i="7"/>
  <c r="AB442" i="7"/>
  <c r="AC442" i="7"/>
  <c r="AD307" i="7"/>
  <c r="AE307" i="7"/>
  <c r="AD442" i="7"/>
  <c r="AF307" i="7"/>
  <c r="AE442" i="7"/>
  <c r="AG307" i="7"/>
  <c r="AF442" i="7"/>
  <c r="AH307" i="7"/>
  <c r="AG442" i="7"/>
  <c r="AI307" i="7"/>
  <c r="AH442" i="7"/>
  <c r="AJ307" i="7"/>
  <c r="AI442" i="7"/>
  <c r="AK307" i="7"/>
  <c r="AJ442" i="7"/>
  <c r="AL307" i="7"/>
  <c r="AK442" i="7"/>
  <c r="AM307" i="7"/>
  <c r="AL442" i="7"/>
  <c r="AN307" i="7"/>
  <c r="AM442" i="7"/>
  <c r="U309" i="7"/>
  <c r="T444" i="7"/>
  <c r="D444" i="7"/>
  <c r="H444" i="7"/>
  <c r="K444" i="7"/>
  <c r="L444" i="7"/>
  <c r="M444" i="7"/>
  <c r="O444" i="7"/>
  <c r="P444" i="7"/>
  <c r="Q444" i="7"/>
  <c r="R444" i="7"/>
  <c r="S444" i="7"/>
  <c r="U444" i="7"/>
  <c r="H309" i="7"/>
  <c r="K309" i="7"/>
  <c r="L309" i="7"/>
  <c r="M309" i="7"/>
  <c r="N309" i="7"/>
  <c r="T309" i="7"/>
  <c r="V309" i="7"/>
  <c r="C444" i="7"/>
  <c r="E444" i="7"/>
  <c r="F444" i="7"/>
  <c r="G444" i="7"/>
  <c r="I444" i="7"/>
  <c r="J444" i="7"/>
  <c r="N444" i="7"/>
  <c r="C309" i="7"/>
  <c r="D309" i="7"/>
  <c r="E309" i="7"/>
  <c r="F309" i="7"/>
  <c r="G309" i="7"/>
  <c r="I309" i="7"/>
  <c r="J309" i="7"/>
  <c r="O309" i="7"/>
  <c r="P309" i="7"/>
  <c r="Q309" i="7"/>
  <c r="S309" i="7"/>
  <c r="R309" i="7"/>
  <c r="V444" i="7"/>
  <c r="W309" i="7"/>
  <c r="X309" i="7"/>
  <c r="W444" i="7"/>
  <c r="X444" i="7"/>
  <c r="Y309" i="7"/>
  <c r="Z309" i="7"/>
  <c r="Y444" i="7"/>
  <c r="AA309" i="7"/>
  <c r="Z444" i="7"/>
  <c r="AA444" i="7"/>
  <c r="AB309" i="7"/>
  <c r="AB444" i="7"/>
  <c r="AC309" i="7"/>
  <c r="AD309" i="7"/>
  <c r="AC444" i="7"/>
  <c r="AE309" i="7"/>
  <c r="AD444" i="7"/>
  <c r="AE444" i="7"/>
  <c r="AF309" i="7"/>
  <c r="AG309" i="7"/>
  <c r="AF444" i="7"/>
  <c r="AH309" i="7"/>
  <c r="AG444" i="7"/>
  <c r="AI309" i="7"/>
  <c r="AH444" i="7"/>
  <c r="AJ309" i="7"/>
  <c r="AI444" i="7"/>
  <c r="AJ444" i="7"/>
  <c r="AK309" i="7"/>
  <c r="AL309" i="7"/>
  <c r="AK444" i="7"/>
  <c r="AL444" i="7"/>
  <c r="AM309" i="7"/>
  <c r="AN309" i="7"/>
  <c r="AM444" i="7"/>
  <c r="U311" i="7"/>
  <c r="T446" i="7"/>
  <c r="V311" i="7"/>
  <c r="G446" i="7"/>
  <c r="I446" i="7"/>
  <c r="J446" i="7"/>
  <c r="K446" i="7"/>
  <c r="L446" i="7"/>
  <c r="N446" i="7"/>
  <c r="O446" i="7"/>
  <c r="P446" i="7"/>
  <c r="Q446" i="7"/>
  <c r="U446" i="7"/>
  <c r="D311" i="7"/>
  <c r="E311" i="7"/>
  <c r="H311" i="7"/>
  <c r="I311" i="7"/>
  <c r="J311" i="7"/>
  <c r="K311" i="7"/>
  <c r="L311" i="7"/>
  <c r="N311" i="7"/>
  <c r="Q311" i="7"/>
  <c r="C446" i="7"/>
  <c r="D446" i="7"/>
  <c r="E446" i="7"/>
  <c r="F446" i="7"/>
  <c r="H446" i="7"/>
  <c r="M446" i="7"/>
  <c r="R446" i="7"/>
  <c r="S446" i="7"/>
  <c r="C311" i="7"/>
  <c r="F311" i="7"/>
  <c r="G311" i="7"/>
  <c r="M311" i="7"/>
  <c r="O311" i="7"/>
  <c r="P311" i="7"/>
  <c r="R311" i="7"/>
  <c r="S311" i="7"/>
  <c r="T311" i="7"/>
  <c r="V446" i="7"/>
  <c r="W311" i="7"/>
  <c r="X311" i="7"/>
  <c r="W446" i="7"/>
  <c r="Y311" i="7"/>
  <c r="X446" i="7"/>
  <c r="Y446" i="7"/>
  <c r="Z311" i="7"/>
  <c r="AA311" i="7"/>
  <c r="Z446" i="7"/>
  <c r="AB311" i="7"/>
  <c r="AA446" i="7"/>
  <c r="AC311" i="7"/>
  <c r="AB446" i="7"/>
  <c r="AC446" i="7"/>
  <c r="AD311" i="7"/>
  <c r="AD446" i="7"/>
  <c r="AE311" i="7"/>
  <c r="AF311" i="7"/>
  <c r="AE446" i="7"/>
  <c r="AG311" i="7"/>
  <c r="AF446" i="7"/>
  <c r="AG446" i="7"/>
  <c r="AH311" i="7"/>
  <c r="AH446" i="7"/>
  <c r="AI311" i="7"/>
  <c r="AI446" i="7"/>
  <c r="AJ311" i="7"/>
  <c r="AK311" i="7"/>
  <c r="AJ446" i="7"/>
  <c r="AL311" i="7"/>
  <c r="AK446" i="7"/>
  <c r="AL446" i="7"/>
  <c r="AM311" i="7"/>
  <c r="AN311" i="7"/>
  <c r="AM446" i="7"/>
  <c r="AP685" i="7"/>
  <c r="AP670" i="7" s="1"/>
  <c r="AP70" i="7" s="1"/>
  <c r="B675" i="7"/>
  <c r="AO464" i="7" s="1"/>
  <c r="U331" i="7"/>
  <c r="T466" i="7"/>
  <c r="V331" i="7"/>
  <c r="D466" i="7"/>
  <c r="H466" i="7"/>
  <c r="J466" i="7"/>
  <c r="Q466" i="7"/>
  <c r="R466" i="7"/>
  <c r="S466" i="7"/>
  <c r="C331" i="7"/>
  <c r="F331" i="7"/>
  <c r="J331" i="7"/>
  <c r="P331" i="7"/>
  <c r="R331" i="7"/>
  <c r="T331" i="7"/>
  <c r="C466" i="7"/>
  <c r="E466" i="7"/>
  <c r="F466" i="7"/>
  <c r="G466" i="7"/>
  <c r="I466" i="7"/>
  <c r="K466" i="7"/>
  <c r="L466" i="7"/>
  <c r="M466" i="7"/>
  <c r="N466" i="7"/>
  <c r="O466" i="7"/>
  <c r="P466" i="7"/>
  <c r="U466" i="7"/>
  <c r="D331" i="7"/>
  <c r="E331" i="7"/>
  <c r="G331" i="7"/>
  <c r="H331" i="7"/>
  <c r="I331" i="7"/>
  <c r="K331" i="7"/>
  <c r="L331" i="7"/>
  <c r="M331" i="7"/>
  <c r="N331" i="7"/>
  <c r="O331" i="7"/>
  <c r="Q331" i="7"/>
  <c r="S331" i="7"/>
  <c r="V466" i="7"/>
  <c r="W331" i="7"/>
  <c r="W466" i="7"/>
  <c r="X331" i="7"/>
  <c r="Y331" i="7"/>
  <c r="X466" i="7"/>
  <c r="Y466" i="7"/>
  <c r="Z331" i="7"/>
  <c r="Z466" i="7"/>
  <c r="AA331" i="7"/>
  <c r="AA466" i="7"/>
  <c r="AB331" i="7"/>
  <c r="AC331" i="7"/>
  <c r="AB466" i="7"/>
  <c r="AC466" i="7"/>
  <c r="AD331" i="7"/>
  <c r="AD466" i="7"/>
  <c r="AE331" i="7"/>
  <c r="AE466" i="7"/>
  <c r="AF331" i="7"/>
  <c r="AG331" i="7"/>
  <c r="AF466" i="7"/>
  <c r="AH331" i="7"/>
  <c r="AG466" i="7"/>
  <c r="AI331" i="7"/>
  <c r="AH466" i="7"/>
  <c r="AJ331" i="7"/>
  <c r="AI466" i="7"/>
  <c r="AJ466" i="7"/>
  <c r="AK331" i="7"/>
  <c r="AL331" i="7"/>
  <c r="AK466" i="7"/>
  <c r="AM331" i="7"/>
  <c r="AL466" i="7"/>
  <c r="AM466" i="7"/>
  <c r="AN331" i="7"/>
  <c r="U333" i="7"/>
  <c r="T468" i="7"/>
  <c r="C468" i="7"/>
  <c r="E468" i="7"/>
  <c r="F468" i="7"/>
  <c r="G468" i="7"/>
  <c r="I468" i="7"/>
  <c r="J468" i="7"/>
  <c r="N468" i="7"/>
  <c r="O468" i="7"/>
  <c r="U468" i="7"/>
  <c r="H333" i="7"/>
  <c r="L333" i="7"/>
  <c r="M333" i="7"/>
  <c r="D468" i="7"/>
  <c r="H468" i="7"/>
  <c r="K468" i="7"/>
  <c r="L468" i="7"/>
  <c r="M468" i="7"/>
  <c r="P468" i="7"/>
  <c r="Q468" i="7"/>
  <c r="R468" i="7"/>
  <c r="S468" i="7"/>
  <c r="C333" i="7"/>
  <c r="D333" i="7"/>
  <c r="E333" i="7"/>
  <c r="F333" i="7"/>
  <c r="G333" i="7"/>
  <c r="I333" i="7"/>
  <c r="J333" i="7"/>
  <c r="K333" i="7"/>
  <c r="N333" i="7"/>
  <c r="O333" i="7"/>
  <c r="P333" i="7"/>
  <c r="Q333" i="7"/>
  <c r="R333" i="7"/>
  <c r="S333" i="7"/>
  <c r="T333" i="7"/>
  <c r="V333" i="7"/>
  <c r="V468" i="7"/>
  <c r="W333" i="7"/>
  <c r="X333" i="7"/>
  <c r="W468" i="7"/>
  <c r="X468" i="7"/>
  <c r="Y333" i="7"/>
  <c r="Z333" i="7"/>
  <c r="Y468" i="7"/>
  <c r="AA333" i="7"/>
  <c r="Z468" i="7"/>
  <c r="AA468" i="7"/>
  <c r="AB333" i="7"/>
  <c r="AB468" i="7"/>
  <c r="AC333" i="7"/>
  <c r="AD333" i="7"/>
  <c r="AC468" i="7"/>
  <c r="AE333" i="7"/>
  <c r="AD468" i="7"/>
  <c r="AE468" i="7"/>
  <c r="AF333" i="7"/>
  <c r="AF468" i="7"/>
  <c r="AG333" i="7"/>
  <c r="AH333" i="7"/>
  <c r="AG468" i="7"/>
  <c r="AI333" i="7"/>
  <c r="AH468" i="7"/>
  <c r="AJ333" i="7"/>
  <c r="AI468" i="7"/>
  <c r="AJ468" i="7"/>
  <c r="AK333" i="7"/>
  <c r="AL333" i="7"/>
  <c r="AK468" i="7"/>
  <c r="AL468" i="7"/>
  <c r="AM333" i="7"/>
  <c r="AN333" i="7"/>
  <c r="AM468" i="7"/>
  <c r="U335" i="7"/>
  <c r="T470" i="7"/>
  <c r="V335" i="7"/>
  <c r="C470" i="7"/>
  <c r="D470" i="7"/>
  <c r="E470" i="7"/>
  <c r="F470" i="7"/>
  <c r="H470" i="7"/>
  <c r="M470" i="7"/>
  <c r="O470" i="7"/>
  <c r="Q470" i="7"/>
  <c r="R470" i="7"/>
  <c r="S470" i="7"/>
  <c r="U470" i="7"/>
  <c r="E335" i="7"/>
  <c r="G335" i="7"/>
  <c r="H335" i="7"/>
  <c r="I335" i="7"/>
  <c r="K335" i="7"/>
  <c r="L335" i="7"/>
  <c r="M335" i="7"/>
  <c r="N335" i="7"/>
  <c r="O335" i="7"/>
  <c r="P335" i="7"/>
  <c r="G470" i="7"/>
  <c r="I470" i="7"/>
  <c r="J470" i="7"/>
  <c r="K470" i="7"/>
  <c r="L470" i="7"/>
  <c r="N470" i="7"/>
  <c r="P470" i="7"/>
  <c r="C335" i="7"/>
  <c r="D335" i="7"/>
  <c r="F335" i="7"/>
  <c r="J335" i="7"/>
  <c r="R335" i="7"/>
  <c r="S335" i="7"/>
  <c r="Q335" i="7"/>
  <c r="T335" i="7"/>
  <c r="V470" i="7"/>
  <c r="W335" i="7"/>
  <c r="X335" i="7"/>
  <c r="W470" i="7"/>
  <c r="Y335" i="7"/>
  <c r="X470" i="7"/>
  <c r="Y470" i="7"/>
  <c r="Z335" i="7"/>
  <c r="Z470" i="7"/>
  <c r="AA335" i="7"/>
  <c r="AB335" i="7"/>
  <c r="AA470" i="7"/>
  <c r="AC335" i="7"/>
  <c r="AB470" i="7"/>
  <c r="AC470" i="7"/>
  <c r="AD335" i="7"/>
  <c r="AE335" i="7"/>
  <c r="AD470" i="7"/>
  <c r="AF335" i="7"/>
  <c r="AE470" i="7"/>
  <c r="AG335" i="7"/>
  <c r="AF470" i="7"/>
  <c r="AG470" i="7"/>
  <c r="AH335" i="7"/>
  <c r="AH470" i="7"/>
  <c r="AI335" i="7"/>
  <c r="AI470" i="7"/>
  <c r="AJ335" i="7"/>
  <c r="AK335" i="7"/>
  <c r="AJ470" i="7"/>
  <c r="AL335" i="7"/>
  <c r="AK470" i="7"/>
  <c r="AL470" i="7"/>
  <c r="AM335" i="7"/>
  <c r="AM470" i="7"/>
  <c r="AN335" i="7"/>
  <c r="T472" i="7"/>
  <c r="U337" i="7"/>
  <c r="C472" i="7"/>
  <c r="F472" i="7"/>
  <c r="J472" i="7"/>
  <c r="L472" i="7"/>
  <c r="N472" i="7"/>
  <c r="P472" i="7"/>
  <c r="Q472" i="7"/>
  <c r="S472" i="7"/>
  <c r="C337" i="7"/>
  <c r="D337" i="7"/>
  <c r="E337" i="7"/>
  <c r="F337" i="7"/>
  <c r="G337" i="7"/>
  <c r="I337" i="7"/>
  <c r="J337" i="7"/>
  <c r="K337" i="7"/>
  <c r="N337" i="7"/>
  <c r="O337" i="7"/>
  <c r="P337" i="7"/>
  <c r="S337" i="7"/>
  <c r="V337" i="7"/>
  <c r="D472" i="7"/>
  <c r="E472" i="7"/>
  <c r="G472" i="7"/>
  <c r="H472" i="7"/>
  <c r="I472" i="7"/>
  <c r="K472" i="7"/>
  <c r="M472" i="7"/>
  <c r="O472" i="7"/>
  <c r="R472" i="7"/>
  <c r="U472" i="7"/>
  <c r="H337" i="7"/>
  <c r="L337" i="7"/>
  <c r="M337" i="7"/>
  <c r="R337" i="7"/>
  <c r="T337" i="7"/>
  <c r="Q337" i="7"/>
  <c r="W337" i="7"/>
  <c r="V472" i="7"/>
  <c r="X337" i="7"/>
  <c r="W472" i="7"/>
  <c r="X472" i="7"/>
  <c r="Y337" i="7"/>
  <c r="Z337" i="7"/>
  <c r="Y472" i="7"/>
  <c r="AA337" i="7"/>
  <c r="Z472" i="7"/>
  <c r="AA472" i="7"/>
  <c r="AB337" i="7"/>
  <c r="AB472" i="7"/>
  <c r="AC337" i="7"/>
  <c r="AD337" i="7"/>
  <c r="AC472" i="7"/>
  <c r="AE337" i="7"/>
  <c r="AD472" i="7"/>
  <c r="AE472" i="7"/>
  <c r="AF337" i="7"/>
  <c r="AF472" i="7"/>
  <c r="AG337" i="7"/>
  <c r="AG472" i="7"/>
  <c r="AH337" i="7"/>
  <c r="AH472" i="7"/>
  <c r="AI337" i="7"/>
  <c r="AJ337" i="7"/>
  <c r="AI472" i="7"/>
  <c r="AK337" i="7"/>
  <c r="AJ472" i="7"/>
  <c r="AL337" i="7"/>
  <c r="AK472" i="7"/>
  <c r="AM337" i="7"/>
  <c r="AL472" i="7"/>
  <c r="AN337" i="7"/>
  <c r="AM472" i="7"/>
  <c r="AP657" i="7"/>
  <c r="AN421" i="7"/>
  <c r="AN420" i="7"/>
  <c r="AN444" i="7"/>
  <c r="AN468" i="7"/>
  <c r="AN441" i="7"/>
  <c r="AN465" i="7"/>
  <c r="AN473" i="7"/>
  <c r="AO472" i="7"/>
  <c r="AO468" i="7"/>
  <c r="AO444" i="7"/>
  <c r="AO440" i="7"/>
  <c r="AO471" i="7"/>
  <c r="AO467" i="7"/>
  <c r="AO447" i="7"/>
  <c r="AO443" i="7"/>
  <c r="AO439" i="7"/>
  <c r="AO419" i="7"/>
  <c r="AO415" i="7"/>
  <c r="AO418" i="7"/>
  <c r="AO285" i="7"/>
  <c r="D17" i="2"/>
  <c r="D15" i="2"/>
  <c r="F372" i="2"/>
  <c r="F507" i="2" s="1"/>
  <c r="F368" i="2"/>
  <c r="F503" i="2" s="1"/>
  <c r="F371" i="2"/>
  <c r="F506" i="2" s="1"/>
  <c r="F365" i="2"/>
  <c r="F500" i="2" s="1"/>
  <c r="F373" i="2"/>
  <c r="F508" i="2" s="1"/>
  <c r="E71" i="2"/>
  <c r="F367" i="2"/>
  <c r="F502" i="2" s="1"/>
  <c r="F370" i="2"/>
  <c r="F505" i="2" s="1"/>
  <c r="F369" i="2"/>
  <c r="F504" i="2" s="1"/>
  <c r="F366" i="2"/>
  <c r="F501" i="2" s="1"/>
  <c r="F759" i="2"/>
  <c r="F744" i="2" s="1"/>
  <c r="F70" i="2" s="1"/>
  <c r="G758" i="2"/>
  <c r="G400" i="2" s="1"/>
  <c r="G535" i="2" s="1"/>
  <c r="G756" i="2"/>
  <c r="G398" i="2" s="1"/>
  <c r="G533" i="2" s="1"/>
  <c r="G754" i="2"/>
  <c r="G396" i="2" s="1"/>
  <c r="G531" i="2" s="1"/>
  <c r="G752" i="2"/>
  <c r="G394" i="2" s="1"/>
  <c r="G529" i="2" s="1"/>
  <c r="G750" i="2"/>
  <c r="G392" i="2" s="1"/>
  <c r="G527" i="2" s="1"/>
  <c r="G726" i="2"/>
  <c r="G757" i="2"/>
  <c r="G399" i="2" s="1"/>
  <c r="G534" i="2" s="1"/>
  <c r="G755" i="2"/>
  <c r="G397" i="2" s="1"/>
  <c r="G532" i="2" s="1"/>
  <c r="G753" i="2"/>
  <c r="G395" i="2" s="1"/>
  <c r="G530" i="2" s="1"/>
  <c r="G751" i="2"/>
  <c r="G393" i="2" s="1"/>
  <c r="G528" i="2" s="1"/>
  <c r="G749" i="2"/>
  <c r="G391" i="2" s="1"/>
  <c r="G526" i="2" s="1"/>
  <c r="G725" i="2"/>
  <c r="G724" i="2"/>
  <c r="G372" i="2" s="1"/>
  <c r="G507" i="2" s="1"/>
  <c r="G722" i="2"/>
  <c r="G720" i="2"/>
  <c r="G718" i="2"/>
  <c r="G694" i="2"/>
  <c r="G692" i="2"/>
  <c r="G690" i="2"/>
  <c r="G688" i="2"/>
  <c r="G686" i="2"/>
  <c r="G763" i="2"/>
  <c r="G766" i="2"/>
  <c r="G768" i="2"/>
  <c r="G770" i="2"/>
  <c r="G721" i="2"/>
  <c r="G717" i="2"/>
  <c r="G693" i="2"/>
  <c r="G689" i="2"/>
  <c r="G723" i="2"/>
  <c r="G719" i="2"/>
  <c r="G691" i="2"/>
  <c r="G687" i="2"/>
  <c r="G764" i="2"/>
  <c r="G767" i="2"/>
  <c r="G765" i="2"/>
  <c r="G731" i="2"/>
  <c r="G733" i="2"/>
  <c r="G735" i="2"/>
  <c r="G737" i="2"/>
  <c r="G685" i="2"/>
  <c r="G769" i="2"/>
  <c r="G730" i="2"/>
  <c r="G732" i="2"/>
  <c r="G734" i="2"/>
  <c r="G736" i="2"/>
  <c r="G738" i="2"/>
  <c r="F727" i="2"/>
  <c r="F712" i="2" s="1"/>
  <c r="F69" i="2" s="1"/>
  <c r="G552" i="2"/>
  <c r="G553" i="2" s="1"/>
  <c r="G558" i="2"/>
  <c r="G559" i="2" s="1"/>
  <c r="G624" i="2"/>
  <c r="G617" i="2"/>
  <c r="H11" i="2"/>
  <c r="G317" i="2"/>
  <c r="G319" i="2"/>
  <c r="G321" i="2"/>
  <c r="G452" i="2"/>
  <c r="G454" i="2"/>
  <c r="G456" i="2"/>
  <c r="G320" i="2"/>
  <c r="G453" i="2"/>
  <c r="G318" i="2"/>
  <c r="G322" i="2"/>
  <c r="G451" i="2"/>
  <c r="G455" i="2"/>
  <c r="G19" i="2"/>
  <c r="G698" i="2"/>
  <c r="G699" i="2"/>
  <c r="G700" i="2"/>
  <c r="G701" i="2"/>
  <c r="G702" i="2"/>
  <c r="G703" i="2"/>
  <c r="G704" i="2"/>
  <c r="G705" i="2"/>
  <c r="G706" i="2"/>
  <c r="G469" i="2"/>
  <c r="F336" i="2"/>
  <c r="G335" i="2"/>
  <c r="F349" i="2"/>
  <c r="F483" i="2" s="1"/>
  <c r="F347" i="2"/>
  <c r="F481" i="2" s="1"/>
  <c r="F340" i="2"/>
  <c r="F474" i="2" s="1"/>
  <c r="F348" i="2"/>
  <c r="F482" i="2" s="1"/>
  <c r="F346" i="2"/>
  <c r="F480" i="2" s="1"/>
  <c r="F341" i="2"/>
  <c r="F475" i="2" s="1"/>
  <c r="F342" i="2"/>
  <c r="F476" i="2" s="1"/>
  <c r="F695" i="2"/>
  <c r="F680" i="2" s="1"/>
  <c r="F68" i="2" s="1"/>
  <c r="G23" i="2"/>
  <c r="G26" i="2"/>
  <c r="G30" i="2"/>
  <c r="G668" i="2"/>
  <c r="F27" i="2"/>
  <c r="H2" i="2"/>
  <c r="H674" i="2" s="1"/>
  <c r="G25" i="2"/>
  <c r="AP341" i="8" l="1"/>
  <c r="AP345" i="8"/>
  <c r="AP392" i="8"/>
  <c r="AP396" i="8"/>
  <c r="AP531" i="8" s="1"/>
  <c r="AP543" i="8" s="1"/>
  <c r="AP369" i="8"/>
  <c r="AP339" i="8"/>
  <c r="AP343" i="8"/>
  <c r="AP363" i="8"/>
  <c r="AP498" i="8" s="1"/>
  <c r="AP510" i="8" s="1"/>
  <c r="AP367" i="8"/>
  <c r="AP371" i="8"/>
  <c r="AP340" i="8"/>
  <c r="AP344" i="8"/>
  <c r="AP478" i="8" s="1"/>
  <c r="AP490" i="8" s="1"/>
  <c r="AE697" i="7"/>
  <c r="AE669" i="7" s="1"/>
  <c r="AE65" i="7" s="1"/>
  <c r="Y697" i="7"/>
  <c r="Y669" i="7" s="1"/>
  <c r="Y65" i="7" s="1"/>
  <c r="AO513" i="8"/>
  <c r="O63" i="7"/>
  <c r="AP539" i="7"/>
  <c r="AP534" i="7"/>
  <c r="AP576" i="7"/>
  <c r="AP577" i="7" s="1"/>
  <c r="B579" i="7"/>
  <c r="H655" i="2"/>
  <c r="H659" i="2" s="1"/>
  <c r="D653" i="2"/>
  <c r="D648" i="2"/>
  <c r="G618" i="2"/>
  <c r="D18" i="2"/>
  <c r="B692" i="7"/>
  <c r="H597" i="2"/>
  <c r="H593" i="2"/>
  <c r="H589" i="2"/>
  <c r="H585" i="2"/>
  <c r="B624" i="7"/>
  <c r="B691" i="7"/>
  <c r="B696" i="7"/>
  <c r="B695" i="7"/>
  <c r="B689" i="7"/>
  <c r="B694" i="7"/>
  <c r="B690" i="7"/>
  <c r="B693" i="7"/>
  <c r="AN537" i="8"/>
  <c r="I693" i="8"/>
  <c r="J693" i="8"/>
  <c r="K693" i="8"/>
  <c r="AN539" i="8"/>
  <c r="O695" i="8"/>
  <c r="P695" i="8"/>
  <c r="Q695" i="8"/>
  <c r="AO406" i="8"/>
  <c r="U697" i="8"/>
  <c r="V697" i="8"/>
  <c r="W697" i="8"/>
  <c r="AN543" i="8"/>
  <c r="AA699" i="8"/>
  <c r="AB699" i="8"/>
  <c r="AC699" i="8"/>
  <c r="AN536" i="8"/>
  <c r="F692" i="8"/>
  <c r="G692" i="8"/>
  <c r="H692" i="8"/>
  <c r="L694" i="8"/>
  <c r="M694" i="8"/>
  <c r="N694" i="8"/>
  <c r="R696" i="8"/>
  <c r="S696" i="8"/>
  <c r="T696" i="8"/>
  <c r="X698" i="8"/>
  <c r="Y698" i="8"/>
  <c r="Z698" i="8"/>
  <c r="AN544" i="8"/>
  <c r="AD700" i="8"/>
  <c r="AE700" i="8"/>
  <c r="AF700" i="8"/>
  <c r="AO517" i="8"/>
  <c r="AP179" i="10"/>
  <c r="AP196" i="10" s="1"/>
  <c r="E14" i="2"/>
  <c r="AP118" i="10"/>
  <c r="AI101" i="10"/>
  <c r="AK101" i="10"/>
  <c r="AM109" i="10"/>
  <c r="AH109" i="10"/>
  <c r="AJ109" i="10"/>
  <c r="AL101" i="10"/>
  <c r="AN109" i="10"/>
  <c r="AG101" i="10"/>
  <c r="AO412" i="7"/>
  <c r="AO422" i="7" s="1"/>
  <c r="B688" i="7"/>
  <c r="B625" i="7"/>
  <c r="AO537" i="8"/>
  <c r="AN122" i="10"/>
  <c r="C393" i="10"/>
  <c r="B383" i="10"/>
  <c r="AO489" i="8"/>
  <c r="AK109" i="10"/>
  <c r="AM122" i="10"/>
  <c r="C445" i="10"/>
  <c r="B435" i="10"/>
  <c r="C580" i="10"/>
  <c r="B570" i="10"/>
  <c r="C742" i="10"/>
  <c r="C714" i="10" s="1"/>
  <c r="B732" i="10"/>
  <c r="AN101" i="10"/>
  <c r="AG109" i="10"/>
  <c r="C528" i="10"/>
  <c r="B518" i="10"/>
  <c r="B668" i="10"/>
  <c r="C678" i="10"/>
  <c r="C650" i="10" s="1"/>
  <c r="C419" i="10"/>
  <c r="B409" i="10"/>
  <c r="C554" i="10"/>
  <c r="B544" i="10"/>
  <c r="B700" i="10"/>
  <c r="C710" i="10"/>
  <c r="C682" i="10" s="1"/>
  <c r="AN487" i="8"/>
  <c r="AO541" i="8"/>
  <c r="AO485" i="8"/>
  <c r="B656" i="7"/>
  <c r="AN491" i="8"/>
  <c r="AO402" i="8"/>
  <c r="AO354" i="8"/>
  <c r="AO518" i="8"/>
  <c r="AO514" i="8"/>
  <c r="AO510" i="8"/>
  <c r="AP27" i="8"/>
  <c r="AO63" i="8"/>
  <c r="AN233" i="8"/>
  <c r="AN234" i="8" s="1"/>
  <c r="AO378" i="8"/>
  <c r="AO542" i="8"/>
  <c r="AO538" i="8"/>
  <c r="AO490" i="8"/>
  <c r="AO486" i="8"/>
  <c r="AO72" i="8"/>
  <c r="B315" i="8"/>
  <c r="B317" i="8"/>
  <c r="B319" i="8"/>
  <c r="AP473" i="8"/>
  <c r="AP485" i="8" s="1"/>
  <c r="AP350" i="8"/>
  <c r="AP477" i="8"/>
  <c r="AP489" i="8" s="1"/>
  <c r="AP354" i="8"/>
  <c r="AP497" i="8"/>
  <c r="AP501" i="8"/>
  <c r="AP513" i="8" s="1"/>
  <c r="AP378" i="8"/>
  <c r="AP505" i="8"/>
  <c r="AP517" i="8" s="1"/>
  <c r="AP382" i="8"/>
  <c r="AP525" i="8"/>
  <c r="AP537" i="8" s="1"/>
  <c r="AP402" i="8"/>
  <c r="AP529" i="8"/>
  <c r="AP541" i="8" s="1"/>
  <c r="AP406" i="8"/>
  <c r="AP467" i="8"/>
  <c r="B448" i="8"/>
  <c r="B450" i="8"/>
  <c r="B452" i="8"/>
  <c r="AP474" i="8"/>
  <c r="AP486" i="8" s="1"/>
  <c r="AP351" i="8"/>
  <c r="AP375" i="8"/>
  <c r="AP502" i="8"/>
  <c r="AP514" i="8" s="1"/>
  <c r="AP379" i="8"/>
  <c r="AP506" i="8"/>
  <c r="AP518" i="8" s="1"/>
  <c r="AP383" i="8"/>
  <c r="AP526" i="8"/>
  <c r="AP538" i="8" s="1"/>
  <c r="AP403" i="8"/>
  <c r="AP530" i="8"/>
  <c r="AP542" i="8" s="1"/>
  <c r="AP407" i="8"/>
  <c r="O628" i="8"/>
  <c r="O637" i="8" s="1"/>
  <c r="O609" i="8" s="1"/>
  <c r="O55" i="8" s="1"/>
  <c r="P628" i="8"/>
  <c r="P637" i="8" s="1"/>
  <c r="P609" i="8" s="1"/>
  <c r="P55" i="8" s="1"/>
  <c r="Q628" i="8"/>
  <c r="Q637" i="8" s="1"/>
  <c r="Q609" i="8" s="1"/>
  <c r="Q55" i="8" s="1"/>
  <c r="R628" i="8"/>
  <c r="R637" i="8" s="1"/>
  <c r="R609" i="8" s="1"/>
  <c r="R55" i="8" s="1"/>
  <c r="S628" i="8"/>
  <c r="S637" i="8" s="1"/>
  <c r="S609" i="8" s="1"/>
  <c r="S55" i="8" s="1"/>
  <c r="T628" i="8"/>
  <c r="T637" i="8" s="1"/>
  <c r="T609" i="8" s="1"/>
  <c r="T55" i="8" s="1"/>
  <c r="U628" i="8"/>
  <c r="U637" i="8" s="1"/>
  <c r="U609" i="8" s="1"/>
  <c r="U55" i="8" s="1"/>
  <c r="V628" i="8"/>
  <c r="V637" i="8" s="1"/>
  <c r="V609" i="8" s="1"/>
  <c r="V55" i="8" s="1"/>
  <c r="T484" i="8"/>
  <c r="C349" i="8"/>
  <c r="G349" i="8"/>
  <c r="I349" i="8"/>
  <c r="K349" i="8"/>
  <c r="M349" i="8"/>
  <c r="N349" i="8"/>
  <c r="Q349" i="8"/>
  <c r="S349" i="8"/>
  <c r="T349" i="8"/>
  <c r="V349" i="8"/>
  <c r="C484" i="8"/>
  <c r="D484" i="8"/>
  <c r="F484" i="8"/>
  <c r="G484" i="8"/>
  <c r="J484" i="8"/>
  <c r="K484" i="8"/>
  <c r="N484" i="8"/>
  <c r="O484" i="8"/>
  <c r="P484" i="8"/>
  <c r="R484" i="8"/>
  <c r="S484" i="8"/>
  <c r="U484" i="8"/>
  <c r="D349" i="8"/>
  <c r="E349" i="8"/>
  <c r="F349" i="8"/>
  <c r="H349" i="8"/>
  <c r="J349" i="8"/>
  <c r="L349" i="8"/>
  <c r="O349" i="8"/>
  <c r="P349" i="8"/>
  <c r="R349" i="8"/>
  <c r="U349" i="8"/>
  <c r="W628" i="8"/>
  <c r="W637" i="8" s="1"/>
  <c r="W609" i="8" s="1"/>
  <c r="W55" i="8" s="1"/>
  <c r="E484" i="8"/>
  <c r="H484" i="8"/>
  <c r="I484" i="8"/>
  <c r="L484" i="8"/>
  <c r="M484" i="8"/>
  <c r="Q484" i="8"/>
  <c r="W349" i="8"/>
  <c r="V484" i="8"/>
  <c r="X628" i="8"/>
  <c r="X637" i="8" s="1"/>
  <c r="X609" i="8" s="1"/>
  <c r="X55" i="8" s="1"/>
  <c r="Y628" i="8"/>
  <c r="Y637" i="8" s="1"/>
  <c r="Y609" i="8" s="1"/>
  <c r="Y55" i="8" s="1"/>
  <c r="X349" i="8"/>
  <c r="W484" i="8"/>
  <c r="Z628" i="8"/>
  <c r="Z637" i="8" s="1"/>
  <c r="Z609" i="8" s="1"/>
  <c r="Z55" i="8" s="1"/>
  <c r="X484" i="8"/>
  <c r="Y349" i="8"/>
  <c r="Z349" i="8"/>
  <c r="Y484" i="8"/>
  <c r="AA349" i="8"/>
  <c r="Z484" i="8"/>
  <c r="AB349" i="8"/>
  <c r="AA484" i="8"/>
  <c r="AC349" i="8"/>
  <c r="AB484" i="8"/>
  <c r="AD349" i="8"/>
  <c r="AC484" i="8"/>
  <c r="AE349" i="8"/>
  <c r="AD484" i="8"/>
  <c r="AF349" i="8"/>
  <c r="AE484" i="8"/>
  <c r="AF484" i="8"/>
  <c r="AG349" i="8"/>
  <c r="AG484" i="8"/>
  <c r="AH349" i="8"/>
  <c r="AI349" i="8"/>
  <c r="AH484" i="8"/>
  <c r="AI484" i="8"/>
  <c r="AJ349" i="8"/>
  <c r="AJ484" i="8"/>
  <c r="AK349" i="8"/>
  <c r="AK484" i="8"/>
  <c r="AL349" i="8"/>
  <c r="AM349" i="8"/>
  <c r="AL484" i="8"/>
  <c r="AN349" i="8"/>
  <c r="AM484" i="8"/>
  <c r="U351" i="8"/>
  <c r="V351" i="8"/>
  <c r="D351" i="8"/>
  <c r="E351" i="8"/>
  <c r="F351" i="8"/>
  <c r="G351" i="8"/>
  <c r="H351" i="8"/>
  <c r="K351" i="8"/>
  <c r="L351" i="8"/>
  <c r="P351" i="8"/>
  <c r="R351" i="8"/>
  <c r="T486" i="8"/>
  <c r="D486" i="8"/>
  <c r="E486" i="8"/>
  <c r="F486" i="8"/>
  <c r="I486" i="8"/>
  <c r="J486" i="8"/>
  <c r="K486" i="8"/>
  <c r="N486" i="8"/>
  <c r="O486" i="8"/>
  <c r="P486" i="8"/>
  <c r="Q486" i="8"/>
  <c r="R486" i="8"/>
  <c r="U486" i="8"/>
  <c r="C351" i="8"/>
  <c r="I351" i="8"/>
  <c r="J351" i="8"/>
  <c r="M351" i="8"/>
  <c r="N351" i="8"/>
  <c r="O351" i="8"/>
  <c r="Q351" i="8"/>
  <c r="S351" i="8"/>
  <c r="T351" i="8"/>
  <c r="C486" i="8"/>
  <c r="G486" i="8"/>
  <c r="H486" i="8"/>
  <c r="L486" i="8"/>
  <c r="M486" i="8"/>
  <c r="S486" i="8"/>
  <c r="V486" i="8"/>
  <c r="W351" i="8"/>
  <c r="W486" i="8"/>
  <c r="X351" i="8"/>
  <c r="Y351" i="8"/>
  <c r="X486" i="8"/>
  <c r="Y486" i="8"/>
  <c r="Z351" i="8"/>
  <c r="Z486" i="8"/>
  <c r="AA351" i="8"/>
  <c r="AB351" i="8"/>
  <c r="AA486" i="8"/>
  <c r="AC351" i="8"/>
  <c r="AB486" i="8"/>
  <c r="AD351" i="8"/>
  <c r="AC486" i="8"/>
  <c r="AD486" i="8"/>
  <c r="AE351" i="8"/>
  <c r="AF351" i="8"/>
  <c r="AE486" i="8"/>
  <c r="AG351" i="8"/>
  <c r="AF486" i="8"/>
  <c r="AG486" i="8"/>
  <c r="AH351" i="8"/>
  <c r="AI351" i="8"/>
  <c r="AH486" i="8"/>
  <c r="AJ351" i="8"/>
  <c r="AI486" i="8"/>
  <c r="AJ486" i="8"/>
  <c r="AK351" i="8"/>
  <c r="AM630" i="8"/>
  <c r="AM637" i="8" s="1"/>
  <c r="AM609" i="8" s="1"/>
  <c r="AM55" i="8" s="1"/>
  <c r="AK486" i="8"/>
  <c r="AL351" i="8"/>
  <c r="AN630" i="8"/>
  <c r="AN637" i="8" s="1"/>
  <c r="AN609" i="8" s="1"/>
  <c r="AN55" i="8" s="1"/>
  <c r="AM351" i="8"/>
  <c r="AL486" i="8"/>
  <c r="AN351" i="8"/>
  <c r="AO630" i="8"/>
  <c r="AO637" i="8" s="1"/>
  <c r="AO609" i="8" s="1"/>
  <c r="AO55" i="8" s="1"/>
  <c r="AM486" i="8"/>
  <c r="T488" i="8"/>
  <c r="E353" i="8"/>
  <c r="F353" i="8"/>
  <c r="H353" i="8"/>
  <c r="J353" i="8"/>
  <c r="O353" i="8"/>
  <c r="R353" i="8"/>
  <c r="T353" i="8"/>
  <c r="V353" i="8"/>
  <c r="U353" i="8"/>
  <c r="D488" i="8"/>
  <c r="E488" i="8"/>
  <c r="F488" i="8"/>
  <c r="G488" i="8"/>
  <c r="H488" i="8"/>
  <c r="J488" i="8"/>
  <c r="K488" i="8"/>
  <c r="N488" i="8"/>
  <c r="O488" i="8"/>
  <c r="P488" i="8"/>
  <c r="Q488" i="8"/>
  <c r="R488" i="8"/>
  <c r="S488" i="8"/>
  <c r="C353" i="8"/>
  <c r="D353" i="8"/>
  <c r="G353" i="8"/>
  <c r="I353" i="8"/>
  <c r="K353" i="8"/>
  <c r="L353" i="8"/>
  <c r="M353" i="8"/>
  <c r="N353" i="8"/>
  <c r="P353" i="8"/>
  <c r="Q353" i="8"/>
  <c r="S353" i="8"/>
  <c r="C488" i="8"/>
  <c r="I488" i="8"/>
  <c r="L488" i="8"/>
  <c r="M488" i="8"/>
  <c r="U488" i="8"/>
  <c r="V488" i="8"/>
  <c r="W353" i="8"/>
  <c r="X353" i="8"/>
  <c r="W488" i="8"/>
  <c r="X488" i="8"/>
  <c r="Y353" i="8"/>
  <c r="Y488" i="8"/>
  <c r="Z353" i="8"/>
  <c r="AA353" i="8"/>
  <c r="Z488" i="8"/>
  <c r="AB353" i="8"/>
  <c r="AA488" i="8"/>
  <c r="AC353" i="8"/>
  <c r="AB488" i="8"/>
  <c r="AD353" i="8"/>
  <c r="AC488" i="8"/>
  <c r="AE353" i="8"/>
  <c r="AD488" i="8"/>
  <c r="AE488" i="8"/>
  <c r="AF353" i="8"/>
  <c r="AF488" i="8"/>
  <c r="AG353" i="8"/>
  <c r="AH353" i="8"/>
  <c r="AG488" i="8"/>
  <c r="AI353" i="8"/>
  <c r="AH488" i="8"/>
  <c r="AI488" i="8"/>
  <c r="AJ353" i="8"/>
  <c r="AJ488" i="8"/>
  <c r="AK353" i="8"/>
  <c r="AL353" i="8"/>
  <c r="AK488" i="8"/>
  <c r="AM353" i="8"/>
  <c r="AL488" i="8"/>
  <c r="AM488" i="8"/>
  <c r="AN353" i="8"/>
  <c r="U355" i="8"/>
  <c r="C355" i="8"/>
  <c r="F355" i="8"/>
  <c r="H355" i="8"/>
  <c r="I355" i="8"/>
  <c r="J355" i="8"/>
  <c r="M355" i="8"/>
  <c r="O355" i="8"/>
  <c r="Q355" i="8"/>
  <c r="R355" i="8"/>
  <c r="S355" i="8"/>
  <c r="T355" i="8"/>
  <c r="V355" i="8"/>
  <c r="D490" i="8"/>
  <c r="E490" i="8"/>
  <c r="F490" i="8"/>
  <c r="G490" i="8"/>
  <c r="J490" i="8"/>
  <c r="K490" i="8"/>
  <c r="M490" i="8"/>
  <c r="N490" i="8"/>
  <c r="O490" i="8"/>
  <c r="Q490" i="8"/>
  <c r="R490" i="8"/>
  <c r="S490" i="8"/>
  <c r="D355" i="8"/>
  <c r="E355" i="8"/>
  <c r="G355" i="8"/>
  <c r="K355" i="8"/>
  <c r="L355" i="8"/>
  <c r="N355" i="8"/>
  <c r="P355" i="8"/>
  <c r="C490" i="8"/>
  <c r="H490" i="8"/>
  <c r="I490" i="8"/>
  <c r="L490" i="8"/>
  <c r="P490" i="8"/>
  <c r="U490" i="8"/>
  <c r="T490" i="8"/>
  <c r="V490" i="8"/>
  <c r="W355" i="8"/>
  <c r="X355" i="8"/>
  <c r="W490" i="8"/>
  <c r="X490" i="8"/>
  <c r="Y355" i="8"/>
  <c r="Z355" i="8"/>
  <c r="Y490" i="8"/>
  <c r="Z490" i="8"/>
  <c r="AA355" i="8"/>
  <c r="AB355" i="8"/>
  <c r="AA490" i="8"/>
  <c r="AB490" i="8"/>
  <c r="AC355" i="8"/>
  <c r="AD355" i="8"/>
  <c r="AC490" i="8"/>
  <c r="AD490" i="8"/>
  <c r="AE355" i="8"/>
  <c r="AF355" i="8"/>
  <c r="AE490" i="8"/>
  <c r="AF490" i="8"/>
  <c r="AG355" i="8"/>
  <c r="AG490" i="8"/>
  <c r="AH355" i="8"/>
  <c r="AI355" i="8"/>
  <c r="AH490" i="8"/>
  <c r="AJ355" i="8"/>
  <c r="AI490" i="8"/>
  <c r="AJ490" i="8"/>
  <c r="AK355" i="8"/>
  <c r="AL355" i="8"/>
  <c r="AK490" i="8"/>
  <c r="AM355" i="8"/>
  <c r="AL490" i="8"/>
  <c r="AN355" i="8"/>
  <c r="AM490" i="8"/>
  <c r="T492" i="8"/>
  <c r="C357" i="8"/>
  <c r="D357" i="8"/>
  <c r="G357" i="8"/>
  <c r="I357" i="8"/>
  <c r="K357" i="8"/>
  <c r="L357" i="8"/>
  <c r="M357" i="8"/>
  <c r="N357" i="8"/>
  <c r="P357" i="8"/>
  <c r="Q357" i="8"/>
  <c r="S357" i="8"/>
  <c r="V357" i="8"/>
  <c r="E492" i="8"/>
  <c r="H492" i="8"/>
  <c r="I492" i="8"/>
  <c r="L492" i="8"/>
  <c r="M492" i="8"/>
  <c r="P492" i="8"/>
  <c r="Q492" i="8"/>
  <c r="U492" i="8"/>
  <c r="E357" i="8"/>
  <c r="F357" i="8"/>
  <c r="H357" i="8"/>
  <c r="J357" i="8"/>
  <c r="O357" i="8"/>
  <c r="R357" i="8"/>
  <c r="T357" i="8"/>
  <c r="U357" i="8"/>
  <c r="C492" i="8"/>
  <c r="D492" i="8"/>
  <c r="F492" i="8"/>
  <c r="G492" i="8"/>
  <c r="J492" i="8"/>
  <c r="K492" i="8"/>
  <c r="N492" i="8"/>
  <c r="O492" i="8"/>
  <c r="R492" i="8"/>
  <c r="S492" i="8"/>
  <c r="W357" i="8"/>
  <c r="V492" i="8"/>
  <c r="X357" i="8"/>
  <c r="W492" i="8"/>
  <c r="X492" i="8"/>
  <c r="Y357" i="8"/>
  <c r="Z357" i="8"/>
  <c r="Y492" i="8"/>
  <c r="AA357" i="8"/>
  <c r="Z492" i="8"/>
  <c r="AB357" i="8"/>
  <c r="AA492" i="8"/>
  <c r="AB492" i="8"/>
  <c r="AC357" i="8"/>
  <c r="AD357" i="8"/>
  <c r="AC492" i="8"/>
  <c r="AE357" i="8"/>
  <c r="AD492" i="8"/>
  <c r="AF357" i="8"/>
  <c r="AE492" i="8"/>
  <c r="AG357" i="8"/>
  <c r="AF492" i="8"/>
  <c r="AG492" i="8"/>
  <c r="AH357" i="8"/>
  <c r="AI357" i="8"/>
  <c r="AH492" i="8"/>
  <c r="AI492" i="8"/>
  <c r="AJ357" i="8"/>
  <c r="AK357" i="8"/>
  <c r="AJ492" i="8"/>
  <c r="AK492" i="8"/>
  <c r="AL357" i="8"/>
  <c r="AM357" i="8"/>
  <c r="AL492" i="8"/>
  <c r="AN357" i="8"/>
  <c r="AM492" i="8"/>
  <c r="R660" i="8"/>
  <c r="R669" i="8" s="1"/>
  <c r="R641" i="8" s="1"/>
  <c r="R56" i="8" s="1"/>
  <c r="S660" i="8"/>
  <c r="S669" i="8" s="1"/>
  <c r="S641" i="8" s="1"/>
  <c r="S56" i="8" s="1"/>
  <c r="T660" i="8"/>
  <c r="T669" i="8" s="1"/>
  <c r="T641" i="8" s="1"/>
  <c r="T56" i="8" s="1"/>
  <c r="U660" i="8"/>
  <c r="U669" i="8" s="1"/>
  <c r="U641" i="8" s="1"/>
  <c r="U56" i="8" s="1"/>
  <c r="V660" i="8"/>
  <c r="V669" i="8" s="1"/>
  <c r="V641" i="8" s="1"/>
  <c r="V56" i="8" s="1"/>
  <c r="U375" i="8"/>
  <c r="C375" i="8"/>
  <c r="D375" i="8"/>
  <c r="E375" i="8"/>
  <c r="G375" i="8"/>
  <c r="K375" i="8"/>
  <c r="L375" i="8"/>
  <c r="N375" i="8"/>
  <c r="P375" i="8"/>
  <c r="V375" i="8"/>
  <c r="C510" i="8"/>
  <c r="L510" i="8"/>
  <c r="M510" i="8"/>
  <c r="S510" i="8"/>
  <c r="U510" i="8"/>
  <c r="F375" i="8"/>
  <c r="H375" i="8"/>
  <c r="I375" i="8"/>
  <c r="J375" i="8"/>
  <c r="M375" i="8"/>
  <c r="O375" i="8"/>
  <c r="Q375" i="8"/>
  <c r="R375" i="8"/>
  <c r="S375" i="8"/>
  <c r="T375" i="8"/>
  <c r="T510" i="8"/>
  <c r="W660" i="8"/>
  <c r="W669" i="8" s="1"/>
  <c r="W641" i="8" s="1"/>
  <c r="W56" i="8" s="1"/>
  <c r="D510" i="8"/>
  <c r="E510" i="8"/>
  <c r="F510" i="8"/>
  <c r="G510" i="8"/>
  <c r="H510" i="8"/>
  <c r="I510" i="8"/>
  <c r="J510" i="8"/>
  <c r="K510" i="8"/>
  <c r="N510" i="8"/>
  <c r="O510" i="8"/>
  <c r="P510" i="8"/>
  <c r="Q510" i="8"/>
  <c r="R510" i="8"/>
  <c r="W375" i="8"/>
  <c r="V510" i="8"/>
  <c r="X660" i="8"/>
  <c r="X669" i="8" s="1"/>
  <c r="X641" i="8" s="1"/>
  <c r="X56" i="8" s="1"/>
  <c r="Y660" i="8"/>
  <c r="Y669" i="8" s="1"/>
  <c r="Y641" i="8" s="1"/>
  <c r="Y56" i="8" s="1"/>
  <c r="W510" i="8"/>
  <c r="X375" i="8"/>
  <c r="Z660" i="8"/>
  <c r="Z669" i="8" s="1"/>
  <c r="Z641" i="8" s="1"/>
  <c r="Z56" i="8" s="1"/>
  <c r="Y375" i="8"/>
  <c r="X510" i="8"/>
  <c r="Z375" i="8"/>
  <c r="Y510" i="8"/>
  <c r="AA660" i="8"/>
  <c r="AA669" i="8" s="1"/>
  <c r="AA641" i="8" s="1"/>
  <c r="AA56" i="8" s="1"/>
  <c r="AB660" i="8"/>
  <c r="AB669" i="8" s="1"/>
  <c r="AB641" i="8" s="1"/>
  <c r="AB56" i="8" s="1"/>
  <c r="Z510" i="8"/>
  <c r="AA375" i="8"/>
  <c r="AB375" i="8"/>
  <c r="AC660" i="8"/>
  <c r="AC669" i="8" s="1"/>
  <c r="AC641" i="8" s="1"/>
  <c r="AC56" i="8" s="1"/>
  <c r="AA510" i="8"/>
  <c r="AC375" i="8"/>
  <c r="AB510" i="8"/>
  <c r="AD660" i="8"/>
  <c r="AD669" i="8" s="1"/>
  <c r="AD641" i="8" s="1"/>
  <c r="AD56" i="8" s="1"/>
  <c r="AD375" i="8"/>
  <c r="AE660" i="8"/>
  <c r="AE669" i="8" s="1"/>
  <c r="AE641" i="8" s="1"/>
  <c r="AE56" i="8" s="1"/>
  <c r="AC510" i="8"/>
  <c r="AF660" i="8"/>
  <c r="AF669" i="8" s="1"/>
  <c r="AF641" i="8" s="1"/>
  <c r="AF56" i="8" s="1"/>
  <c r="AD510" i="8"/>
  <c r="AE375" i="8"/>
  <c r="AF375" i="8"/>
  <c r="AE510" i="8"/>
  <c r="AG375" i="8"/>
  <c r="AF510" i="8"/>
  <c r="AH375" i="8"/>
  <c r="AG510" i="8"/>
  <c r="AI375" i="8"/>
  <c r="AH510" i="8"/>
  <c r="AJ375" i="8"/>
  <c r="AI510" i="8"/>
  <c r="AJ510" i="8"/>
  <c r="AK375" i="8"/>
  <c r="AK510" i="8"/>
  <c r="AL375" i="8"/>
  <c r="AM375" i="8"/>
  <c r="AL510" i="8"/>
  <c r="AN375" i="8"/>
  <c r="AM510" i="8"/>
  <c r="T512" i="8"/>
  <c r="E377" i="8"/>
  <c r="F377" i="8"/>
  <c r="H377" i="8"/>
  <c r="J377" i="8"/>
  <c r="O377" i="8"/>
  <c r="R377" i="8"/>
  <c r="T377" i="8"/>
  <c r="V377" i="8"/>
  <c r="U377" i="8"/>
  <c r="C512" i="8"/>
  <c r="F512" i="8"/>
  <c r="I512" i="8"/>
  <c r="L512" i="8"/>
  <c r="M512" i="8"/>
  <c r="C377" i="8"/>
  <c r="D377" i="8"/>
  <c r="G377" i="8"/>
  <c r="I377" i="8"/>
  <c r="K377" i="8"/>
  <c r="L377" i="8"/>
  <c r="M377" i="8"/>
  <c r="N377" i="8"/>
  <c r="P377" i="8"/>
  <c r="Q377" i="8"/>
  <c r="S377" i="8"/>
  <c r="D512" i="8"/>
  <c r="E512" i="8"/>
  <c r="G512" i="8"/>
  <c r="H512" i="8"/>
  <c r="J512" i="8"/>
  <c r="K512" i="8"/>
  <c r="N512" i="8"/>
  <c r="O512" i="8"/>
  <c r="P512" i="8"/>
  <c r="Q512" i="8"/>
  <c r="R512" i="8"/>
  <c r="S512" i="8"/>
  <c r="U512" i="8"/>
  <c r="V512" i="8"/>
  <c r="W377" i="8"/>
  <c r="X377" i="8"/>
  <c r="W512" i="8"/>
  <c r="X512" i="8"/>
  <c r="Y377" i="8"/>
  <c r="Y512" i="8"/>
  <c r="Z377" i="8"/>
  <c r="AA377" i="8"/>
  <c r="Z512" i="8"/>
  <c r="AB377" i="8"/>
  <c r="AA512" i="8"/>
  <c r="AC377" i="8"/>
  <c r="AB512" i="8"/>
  <c r="AD377" i="8"/>
  <c r="AC512" i="8"/>
  <c r="AE377" i="8"/>
  <c r="AD512" i="8"/>
  <c r="AE512" i="8"/>
  <c r="AF377" i="8"/>
  <c r="AF512" i="8"/>
  <c r="AG377" i="8"/>
  <c r="AH377" i="8"/>
  <c r="AG512" i="8"/>
  <c r="AI377" i="8"/>
  <c r="AH512" i="8"/>
  <c r="AI512" i="8"/>
  <c r="AJ377" i="8"/>
  <c r="AJ512" i="8"/>
  <c r="AK377" i="8"/>
  <c r="AL377" i="8"/>
  <c r="AK512" i="8"/>
  <c r="AM377" i="8"/>
  <c r="AL512" i="8"/>
  <c r="AM512" i="8"/>
  <c r="AN377" i="8"/>
  <c r="U379" i="8"/>
  <c r="F379" i="8"/>
  <c r="H379" i="8"/>
  <c r="I379" i="8"/>
  <c r="J379" i="8"/>
  <c r="M379" i="8"/>
  <c r="O379" i="8"/>
  <c r="Q379" i="8"/>
  <c r="R379" i="8"/>
  <c r="S379" i="8"/>
  <c r="T379" i="8"/>
  <c r="V379" i="8"/>
  <c r="F514" i="8"/>
  <c r="G514" i="8"/>
  <c r="H514" i="8"/>
  <c r="I514" i="8"/>
  <c r="L514" i="8"/>
  <c r="P514" i="8"/>
  <c r="T514" i="8"/>
  <c r="C379" i="8"/>
  <c r="D379" i="8"/>
  <c r="E379" i="8"/>
  <c r="G379" i="8"/>
  <c r="K379" i="8"/>
  <c r="L379" i="8"/>
  <c r="N379" i="8"/>
  <c r="P379" i="8"/>
  <c r="C514" i="8"/>
  <c r="D514" i="8"/>
  <c r="E514" i="8"/>
  <c r="J514" i="8"/>
  <c r="K514" i="8"/>
  <c r="M514" i="8"/>
  <c r="N514" i="8"/>
  <c r="O514" i="8"/>
  <c r="Q514" i="8"/>
  <c r="R514" i="8"/>
  <c r="S514" i="8"/>
  <c r="U514" i="8"/>
  <c r="V514" i="8"/>
  <c r="W379" i="8"/>
  <c r="X379" i="8"/>
  <c r="W514" i="8"/>
  <c r="X514" i="8"/>
  <c r="Y379" i="8"/>
  <c r="Z379" i="8"/>
  <c r="Y514" i="8"/>
  <c r="Z514" i="8"/>
  <c r="AA379" i="8"/>
  <c r="AB379" i="8"/>
  <c r="AA514" i="8"/>
  <c r="AB514" i="8"/>
  <c r="AC379" i="8"/>
  <c r="AD379" i="8"/>
  <c r="AC514" i="8"/>
  <c r="AD514" i="8"/>
  <c r="AE379" i="8"/>
  <c r="AF379" i="8"/>
  <c r="AE514" i="8"/>
  <c r="AF514" i="8"/>
  <c r="AG379" i="8"/>
  <c r="AG514" i="8"/>
  <c r="AH379" i="8"/>
  <c r="AI379" i="8"/>
  <c r="AH514" i="8"/>
  <c r="AJ379" i="8"/>
  <c r="AI514" i="8"/>
  <c r="AJ514" i="8"/>
  <c r="AK379" i="8"/>
  <c r="AL379" i="8"/>
  <c r="AK514" i="8"/>
  <c r="AM379" i="8"/>
  <c r="AL514" i="8"/>
  <c r="AN379" i="8"/>
  <c r="AM514" i="8"/>
  <c r="T516" i="8"/>
  <c r="C381" i="8"/>
  <c r="D381" i="8"/>
  <c r="G381" i="8"/>
  <c r="I381" i="8"/>
  <c r="K381" i="8"/>
  <c r="L381" i="8"/>
  <c r="M381" i="8"/>
  <c r="N381" i="8"/>
  <c r="P381" i="8"/>
  <c r="Q381" i="8"/>
  <c r="S381" i="8"/>
  <c r="V381" i="8"/>
  <c r="C516" i="8"/>
  <c r="D516" i="8"/>
  <c r="F516" i="8"/>
  <c r="G516" i="8"/>
  <c r="J516" i="8"/>
  <c r="K516" i="8"/>
  <c r="N516" i="8"/>
  <c r="O516" i="8"/>
  <c r="R516" i="8"/>
  <c r="S516" i="8"/>
  <c r="U516" i="8"/>
  <c r="E381" i="8"/>
  <c r="F381" i="8"/>
  <c r="H381" i="8"/>
  <c r="J381" i="8"/>
  <c r="O381" i="8"/>
  <c r="R381" i="8"/>
  <c r="T381" i="8"/>
  <c r="U381" i="8"/>
  <c r="E516" i="8"/>
  <c r="H516" i="8"/>
  <c r="I516" i="8"/>
  <c r="L516" i="8"/>
  <c r="M516" i="8"/>
  <c r="P516" i="8"/>
  <c r="Q516" i="8"/>
  <c r="W381" i="8"/>
  <c r="V516" i="8"/>
  <c r="X381" i="8"/>
  <c r="W516" i="8"/>
  <c r="X516" i="8"/>
  <c r="Y381" i="8"/>
  <c r="Z381" i="8"/>
  <c r="Y516" i="8"/>
  <c r="AA381" i="8"/>
  <c r="Z516" i="8"/>
  <c r="AB381" i="8"/>
  <c r="AA516" i="8"/>
  <c r="AB516" i="8"/>
  <c r="AC381" i="8"/>
  <c r="AD381" i="8"/>
  <c r="AC516" i="8"/>
  <c r="AE381" i="8"/>
  <c r="AD516" i="8"/>
  <c r="AF381" i="8"/>
  <c r="AE516" i="8"/>
  <c r="AG381" i="8"/>
  <c r="AF516" i="8"/>
  <c r="AG516" i="8"/>
  <c r="AH381" i="8"/>
  <c r="AI381" i="8"/>
  <c r="AH516" i="8"/>
  <c r="AI516" i="8"/>
  <c r="AJ381" i="8"/>
  <c r="AK381" i="8"/>
  <c r="AJ516" i="8"/>
  <c r="AK516" i="8"/>
  <c r="AL381" i="8"/>
  <c r="AM381" i="8"/>
  <c r="AL516" i="8"/>
  <c r="AN381" i="8"/>
  <c r="AM516" i="8"/>
  <c r="U383" i="8"/>
  <c r="C383" i="8"/>
  <c r="D383" i="8"/>
  <c r="E383" i="8"/>
  <c r="G383" i="8"/>
  <c r="K383" i="8"/>
  <c r="L383" i="8"/>
  <c r="N383" i="8"/>
  <c r="P383" i="8"/>
  <c r="T518" i="8"/>
  <c r="V383" i="8"/>
  <c r="D518" i="8"/>
  <c r="E518" i="8"/>
  <c r="F518" i="8"/>
  <c r="G518" i="8"/>
  <c r="H518" i="8"/>
  <c r="I518" i="8"/>
  <c r="J518" i="8"/>
  <c r="K518" i="8"/>
  <c r="N518" i="8"/>
  <c r="O518" i="8"/>
  <c r="P518" i="8"/>
  <c r="Q518" i="8"/>
  <c r="R518" i="8"/>
  <c r="U518" i="8"/>
  <c r="F383" i="8"/>
  <c r="H383" i="8"/>
  <c r="I383" i="8"/>
  <c r="J383" i="8"/>
  <c r="M383" i="8"/>
  <c r="O383" i="8"/>
  <c r="Q383" i="8"/>
  <c r="R383" i="8"/>
  <c r="S383" i="8"/>
  <c r="T383" i="8"/>
  <c r="C518" i="8"/>
  <c r="L518" i="8"/>
  <c r="M518" i="8"/>
  <c r="S518" i="8"/>
  <c r="W383" i="8"/>
  <c r="V518" i="8"/>
  <c r="W518" i="8"/>
  <c r="X383" i="8"/>
  <c r="Y383" i="8"/>
  <c r="X518" i="8"/>
  <c r="Z383" i="8"/>
  <c r="Y518" i="8"/>
  <c r="Z518" i="8"/>
  <c r="AA383" i="8"/>
  <c r="AB383" i="8"/>
  <c r="AA518" i="8"/>
  <c r="AC383" i="8"/>
  <c r="AB518" i="8"/>
  <c r="AD383" i="8"/>
  <c r="AC518" i="8"/>
  <c r="AD518" i="8"/>
  <c r="AE383" i="8"/>
  <c r="AF383" i="8"/>
  <c r="AE518" i="8"/>
  <c r="AG383" i="8"/>
  <c r="AF518" i="8"/>
  <c r="AH383" i="8"/>
  <c r="AG518" i="8"/>
  <c r="AI383" i="8"/>
  <c r="AH518" i="8"/>
  <c r="AJ383" i="8"/>
  <c r="AI518" i="8"/>
  <c r="AJ518" i="8"/>
  <c r="AK383" i="8"/>
  <c r="AK518" i="8"/>
  <c r="AL383" i="8"/>
  <c r="AM383" i="8"/>
  <c r="AL518" i="8"/>
  <c r="AN383" i="8"/>
  <c r="AM518" i="8"/>
  <c r="T536" i="8"/>
  <c r="E401" i="8"/>
  <c r="F401" i="8"/>
  <c r="H401" i="8"/>
  <c r="J401" i="8"/>
  <c r="O401" i="8"/>
  <c r="R401" i="8"/>
  <c r="T401" i="8"/>
  <c r="V401" i="8"/>
  <c r="U401" i="8"/>
  <c r="D536" i="8"/>
  <c r="E536" i="8"/>
  <c r="G536" i="8"/>
  <c r="H536" i="8"/>
  <c r="J536" i="8"/>
  <c r="K536" i="8"/>
  <c r="N536" i="8"/>
  <c r="O536" i="8"/>
  <c r="P536" i="8"/>
  <c r="Q536" i="8"/>
  <c r="R536" i="8"/>
  <c r="S536" i="8"/>
  <c r="C401" i="8"/>
  <c r="D401" i="8"/>
  <c r="G401" i="8"/>
  <c r="I401" i="8"/>
  <c r="K401" i="8"/>
  <c r="L401" i="8"/>
  <c r="M401" i="8"/>
  <c r="N401" i="8"/>
  <c r="P401" i="8"/>
  <c r="Q401" i="8"/>
  <c r="S401" i="8"/>
  <c r="W692" i="8"/>
  <c r="W701" i="8" s="1"/>
  <c r="W673" i="8" s="1"/>
  <c r="W57" i="8" s="1"/>
  <c r="C536" i="8"/>
  <c r="F536" i="8"/>
  <c r="I536" i="8"/>
  <c r="L536" i="8"/>
  <c r="M536" i="8"/>
  <c r="U536" i="8"/>
  <c r="V536" i="8"/>
  <c r="X692" i="8"/>
  <c r="X701" i="8" s="1"/>
  <c r="X673" i="8" s="1"/>
  <c r="X57" i="8" s="1"/>
  <c r="W401" i="8"/>
  <c r="Y692" i="8"/>
  <c r="X401" i="8"/>
  <c r="W536" i="8"/>
  <c r="Z692" i="8"/>
  <c r="X536" i="8"/>
  <c r="Y401" i="8"/>
  <c r="Y536" i="8"/>
  <c r="Z401" i="8"/>
  <c r="AA692" i="8"/>
  <c r="AA701" i="8" s="1"/>
  <c r="AA673" i="8" s="1"/>
  <c r="AA57" i="8" s="1"/>
  <c r="AA401" i="8"/>
  <c r="Z536" i="8"/>
  <c r="AB692" i="8"/>
  <c r="AB401" i="8"/>
  <c r="AA536" i="8"/>
  <c r="AC692" i="8"/>
  <c r="AC701" i="8" s="1"/>
  <c r="AC673" i="8" s="1"/>
  <c r="AC57" i="8" s="1"/>
  <c r="AD692" i="8"/>
  <c r="AC401" i="8"/>
  <c r="AB536" i="8"/>
  <c r="AD401" i="8"/>
  <c r="AE692" i="8"/>
  <c r="AE701" i="8" s="1"/>
  <c r="AE673" i="8" s="1"/>
  <c r="AE57" i="8" s="1"/>
  <c r="AC536" i="8"/>
  <c r="AE401" i="8"/>
  <c r="AD536" i="8"/>
  <c r="AF692" i="8"/>
  <c r="AE536" i="8"/>
  <c r="AF401" i="8"/>
  <c r="AG692" i="8"/>
  <c r="AG701" i="8" s="1"/>
  <c r="AG673" i="8" s="1"/>
  <c r="AG57" i="8" s="1"/>
  <c r="AH692" i="8"/>
  <c r="AH701" i="8" s="1"/>
  <c r="AH673" i="8" s="1"/>
  <c r="AH57" i="8" s="1"/>
  <c r="AF536" i="8"/>
  <c r="AG401" i="8"/>
  <c r="AI692" i="8"/>
  <c r="AI701" i="8" s="1"/>
  <c r="AI673" i="8" s="1"/>
  <c r="AI57" i="8" s="1"/>
  <c r="AH401" i="8"/>
  <c r="AG536" i="8"/>
  <c r="AJ692" i="8"/>
  <c r="AJ701" i="8" s="1"/>
  <c r="AJ673" i="8" s="1"/>
  <c r="AJ57" i="8" s="1"/>
  <c r="AI401" i="8"/>
  <c r="AH536" i="8"/>
  <c r="AI536" i="8"/>
  <c r="AK692" i="8"/>
  <c r="AK701" i="8" s="1"/>
  <c r="AK673" i="8" s="1"/>
  <c r="AK57" i="8" s="1"/>
  <c r="AJ401" i="8"/>
  <c r="AJ536" i="8"/>
  <c r="AK401" i="8"/>
  <c r="AL692" i="8"/>
  <c r="AL701" i="8" s="1"/>
  <c r="AL673" i="8" s="1"/>
  <c r="AL57" i="8" s="1"/>
  <c r="AM692" i="8"/>
  <c r="AM701" i="8" s="1"/>
  <c r="AM673" i="8" s="1"/>
  <c r="AM57" i="8" s="1"/>
  <c r="AL401" i="8"/>
  <c r="AK536" i="8"/>
  <c r="AN692" i="8"/>
  <c r="AN701" i="8" s="1"/>
  <c r="AN673" i="8" s="1"/>
  <c r="AN57" i="8" s="1"/>
  <c r="AM401" i="8"/>
  <c r="AL536" i="8"/>
  <c r="AM536" i="8"/>
  <c r="AN401" i="8"/>
  <c r="AO692" i="8"/>
  <c r="AO701" i="8" s="1"/>
  <c r="AO673" i="8" s="1"/>
  <c r="AO57" i="8" s="1"/>
  <c r="U403" i="8"/>
  <c r="F403" i="8"/>
  <c r="H403" i="8"/>
  <c r="I403" i="8"/>
  <c r="J403" i="8"/>
  <c r="M403" i="8"/>
  <c r="O403" i="8"/>
  <c r="Q403" i="8"/>
  <c r="R403" i="8"/>
  <c r="S403" i="8"/>
  <c r="T403" i="8"/>
  <c r="V403" i="8"/>
  <c r="C538" i="8"/>
  <c r="D538" i="8"/>
  <c r="E538" i="8"/>
  <c r="J538" i="8"/>
  <c r="K538" i="8"/>
  <c r="M538" i="8"/>
  <c r="N538" i="8"/>
  <c r="O538" i="8"/>
  <c r="Q538" i="8"/>
  <c r="R538" i="8"/>
  <c r="S538" i="8"/>
  <c r="C403" i="8"/>
  <c r="D403" i="8"/>
  <c r="E403" i="8"/>
  <c r="G403" i="8"/>
  <c r="K403" i="8"/>
  <c r="L403" i="8"/>
  <c r="N403" i="8"/>
  <c r="P403" i="8"/>
  <c r="F538" i="8"/>
  <c r="G538" i="8"/>
  <c r="H538" i="8"/>
  <c r="I538" i="8"/>
  <c r="L538" i="8"/>
  <c r="P538" i="8"/>
  <c r="U538" i="8"/>
  <c r="T538" i="8"/>
  <c r="V538" i="8"/>
  <c r="W403" i="8"/>
  <c r="X403" i="8"/>
  <c r="W538" i="8"/>
  <c r="X538" i="8"/>
  <c r="Y403" i="8"/>
  <c r="Z403" i="8"/>
  <c r="Y538" i="8"/>
  <c r="Z538" i="8"/>
  <c r="AA403" i="8"/>
  <c r="AB403" i="8"/>
  <c r="AA538" i="8"/>
  <c r="AB538" i="8"/>
  <c r="AC403" i="8"/>
  <c r="AD403" i="8"/>
  <c r="AC538" i="8"/>
  <c r="AD538" i="8"/>
  <c r="AE403" i="8"/>
  <c r="AF403" i="8"/>
  <c r="AE538" i="8"/>
  <c r="AF538" i="8"/>
  <c r="AG403" i="8"/>
  <c r="AG538" i="8"/>
  <c r="AH403" i="8"/>
  <c r="AI403" i="8"/>
  <c r="AH538" i="8"/>
  <c r="AJ403" i="8"/>
  <c r="AI538" i="8"/>
  <c r="AJ538" i="8"/>
  <c r="AK403" i="8"/>
  <c r="AL403" i="8"/>
  <c r="AK538" i="8"/>
  <c r="AM403" i="8"/>
  <c r="AL538" i="8"/>
  <c r="AN403" i="8"/>
  <c r="AM538" i="8"/>
  <c r="T540" i="8"/>
  <c r="C405" i="8"/>
  <c r="D405" i="8"/>
  <c r="G405" i="8"/>
  <c r="I405" i="8"/>
  <c r="K405" i="8"/>
  <c r="L405" i="8"/>
  <c r="M405" i="8"/>
  <c r="N405" i="8"/>
  <c r="P405" i="8"/>
  <c r="Q405" i="8"/>
  <c r="S405" i="8"/>
  <c r="V405" i="8"/>
  <c r="E540" i="8"/>
  <c r="H540" i="8"/>
  <c r="I540" i="8"/>
  <c r="L540" i="8"/>
  <c r="M540" i="8"/>
  <c r="P540" i="8"/>
  <c r="Q540" i="8"/>
  <c r="U540" i="8"/>
  <c r="E405" i="8"/>
  <c r="F405" i="8"/>
  <c r="H405" i="8"/>
  <c r="J405" i="8"/>
  <c r="O405" i="8"/>
  <c r="R405" i="8"/>
  <c r="T405" i="8"/>
  <c r="U405" i="8"/>
  <c r="C540" i="8"/>
  <c r="D540" i="8"/>
  <c r="F540" i="8"/>
  <c r="G540" i="8"/>
  <c r="J540" i="8"/>
  <c r="K540" i="8"/>
  <c r="N540" i="8"/>
  <c r="O540" i="8"/>
  <c r="R540" i="8"/>
  <c r="S540" i="8"/>
  <c r="W405" i="8"/>
  <c r="V540" i="8"/>
  <c r="X405" i="8"/>
  <c r="W540" i="8"/>
  <c r="X540" i="8"/>
  <c r="Y405" i="8"/>
  <c r="Z405" i="8"/>
  <c r="Y540" i="8"/>
  <c r="AA405" i="8"/>
  <c r="Z540" i="8"/>
  <c r="AB405" i="8"/>
  <c r="AA540" i="8"/>
  <c r="AB540" i="8"/>
  <c r="AC405" i="8"/>
  <c r="AD405" i="8"/>
  <c r="AC540" i="8"/>
  <c r="AE405" i="8"/>
  <c r="AD540" i="8"/>
  <c r="AF405" i="8"/>
  <c r="AE540" i="8"/>
  <c r="AG405" i="8"/>
  <c r="AF540" i="8"/>
  <c r="AG540" i="8"/>
  <c r="AH405" i="8"/>
  <c r="AI405" i="8"/>
  <c r="AH540" i="8"/>
  <c r="AI540" i="8"/>
  <c r="AJ405" i="8"/>
  <c r="AK405" i="8"/>
  <c r="AJ540" i="8"/>
  <c r="AK540" i="8"/>
  <c r="AL405" i="8"/>
  <c r="AM405" i="8"/>
  <c r="AL540" i="8"/>
  <c r="AN405" i="8"/>
  <c r="AM540" i="8"/>
  <c r="U407" i="8"/>
  <c r="C407" i="8"/>
  <c r="D407" i="8"/>
  <c r="E407" i="8"/>
  <c r="G407" i="8"/>
  <c r="K407" i="8"/>
  <c r="L407" i="8"/>
  <c r="N407" i="8"/>
  <c r="P407" i="8"/>
  <c r="V407" i="8"/>
  <c r="C542" i="8"/>
  <c r="L542" i="8"/>
  <c r="M542" i="8"/>
  <c r="S542" i="8"/>
  <c r="U542" i="8"/>
  <c r="T542" i="8"/>
  <c r="F407" i="8"/>
  <c r="H407" i="8"/>
  <c r="I407" i="8"/>
  <c r="J407" i="8"/>
  <c r="M407" i="8"/>
  <c r="O407" i="8"/>
  <c r="Q407" i="8"/>
  <c r="R407" i="8"/>
  <c r="S407" i="8"/>
  <c r="T407" i="8"/>
  <c r="D542" i="8"/>
  <c r="E542" i="8"/>
  <c r="F542" i="8"/>
  <c r="G542" i="8"/>
  <c r="H542" i="8"/>
  <c r="I542" i="8"/>
  <c r="J542" i="8"/>
  <c r="K542" i="8"/>
  <c r="N542" i="8"/>
  <c r="O542" i="8"/>
  <c r="P542" i="8"/>
  <c r="Q542" i="8"/>
  <c r="R542" i="8"/>
  <c r="W407" i="8"/>
  <c r="V542" i="8"/>
  <c r="W542" i="8"/>
  <c r="X407" i="8"/>
  <c r="Y407" i="8"/>
  <c r="X542" i="8"/>
  <c r="Z407" i="8"/>
  <c r="Y542" i="8"/>
  <c r="Z542" i="8"/>
  <c r="AA407" i="8"/>
  <c r="AB407" i="8"/>
  <c r="AA542" i="8"/>
  <c r="AC407" i="8"/>
  <c r="AB542" i="8"/>
  <c r="AD407" i="8"/>
  <c r="AC542" i="8"/>
  <c r="AD542" i="8"/>
  <c r="AE407" i="8"/>
  <c r="AF407" i="8"/>
  <c r="AE542" i="8"/>
  <c r="AG407" i="8"/>
  <c r="AF542" i="8"/>
  <c r="AH407" i="8"/>
  <c r="AG542" i="8"/>
  <c r="AI407" i="8"/>
  <c r="AH542" i="8"/>
  <c r="AJ407" i="8"/>
  <c r="AI542" i="8"/>
  <c r="AJ542" i="8"/>
  <c r="AK407" i="8"/>
  <c r="AK542" i="8"/>
  <c r="AL407" i="8"/>
  <c r="AM407" i="8"/>
  <c r="AL542" i="8"/>
  <c r="AN407" i="8"/>
  <c r="AM542" i="8"/>
  <c r="T544" i="8"/>
  <c r="E409" i="8"/>
  <c r="F409" i="8"/>
  <c r="H409" i="8"/>
  <c r="J409" i="8"/>
  <c r="O409" i="8"/>
  <c r="R409" i="8"/>
  <c r="T409" i="8"/>
  <c r="V409" i="8"/>
  <c r="U409" i="8"/>
  <c r="C544" i="8"/>
  <c r="I544" i="8"/>
  <c r="L544" i="8"/>
  <c r="M544" i="8"/>
  <c r="C409" i="8"/>
  <c r="D409" i="8"/>
  <c r="G409" i="8"/>
  <c r="I409" i="8"/>
  <c r="K409" i="8"/>
  <c r="L409" i="8"/>
  <c r="M409" i="8"/>
  <c r="N409" i="8"/>
  <c r="P409" i="8"/>
  <c r="Q409" i="8"/>
  <c r="S409" i="8"/>
  <c r="D544" i="8"/>
  <c r="E544" i="8"/>
  <c r="F544" i="8"/>
  <c r="G544" i="8"/>
  <c r="H544" i="8"/>
  <c r="J544" i="8"/>
  <c r="K544" i="8"/>
  <c r="N544" i="8"/>
  <c r="O544" i="8"/>
  <c r="P544" i="8"/>
  <c r="Q544" i="8"/>
  <c r="R544" i="8"/>
  <c r="S544" i="8"/>
  <c r="U544" i="8"/>
  <c r="V544" i="8"/>
  <c r="W409" i="8"/>
  <c r="X409" i="8"/>
  <c r="W544" i="8"/>
  <c r="X544" i="8"/>
  <c r="Y409" i="8"/>
  <c r="Y544" i="8"/>
  <c r="Z409" i="8"/>
  <c r="AA409" i="8"/>
  <c r="Z544" i="8"/>
  <c r="AB409" i="8"/>
  <c r="AA544" i="8"/>
  <c r="AC409" i="8"/>
  <c r="AB544" i="8"/>
  <c r="AD409" i="8"/>
  <c r="AC544" i="8"/>
  <c r="AE409" i="8"/>
  <c r="AD544" i="8"/>
  <c r="AE544" i="8"/>
  <c r="AF409" i="8"/>
  <c r="AF544" i="8"/>
  <c r="AG409" i="8"/>
  <c r="AH409" i="8"/>
  <c r="AG544" i="8"/>
  <c r="AI409" i="8"/>
  <c r="AH544" i="8"/>
  <c r="AI544" i="8"/>
  <c r="AJ409" i="8"/>
  <c r="AJ544" i="8"/>
  <c r="AK409" i="8"/>
  <c r="AL409" i="8"/>
  <c r="AK544" i="8"/>
  <c r="AM409" i="8"/>
  <c r="AL544" i="8"/>
  <c r="AM544" i="8"/>
  <c r="AN409" i="8"/>
  <c r="AP630" i="8"/>
  <c r="AN486" i="8"/>
  <c r="AN510" i="8"/>
  <c r="AN518" i="8"/>
  <c r="AN542" i="8"/>
  <c r="AO543" i="8"/>
  <c r="AO539" i="8"/>
  <c r="AO515" i="8"/>
  <c r="AO511" i="8"/>
  <c r="AO544" i="8"/>
  <c r="AO540" i="8"/>
  <c r="AO536" i="8"/>
  <c r="AO516" i="8"/>
  <c r="AO512" i="8"/>
  <c r="AO492" i="8"/>
  <c r="AO488" i="8"/>
  <c r="AO484" i="8"/>
  <c r="AP333" i="8"/>
  <c r="B314" i="8"/>
  <c r="B316" i="8"/>
  <c r="B318" i="8"/>
  <c r="AP472" i="8"/>
  <c r="AP484" i="8" s="1"/>
  <c r="AP349" i="8"/>
  <c r="AP471" i="8"/>
  <c r="AP475" i="8"/>
  <c r="AP487" i="8" s="1"/>
  <c r="AP352" i="8"/>
  <c r="AP479" i="8"/>
  <c r="AP491" i="8" s="1"/>
  <c r="AP356" i="8"/>
  <c r="AP499" i="8"/>
  <c r="AP511" i="8" s="1"/>
  <c r="AP376" i="8"/>
  <c r="AP503" i="8"/>
  <c r="AP515" i="8" s="1"/>
  <c r="AP380" i="8"/>
  <c r="AP523" i="8"/>
  <c r="AP527" i="8"/>
  <c r="AP539" i="8" s="1"/>
  <c r="AP404" i="8"/>
  <c r="B449" i="8"/>
  <c r="B451" i="8"/>
  <c r="B453" i="8"/>
  <c r="AP476" i="8"/>
  <c r="AP488" i="8" s="1"/>
  <c r="AP353" i="8"/>
  <c r="AP480" i="8"/>
  <c r="AP492" i="8" s="1"/>
  <c r="AP357" i="8"/>
  <c r="AP500" i="8"/>
  <c r="AP512" i="8" s="1"/>
  <c r="AP377" i="8"/>
  <c r="AP504" i="8"/>
  <c r="AP516" i="8" s="1"/>
  <c r="AP381" i="8"/>
  <c r="AP524" i="8"/>
  <c r="AP536" i="8" s="1"/>
  <c r="AP401" i="8"/>
  <c r="AP528" i="8"/>
  <c r="AP540" i="8" s="1"/>
  <c r="AP405" i="8"/>
  <c r="AP532" i="8"/>
  <c r="AP544" i="8" s="1"/>
  <c r="AP409" i="8"/>
  <c r="AP625" i="8"/>
  <c r="AP610" i="8" s="1"/>
  <c r="AP60" i="8" s="1"/>
  <c r="B615" i="8"/>
  <c r="AP348" i="8" s="1"/>
  <c r="U350" i="8"/>
  <c r="T485" i="8"/>
  <c r="D350" i="8"/>
  <c r="H350" i="8"/>
  <c r="I350" i="8"/>
  <c r="J350" i="8"/>
  <c r="L350" i="8"/>
  <c r="M350" i="8"/>
  <c r="N350" i="8"/>
  <c r="O350" i="8"/>
  <c r="P350" i="8"/>
  <c r="Q350" i="8"/>
  <c r="V350" i="8"/>
  <c r="C485" i="8"/>
  <c r="F485" i="8"/>
  <c r="I485" i="8"/>
  <c r="J485" i="8"/>
  <c r="L485" i="8"/>
  <c r="M485" i="8"/>
  <c r="P485" i="8"/>
  <c r="S485" i="8"/>
  <c r="C350" i="8"/>
  <c r="E350" i="8"/>
  <c r="F350" i="8"/>
  <c r="G350" i="8"/>
  <c r="K350" i="8"/>
  <c r="R350" i="8"/>
  <c r="S350" i="8"/>
  <c r="T350" i="8"/>
  <c r="U485" i="8"/>
  <c r="D485" i="8"/>
  <c r="E485" i="8"/>
  <c r="G485" i="8"/>
  <c r="H485" i="8"/>
  <c r="K485" i="8"/>
  <c r="N485" i="8"/>
  <c r="O485" i="8"/>
  <c r="Q485" i="8"/>
  <c r="R485" i="8"/>
  <c r="V485" i="8"/>
  <c r="W350" i="8"/>
  <c r="X350" i="8"/>
  <c r="W485" i="8"/>
  <c r="Y350" i="8"/>
  <c r="X485" i="8"/>
  <c r="AA629" i="8"/>
  <c r="AA637" i="8" s="1"/>
  <c r="AA609" i="8" s="1"/>
  <c r="AA55" i="8" s="1"/>
  <c r="Z350" i="8"/>
  <c r="Y485" i="8"/>
  <c r="AA350" i="8"/>
  <c r="AB629" i="8"/>
  <c r="AB637" i="8" s="1"/>
  <c r="AB609" i="8" s="1"/>
  <c r="AB55" i="8" s="1"/>
  <c r="Z485" i="8"/>
  <c r="AB350" i="8"/>
  <c r="AC629" i="8"/>
  <c r="AC637" i="8" s="1"/>
  <c r="AC609" i="8" s="1"/>
  <c r="AC55" i="8" s="1"/>
  <c r="AA485" i="8"/>
  <c r="AB485" i="8"/>
  <c r="AD629" i="8"/>
  <c r="AD637" i="8" s="1"/>
  <c r="AD609" i="8" s="1"/>
  <c r="AD55" i="8" s="1"/>
  <c r="AC350" i="8"/>
  <c r="AE629" i="8"/>
  <c r="AE637" i="8" s="1"/>
  <c r="AE609" i="8" s="1"/>
  <c r="AE55" i="8" s="1"/>
  <c r="AD350" i="8"/>
  <c r="AC485" i="8"/>
  <c r="AD485" i="8"/>
  <c r="AE350" i="8"/>
  <c r="AF629" i="8"/>
  <c r="AF637" i="8" s="1"/>
  <c r="AF609" i="8" s="1"/>
  <c r="AF55" i="8" s="1"/>
  <c r="AE485" i="8"/>
  <c r="AG629" i="8"/>
  <c r="AG637" i="8" s="1"/>
  <c r="AG609" i="8" s="1"/>
  <c r="AG55" i="8" s="1"/>
  <c r="AF350" i="8"/>
  <c r="AH629" i="8"/>
  <c r="AH637" i="8" s="1"/>
  <c r="AH609" i="8" s="1"/>
  <c r="AH55" i="8" s="1"/>
  <c r="AG350" i="8"/>
  <c r="AF485" i="8"/>
  <c r="AG485" i="8"/>
  <c r="AI629" i="8"/>
  <c r="AI637" i="8" s="1"/>
  <c r="AI609" i="8" s="1"/>
  <c r="AI55" i="8" s="1"/>
  <c r="AH350" i="8"/>
  <c r="AJ629" i="8"/>
  <c r="AJ637" i="8" s="1"/>
  <c r="AJ609" i="8" s="1"/>
  <c r="AJ55" i="8" s="1"/>
  <c r="AI350" i="8"/>
  <c r="AH485" i="8"/>
  <c r="AK629" i="8"/>
  <c r="AK637" i="8" s="1"/>
  <c r="AK609" i="8" s="1"/>
  <c r="AK55" i="8" s="1"/>
  <c r="AI485" i="8"/>
  <c r="AJ350" i="8"/>
  <c r="AK350" i="8"/>
  <c r="AL629" i="8"/>
  <c r="AL637" i="8" s="1"/>
  <c r="AL609" i="8" s="1"/>
  <c r="AL55" i="8" s="1"/>
  <c r="AJ485" i="8"/>
  <c r="AK485" i="8"/>
  <c r="AL350" i="8"/>
  <c r="AM350" i="8"/>
  <c r="AL485" i="8"/>
  <c r="AM485" i="8"/>
  <c r="AN350" i="8"/>
  <c r="D352" i="8"/>
  <c r="G352" i="8"/>
  <c r="I352" i="8"/>
  <c r="K352" i="8"/>
  <c r="L352" i="8"/>
  <c r="M352" i="8"/>
  <c r="N352" i="8"/>
  <c r="P352" i="8"/>
  <c r="Q352" i="8"/>
  <c r="V352" i="8"/>
  <c r="E487" i="8"/>
  <c r="G487" i="8"/>
  <c r="L487" i="8"/>
  <c r="Q487" i="8"/>
  <c r="U352" i="8"/>
  <c r="C352" i="8"/>
  <c r="E352" i="8"/>
  <c r="F352" i="8"/>
  <c r="H352" i="8"/>
  <c r="J352" i="8"/>
  <c r="O352" i="8"/>
  <c r="R352" i="8"/>
  <c r="S352" i="8"/>
  <c r="T352" i="8"/>
  <c r="T487" i="8"/>
  <c r="U487" i="8"/>
  <c r="C487" i="8"/>
  <c r="D487" i="8"/>
  <c r="F487" i="8"/>
  <c r="H487" i="8"/>
  <c r="I487" i="8"/>
  <c r="J487" i="8"/>
  <c r="K487" i="8"/>
  <c r="M487" i="8"/>
  <c r="N487" i="8"/>
  <c r="O487" i="8"/>
  <c r="P487" i="8"/>
  <c r="R487" i="8"/>
  <c r="S487" i="8"/>
  <c r="W352" i="8"/>
  <c r="V487" i="8"/>
  <c r="W487" i="8"/>
  <c r="X352" i="8"/>
  <c r="Y352" i="8"/>
  <c r="X487" i="8"/>
  <c r="Z352" i="8"/>
  <c r="Y487" i="8"/>
  <c r="AA352" i="8"/>
  <c r="Z487" i="8"/>
  <c r="AB352" i="8"/>
  <c r="AA487" i="8"/>
  <c r="AC352" i="8"/>
  <c r="AB487" i="8"/>
  <c r="AD352" i="8"/>
  <c r="AC487" i="8"/>
  <c r="AE352" i="8"/>
  <c r="AD487" i="8"/>
  <c r="AF352" i="8"/>
  <c r="AE487" i="8"/>
  <c r="AG352" i="8"/>
  <c r="AF487" i="8"/>
  <c r="AG487" i="8"/>
  <c r="AH352" i="8"/>
  <c r="AH487" i="8"/>
  <c r="AI352" i="8"/>
  <c r="AJ352" i="8"/>
  <c r="AI487" i="8"/>
  <c r="AK352" i="8"/>
  <c r="AJ487" i="8"/>
  <c r="AL352" i="8"/>
  <c r="AK487" i="8"/>
  <c r="AM352" i="8"/>
  <c r="AL487" i="8"/>
  <c r="AN352" i="8"/>
  <c r="AM487" i="8"/>
  <c r="U354" i="8"/>
  <c r="T489" i="8"/>
  <c r="E354" i="8"/>
  <c r="F354" i="8"/>
  <c r="O354" i="8"/>
  <c r="R354" i="8"/>
  <c r="T354" i="8"/>
  <c r="V354" i="8"/>
  <c r="U489" i="8"/>
  <c r="E489" i="8"/>
  <c r="G489" i="8"/>
  <c r="H489" i="8"/>
  <c r="I489" i="8"/>
  <c r="K489" i="8"/>
  <c r="L489" i="8"/>
  <c r="M489" i="8"/>
  <c r="O489" i="8"/>
  <c r="Q489" i="8"/>
  <c r="C354" i="8"/>
  <c r="D354" i="8"/>
  <c r="G354" i="8"/>
  <c r="H354" i="8"/>
  <c r="I354" i="8"/>
  <c r="J354" i="8"/>
  <c r="K354" i="8"/>
  <c r="L354" i="8"/>
  <c r="M354" i="8"/>
  <c r="N354" i="8"/>
  <c r="P354" i="8"/>
  <c r="Q354" i="8"/>
  <c r="S354" i="8"/>
  <c r="C489" i="8"/>
  <c r="D489" i="8"/>
  <c r="F489" i="8"/>
  <c r="J489" i="8"/>
  <c r="N489" i="8"/>
  <c r="P489" i="8"/>
  <c r="R489" i="8"/>
  <c r="S489" i="8"/>
  <c r="V489" i="8"/>
  <c r="W354" i="8"/>
  <c r="X354" i="8"/>
  <c r="W489" i="8"/>
  <c r="Y354" i="8"/>
  <c r="X489" i="8"/>
  <c r="Y489" i="8"/>
  <c r="Z354" i="8"/>
  <c r="AA354" i="8"/>
  <c r="Z489" i="8"/>
  <c r="AB354" i="8"/>
  <c r="AA489" i="8"/>
  <c r="AB489" i="8"/>
  <c r="AC354" i="8"/>
  <c r="AD354" i="8"/>
  <c r="AC489" i="8"/>
  <c r="AE354" i="8"/>
  <c r="AD489" i="8"/>
  <c r="AE489" i="8"/>
  <c r="AF354" i="8"/>
  <c r="AF489" i="8"/>
  <c r="AG354" i="8"/>
  <c r="AH354" i="8"/>
  <c r="AG489" i="8"/>
  <c r="AH489" i="8"/>
  <c r="AI354" i="8"/>
  <c r="AI489" i="8"/>
  <c r="AJ354" i="8"/>
  <c r="AK354" i="8"/>
  <c r="AJ489" i="8"/>
  <c r="AK489" i="8"/>
  <c r="AL354" i="8"/>
  <c r="AM354" i="8"/>
  <c r="AL489" i="8"/>
  <c r="AM489" i="8"/>
  <c r="AN354" i="8"/>
  <c r="C356" i="8"/>
  <c r="E356" i="8"/>
  <c r="F356" i="8"/>
  <c r="H356" i="8"/>
  <c r="J356" i="8"/>
  <c r="O356" i="8"/>
  <c r="R356" i="8"/>
  <c r="S356" i="8"/>
  <c r="T356" i="8"/>
  <c r="U491" i="8"/>
  <c r="V356" i="8"/>
  <c r="L491" i="8"/>
  <c r="P491" i="8"/>
  <c r="S491" i="8"/>
  <c r="T491" i="8"/>
  <c r="D356" i="8"/>
  <c r="G356" i="8"/>
  <c r="I356" i="8"/>
  <c r="K356" i="8"/>
  <c r="L356" i="8"/>
  <c r="M356" i="8"/>
  <c r="N356" i="8"/>
  <c r="P356" i="8"/>
  <c r="Q356" i="8"/>
  <c r="C491" i="8"/>
  <c r="D491" i="8"/>
  <c r="E491" i="8"/>
  <c r="F491" i="8"/>
  <c r="G491" i="8"/>
  <c r="H491" i="8"/>
  <c r="I491" i="8"/>
  <c r="J491" i="8"/>
  <c r="K491" i="8"/>
  <c r="M491" i="8"/>
  <c r="N491" i="8"/>
  <c r="O491" i="8"/>
  <c r="Q491" i="8"/>
  <c r="R491" i="8"/>
  <c r="U356" i="8"/>
  <c r="W356" i="8"/>
  <c r="V491" i="8"/>
  <c r="X356" i="8"/>
  <c r="W491" i="8"/>
  <c r="Y356" i="8"/>
  <c r="X491" i="8"/>
  <c r="Y491" i="8"/>
  <c r="Z356" i="8"/>
  <c r="Z491" i="8"/>
  <c r="AA356" i="8"/>
  <c r="AB356" i="8"/>
  <c r="AA491" i="8"/>
  <c r="AC356" i="8"/>
  <c r="AB491" i="8"/>
  <c r="AD356" i="8"/>
  <c r="AC491" i="8"/>
  <c r="AD491" i="8"/>
  <c r="AE356" i="8"/>
  <c r="AF356" i="8"/>
  <c r="AE491" i="8"/>
  <c r="AG356" i="8"/>
  <c r="AF491" i="8"/>
  <c r="AH356" i="8"/>
  <c r="AG491" i="8"/>
  <c r="AI356" i="8"/>
  <c r="AH491" i="8"/>
  <c r="AJ356" i="8"/>
  <c r="AI491" i="8"/>
  <c r="AK356" i="8"/>
  <c r="AJ491" i="8"/>
  <c r="AK491" i="8"/>
  <c r="AL356" i="8"/>
  <c r="AL491" i="8"/>
  <c r="AM356" i="8"/>
  <c r="AM491" i="8"/>
  <c r="AN356" i="8"/>
  <c r="AP657" i="8"/>
  <c r="AP642" i="8" s="1"/>
  <c r="AP61" i="8" s="1"/>
  <c r="B647" i="8"/>
  <c r="AO509" i="8" s="1"/>
  <c r="C376" i="8"/>
  <c r="D376" i="8"/>
  <c r="G376" i="8"/>
  <c r="I376" i="8"/>
  <c r="K376" i="8"/>
  <c r="L376" i="8"/>
  <c r="M376" i="8"/>
  <c r="N376" i="8"/>
  <c r="P376" i="8"/>
  <c r="Q376" i="8"/>
  <c r="S376" i="8"/>
  <c r="T511" i="8"/>
  <c r="V376" i="8"/>
  <c r="C511" i="8"/>
  <c r="D511" i="8"/>
  <c r="F511" i="8"/>
  <c r="G511" i="8"/>
  <c r="H511" i="8"/>
  <c r="J511" i="8"/>
  <c r="K511" i="8"/>
  <c r="N511" i="8"/>
  <c r="O511" i="8"/>
  <c r="P511" i="8"/>
  <c r="R511" i="8"/>
  <c r="S511" i="8"/>
  <c r="U511" i="8"/>
  <c r="E376" i="8"/>
  <c r="F376" i="8"/>
  <c r="H376" i="8"/>
  <c r="J376" i="8"/>
  <c r="O376" i="8"/>
  <c r="R376" i="8"/>
  <c r="T376" i="8"/>
  <c r="U376" i="8"/>
  <c r="E511" i="8"/>
  <c r="I511" i="8"/>
  <c r="L511" i="8"/>
  <c r="M511" i="8"/>
  <c r="Q511" i="8"/>
  <c r="W376" i="8"/>
  <c r="V511" i="8"/>
  <c r="W511" i="8"/>
  <c r="X376" i="8"/>
  <c r="Y376" i="8"/>
  <c r="X511" i="8"/>
  <c r="Z376" i="8"/>
  <c r="Y511" i="8"/>
  <c r="AA376" i="8"/>
  <c r="Z511" i="8"/>
  <c r="AB376" i="8"/>
  <c r="AA511" i="8"/>
  <c r="AC376" i="8"/>
  <c r="AB511" i="8"/>
  <c r="AD376" i="8"/>
  <c r="AC511" i="8"/>
  <c r="AE376" i="8"/>
  <c r="AD511" i="8"/>
  <c r="AG661" i="8"/>
  <c r="AG669" i="8" s="1"/>
  <c r="AG641" i="8" s="1"/>
  <c r="AG56" i="8" s="1"/>
  <c r="AF376" i="8"/>
  <c r="AE511" i="8"/>
  <c r="AH661" i="8"/>
  <c r="AH669" i="8" s="1"/>
  <c r="AH641" i="8" s="1"/>
  <c r="AH56" i="8" s="1"/>
  <c r="AG376" i="8"/>
  <c r="AF511" i="8"/>
  <c r="AG511" i="8"/>
  <c r="AI661" i="8"/>
  <c r="AI669" i="8" s="1"/>
  <c r="AI641" i="8" s="1"/>
  <c r="AI56" i="8" s="1"/>
  <c r="AH376" i="8"/>
  <c r="AJ661" i="8"/>
  <c r="AJ669" i="8" s="1"/>
  <c r="AJ641" i="8" s="1"/>
  <c r="AJ56" i="8" s="1"/>
  <c r="AI376" i="8"/>
  <c r="AH511" i="8"/>
  <c r="AK661" i="8"/>
  <c r="AK669" i="8" s="1"/>
  <c r="AK641" i="8" s="1"/>
  <c r="AK56" i="8" s="1"/>
  <c r="AJ376" i="8"/>
  <c r="AI511" i="8"/>
  <c r="AJ511" i="8"/>
  <c r="AK376" i="8"/>
  <c r="AL661" i="8"/>
  <c r="AL669" i="8" s="1"/>
  <c r="AL641" i="8" s="1"/>
  <c r="AL56" i="8" s="1"/>
  <c r="AK511" i="8"/>
  <c r="AL376" i="8"/>
  <c r="AM661" i="8"/>
  <c r="AM669" i="8" s="1"/>
  <c r="AM641" i="8" s="1"/>
  <c r="AM56" i="8" s="1"/>
  <c r="AN661" i="8"/>
  <c r="AN669" i="8" s="1"/>
  <c r="AN641" i="8" s="1"/>
  <c r="AN56" i="8" s="1"/>
  <c r="AM376" i="8"/>
  <c r="AL511" i="8"/>
  <c r="AO661" i="8"/>
  <c r="AO669" i="8" s="1"/>
  <c r="AO641" i="8" s="1"/>
  <c r="AO56" i="8" s="1"/>
  <c r="AN376" i="8"/>
  <c r="AM511" i="8"/>
  <c r="T513" i="8"/>
  <c r="U378" i="8"/>
  <c r="C378" i="8"/>
  <c r="E378" i="8"/>
  <c r="F378" i="8"/>
  <c r="K378" i="8"/>
  <c r="R378" i="8"/>
  <c r="T378" i="8"/>
  <c r="V378" i="8"/>
  <c r="D513" i="8"/>
  <c r="E513" i="8"/>
  <c r="F513" i="8"/>
  <c r="I513" i="8"/>
  <c r="J513" i="8"/>
  <c r="K513" i="8"/>
  <c r="N513" i="8"/>
  <c r="O513" i="8"/>
  <c r="P513" i="8"/>
  <c r="Q513" i="8"/>
  <c r="R513" i="8"/>
  <c r="U513" i="8"/>
  <c r="D378" i="8"/>
  <c r="G378" i="8"/>
  <c r="H378" i="8"/>
  <c r="I378" i="8"/>
  <c r="J378" i="8"/>
  <c r="L378" i="8"/>
  <c r="M378" i="8"/>
  <c r="N378" i="8"/>
  <c r="O378" i="8"/>
  <c r="P378" i="8"/>
  <c r="Q378" i="8"/>
  <c r="S378" i="8"/>
  <c r="C513" i="8"/>
  <c r="G513" i="8"/>
  <c r="H513" i="8"/>
  <c r="L513" i="8"/>
  <c r="M513" i="8"/>
  <c r="S513" i="8"/>
  <c r="V513" i="8"/>
  <c r="W378" i="8"/>
  <c r="W513" i="8"/>
  <c r="X378" i="8"/>
  <c r="Y378" i="8"/>
  <c r="X513" i="8"/>
  <c r="Y513" i="8"/>
  <c r="Z378" i="8"/>
  <c r="Z513" i="8"/>
  <c r="AA378" i="8"/>
  <c r="AB378" i="8"/>
  <c r="AA513" i="8"/>
  <c r="AC378" i="8"/>
  <c r="AB513" i="8"/>
  <c r="AD378" i="8"/>
  <c r="AC513" i="8"/>
  <c r="AD513" i="8"/>
  <c r="AE378" i="8"/>
  <c r="AE513" i="8"/>
  <c r="AF378" i="8"/>
  <c r="AG378" i="8"/>
  <c r="AF513" i="8"/>
  <c r="AG513" i="8"/>
  <c r="AH378" i="8"/>
  <c r="AI378" i="8"/>
  <c r="AH513" i="8"/>
  <c r="AI513" i="8"/>
  <c r="AJ378" i="8"/>
  <c r="AJ513" i="8"/>
  <c r="AK378" i="8"/>
  <c r="AK513" i="8"/>
  <c r="AL378" i="8"/>
  <c r="AM378" i="8"/>
  <c r="AL513" i="8"/>
  <c r="AM513" i="8"/>
  <c r="AN378" i="8"/>
  <c r="E380" i="8"/>
  <c r="F380" i="8"/>
  <c r="H380" i="8"/>
  <c r="J380" i="8"/>
  <c r="O380" i="8"/>
  <c r="R380" i="8"/>
  <c r="T380" i="8"/>
  <c r="U380" i="8"/>
  <c r="V380" i="8"/>
  <c r="D515" i="8"/>
  <c r="E515" i="8"/>
  <c r="F515" i="8"/>
  <c r="G515" i="8"/>
  <c r="H515" i="8"/>
  <c r="J515" i="8"/>
  <c r="K515" i="8"/>
  <c r="N515" i="8"/>
  <c r="O515" i="8"/>
  <c r="Q515" i="8"/>
  <c r="R515" i="8"/>
  <c r="S515" i="8"/>
  <c r="C380" i="8"/>
  <c r="D380" i="8"/>
  <c r="G380" i="8"/>
  <c r="I380" i="8"/>
  <c r="K380" i="8"/>
  <c r="L380" i="8"/>
  <c r="M380" i="8"/>
  <c r="N380" i="8"/>
  <c r="P380" i="8"/>
  <c r="Q380" i="8"/>
  <c r="S380" i="8"/>
  <c r="C515" i="8"/>
  <c r="I515" i="8"/>
  <c r="L515" i="8"/>
  <c r="M515" i="8"/>
  <c r="P515" i="8"/>
  <c r="T515" i="8"/>
  <c r="U515" i="8"/>
  <c r="V515" i="8"/>
  <c r="W380" i="8"/>
  <c r="X380" i="8"/>
  <c r="W515" i="8"/>
  <c r="X515" i="8"/>
  <c r="Y380" i="8"/>
  <c r="Z380" i="8"/>
  <c r="Y515" i="8"/>
  <c r="AA380" i="8"/>
  <c r="Z515" i="8"/>
  <c r="AA515" i="8"/>
  <c r="AB380" i="8"/>
  <c r="AB515" i="8"/>
  <c r="AC380" i="8"/>
  <c r="AD380" i="8"/>
  <c r="AC515" i="8"/>
  <c r="AE380" i="8"/>
  <c r="AD515" i="8"/>
  <c r="AE515" i="8"/>
  <c r="AF380" i="8"/>
  <c r="AF515" i="8"/>
  <c r="AG380" i="8"/>
  <c r="AH380" i="8"/>
  <c r="AG515" i="8"/>
  <c r="AI380" i="8"/>
  <c r="AH515" i="8"/>
  <c r="AJ380" i="8"/>
  <c r="AI515" i="8"/>
  <c r="AK380" i="8"/>
  <c r="AJ515" i="8"/>
  <c r="AL380" i="8"/>
  <c r="AK515" i="8"/>
  <c r="AM380" i="8"/>
  <c r="AL515" i="8"/>
  <c r="AM515" i="8"/>
  <c r="AN380" i="8"/>
  <c r="U382" i="8"/>
  <c r="T517" i="8"/>
  <c r="D382" i="8"/>
  <c r="H382" i="8"/>
  <c r="I382" i="8"/>
  <c r="J382" i="8"/>
  <c r="L382" i="8"/>
  <c r="M382" i="8"/>
  <c r="N382" i="8"/>
  <c r="O382" i="8"/>
  <c r="P382" i="8"/>
  <c r="Q382" i="8"/>
  <c r="S382" i="8"/>
  <c r="V382" i="8"/>
  <c r="C517" i="8"/>
  <c r="E517" i="8"/>
  <c r="F517" i="8"/>
  <c r="J517" i="8"/>
  <c r="K517" i="8"/>
  <c r="L517" i="8"/>
  <c r="M517" i="8"/>
  <c r="O517" i="8"/>
  <c r="P517" i="8"/>
  <c r="Q517" i="8"/>
  <c r="S517" i="8"/>
  <c r="C382" i="8"/>
  <c r="E382" i="8"/>
  <c r="F382" i="8"/>
  <c r="G382" i="8"/>
  <c r="K382" i="8"/>
  <c r="R382" i="8"/>
  <c r="T382" i="8"/>
  <c r="D517" i="8"/>
  <c r="G517" i="8"/>
  <c r="H517" i="8"/>
  <c r="I517" i="8"/>
  <c r="N517" i="8"/>
  <c r="R517" i="8"/>
  <c r="U517" i="8"/>
  <c r="W382" i="8"/>
  <c r="V517" i="8"/>
  <c r="X382" i="8"/>
  <c r="W517" i="8"/>
  <c r="X517" i="8"/>
  <c r="Y382" i="8"/>
  <c r="Z382" i="8"/>
  <c r="Y517" i="8"/>
  <c r="AA382" i="8"/>
  <c r="Z517" i="8"/>
  <c r="AB382" i="8"/>
  <c r="AA517" i="8"/>
  <c r="AB517" i="8"/>
  <c r="AC382" i="8"/>
  <c r="AC517" i="8"/>
  <c r="AD382" i="8"/>
  <c r="AD517" i="8"/>
  <c r="AE382" i="8"/>
  <c r="AF382" i="8"/>
  <c r="AE517" i="8"/>
  <c r="AG382" i="8"/>
  <c r="AF517" i="8"/>
  <c r="AG517" i="8"/>
  <c r="AH382" i="8"/>
  <c r="AI382" i="8"/>
  <c r="AH517" i="8"/>
  <c r="AI517" i="8"/>
  <c r="AJ382" i="8"/>
  <c r="AK382" i="8"/>
  <c r="AJ517" i="8"/>
  <c r="AL382" i="8"/>
  <c r="AK517" i="8"/>
  <c r="AM382" i="8"/>
  <c r="AL517" i="8"/>
  <c r="AN382" i="8"/>
  <c r="AM517" i="8"/>
  <c r="AP689" i="8"/>
  <c r="AP674" i="8" s="1"/>
  <c r="AP62" i="8" s="1"/>
  <c r="B679" i="8"/>
  <c r="T537" i="8"/>
  <c r="U402" i="8"/>
  <c r="E402" i="8"/>
  <c r="F402" i="8"/>
  <c r="G402" i="8"/>
  <c r="K402" i="8"/>
  <c r="R402" i="8"/>
  <c r="T402" i="8"/>
  <c r="V402" i="8"/>
  <c r="C537" i="8"/>
  <c r="G537" i="8"/>
  <c r="H537" i="8"/>
  <c r="L537" i="8"/>
  <c r="M537" i="8"/>
  <c r="S537" i="8"/>
  <c r="U537" i="8"/>
  <c r="C402" i="8"/>
  <c r="D402" i="8"/>
  <c r="H402" i="8"/>
  <c r="I402" i="8"/>
  <c r="J402" i="8"/>
  <c r="L402" i="8"/>
  <c r="M402" i="8"/>
  <c r="N402" i="8"/>
  <c r="O402" i="8"/>
  <c r="P402" i="8"/>
  <c r="Q402" i="8"/>
  <c r="S402" i="8"/>
  <c r="D537" i="8"/>
  <c r="E537" i="8"/>
  <c r="F537" i="8"/>
  <c r="I537" i="8"/>
  <c r="J537" i="8"/>
  <c r="K537" i="8"/>
  <c r="N537" i="8"/>
  <c r="O537" i="8"/>
  <c r="P537" i="8"/>
  <c r="Q537" i="8"/>
  <c r="R537" i="8"/>
  <c r="V537" i="8"/>
  <c r="W402" i="8"/>
  <c r="W537" i="8"/>
  <c r="X402" i="8"/>
  <c r="Y402" i="8"/>
  <c r="X537" i="8"/>
  <c r="Y537" i="8"/>
  <c r="Z402" i="8"/>
  <c r="Z537" i="8"/>
  <c r="AA402" i="8"/>
  <c r="AB402" i="8"/>
  <c r="AA537" i="8"/>
  <c r="AC402" i="8"/>
  <c r="AB537" i="8"/>
  <c r="AD402" i="8"/>
  <c r="AC537" i="8"/>
  <c r="AD537" i="8"/>
  <c r="AE402" i="8"/>
  <c r="AE537" i="8"/>
  <c r="AF402" i="8"/>
  <c r="AG402" i="8"/>
  <c r="AF537" i="8"/>
  <c r="AG537" i="8"/>
  <c r="AH402" i="8"/>
  <c r="AI402" i="8"/>
  <c r="AH537" i="8"/>
  <c r="AI537" i="8"/>
  <c r="AJ402" i="8"/>
  <c r="AJ537" i="8"/>
  <c r="AK402" i="8"/>
  <c r="AK537" i="8"/>
  <c r="AL402" i="8"/>
  <c r="AM402" i="8"/>
  <c r="AL537" i="8"/>
  <c r="AM537" i="8"/>
  <c r="AN402" i="8"/>
  <c r="E404" i="8"/>
  <c r="F404" i="8"/>
  <c r="H404" i="8"/>
  <c r="J404" i="8"/>
  <c r="O404" i="8"/>
  <c r="R404" i="8"/>
  <c r="T404" i="8"/>
  <c r="U404" i="8"/>
  <c r="V404" i="8"/>
  <c r="C539" i="8"/>
  <c r="H539" i="8"/>
  <c r="I539" i="8"/>
  <c r="L539" i="8"/>
  <c r="M539" i="8"/>
  <c r="P539" i="8"/>
  <c r="T539" i="8"/>
  <c r="C404" i="8"/>
  <c r="D404" i="8"/>
  <c r="G404" i="8"/>
  <c r="I404" i="8"/>
  <c r="K404" i="8"/>
  <c r="L404" i="8"/>
  <c r="M404" i="8"/>
  <c r="N404" i="8"/>
  <c r="P404" i="8"/>
  <c r="Q404" i="8"/>
  <c r="S404" i="8"/>
  <c r="D539" i="8"/>
  <c r="E539" i="8"/>
  <c r="F539" i="8"/>
  <c r="G539" i="8"/>
  <c r="J539" i="8"/>
  <c r="K539" i="8"/>
  <c r="N539" i="8"/>
  <c r="O539" i="8"/>
  <c r="Q539" i="8"/>
  <c r="R539" i="8"/>
  <c r="S539" i="8"/>
  <c r="U539" i="8"/>
  <c r="V539" i="8"/>
  <c r="W404" i="8"/>
  <c r="X404" i="8"/>
  <c r="W539" i="8"/>
  <c r="X539" i="8"/>
  <c r="Y404" i="8"/>
  <c r="Z404" i="8"/>
  <c r="Y539" i="8"/>
  <c r="AA404" i="8"/>
  <c r="Z539" i="8"/>
  <c r="AA539" i="8"/>
  <c r="AB404" i="8"/>
  <c r="AB539" i="8"/>
  <c r="AC404" i="8"/>
  <c r="AD404" i="8"/>
  <c r="AC539" i="8"/>
  <c r="AE404" i="8"/>
  <c r="AD539" i="8"/>
  <c r="AE539" i="8"/>
  <c r="AF404" i="8"/>
  <c r="AF539" i="8"/>
  <c r="AG404" i="8"/>
  <c r="AH404" i="8"/>
  <c r="AG539" i="8"/>
  <c r="AI404" i="8"/>
  <c r="AH539" i="8"/>
  <c r="AJ404" i="8"/>
  <c r="AI539" i="8"/>
  <c r="AK404" i="8"/>
  <c r="AJ539" i="8"/>
  <c r="AL404" i="8"/>
  <c r="AK539" i="8"/>
  <c r="AM404" i="8"/>
  <c r="AL539" i="8"/>
  <c r="AM539" i="8"/>
  <c r="AN404" i="8"/>
  <c r="U406" i="8"/>
  <c r="T541" i="8"/>
  <c r="C406" i="8"/>
  <c r="D406" i="8"/>
  <c r="H406" i="8"/>
  <c r="I406" i="8"/>
  <c r="J406" i="8"/>
  <c r="L406" i="8"/>
  <c r="M406" i="8"/>
  <c r="N406" i="8"/>
  <c r="O406" i="8"/>
  <c r="P406" i="8"/>
  <c r="Q406" i="8"/>
  <c r="S406" i="8"/>
  <c r="V406" i="8"/>
  <c r="C541" i="8"/>
  <c r="D541" i="8"/>
  <c r="H541" i="8"/>
  <c r="I541" i="8"/>
  <c r="N541" i="8"/>
  <c r="R541" i="8"/>
  <c r="E406" i="8"/>
  <c r="F406" i="8"/>
  <c r="G406" i="8"/>
  <c r="K406" i="8"/>
  <c r="R406" i="8"/>
  <c r="T406" i="8"/>
  <c r="E541" i="8"/>
  <c r="F541" i="8"/>
  <c r="G541" i="8"/>
  <c r="J541" i="8"/>
  <c r="K541" i="8"/>
  <c r="L541" i="8"/>
  <c r="M541" i="8"/>
  <c r="O541" i="8"/>
  <c r="P541" i="8"/>
  <c r="Q541" i="8"/>
  <c r="S541" i="8"/>
  <c r="U541" i="8"/>
  <c r="W406" i="8"/>
  <c r="V541" i="8"/>
  <c r="X406" i="8"/>
  <c r="W541" i="8"/>
  <c r="X541" i="8"/>
  <c r="Y406" i="8"/>
  <c r="Z406" i="8"/>
  <c r="Y541" i="8"/>
  <c r="AA406" i="8"/>
  <c r="Z541" i="8"/>
  <c r="AB406" i="8"/>
  <c r="AA541" i="8"/>
  <c r="AB541" i="8"/>
  <c r="AC406" i="8"/>
  <c r="AC541" i="8"/>
  <c r="AD406" i="8"/>
  <c r="AD541" i="8"/>
  <c r="AE406" i="8"/>
  <c r="AF406" i="8"/>
  <c r="AE541" i="8"/>
  <c r="AG406" i="8"/>
  <c r="AF541" i="8"/>
  <c r="AG541" i="8"/>
  <c r="AH406" i="8"/>
  <c r="AI406" i="8"/>
  <c r="AH541" i="8"/>
  <c r="AI541" i="8"/>
  <c r="AJ406" i="8"/>
  <c r="AK406" i="8"/>
  <c r="AJ541" i="8"/>
  <c r="AL406" i="8"/>
  <c r="AK541" i="8"/>
  <c r="AM406" i="8"/>
  <c r="AL541" i="8"/>
  <c r="AN406" i="8"/>
  <c r="AM541" i="8"/>
  <c r="C408" i="8"/>
  <c r="D408" i="8"/>
  <c r="G408" i="8"/>
  <c r="I408" i="8"/>
  <c r="K408" i="8"/>
  <c r="L408" i="8"/>
  <c r="M408" i="8"/>
  <c r="N408" i="8"/>
  <c r="P408" i="8"/>
  <c r="Q408" i="8"/>
  <c r="S408" i="8"/>
  <c r="T543" i="8"/>
  <c r="V408" i="8"/>
  <c r="C543" i="8"/>
  <c r="D543" i="8"/>
  <c r="F543" i="8"/>
  <c r="G543" i="8"/>
  <c r="H543" i="8"/>
  <c r="J543" i="8"/>
  <c r="K543" i="8"/>
  <c r="N543" i="8"/>
  <c r="O543" i="8"/>
  <c r="P543" i="8"/>
  <c r="R543" i="8"/>
  <c r="S543" i="8"/>
  <c r="U543" i="8"/>
  <c r="E408" i="8"/>
  <c r="F408" i="8"/>
  <c r="H408" i="8"/>
  <c r="J408" i="8"/>
  <c r="O408" i="8"/>
  <c r="R408" i="8"/>
  <c r="T408" i="8"/>
  <c r="U408" i="8"/>
  <c r="E543" i="8"/>
  <c r="I543" i="8"/>
  <c r="L543" i="8"/>
  <c r="M543" i="8"/>
  <c r="Q543" i="8"/>
  <c r="W408" i="8"/>
  <c r="V543" i="8"/>
  <c r="W543" i="8"/>
  <c r="X408" i="8"/>
  <c r="Y408" i="8"/>
  <c r="X543" i="8"/>
  <c r="Z408" i="8"/>
  <c r="Y543" i="8"/>
  <c r="AA408" i="8"/>
  <c r="Z543" i="8"/>
  <c r="AB408" i="8"/>
  <c r="AA543" i="8"/>
  <c r="AC408" i="8"/>
  <c r="AB543" i="8"/>
  <c r="AD408" i="8"/>
  <c r="AC543" i="8"/>
  <c r="AE408" i="8"/>
  <c r="AD543" i="8"/>
  <c r="AF408" i="8"/>
  <c r="AE543" i="8"/>
  <c r="AG408" i="8"/>
  <c r="AF543" i="8"/>
  <c r="AG543" i="8"/>
  <c r="AH408" i="8"/>
  <c r="AI408" i="8"/>
  <c r="AH543" i="8"/>
  <c r="AJ408" i="8"/>
  <c r="AI543" i="8"/>
  <c r="AJ543" i="8"/>
  <c r="AK408" i="8"/>
  <c r="AK543" i="8"/>
  <c r="AL408" i="8"/>
  <c r="AM408" i="8"/>
  <c r="AL543" i="8"/>
  <c r="AN408" i="8"/>
  <c r="AM543" i="8"/>
  <c r="AN271" i="8"/>
  <c r="AN272" i="8" s="1"/>
  <c r="AP661" i="8"/>
  <c r="AP692" i="8"/>
  <c r="AN485" i="8"/>
  <c r="AN517" i="8"/>
  <c r="AN541" i="8"/>
  <c r="AN490" i="8"/>
  <c r="AN514" i="8"/>
  <c r="AN538" i="8"/>
  <c r="AO408" i="8"/>
  <c r="AO404" i="8"/>
  <c r="AO380" i="8"/>
  <c r="AO376" i="8"/>
  <c r="AO491" i="8"/>
  <c r="AO487" i="8"/>
  <c r="AO409" i="8"/>
  <c r="AO405" i="8"/>
  <c r="AO401" i="8"/>
  <c r="AO381" i="8"/>
  <c r="AO377" i="8"/>
  <c r="AO357" i="8"/>
  <c r="AO353" i="8"/>
  <c r="AO349" i="8"/>
  <c r="B657" i="7"/>
  <c r="AP63" i="7"/>
  <c r="AP313" i="7"/>
  <c r="B626" i="7"/>
  <c r="AP287" i="7"/>
  <c r="D687" i="7"/>
  <c r="D697" i="7" s="1"/>
  <c r="D669" i="7" s="1"/>
  <c r="D65" i="7" s="1"/>
  <c r="C687" i="7"/>
  <c r="E687" i="7"/>
  <c r="E697" i="7" s="1"/>
  <c r="E669" i="7" s="1"/>
  <c r="E65" i="7" s="1"/>
  <c r="F687" i="7"/>
  <c r="F697" i="7" s="1"/>
  <c r="F669" i="7" s="1"/>
  <c r="F65" i="7" s="1"/>
  <c r="G687" i="7"/>
  <c r="G697" i="7" s="1"/>
  <c r="G669" i="7" s="1"/>
  <c r="G65" i="7" s="1"/>
  <c r="H687" i="7"/>
  <c r="H697" i="7" s="1"/>
  <c r="H669" i="7" s="1"/>
  <c r="H65" i="7" s="1"/>
  <c r="I687" i="7"/>
  <c r="I697" i="7" s="1"/>
  <c r="I669" i="7" s="1"/>
  <c r="I65" i="7" s="1"/>
  <c r="J687" i="7"/>
  <c r="J697" i="7" s="1"/>
  <c r="J669" i="7" s="1"/>
  <c r="J65" i="7" s="1"/>
  <c r="K687" i="7"/>
  <c r="K697" i="7" s="1"/>
  <c r="K669" i="7" s="1"/>
  <c r="K65" i="7" s="1"/>
  <c r="L687" i="7"/>
  <c r="L697" i="7" s="1"/>
  <c r="L669" i="7" s="1"/>
  <c r="L65" i="7" s="1"/>
  <c r="M687" i="7"/>
  <c r="M697" i="7" s="1"/>
  <c r="M669" i="7" s="1"/>
  <c r="M65" i="7" s="1"/>
  <c r="N687" i="7"/>
  <c r="N697" i="7" s="1"/>
  <c r="N669" i="7" s="1"/>
  <c r="N65" i="7" s="1"/>
  <c r="O687" i="7"/>
  <c r="O697" i="7" s="1"/>
  <c r="O669" i="7" s="1"/>
  <c r="O65" i="7" s="1"/>
  <c r="P687" i="7"/>
  <c r="P697" i="7" s="1"/>
  <c r="P669" i="7" s="1"/>
  <c r="P65" i="7" s="1"/>
  <c r="Q687" i="7"/>
  <c r="Q697" i="7" s="1"/>
  <c r="Q669" i="7" s="1"/>
  <c r="Q65" i="7" s="1"/>
  <c r="R687" i="7"/>
  <c r="R697" i="7" s="1"/>
  <c r="R669" i="7" s="1"/>
  <c r="R65" i="7" s="1"/>
  <c r="S687" i="7"/>
  <c r="S697" i="7" s="1"/>
  <c r="S669" i="7" s="1"/>
  <c r="S65" i="7" s="1"/>
  <c r="T687" i="7"/>
  <c r="T697" i="7" s="1"/>
  <c r="T669" i="7" s="1"/>
  <c r="T65" i="7" s="1"/>
  <c r="U687" i="7"/>
  <c r="U697" i="7" s="1"/>
  <c r="U669" i="7" s="1"/>
  <c r="U65" i="7" s="1"/>
  <c r="V687" i="7"/>
  <c r="V697" i="7" s="1"/>
  <c r="V669" i="7" s="1"/>
  <c r="V65" i="7" s="1"/>
  <c r="T464" i="7"/>
  <c r="T474" i="7" s="1"/>
  <c r="U329" i="7"/>
  <c r="U339" i="7" s="1"/>
  <c r="C464" i="7"/>
  <c r="D464" i="7"/>
  <c r="D474" i="7" s="1"/>
  <c r="E464" i="7"/>
  <c r="E474" i="7" s="1"/>
  <c r="H464" i="7"/>
  <c r="H474" i="7" s="1"/>
  <c r="I464" i="7"/>
  <c r="I474" i="7" s="1"/>
  <c r="M464" i="7"/>
  <c r="M474" i="7" s="1"/>
  <c r="O464" i="7"/>
  <c r="O474" i="7" s="1"/>
  <c r="R464" i="7"/>
  <c r="R474" i="7" s="1"/>
  <c r="C329" i="7"/>
  <c r="D329" i="7"/>
  <c r="D339" i="7" s="1"/>
  <c r="E329" i="7"/>
  <c r="E339" i="7" s="1"/>
  <c r="F329" i="7"/>
  <c r="F339" i="7" s="1"/>
  <c r="G329" i="7"/>
  <c r="G339" i="7" s="1"/>
  <c r="I329" i="7"/>
  <c r="I339" i="7" s="1"/>
  <c r="J329" i="7"/>
  <c r="J339" i="7" s="1"/>
  <c r="O329" i="7"/>
  <c r="O339" i="7" s="1"/>
  <c r="P329" i="7"/>
  <c r="P339" i="7" s="1"/>
  <c r="Q329" i="7"/>
  <c r="Q339" i="7" s="1"/>
  <c r="F464" i="7"/>
  <c r="F474" i="7" s="1"/>
  <c r="G464" i="7"/>
  <c r="G474" i="7" s="1"/>
  <c r="J464" i="7"/>
  <c r="J474" i="7" s="1"/>
  <c r="K464" i="7"/>
  <c r="K474" i="7" s="1"/>
  <c r="L464" i="7"/>
  <c r="L474" i="7" s="1"/>
  <c r="N464" i="7"/>
  <c r="N474" i="7" s="1"/>
  <c r="P464" i="7"/>
  <c r="P474" i="7" s="1"/>
  <c r="Q464" i="7"/>
  <c r="Q474" i="7" s="1"/>
  <c r="S464" i="7"/>
  <c r="S474" i="7" s="1"/>
  <c r="U464" i="7"/>
  <c r="U474" i="7" s="1"/>
  <c r="H329" i="7"/>
  <c r="H339" i="7" s="1"/>
  <c r="K329" i="7"/>
  <c r="K339" i="7" s="1"/>
  <c r="L329" i="7"/>
  <c r="L339" i="7" s="1"/>
  <c r="M329" i="7"/>
  <c r="M339" i="7" s="1"/>
  <c r="N329" i="7"/>
  <c r="N339" i="7" s="1"/>
  <c r="R329" i="7"/>
  <c r="R339" i="7" s="1"/>
  <c r="S329" i="7"/>
  <c r="S339" i="7" s="1"/>
  <c r="T329" i="7"/>
  <c r="T339" i="7" s="1"/>
  <c r="V329" i="7"/>
  <c r="V339" i="7" s="1"/>
  <c r="W329" i="7"/>
  <c r="W339" i="7" s="1"/>
  <c r="V464" i="7"/>
  <c r="V474" i="7" s="1"/>
  <c r="X329" i="7"/>
  <c r="X339" i="7" s="1"/>
  <c r="W464" i="7"/>
  <c r="W474" i="7" s="1"/>
  <c r="X464" i="7"/>
  <c r="X474" i="7" s="1"/>
  <c r="Y329" i="7"/>
  <c r="Y339" i="7" s="1"/>
  <c r="Z329" i="7"/>
  <c r="Z339" i="7" s="1"/>
  <c r="Y464" i="7"/>
  <c r="Y474" i="7" s="1"/>
  <c r="AA329" i="7"/>
  <c r="AA339" i="7" s="1"/>
  <c r="Z464" i="7"/>
  <c r="Z474" i="7" s="1"/>
  <c r="AA464" i="7"/>
  <c r="AA474" i="7" s="1"/>
  <c r="AB329" i="7"/>
  <c r="AB339" i="7" s="1"/>
  <c r="AB464" i="7"/>
  <c r="AB474" i="7" s="1"/>
  <c r="AC329" i="7"/>
  <c r="AC339" i="7" s="1"/>
  <c r="AD329" i="7"/>
  <c r="AD339" i="7" s="1"/>
  <c r="AC464" i="7"/>
  <c r="AC474" i="7" s="1"/>
  <c r="AE329" i="7"/>
  <c r="AE339" i="7" s="1"/>
  <c r="AD464" i="7"/>
  <c r="AD474" i="7" s="1"/>
  <c r="AE464" i="7"/>
  <c r="AE474" i="7" s="1"/>
  <c r="AF329" i="7"/>
  <c r="AF339" i="7" s="1"/>
  <c r="AG329" i="7"/>
  <c r="AG339" i="7" s="1"/>
  <c r="AF464" i="7"/>
  <c r="AF474" i="7" s="1"/>
  <c r="AG464" i="7"/>
  <c r="AG474" i="7" s="1"/>
  <c r="AH329" i="7"/>
  <c r="AH339" i="7" s="1"/>
  <c r="AH464" i="7"/>
  <c r="AH474" i="7" s="1"/>
  <c r="AI329" i="7"/>
  <c r="AI339" i="7" s="1"/>
  <c r="AJ329" i="7"/>
  <c r="AJ339" i="7" s="1"/>
  <c r="AI464" i="7"/>
  <c r="AI474" i="7" s="1"/>
  <c r="AK329" i="7"/>
  <c r="AK339" i="7" s="1"/>
  <c r="AJ464" i="7"/>
  <c r="AJ474" i="7" s="1"/>
  <c r="AL329" i="7"/>
  <c r="AL339" i="7" s="1"/>
  <c r="AK464" i="7"/>
  <c r="AK474" i="7" s="1"/>
  <c r="AM329" i="7"/>
  <c r="AM339" i="7" s="1"/>
  <c r="AL464" i="7"/>
  <c r="AL474" i="7" s="1"/>
  <c r="AN329" i="7"/>
  <c r="AN339" i="7" s="1"/>
  <c r="AM464" i="7"/>
  <c r="AM474" i="7" s="1"/>
  <c r="AO329" i="7"/>
  <c r="AO339" i="7" s="1"/>
  <c r="AN464" i="7"/>
  <c r="AN474" i="7" s="1"/>
  <c r="AP556" i="7"/>
  <c r="AP81" i="7"/>
  <c r="AO474" i="7"/>
  <c r="AP665" i="7"/>
  <c r="AP637" i="7" s="1"/>
  <c r="AP64" i="7" s="1"/>
  <c r="B337" i="7"/>
  <c r="B472" i="7"/>
  <c r="B335" i="7"/>
  <c r="B470" i="7"/>
  <c r="B468" i="7"/>
  <c r="B466" i="7"/>
  <c r="B331" i="7"/>
  <c r="B311" i="7"/>
  <c r="B446" i="7"/>
  <c r="B309" i="7"/>
  <c r="B440" i="7"/>
  <c r="B420" i="7"/>
  <c r="B285" i="7"/>
  <c r="B281" i="7"/>
  <c r="AP71" i="7"/>
  <c r="AP329" i="7"/>
  <c r="AP339" i="7" s="1"/>
  <c r="AO438" i="7"/>
  <c r="AO448" i="7" s="1"/>
  <c r="B473" i="7"/>
  <c r="B338" i="7"/>
  <c r="B471" i="7"/>
  <c r="B334" i="7"/>
  <c r="B332" i="7"/>
  <c r="B465" i="7"/>
  <c r="B312" i="7"/>
  <c r="B447" i="7"/>
  <c r="B310" i="7"/>
  <c r="B445" i="7"/>
  <c r="B443" i="7"/>
  <c r="B306" i="7"/>
  <c r="B304" i="7"/>
  <c r="B286" i="7"/>
  <c r="B421" i="7"/>
  <c r="B419" i="7"/>
  <c r="B415" i="7"/>
  <c r="D655" i="7"/>
  <c r="D665" i="7" s="1"/>
  <c r="D637" i="7" s="1"/>
  <c r="D64" i="7" s="1"/>
  <c r="C655" i="7"/>
  <c r="E655" i="7"/>
  <c r="E665" i="7" s="1"/>
  <c r="E637" i="7" s="1"/>
  <c r="E64" i="7" s="1"/>
  <c r="F655" i="7"/>
  <c r="F665" i="7" s="1"/>
  <c r="F637" i="7" s="1"/>
  <c r="F64" i="7" s="1"/>
  <c r="G655" i="7"/>
  <c r="G665" i="7" s="1"/>
  <c r="G637" i="7" s="1"/>
  <c r="G64" i="7" s="1"/>
  <c r="H655" i="7"/>
  <c r="H665" i="7" s="1"/>
  <c r="H637" i="7" s="1"/>
  <c r="H64" i="7" s="1"/>
  <c r="I655" i="7"/>
  <c r="I665" i="7" s="1"/>
  <c r="I637" i="7" s="1"/>
  <c r="I64" i="7" s="1"/>
  <c r="J655" i="7"/>
  <c r="J665" i="7" s="1"/>
  <c r="J637" i="7" s="1"/>
  <c r="J64" i="7" s="1"/>
  <c r="K655" i="7"/>
  <c r="K665" i="7" s="1"/>
  <c r="K637" i="7" s="1"/>
  <c r="K64" i="7" s="1"/>
  <c r="L655" i="7"/>
  <c r="L665" i="7" s="1"/>
  <c r="L637" i="7" s="1"/>
  <c r="L64" i="7" s="1"/>
  <c r="M655" i="7"/>
  <c r="M665" i="7" s="1"/>
  <c r="M637" i="7" s="1"/>
  <c r="N655" i="7"/>
  <c r="N665" i="7" s="1"/>
  <c r="N637" i="7" s="1"/>
  <c r="O655" i="7"/>
  <c r="O665" i="7" s="1"/>
  <c r="O637" i="7" s="1"/>
  <c r="P655" i="7"/>
  <c r="P665" i="7" s="1"/>
  <c r="P637" i="7" s="1"/>
  <c r="Q655" i="7"/>
  <c r="Q665" i="7" s="1"/>
  <c r="Q637" i="7" s="1"/>
  <c r="U303" i="7"/>
  <c r="U313" i="7" s="1"/>
  <c r="T438" i="7"/>
  <c r="T448" i="7" s="1"/>
  <c r="V303" i="7"/>
  <c r="V313" i="7" s="1"/>
  <c r="D438" i="7"/>
  <c r="D448" i="7" s="1"/>
  <c r="C438" i="7"/>
  <c r="E438" i="7"/>
  <c r="E448" i="7" s="1"/>
  <c r="F438" i="7"/>
  <c r="F448" i="7" s="1"/>
  <c r="H438" i="7"/>
  <c r="H448" i="7" s="1"/>
  <c r="I438" i="7"/>
  <c r="I448" i="7" s="1"/>
  <c r="M438" i="7"/>
  <c r="M448" i="7" s="1"/>
  <c r="O438" i="7"/>
  <c r="O448" i="7" s="1"/>
  <c r="R438" i="7"/>
  <c r="R448" i="7" s="1"/>
  <c r="S438" i="7"/>
  <c r="S448" i="7" s="1"/>
  <c r="U438" i="7"/>
  <c r="U448" i="7" s="1"/>
  <c r="D303" i="7"/>
  <c r="D313" i="7" s="1"/>
  <c r="E303" i="7"/>
  <c r="E313" i="7" s="1"/>
  <c r="H303" i="7"/>
  <c r="H313" i="7" s="1"/>
  <c r="I303" i="7"/>
  <c r="I313" i="7" s="1"/>
  <c r="K303" i="7"/>
  <c r="K313" i="7" s="1"/>
  <c r="L303" i="7"/>
  <c r="L313" i="7" s="1"/>
  <c r="M303" i="7"/>
  <c r="M313" i="7" s="1"/>
  <c r="N303" i="7"/>
  <c r="N313" i="7" s="1"/>
  <c r="P303" i="7"/>
  <c r="P313" i="7" s="1"/>
  <c r="Q303" i="7"/>
  <c r="Q313" i="7" s="1"/>
  <c r="G438" i="7"/>
  <c r="G448" i="7" s="1"/>
  <c r="J438" i="7"/>
  <c r="J448" i="7" s="1"/>
  <c r="K438" i="7"/>
  <c r="K448" i="7" s="1"/>
  <c r="L438" i="7"/>
  <c r="L448" i="7" s="1"/>
  <c r="N438" i="7"/>
  <c r="N448" i="7" s="1"/>
  <c r="P438" i="7"/>
  <c r="P448" i="7" s="1"/>
  <c r="Q438" i="7"/>
  <c r="Q448" i="7" s="1"/>
  <c r="C303" i="7"/>
  <c r="F303" i="7"/>
  <c r="F313" i="7" s="1"/>
  <c r="G303" i="7"/>
  <c r="G313" i="7" s="1"/>
  <c r="J303" i="7"/>
  <c r="J313" i="7" s="1"/>
  <c r="O303" i="7"/>
  <c r="O313" i="7" s="1"/>
  <c r="S303" i="7"/>
  <c r="S313" i="7" s="1"/>
  <c r="R303" i="7"/>
  <c r="R313" i="7" s="1"/>
  <c r="T303" i="7"/>
  <c r="T313" i="7" s="1"/>
  <c r="V438" i="7"/>
  <c r="V448" i="7" s="1"/>
  <c r="W303" i="7"/>
  <c r="W313" i="7" s="1"/>
  <c r="X303" i="7"/>
  <c r="X313" i="7" s="1"/>
  <c r="W438" i="7"/>
  <c r="W448" i="7" s="1"/>
  <c r="Y303" i="7"/>
  <c r="Y313" i="7" s="1"/>
  <c r="X438" i="7"/>
  <c r="X448" i="7" s="1"/>
  <c r="Y438" i="7"/>
  <c r="Y448" i="7" s="1"/>
  <c r="Z303" i="7"/>
  <c r="Z313" i="7" s="1"/>
  <c r="AA303" i="7"/>
  <c r="AA313" i="7" s="1"/>
  <c r="Z438" i="7"/>
  <c r="Z448" i="7" s="1"/>
  <c r="AB303" i="7"/>
  <c r="AB313" i="7" s="1"/>
  <c r="AA438" i="7"/>
  <c r="AA448" i="7" s="1"/>
  <c r="AC303" i="7"/>
  <c r="AC313" i="7" s="1"/>
  <c r="AB438" i="7"/>
  <c r="AB448" i="7" s="1"/>
  <c r="AC438" i="7"/>
  <c r="AC448" i="7" s="1"/>
  <c r="AD303" i="7"/>
  <c r="AD313" i="7" s="1"/>
  <c r="AE303" i="7"/>
  <c r="AE313" i="7" s="1"/>
  <c r="AD438" i="7"/>
  <c r="AD448" i="7" s="1"/>
  <c r="AF303" i="7"/>
  <c r="AF313" i="7" s="1"/>
  <c r="AE438" i="7"/>
  <c r="AE448" i="7" s="1"/>
  <c r="AG303" i="7"/>
  <c r="AG313" i="7" s="1"/>
  <c r="AF438" i="7"/>
  <c r="AF448" i="7" s="1"/>
  <c r="AG438" i="7"/>
  <c r="AG448" i="7" s="1"/>
  <c r="AH303" i="7"/>
  <c r="AH313" i="7" s="1"/>
  <c r="AI303" i="7"/>
  <c r="AI313" i="7" s="1"/>
  <c r="AH438" i="7"/>
  <c r="AH448" i="7" s="1"/>
  <c r="AI438" i="7"/>
  <c r="AI448" i="7" s="1"/>
  <c r="AJ303" i="7"/>
  <c r="AJ313" i="7" s="1"/>
  <c r="AK303" i="7"/>
  <c r="AK313" i="7" s="1"/>
  <c r="AJ438" i="7"/>
  <c r="AJ448" i="7" s="1"/>
  <c r="AL303" i="7"/>
  <c r="AL313" i="7" s="1"/>
  <c r="AK438" i="7"/>
  <c r="AK448" i="7" s="1"/>
  <c r="AL438" i="7"/>
  <c r="AL448" i="7" s="1"/>
  <c r="AM303" i="7"/>
  <c r="AM313" i="7" s="1"/>
  <c r="AM438" i="7"/>
  <c r="AM448" i="7" s="1"/>
  <c r="AN303" i="7"/>
  <c r="AN313" i="7" s="1"/>
  <c r="AO303" i="7"/>
  <c r="AO313" i="7" s="1"/>
  <c r="AN438" i="7"/>
  <c r="AN448" i="7" s="1"/>
  <c r="D623" i="7"/>
  <c r="D633" i="7" s="1"/>
  <c r="D605" i="7" s="1"/>
  <c r="C623" i="7"/>
  <c r="E623" i="7"/>
  <c r="E633" i="7" s="1"/>
  <c r="E605" i="7" s="1"/>
  <c r="F623" i="7"/>
  <c r="F633" i="7" s="1"/>
  <c r="F605" i="7" s="1"/>
  <c r="G623" i="7"/>
  <c r="G633" i="7" s="1"/>
  <c r="G605" i="7" s="1"/>
  <c r="H623" i="7"/>
  <c r="H633" i="7" s="1"/>
  <c r="H605" i="7" s="1"/>
  <c r="I623" i="7"/>
  <c r="I633" i="7" s="1"/>
  <c r="I605" i="7" s="1"/>
  <c r="J623" i="7"/>
  <c r="J633" i="7" s="1"/>
  <c r="J605" i="7" s="1"/>
  <c r="K623" i="7"/>
  <c r="K633" i="7" s="1"/>
  <c r="K605" i="7" s="1"/>
  <c r="L623" i="7"/>
  <c r="L633" i="7" s="1"/>
  <c r="L605" i="7" s="1"/>
  <c r="M623" i="7"/>
  <c r="M633" i="7" s="1"/>
  <c r="M605" i="7" s="1"/>
  <c r="N623" i="7"/>
  <c r="N633" i="7" s="1"/>
  <c r="N605" i="7" s="1"/>
  <c r="U277" i="7"/>
  <c r="U287" i="7" s="1"/>
  <c r="T412" i="7"/>
  <c r="T422" i="7" s="1"/>
  <c r="C412" i="7"/>
  <c r="E412" i="7"/>
  <c r="E422" i="7" s="1"/>
  <c r="G412" i="7"/>
  <c r="G422" i="7" s="1"/>
  <c r="H412" i="7"/>
  <c r="H422" i="7" s="1"/>
  <c r="L412" i="7"/>
  <c r="L422" i="7" s="1"/>
  <c r="K412" i="7"/>
  <c r="K422" i="7" s="1"/>
  <c r="M412" i="7"/>
  <c r="M422" i="7" s="1"/>
  <c r="P412" i="7"/>
  <c r="P422" i="7" s="1"/>
  <c r="K277" i="7"/>
  <c r="K287" i="7" s="1"/>
  <c r="L277" i="7"/>
  <c r="L287" i="7" s="1"/>
  <c r="M277" i="7"/>
  <c r="M287" i="7" s="1"/>
  <c r="P277" i="7"/>
  <c r="P287" i="7" s="1"/>
  <c r="T277" i="7"/>
  <c r="T287" i="7" s="1"/>
  <c r="V277" i="7"/>
  <c r="V287" i="7" s="1"/>
  <c r="D412" i="7"/>
  <c r="D422" i="7" s="1"/>
  <c r="F412" i="7"/>
  <c r="F422" i="7" s="1"/>
  <c r="I412" i="7"/>
  <c r="I422" i="7" s="1"/>
  <c r="J412" i="7"/>
  <c r="J422" i="7" s="1"/>
  <c r="N412" i="7"/>
  <c r="N422" i="7" s="1"/>
  <c r="O412" i="7"/>
  <c r="O422" i="7" s="1"/>
  <c r="Q412" i="7"/>
  <c r="Q422" i="7" s="1"/>
  <c r="R412" i="7"/>
  <c r="R422" i="7" s="1"/>
  <c r="S412" i="7"/>
  <c r="S422" i="7" s="1"/>
  <c r="U412" i="7"/>
  <c r="U422" i="7" s="1"/>
  <c r="C277" i="7"/>
  <c r="D277" i="7"/>
  <c r="D287" i="7" s="1"/>
  <c r="E277" i="7"/>
  <c r="E287" i="7" s="1"/>
  <c r="F277" i="7"/>
  <c r="F287" i="7" s="1"/>
  <c r="G277" i="7"/>
  <c r="G287" i="7" s="1"/>
  <c r="H277" i="7"/>
  <c r="H287" i="7" s="1"/>
  <c r="I277" i="7"/>
  <c r="I287" i="7" s="1"/>
  <c r="J277" i="7"/>
  <c r="J287" i="7" s="1"/>
  <c r="N277" i="7"/>
  <c r="N287" i="7" s="1"/>
  <c r="O277" i="7"/>
  <c r="O287" i="7" s="1"/>
  <c r="Q277" i="7"/>
  <c r="Q287" i="7" s="1"/>
  <c r="S277" i="7"/>
  <c r="S287" i="7" s="1"/>
  <c r="R277" i="7"/>
  <c r="R287" i="7" s="1"/>
  <c r="V412" i="7"/>
  <c r="V422" i="7" s="1"/>
  <c r="W277" i="7"/>
  <c r="W287" i="7" s="1"/>
  <c r="X277" i="7"/>
  <c r="X287" i="7" s="1"/>
  <c r="W412" i="7"/>
  <c r="W422" i="7" s="1"/>
  <c r="Y277" i="7"/>
  <c r="Y287" i="7" s="1"/>
  <c r="X412" i="7"/>
  <c r="X422" i="7" s="1"/>
  <c r="Z277" i="7"/>
  <c r="Z287" i="7" s="1"/>
  <c r="Y412" i="7"/>
  <c r="Y422" i="7" s="1"/>
  <c r="AA277" i="7"/>
  <c r="AA287" i="7" s="1"/>
  <c r="Z412" i="7"/>
  <c r="Z422" i="7" s="1"/>
  <c r="AA412" i="7"/>
  <c r="AA422" i="7" s="1"/>
  <c r="AB277" i="7"/>
  <c r="AB287" i="7" s="1"/>
  <c r="AB412" i="7"/>
  <c r="AB422" i="7" s="1"/>
  <c r="AC277" i="7"/>
  <c r="AC287" i="7" s="1"/>
  <c r="AD277" i="7"/>
  <c r="AD287" i="7" s="1"/>
  <c r="AC412" i="7"/>
  <c r="AC422" i="7" s="1"/>
  <c r="AE277" i="7"/>
  <c r="AE287" i="7" s="1"/>
  <c r="AD412" i="7"/>
  <c r="AD422" i="7" s="1"/>
  <c r="AE412" i="7"/>
  <c r="AE422" i="7" s="1"/>
  <c r="AF277" i="7"/>
  <c r="AF287" i="7" s="1"/>
  <c r="AG277" i="7"/>
  <c r="AG287" i="7" s="1"/>
  <c r="AF412" i="7"/>
  <c r="AF422" i="7" s="1"/>
  <c r="AH277" i="7"/>
  <c r="AH287" i="7" s="1"/>
  <c r="AG412" i="7"/>
  <c r="AG422" i="7" s="1"/>
  <c r="AI277" i="7"/>
  <c r="AI287" i="7" s="1"/>
  <c r="AH412" i="7"/>
  <c r="AH422" i="7" s="1"/>
  <c r="AJ277" i="7"/>
  <c r="AJ287" i="7" s="1"/>
  <c r="AI412" i="7"/>
  <c r="AI422" i="7" s="1"/>
  <c r="AJ412" i="7"/>
  <c r="AJ422" i="7" s="1"/>
  <c r="AK277" i="7"/>
  <c r="AK287" i="7" s="1"/>
  <c r="AL277" i="7"/>
  <c r="AL287" i="7" s="1"/>
  <c r="AK412" i="7"/>
  <c r="AK422" i="7" s="1"/>
  <c r="AL412" i="7"/>
  <c r="AL422" i="7" s="1"/>
  <c r="AM277" i="7"/>
  <c r="AM287" i="7" s="1"/>
  <c r="AN277" i="7"/>
  <c r="AN287" i="7" s="1"/>
  <c r="AM412" i="7"/>
  <c r="AM422" i="7" s="1"/>
  <c r="AN412" i="7"/>
  <c r="AN422" i="7" s="1"/>
  <c r="AO277" i="7"/>
  <c r="AO287" i="7" s="1"/>
  <c r="B333" i="7"/>
  <c r="B444" i="7"/>
  <c r="B307" i="7"/>
  <c r="B442" i="7"/>
  <c r="B305" i="7"/>
  <c r="B283" i="7"/>
  <c r="B418" i="7"/>
  <c r="B416" i="7"/>
  <c r="B414" i="7"/>
  <c r="B279" i="7"/>
  <c r="AP464" i="7"/>
  <c r="AP474" i="7" s="1"/>
  <c r="AP412" i="7"/>
  <c r="AP422" i="7" s="1"/>
  <c r="AP65" i="7"/>
  <c r="B336" i="7"/>
  <c r="B469" i="7"/>
  <c r="B467" i="7"/>
  <c r="B330" i="7"/>
  <c r="B308" i="7"/>
  <c r="B441" i="7"/>
  <c r="B439" i="7"/>
  <c r="B284" i="7"/>
  <c r="B282" i="7"/>
  <c r="B417" i="7"/>
  <c r="B280" i="7"/>
  <c r="B278" i="7"/>
  <c r="B413" i="7"/>
  <c r="AP438" i="7"/>
  <c r="AP448" i="7" s="1"/>
  <c r="G470" i="2"/>
  <c r="E15" i="2"/>
  <c r="E17" i="2"/>
  <c r="F71" i="2"/>
  <c r="G368" i="2"/>
  <c r="G503" i="2" s="1"/>
  <c r="G759" i="2"/>
  <c r="G744" i="2" s="1"/>
  <c r="G70" i="2" s="1"/>
  <c r="G366" i="2"/>
  <c r="G501" i="2" s="1"/>
  <c r="G371" i="2"/>
  <c r="G506" i="2" s="1"/>
  <c r="G369" i="2"/>
  <c r="G504" i="2" s="1"/>
  <c r="G370" i="2"/>
  <c r="G505" i="2" s="1"/>
  <c r="G365" i="2"/>
  <c r="G500" i="2" s="1"/>
  <c r="G367" i="2"/>
  <c r="G502" i="2" s="1"/>
  <c r="G373" i="2"/>
  <c r="G508" i="2" s="1"/>
  <c r="G374" i="2"/>
  <c r="G509" i="2" s="1"/>
  <c r="H757" i="2"/>
  <c r="H399" i="2" s="1"/>
  <c r="H534" i="2" s="1"/>
  <c r="H755" i="2"/>
  <c r="H397" i="2" s="1"/>
  <c r="H532" i="2" s="1"/>
  <c r="H753" i="2"/>
  <c r="H395" i="2" s="1"/>
  <c r="H530" i="2" s="1"/>
  <c r="H751" i="2"/>
  <c r="H393" i="2" s="1"/>
  <c r="H528" i="2" s="1"/>
  <c r="H749" i="2"/>
  <c r="H391" i="2" s="1"/>
  <c r="H526" i="2" s="1"/>
  <c r="H725" i="2"/>
  <c r="H373" i="2" s="1"/>
  <c r="H508" i="2" s="1"/>
  <c r="H758" i="2"/>
  <c r="H400" i="2" s="1"/>
  <c r="H535" i="2" s="1"/>
  <c r="H756" i="2"/>
  <c r="H398" i="2" s="1"/>
  <c r="H533" i="2" s="1"/>
  <c r="H754" i="2"/>
  <c r="H396" i="2" s="1"/>
  <c r="H531" i="2" s="1"/>
  <c r="H752" i="2"/>
  <c r="H394" i="2" s="1"/>
  <c r="H529" i="2" s="1"/>
  <c r="H750" i="2"/>
  <c r="H392" i="2" s="1"/>
  <c r="H527" i="2" s="1"/>
  <c r="H726" i="2"/>
  <c r="H374" i="2" s="1"/>
  <c r="H509" i="2" s="1"/>
  <c r="H723" i="2"/>
  <c r="H721" i="2"/>
  <c r="H369" i="2" s="1"/>
  <c r="H504" i="2" s="1"/>
  <c r="H719" i="2"/>
  <c r="H367" i="2" s="1"/>
  <c r="H502" i="2" s="1"/>
  <c r="H717" i="2"/>
  <c r="H693" i="2"/>
  <c r="H348" i="2" s="1"/>
  <c r="H482" i="2" s="1"/>
  <c r="H691" i="2"/>
  <c r="H346" i="2" s="1"/>
  <c r="H480" i="2" s="1"/>
  <c r="H689" i="2"/>
  <c r="H344" i="2" s="1"/>
  <c r="H478" i="2" s="1"/>
  <c r="H687" i="2"/>
  <c r="H342" i="2" s="1"/>
  <c r="H476" i="2" s="1"/>
  <c r="H685" i="2"/>
  <c r="H340" i="2" s="1"/>
  <c r="H474" i="2" s="1"/>
  <c r="H764" i="2"/>
  <c r="H765" i="2"/>
  <c r="H767" i="2"/>
  <c r="H769" i="2"/>
  <c r="H724" i="2"/>
  <c r="H722" i="2"/>
  <c r="H370" i="2" s="1"/>
  <c r="H505" i="2" s="1"/>
  <c r="H718" i="2"/>
  <c r="H694" i="2"/>
  <c r="H349" i="2" s="1"/>
  <c r="H483" i="2" s="1"/>
  <c r="H690" i="2"/>
  <c r="H345" i="2" s="1"/>
  <c r="H479" i="2" s="1"/>
  <c r="H720" i="2"/>
  <c r="H692" i="2"/>
  <c r="H347" i="2" s="1"/>
  <c r="H481" i="2" s="1"/>
  <c r="H688" i="2"/>
  <c r="H343" i="2" s="1"/>
  <c r="H477" i="2" s="1"/>
  <c r="H763" i="2"/>
  <c r="H768" i="2"/>
  <c r="H766" i="2"/>
  <c r="H730" i="2"/>
  <c r="H732" i="2"/>
  <c r="H734" i="2"/>
  <c r="H736" i="2"/>
  <c r="H738" i="2"/>
  <c r="H686" i="2"/>
  <c r="H770" i="2"/>
  <c r="H731" i="2"/>
  <c r="H733" i="2"/>
  <c r="H735" i="2"/>
  <c r="H737" i="2"/>
  <c r="G727" i="2"/>
  <c r="G712" i="2" s="1"/>
  <c r="G69" i="2" s="1"/>
  <c r="H552" i="2"/>
  <c r="H553" i="2" s="1"/>
  <c r="H558" i="2"/>
  <c r="H559" i="2" s="1"/>
  <c r="H617" i="2"/>
  <c r="H624" i="2"/>
  <c r="I11" i="2"/>
  <c r="H318" i="2"/>
  <c r="H320" i="2"/>
  <c r="H322" i="2"/>
  <c r="H451" i="2"/>
  <c r="H453" i="2"/>
  <c r="H455" i="2"/>
  <c r="H317" i="2"/>
  <c r="H321" i="2"/>
  <c r="H452" i="2"/>
  <c r="H456" i="2"/>
  <c r="H319" i="2"/>
  <c r="H454" i="2"/>
  <c r="H19" i="2"/>
  <c r="H700" i="2"/>
  <c r="H701" i="2"/>
  <c r="H702" i="2"/>
  <c r="H703" i="2"/>
  <c r="H704" i="2"/>
  <c r="H705" i="2"/>
  <c r="H706" i="2"/>
  <c r="H698" i="2"/>
  <c r="H699" i="2"/>
  <c r="H469" i="2"/>
  <c r="G336" i="2"/>
  <c r="H335" i="2"/>
  <c r="G346" i="2"/>
  <c r="G480" i="2" s="1"/>
  <c r="G345" i="2"/>
  <c r="G479" i="2" s="1"/>
  <c r="G340" i="2"/>
  <c r="G474" i="2" s="1"/>
  <c r="G347" i="2"/>
  <c r="G481" i="2" s="1"/>
  <c r="G349" i="2"/>
  <c r="G483" i="2" s="1"/>
  <c r="G342" i="2"/>
  <c r="G476" i="2" s="1"/>
  <c r="G344" i="2"/>
  <c r="G478" i="2" s="1"/>
  <c r="G343" i="2"/>
  <c r="G477" i="2" s="1"/>
  <c r="G348" i="2"/>
  <c r="G482" i="2" s="1"/>
  <c r="G341" i="2"/>
  <c r="G475" i="2" s="1"/>
  <c r="G695" i="2"/>
  <c r="G680" i="2" s="1"/>
  <c r="G68" i="2" s="1"/>
  <c r="H23" i="2"/>
  <c r="H26" i="2"/>
  <c r="H30" i="2"/>
  <c r="H668" i="2"/>
  <c r="G27" i="2"/>
  <c r="I2" i="2"/>
  <c r="I674" i="2" s="1"/>
  <c r="H25" i="2"/>
  <c r="AP408" i="8" l="1"/>
  <c r="AP355" i="8"/>
  <c r="O547" i="7"/>
  <c r="L547" i="7"/>
  <c r="J547" i="7"/>
  <c r="H547" i="7"/>
  <c r="F547" i="7"/>
  <c r="N63" i="7"/>
  <c r="N547" i="7"/>
  <c r="M63" i="7"/>
  <c r="M547" i="7"/>
  <c r="K547" i="7"/>
  <c r="I547" i="7"/>
  <c r="G547" i="7"/>
  <c r="E547" i="7"/>
  <c r="D547" i="7"/>
  <c r="I655" i="2"/>
  <c r="I659" i="2" s="1"/>
  <c r="D650" i="2"/>
  <c r="D651" i="2" s="1"/>
  <c r="E654" i="2" s="1"/>
  <c r="H618" i="2"/>
  <c r="B693" i="8"/>
  <c r="P64" i="7"/>
  <c r="N64" i="7"/>
  <c r="Q64" i="7"/>
  <c r="O64" i="7"/>
  <c r="M64" i="7"/>
  <c r="B699" i="8"/>
  <c r="B697" i="8"/>
  <c r="H470" i="2"/>
  <c r="I597" i="2"/>
  <c r="I593" i="2"/>
  <c r="I589" i="2"/>
  <c r="I585" i="2"/>
  <c r="Y701" i="8"/>
  <c r="Y673" i="8" s="1"/>
  <c r="Y57" i="8" s="1"/>
  <c r="B696" i="8"/>
  <c r="B692" i="8"/>
  <c r="B630" i="8"/>
  <c r="AF701" i="8"/>
  <c r="AF673" i="8" s="1"/>
  <c r="AF57" i="8" s="1"/>
  <c r="AD701" i="8"/>
  <c r="AD673" i="8" s="1"/>
  <c r="AD57" i="8" s="1"/>
  <c r="AB701" i="8"/>
  <c r="AB673" i="8" s="1"/>
  <c r="AB57" i="8" s="1"/>
  <c r="Z701" i="8"/>
  <c r="Z673" i="8" s="1"/>
  <c r="Z57" i="8" s="1"/>
  <c r="B695" i="8"/>
  <c r="K63" i="7"/>
  <c r="I63" i="7"/>
  <c r="G63" i="7"/>
  <c r="E63" i="7"/>
  <c r="D63" i="7"/>
  <c r="B698" i="8"/>
  <c r="B694" i="8"/>
  <c r="L63" i="7"/>
  <c r="J63" i="7"/>
  <c r="H63" i="7"/>
  <c r="F63" i="7"/>
  <c r="B700" i="8"/>
  <c r="F14" i="2"/>
  <c r="AI109" i="10"/>
  <c r="AI110" i="10" s="1"/>
  <c r="AI123" i="10" s="1"/>
  <c r="AH101" i="10"/>
  <c r="AG110" i="10"/>
  <c r="AG123" i="10" s="1"/>
  <c r="AK110" i="10"/>
  <c r="AK123" i="10" s="1"/>
  <c r="AL109" i="10"/>
  <c r="AJ101" i="10"/>
  <c r="AM101" i="10"/>
  <c r="AN110" i="10"/>
  <c r="AJ110" i="10"/>
  <c r="AJ123" i="10" s="1"/>
  <c r="AH110" i="10"/>
  <c r="AH123" i="10" s="1"/>
  <c r="AM110" i="10"/>
  <c r="AM123" i="10" s="1"/>
  <c r="AN123" i="10"/>
  <c r="AO109" i="10"/>
  <c r="C61" i="10"/>
  <c r="C684" i="10"/>
  <c r="D681" i="10" s="1"/>
  <c r="D684" i="10" s="1"/>
  <c r="E681" i="10" s="1"/>
  <c r="E684" i="10" s="1"/>
  <c r="F681" i="10" s="1"/>
  <c r="F684" i="10" s="1"/>
  <c r="G681" i="10" s="1"/>
  <c r="G684" i="10" s="1"/>
  <c r="H681" i="10" s="1"/>
  <c r="H684" i="10" s="1"/>
  <c r="I681" i="10" s="1"/>
  <c r="I684" i="10" s="1"/>
  <c r="J681" i="10" s="1"/>
  <c r="J684" i="10" s="1"/>
  <c r="K681" i="10" s="1"/>
  <c r="K684" i="10" s="1"/>
  <c r="L681" i="10" s="1"/>
  <c r="L684" i="10" s="1"/>
  <c r="M681" i="10" s="1"/>
  <c r="M684" i="10" s="1"/>
  <c r="N681" i="10" s="1"/>
  <c r="N684" i="10" s="1"/>
  <c r="O681" i="10" s="1"/>
  <c r="O684" i="10" s="1"/>
  <c r="P681" i="10" s="1"/>
  <c r="P684" i="10" s="1"/>
  <c r="Q681" i="10" s="1"/>
  <c r="Q684" i="10" s="1"/>
  <c r="R681" i="10" s="1"/>
  <c r="R684" i="10" s="1"/>
  <c r="S681" i="10" s="1"/>
  <c r="S684" i="10" s="1"/>
  <c r="T681" i="10" s="1"/>
  <c r="T684" i="10" s="1"/>
  <c r="U681" i="10" s="1"/>
  <c r="U684" i="10" s="1"/>
  <c r="V681" i="10" s="1"/>
  <c r="V684" i="10" s="1"/>
  <c r="W681" i="10" s="1"/>
  <c r="W684" i="10" s="1"/>
  <c r="X681" i="10" s="1"/>
  <c r="X684" i="10" s="1"/>
  <c r="Y681" i="10" s="1"/>
  <c r="Y684" i="10" s="1"/>
  <c r="Z681" i="10" s="1"/>
  <c r="Z684" i="10" s="1"/>
  <c r="AA681" i="10" s="1"/>
  <c r="AA684" i="10" s="1"/>
  <c r="AB681" i="10" s="1"/>
  <c r="AB684" i="10" s="1"/>
  <c r="AC681" i="10" s="1"/>
  <c r="AC684" i="10" s="1"/>
  <c r="AD681" i="10" s="1"/>
  <c r="AD684" i="10" s="1"/>
  <c r="AE681" i="10" s="1"/>
  <c r="AE684" i="10" s="1"/>
  <c r="AF681" i="10" s="1"/>
  <c r="AF684" i="10" s="1"/>
  <c r="AG681" i="10" s="1"/>
  <c r="AG684" i="10" s="1"/>
  <c r="AH681" i="10" s="1"/>
  <c r="AH684" i="10" s="1"/>
  <c r="AI681" i="10" s="1"/>
  <c r="AI684" i="10" s="1"/>
  <c r="AJ681" i="10" s="1"/>
  <c r="AJ684" i="10" s="1"/>
  <c r="AK681" i="10" s="1"/>
  <c r="AK684" i="10" s="1"/>
  <c r="AL681" i="10" s="1"/>
  <c r="AL684" i="10" s="1"/>
  <c r="AM681" i="10" s="1"/>
  <c r="AM684" i="10" s="1"/>
  <c r="AN681" i="10" s="1"/>
  <c r="AN684" i="10" s="1"/>
  <c r="AO681" i="10" s="1"/>
  <c r="AO684" i="10" s="1"/>
  <c r="AP681" i="10" s="1"/>
  <c r="AP684" i="10" s="1"/>
  <c r="C60" i="10"/>
  <c r="C652" i="10"/>
  <c r="C62" i="10"/>
  <c r="C716" i="10"/>
  <c r="D713" i="10" s="1"/>
  <c r="D716" i="10" s="1"/>
  <c r="E713" i="10" s="1"/>
  <c r="E716" i="10" s="1"/>
  <c r="F713" i="10" s="1"/>
  <c r="F716" i="10" s="1"/>
  <c r="G713" i="10" s="1"/>
  <c r="G716" i="10" s="1"/>
  <c r="H713" i="10" s="1"/>
  <c r="H716" i="10" s="1"/>
  <c r="I713" i="10" s="1"/>
  <c r="I716" i="10" s="1"/>
  <c r="J713" i="10" s="1"/>
  <c r="J716" i="10" s="1"/>
  <c r="K713" i="10" s="1"/>
  <c r="K716" i="10" s="1"/>
  <c r="L713" i="10" s="1"/>
  <c r="L716" i="10" s="1"/>
  <c r="M713" i="10" s="1"/>
  <c r="M716" i="10" s="1"/>
  <c r="N713" i="10" s="1"/>
  <c r="N716" i="10" s="1"/>
  <c r="O713" i="10" s="1"/>
  <c r="O716" i="10" s="1"/>
  <c r="P713" i="10" s="1"/>
  <c r="P716" i="10" s="1"/>
  <c r="Q713" i="10" s="1"/>
  <c r="Q716" i="10" s="1"/>
  <c r="R713" i="10" s="1"/>
  <c r="R716" i="10" s="1"/>
  <c r="S713" i="10" s="1"/>
  <c r="S716" i="10" s="1"/>
  <c r="T713" i="10" s="1"/>
  <c r="T716" i="10" s="1"/>
  <c r="U713" i="10" s="1"/>
  <c r="U716" i="10" s="1"/>
  <c r="V713" i="10" s="1"/>
  <c r="V716" i="10" s="1"/>
  <c r="W713" i="10" s="1"/>
  <c r="W716" i="10" s="1"/>
  <c r="X713" i="10" s="1"/>
  <c r="X716" i="10" s="1"/>
  <c r="Y713" i="10" s="1"/>
  <c r="Y716" i="10" s="1"/>
  <c r="Z713" i="10" s="1"/>
  <c r="Z716" i="10" s="1"/>
  <c r="AA713" i="10" s="1"/>
  <c r="AA716" i="10" s="1"/>
  <c r="AB713" i="10" s="1"/>
  <c r="AB716" i="10" s="1"/>
  <c r="AC713" i="10" s="1"/>
  <c r="AC716" i="10" s="1"/>
  <c r="AD713" i="10" s="1"/>
  <c r="AD716" i="10" s="1"/>
  <c r="AE713" i="10" s="1"/>
  <c r="AE716" i="10" s="1"/>
  <c r="AF713" i="10" s="1"/>
  <c r="AF716" i="10" s="1"/>
  <c r="AG713" i="10" s="1"/>
  <c r="AG716" i="10" s="1"/>
  <c r="AH713" i="10" s="1"/>
  <c r="AH716" i="10" s="1"/>
  <c r="AI713" i="10" s="1"/>
  <c r="AI716" i="10" s="1"/>
  <c r="AJ713" i="10" s="1"/>
  <c r="AJ716" i="10" s="1"/>
  <c r="AK713" i="10" s="1"/>
  <c r="AK716" i="10" s="1"/>
  <c r="AL713" i="10" s="1"/>
  <c r="AL716" i="10" s="1"/>
  <c r="AM713" i="10" s="1"/>
  <c r="AM716" i="10" s="1"/>
  <c r="AN713" i="10" s="1"/>
  <c r="AN716" i="10" s="1"/>
  <c r="AO713" i="10" s="1"/>
  <c r="AO716" i="10" s="1"/>
  <c r="AP713" i="10" s="1"/>
  <c r="AP716" i="10" s="1"/>
  <c r="B629" i="8"/>
  <c r="AO519" i="8"/>
  <c r="AP358" i="8"/>
  <c r="AO483" i="8"/>
  <c r="AO493" i="8" s="1"/>
  <c r="B661" i="8"/>
  <c r="AP637" i="8"/>
  <c r="AP609" i="8" s="1"/>
  <c r="AP55" i="8" s="1"/>
  <c r="B660" i="8"/>
  <c r="B628" i="8"/>
  <c r="C691" i="8"/>
  <c r="D691" i="8"/>
  <c r="D701" i="8" s="1"/>
  <c r="D673" i="8" s="1"/>
  <c r="D57" i="8" s="1"/>
  <c r="E691" i="8"/>
  <c r="E701" i="8" s="1"/>
  <c r="E673" i="8" s="1"/>
  <c r="E57" i="8" s="1"/>
  <c r="F691" i="8"/>
  <c r="F701" i="8" s="1"/>
  <c r="F673" i="8" s="1"/>
  <c r="F57" i="8" s="1"/>
  <c r="G691" i="8"/>
  <c r="G701" i="8" s="1"/>
  <c r="G673" i="8" s="1"/>
  <c r="G57" i="8" s="1"/>
  <c r="H691" i="8"/>
  <c r="H701" i="8" s="1"/>
  <c r="H673" i="8" s="1"/>
  <c r="H57" i="8" s="1"/>
  <c r="I691" i="8"/>
  <c r="I701" i="8" s="1"/>
  <c r="I673" i="8" s="1"/>
  <c r="I57" i="8" s="1"/>
  <c r="J691" i="8"/>
  <c r="J701" i="8" s="1"/>
  <c r="J673" i="8" s="1"/>
  <c r="J57" i="8" s="1"/>
  <c r="K691" i="8"/>
  <c r="K701" i="8" s="1"/>
  <c r="K673" i="8" s="1"/>
  <c r="K57" i="8" s="1"/>
  <c r="L691" i="8"/>
  <c r="L701" i="8" s="1"/>
  <c r="L673" i="8" s="1"/>
  <c r="L57" i="8" s="1"/>
  <c r="M691" i="8"/>
  <c r="M701" i="8" s="1"/>
  <c r="M673" i="8" s="1"/>
  <c r="M57" i="8" s="1"/>
  <c r="N691" i="8"/>
  <c r="N701" i="8" s="1"/>
  <c r="N673" i="8" s="1"/>
  <c r="N57" i="8" s="1"/>
  <c r="O691" i="8"/>
  <c r="O701" i="8" s="1"/>
  <c r="O673" i="8" s="1"/>
  <c r="O57" i="8" s="1"/>
  <c r="P691" i="8"/>
  <c r="P701" i="8" s="1"/>
  <c r="P673" i="8" s="1"/>
  <c r="P57" i="8" s="1"/>
  <c r="Q691" i="8"/>
  <c r="Q701" i="8" s="1"/>
  <c r="Q673" i="8" s="1"/>
  <c r="Q57" i="8" s="1"/>
  <c r="R691" i="8"/>
  <c r="R701" i="8" s="1"/>
  <c r="R673" i="8" s="1"/>
  <c r="R57" i="8" s="1"/>
  <c r="S691" i="8"/>
  <c r="S701" i="8" s="1"/>
  <c r="S673" i="8" s="1"/>
  <c r="S57" i="8" s="1"/>
  <c r="T691" i="8"/>
  <c r="T701" i="8" s="1"/>
  <c r="T673" i="8" s="1"/>
  <c r="T57" i="8" s="1"/>
  <c r="U691" i="8"/>
  <c r="U701" i="8" s="1"/>
  <c r="U673" i="8" s="1"/>
  <c r="U57" i="8" s="1"/>
  <c r="V691" i="8"/>
  <c r="V701" i="8" s="1"/>
  <c r="V673" i="8" s="1"/>
  <c r="V57" i="8" s="1"/>
  <c r="C400" i="8"/>
  <c r="D400" i="8"/>
  <c r="D410" i="8" s="1"/>
  <c r="G400" i="8"/>
  <c r="G410" i="8" s="1"/>
  <c r="I400" i="8"/>
  <c r="I410" i="8" s="1"/>
  <c r="K400" i="8"/>
  <c r="K410" i="8" s="1"/>
  <c r="L400" i="8"/>
  <c r="L410" i="8" s="1"/>
  <c r="M400" i="8"/>
  <c r="M410" i="8" s="1"/>
  <c r="N400" i="8"/>
  <c r="N410" i="8" s="1"/>
  <c r="P400" i="8"/>
  <c r="P410" i="8" s="1"/>
  <c r="Q400" i="8"/>
  <c r="Q410" i="8" s="1"/>
  <c r="S400" i="8"/>
  <c r="S410" i="8" s="1"/>
  <c r="V400" i="8"/>
  <c r="V410" i="8" s="1"/>
  <c r="E535" i="8"/>
  <c r="E545" i="8" s="1"/>
  <c r="I535" i="8"/>
  <c r="I545" i="8" s="1"/>
  <c r="L535" i="8"/>
  <c r="L545" i="8" s="1"/>
  <c r="M535" i="8"/>
  <c r="M545" i="8" s="1"/>
  <c r="Q535" i="8"/>
  <c r="Q545" i="8" s="1"/>
  <c r="U535" i="8"/>
  <c r="U545" i="8" s="1"/>
  <c r="E400" i="8"/>
  <c r="E410" i="8" s="1"/>
  <c r="F400" i="8"/>
  <c r="F410" i="8" s="1"/>
  <c r="H400" i="8"/>
  <c r="H410" i="8" s="1"/>
  <c r="J400" i="8"/>
  <c r="J410" i="8" s="1"/>
  <c r="O400" i="8"/>
  <c r="O410" i="8" s="1"/>
  <c r="R400" i="8"/>
  <c r="R410" i="8" s="1"/>
  <c r="T400" i="8"/>
  <c r="T410" i="8" s="1"/>
  <c r="T535" i="8"/>
  <c r="T545" i="8" s="1"/>
  <c r="U400" i="8"/>
  <c r="U410" i="8" s="1"/>
  <c r="C535" i="8"/>
  <c r="D535" i="8"/>
  <c r="D545" i="8" s="1"/>
  <c r="F535" i="8"/>
  <c r="F545" i="8" s="1"/>
  <c r="G535" i="8"/>
  <c r="G545" i="8" s="1"/>
  <c r="H535" i="8"/>
  <c r="H545" i="8" s="1"/>
  <c r="J535" i="8"/>
  <c r="J545" i="8" s="1"/>
  <c r="K535" i="8"/>
  <c r="K545" i="8" s="1"/>
  <c r="N535" i="8"/>
  <c r="N545" i="8" s="1"/>
  <c r="O535" i="8"/>
  <c r="O545" i="8" s="1"/>
  <c r="P535" i="8"/>
  <c r="P545" i="8" s="1"/>
  <c r="R535" i="8"/>
  <c r="R545" i="8" s="1"/>
  <c r="S535" i="8"/>
  <c r="S545" i="8" s="1"/>
  <c r="W400" i="8"/>
  <c r="W410" i="8" s="1"/>
  <c r="V535" i="8"/>
  <c r="V545" i="8" s="1"/>
  <c r="W535" i="8"/>
  <c r="W545" i="8" s="1"/>
  <c r="X400" i="8"/>
  <c r="X410" i="8" s="1"/>
  <c r="Y400" i="8"/>
  <c r="Y410" i="8" s="1"/>
  <c r="X535" i="8"/>
  <c r="X545" i="8" s="1"/>
  <c r="Z400" i="8"/>
  <c r="Z410" i="8" s="1"/>
  <c r="Y535" i="8"/>
  <c r="Y545" i="8" s="1"/>
  <c r="AA400" i="8"/>
  <c r="AA410" i="8" s="1"/>
  <c r="Z535" i="8"/>
  <c r="Z545" i="8" s="1"/>
  <c r="AB400" i="8"/>
  <c r="AB410" i="8" s="1"/>
  <c r="AA535" i="8"/>
  <c r="AA545" i="8" s="1"/>
  <c r="AC400" i="8"/>
  <c r="AC410" i="8" s="1"/>
  <c r="AB535" i="8"/>
  <c r="AB545" i="8" s="1"/>
  <c r="AD400" i="8"/>
  <c r="AD410" i="8" s="1"/>
  <c r="AC535" i="8"/>
  <c r="AC545" i="8" s="1"/>
  <c r="AE400" i="8"/>
  <c r="AE410" i="8" s="1"/>
  <c r="AD535" i="8"/>
  <c r="AD545" i="8" s="1"/>
  <c r="AF400" i="8"/>
  <c r="AF410" i="8" s="1"/>
  <c r="AE535" i="8"/>
  <c r="AE545" i="8" s="1"/>
  <c r="AG400" i="8"/>
  <c r="AG410" i="8" s="1"/>
  <c r="AF535" i="8"/>
  <c r="AF545" i="8" s="1"/>
  <c r="AG535" i="8"/>
  <c r="AG545" i="8" s="1"/>
  <c r="AH400" i="8"/>
  <c r="AH410" i="8" s="1"/>
  <c r="AI400" i="8"/>
  <c r="AI410" i="8" s="1"/>
  <c r="AH535" i="8"/>
  <c r="AH545" i="8" s="1"/>
  <c r="AJ400" i="8"/>
  <c r="AJ410" i="8" s="1"/>
  <c r="AI535" i="8"/>
  <c r="AI545" i="8" s="1"/>
  <c r="AJ535" i="8"/>
  <c r="AJ545" i="8" s="1"/>
  <c r="AK400" i="8"/>
  <c r="AK410" i="8" s="1"/>
  <c r="AK535" i="8"/>
  <c r="AK545" i="8" s="1"/>
  <c r="AL400" i="8"/>
  <c r="AL410" i="8" s="1"/>
  <c r="AM400" i="8"/>
  <c r="AM410" i="8" s="1"/>
  <c r="AL535" i="8"/>
  <c r="AL545" i="8" s="1"/>
  <c r="AN400" i="8"/>
  <c r="AN410" i="8" s="1"/>
  <c r="AM535" i="8"/>
  <c r="AM545" i="8" s="1"/>
  <c r="AO400" i="8"/>
  <c r="AO410" i="8" s="1"/>
  <c r="AN535" i="8"/>
  <c r="AN545" i="8" s="1"/>
  <c r="AP72" i="8"/>
  <c r="B408" i="8"/>
  <c r="B541" i="8"/>
  <c r="B404" i="8"/>
  <c r="B537" i="8"/>
  <c r="B517" i="8"/>
  <c r="B380" i="8"/>
  <c r="B378" i="8"/>
  <c r="B376" i="8"/>
  <c r="B354" i="8"/>
  <c r="B352" i="8"/>
  <c r="AP63" i="8"/>
  <c r="AP400" i="8"/>
  <c r="AP410" i="8" s="1"/>
  <c r="AO271" i="8"/>
  <c r="AO272" i="8" s="1"/>
  <c r="B409" i="8"/>
  <c r="B544" i="8"/>
  <c r="B407" i="8"/>
  <c r="B403" i="8"/>
  <c r="B516" i="8"/>
  <c r="B381" i="8"/>
  <c r="B377" i="8"/>
  <c r="B510" i="8"/>
  <c r="B355" i="8"/>
  <c r="B488" i="8"/>
  <c r="B351" i="8"/>
  <c r="B484" i="8"/>
  <c r="B349" i="8"/>
  <c r="AP509" i="8"/>
  <c r="AP519" i="8" s="1"/>
  <c r="AP271" i="8"/>
  <c r="AP272" i="8" s="1"/>
  <c r="C659" i="8"/>
  <c r="D659" i="8"/>
  <c r="D669" i="8" s="1"/>
  <c r="D641" i="8" s="1"/>
  <c r="D56" i="8" s="1"/>
  <c r="E659" i="8"/>
  <c r="E669" i="8" s="1"/>
  <c r="E641" i="8" s="1"/>
  <c r="E56" i="8" s="1"/>
  <c r="F659" i="8"/>
  <c r="F669" i="8" s="1"/>
  <c r="F641" i="8" s="1"/>
  <c r="F56" i="8" s="1"/>
  <c r="G659" i="8"/>
  <c r="G669" i="8" s="1"/>
  <c r="G641" i="8" s="1"/>
  <c r="G56" i="8" s="1"/>
  <c r="H659" i="8"/>
  <c r="H669" i="8" s="1"/>
  <c r="H641" i="8" s="1"/>
  <c r="H56" i="8" s="1"/>
  <c r="I659" i="8"/>
  <c r="I669" i="8" s="1"/>
  <c r="I641" i="8" s="1"/>
  <c r="I56" i="8" s="1"/>
  <c r="J659" i="8"/>
  <c r="J669" i="8" s="1"/>
  <c r="J641" i="8" s="1"/>
  <c r="J56" i="8" s="1"/>
  <c r="K659" i="8"/>
  <c r="K669" i="8" s="1"/>
  <c r="K641" i="8" s="1"/>
  <c r="K56" i="8" s="1"/>
  <c r="L659" i="8"/>
  <c r="L669" i="8" s="1"/>
  <c r="L641" i="8" s="1"/>
  <c r="L56" i="8" s="1"/>
  <c r="M659" i="8"/>
  <c r="M669" i="8" s="1"/>
  <c r="M641" i="8" s="1"/>
  <c r="M56" i="8" s="1"/>
  <c r="N659" i="8"/>
  <c r="N669" i="8" s="1"/>
  <c r="N641" i="8" s="1"/>
  <c r="N56" i="8" s="1"/>
  <c r="O659" i="8"/>
  <c r="O669" i="8" s="1"/>
  <c r="O641" i="8" s="1"/>
  <c r="O56" i="8" s="1"/>
  <c r="P659" i="8"/>
  <c r="P669" i="8" s="1"/>
  <c r="P641" i="8" s="1"/>
  <c r="P56" i="8" s="1"/>
  <c r="Q659" i="8"/>
  <c r="Q669" i="8" s="1"/>
  <c r="Q641" i="8" s="1"/>
  <c r="Q56" i="8" s="1"/>
  <c r="U374" i="8"/>
  <c r="U384" i="8" s="1"/>
  <c r="T509" i="8"/>
  <c r="T519" i="8" s="1"/>
  <c r="D374" i="8"/>
  <c r="D384" i="8" s="1"/>
  <c r="H374" i="8"/>
  <c r="H384" i="8" s="1"/>
  <c r="I374" i="8"/>
  <c r="I384" i="8" s="1"/>
  <c r="J374" i="8"/>
  <c r="J384" i="8" s="1"/>
  <c r="L374" i="8"/>
  <c r="L384" i="8" s="1"/>
  <c r="M374" i="8"/>
  <c r="M384" i="8" s="1"/>
  <c r="N374" i="8"/>
  <c r="N384" i="8" s="1"/>
  <c r="O374" i="8"/>
  <c r="O384" i="8" s="1"/>
  <c r="P374" i="8"/>
  <c r="P384" i="8" s="1"/>
  <c r="Q374" i="8"/>
  <c r="Q384" i="8" s="1"/>
  <c r="S374" i="8"/>
  <c r="S384" i="8" s="1"/>
  <c r="V374" i="8"/>
  <c r="V384" i="8" s="1"/>
  <c r="D509" i="8"/>
  <c r="D519" i="8" s="1"/>
  <c r="H509" i="8"/>
  <c r="H519" i="8" s="1"/>
  <c r="G509" i="8"/>
  <c r="G519" i="8" s="1"/>
  <c r="I509" i="8"/>
  <c r="I519" i="8" s="1"/>
  <c r="N509" i="8"/>
  <c r="N519" i="8" s="1"/>
  <c r="R509" i="8"/>
  <c r="R519" i="8" s="1"/>
  <c r="C374" i="8"/>
  <c r="E374" i="8"/>
  <c r="E384" i="8" s="1"/>
  <c r="F374" i="8"/>
  <c r="F384" i="8" s="1"/>
  <c r="G374" i="8"/>
  <c r="G384" i="8" s="1"/>
  <c r="K374" i="8"/>
  <c r="K384" i="8" s="1"/>
  <c r="R374" i="8"/>
  <c r="R384" i="8" s="1"/>
  <c r="T374" i="8"/>
  <c r="T384" i="8" s="1"/>
  <c r="C509" i="8"/>
  <c r="E509" i="8"/>
  <c r="E519" i="8" s="1"/>
  <c r="F509" i="8"/>
  <c r="F519" i="8" s="1"/>
  <c r="J509" i="8"/>
  <c r="J519" i="8" s="1"/>
  <c r="K509" i="8"/>
  <c r="K519" i="8" s="1"/>
  <c r="L509" i="8"/>
  <c r="L519" i="8" s="1"/>
  <c r="M509" i="8"/>
  <c r="M519" i="8" s="1"/>
  <c r="O509" i="8"/>
  <c r="O519" i="8" s="1"/>
  <c r="P509" i="8"/>
  <c r="P519" i="8" s="1"/>
  <c r="Q509" i="8"/>
  <c r="Q519" i="8" s="1"/>
  <c r="S509" i="8"/>
  <c r="S519" i="8" s="1"/>
  <c r="U509" i="8"/>
  <c r="U519" i="8" s="1"/>
  <c r="W374" i="8"/>
  <c r="W384" i="8" s="1"/>
  <c r="V509" i="8"/>
  <c r="V519" i="8" s="1"/>
  <c r="X374" i="8"/>
  <c r="X384" i="8" s="1"/>
  <c r="W509" i="8"/>
  <c r="W519" i="8" s="1"/>
  <c r="X509" i="8"/>
  <c r="X519" i="8" s="1"/>
  <c r="Y374" i="8"/>
  <c r="Y384" i="8" s="1"/>
  <c r="Z374" i="8"/>
  <c r="Z384" i="8" s="1"/>
  <c r="Y509" i="8"/>
  <c r="Y519" i="8" s="1"/>
  <c r="AA374" i="8"/>
  <c r="AA384" i="8" s="1"/>
  <c r="Z509" i="8"/>
  <c r="Z519" i="8" s="1"/>
  <c r="AB374" i="8"/>
  <c r="AB384" i="8" s="1"/>
  <c r="AA509" i="8"/>
  <c r="AA519" i="8" s="1"/>
  <c r="AB509" i="8"/>
  <c r="AB519" i="8" s="1"/>
  <c r="AC374" i="8"/>
  <c r="AC384" i="8" s="1"/>
  <c r="AC509" i="8"/>
  <c r="AC519" i="8" s="1"/>
  <c r="AD374" i="8"/>
  <c r="AD384" i="8" s="1"/>
  <c r="AD509" i="8"/>
  <c r="AD519" i="8" s="1"/>
  <c r="AE374" i="8"/>
  <c r="AE384" i="8" s="1"/>
  <c r="AF374" i="8"/>
  <c r="AF384" i="8" s="1"/>
  <c r="AE509" i="8"/>
  <c r="AE519" i="8" s="1"/>
  <c r="AG374" i="8"/>
  <c r="AG384" i="8" s="1"/>
  <c r="AF509" i="8"/>
  <c r="AF519" i="8" s="1"/>
  <c r="AG509" i="8"/>
  <c r="AG519" i="8" s="1"/>
  <c r="AH374" i="8"/>
  <c r="AH384" i="8" s="1"/>
  <c r="AI374" i="8"/>
  <c r="AI384" i="8" s="1"/>
  <c r="AH509" i="8"/>
  <c r="AH519" i="8" s="1"/>
  <c r="AI509" i="8"/>
  <c r="AI519" i="8" s="1"/>
  <c r="AJ374" i="8"/>
  <c r="AJ384" i="8" s="1"/>
  <c r="AK374" i="8"/>
  <c r="AK384" i="8" s="1"/>
  <c r="AJ509" i="8"/>
  <c r="AJ519" i="8" s="1"/>
  <c r="AL374" i="8"/>
  <c r="AL384" i="8" s="1"/>
  <c r="AK509" i="8"/>
  <c r="AK519" i="8" s="1"/>
  <c r="AM374" i="8"/>
  <c r="AM384" i="8" s="1"/>
  <c r="AL509" i="8"/>
  <c r="AL519" i="8" s="1"/>
  <c r="AN374" i="8"/>
  <c r="AN384" i="8" s="1"/>
  <c r="AM509" i="8"/>
  <c r="AM519" i="8" s="1"/>
  <c r="AN509" i="8"/>
  <c r="AN519" i="8" s="1"/>
  <c r="AO374" i="8"/>
  <c r="AO384" i="8" s="1"/>
  <c r="C627" i="8"/>
  <c r="D627" i="8"/>
  <c r="D637" i="8" s="1"/>
  <c r="D609" i="8" s="1"/>
  <c r="D55" i="8" s="1"/>
  <c r="E627" i="8"/>
  <c r="E637" i="8" s="1"/>
  <c r="E609" i="8" s="1"/>
  <c r="E55" i="8" s="1"/>
  <c r="F627" i="8"/>
  <c r="F637" i="8" s="1"/>
  <c r="F609" i="8" s="1"/>
  <c r="F55" i="8" s="1"/>
  <c r="G627" i="8"/>
  <c r="G637" i="8" s="1"/>
  <c r="G609" i="8" s="1"/>
  <c r="G55" i="8" s="1"/>
  <c r="H627" i="8"/>
  <c r="H637" i="8" s="1"/>
  <c r="H609" i="8" s="1"/>
  <c r="H55" i="8" s="1"/>
  <c r="I627" i="8"/>
  <c r="I637" i="8" s="1"/>
  <c r="I609" i="8" s="1"/>
  <c r="I55" i="8" s="1"/>
  <c r="J627" i="8"/>
  <c r="J637" i="8" s="1"/>
  <c r="J609" i="8" s="1"/>
  <c r="J55" i="8" s="1"/>
  <c r="K627" i="8"/>
  <c r="K637" i="8" s="1"/>
  <c r="K609" i="8" s="1"/>
  <c r="K55" i="8" s="1"/>
  <c r="L627" i="8"/>
  <c r="L637" i="8" s="1"/>
  <c r="L609" i="8" s="1"/>
  <c r="L55" i="8" s="1"/>
  <c r="M627" i="8"/>
  <c r="M637" i="8" s="1"/>
  <c r="M609" i="8" s="1"/>
  <c r="M55" i="8" s="1"/>
  <c r="N627" i="8"/>
  <c r="N637" i="8" s="1"/>
  <c r="N609" i="8" s="1"/>
  <c r="N55" i="8" s="1"/>
  <c r="C348" i="8"/>
  <c r="E348" i="8"/>
  <c r="E358" i="8" s="1"/>
  <c r="F348" i="8"/>
  <c r="F358" i="8" s="1"/>
  <c r="G348" i="8"/>
  <c r="G358" i="8" s="1"/>
  <c r="H348" i="8"/>
  <c r="H358" i="8" s="1"/>
  <c r="J348" i="8"/>
  <c r="J358" i="8" s="1"/>
  <c r="K348" i="8"/>
  <c r="K358" i="8" s="1"/>
  <c r="R348" i="8"/>
  <c r="R358" i="8" s="1"/>
  <c r="S348" i="8"/>
  <c r="S358" i="8" s="1"/>
  <c r="T348" i="8"/>
  <c r="T358" i="8" s="1"/>
  <c r="U483" i="8"/>
  <c r="U493" i="8" s="1"/>
  <c r="V348" i="8"/>
  <c r="V358" i="8" s="1"/>
  <c r="C483" i="8"/>
  <c r="D483" i="8"/>
  <c r="D493" i="8" s="1"/>
  <c r="E483" i="8"/>
  <c r="E493" i="8" s="1"/>
  <c r="F483" i="8"/>
  <c r="F493" i="8" s="1"/>
  <c r="G483" i="8"/>
  <c r="G493" i="8" s="1"/>
  <c r="H483" i="8"/>
  <c r="H493" i="8" s="1"/>
  <c r="I483" i="8"/>
  <c r="I493" i="8" s="1"/>
  <c r="J483" i="8"/>
  <c r="J493" i="8" s="1"/>
  <c r="K483" i="8"/>
  <c r="K493" i="8" s="1"/>
  <c r="M483" i="8"/>
  <c r="M493" i="8" s="1"/>
  <c r="N483" i="8"/>
  <c r="N493" i="8" s="1"/>
  <c r="O483" i="8"/>
  <c r="O493" i="8" s="1"/>
  <c r="Q483" i="8"/>
  <c r="Q493" i="8" s="1"/>
  <c r="R483" i="8"/>
  <c r="R493" i="8" s="1"/>
  <c r="D348" i="8"/>
  <c r="D358" i="8" s="1"/>
  <c r="I348" i="8"/>
  <c r="I358" i="8" s="1"/>
  <c r="L348" i="8"/>
  <c r="L358" i="8" s="1"/>
  <c r="M348" i="8"/>
  <c r="M358" i="8" s="1"/>
  <c r="N348" i="8"/>
  <c r="N358" i="8" s="1"/>
  <c r="O348" i="8"/>
  <c r="O358" i="8" s="1"/>
  <c r="P348" i="8"/>
  <c r="P358" i="8" s="1"/>
  <c r="Q348" i="8"/>
  <c r="Q358" i="8" s="1"/>
  <c r="L483" i="8"/>
  <c r="L493" i="8" s="1"/>
  <c r="P483" i="8"/>
  <c r="P493" i="8" s="1"/>
  <c r="S483" i="8"/>
  <c r="S493" i="8" s="1"/>
  <c r="T483" i="8"/>
  <c r="T493" i="8" s="1"/>
  <c r="U348" i="8"/>
  <c r="U358" i="8" s="1"/>
  <c r="V483" i="8"/>
  <c r="V493" i="8" s="1"/>
  <c r="W348" i="8"/>
  <c r="W358" i="8" s="1"/>
  <c r="X348" i="8"/>
  <c r="X358" i="8" s="1"/>
  <c r="W483" i="8"/>
  <c r="W493" i="8" s="1"/>
  <c r="Y348" i="8"/>
  <c r="Y358" i="8" s="1"/>
  <c r="X483" i="8"/>
  <c r="X493" i="8" s="1"/>
  <c r="Y483" i="8"/>
  <c r="Y493" i="8" s="1"/>
  <c r="Z348" i="8"/>
  <c r="Z358" i="8" s="1"/>
  <c r="Z483" i="8"/>
  <c r="Z493" i="8" s="1"/>
  <c r="AA348" i="8"/>
  <c r="AA358" i="8" s="1"/>
  <c r="AA483" i="8"/>
  <c r="AA493" i="8" s="1"/>
  <c r="AB348" i="8"/>
  <c r="AB358" i="8" s="1"/>
  <c r="AC348" i="8"/>
  <c r="AC358" i="8" s="1"/>
  <c r="AB483" i="8"/>
  <c r="AB493" i="8" s="1"/>
  <c r="AD348" i="8"/>
  <c r="AD358" i="8" s="1"/>
  <c r="AC483" i="8"/>
  <c r="AC493" i="8" s="1"/>
  <c r="AD483" i="8"/>
  <c r="AD493" i="8" s="1"/>
  <c r="AE348" i="8"/>
  <c r="AE358" i="8" s="1"/>
  <c r="AF348" i="8"/>
  <c r="AF358" i="8" s="1"/>
  <c r="AE483" i="8"/>
  <c r="AE493" i="8" s="1"/>
  <c r="AG348" i="8"/>
  <c r="AG358" i="8" s="1"/>
  <c r="AF483" i="8"/>
  <c r="AF493" i="8" s="1"/>
  <c r="AH348" i="8"/>
  <c r="AH358" i="8" s="1"/>
  <c r="AG483" i="8"/>
  <c r="AG493" i="8" s="1"/>
  <c r="AI348" i="8"/>
  <c r="AI358" i="8" s="1"/>
  <c r="AH483" i="8"/>
  <c r="AH493" i="8" s="1"/>
  <c r="AJ348" i="8"/>
  <c r="AJ358" i="8" s="1"/>
  <c r="AI483" i="8"/>
  <c r="AI493" i="8" s="1"/>
  <c r="AK348" i="8"/>
  <c r="AK358" i="8" s="1"/>
  <c r="AJ483" i="8"/>
  <c r="AJ493" i="8" s="1"/>
  <c r="AK483" i="8"/>
  <c r="AK493" i="8" s="1"/>
  <c r="AL348" i="8"/>
  <c r="AL358" i="8" s="1"/>
  <c r="AM348" i="8"/>
  <c r="AM358" i="8" s="1"/>
  <c r="AL483" i="8"/>
  <c r="AL493" i="8" s="1"/>
  <c r="AN348" i="8"/>
  <c r="AN358" i="8" s="1"/>
  <c r="AM483" i="8"/>
  <c r="AM493" i="8" s="1"/>
  <c r="AO348" i="8"/>
  <c r="AO358" i="8" s="1"/>
  <c r="AN483" i="8"/>
  <c r="AN493" i="8" s="1"/>
  <c r="AP669" i="8"/>
  <c r="AP641" i="8" s="1"/>
  <c r="AP56" i="8" s="1"/>
  <c r="B543" i="8"/>
  <c r="B406" i="8"/>
  <c r="B539" i="8"/>
  <c r="B402" i="8"/>
  <c r="B382" i="8"/>
  <c r="B515" i="8"/>
  <c r="B513" i="8"/>
  <c r="B511" i="8"/>
  <c r="B491" i="8"/>
  <c r="B356" i="8"/>
  <c r="B489" i="8"/>
  <c r="B487" i="8"/>
  <c r="B350" i="8"/>
  <c r="B485" i="8"/>
  <c r="AP535" i="8"/>
  <c r="AP545" i="8" s="1"/>
  <c r="AP483" i="8"/>
  <c r="AP493" i="8" s="1"/>
  <c r="AO233" i="8"/>
  <c r="AO234" i="8" s="1"/>
  <c r="AO535" i="8"/>
  <c r="AO545" i="8" s="1"/>
  <c r="AP701" i="8"/>
  <c r="AP673" i="8" s="1"/>
  <c r="AP57" i="8" s="1"/>
  <c r="B542" i="8"/>
  <c r="B540" i="8"/>
  <c r="B405" i="8"/>
  <c r="B538" i="8"/>
  <c r="B536" i="8"/>
  <c r="B401" i="8"/>
  <c r="B518" i="8"/>
  <c r="B383" i="8"/>
  <c r="B514" i="8"/>
  <c r="B379" i="8"/>
  <c r="B512" i="8"/>
  <c r="B375" i="8"/>
  <c r="B492" i="8"/>
  <c r="B357" i="8"/>
  <c r="B490" i="8"/>
  <c r="B353" i="8"/>
  <c r="B486" i="8"/>
  <c r="AP374" i="8"/>
  <c r="AP384" i="8" s="1"/>
  <c r="G71" i="2"/>
  <c r="B623" i="7"/>
  <c r="C633" i="7"/>
  <c r="C605" i="7" s="1"/>
  <c r="B438" i="7"/>
  <c r="C448" i="7"/>
  <c r="B655" i="7"/>
  <c r="C665" i="7"/>
  <c r="C637" i="7" s="1"/>
  <c r="C697" i="7"/>
  <c r="C669" i="7" s="1"/>
  <c r="B687" i="7"/>
  <c r="C287" i="7"/>
  <c r="B277" i="7"/>
  <c r="C422" i="7"/>
  <c r="B412" i="7"/>
  <c r="C313" i="7"/>
  <c r="B303" i="7"/>
  <c r="C339" i="7"/>
  <c r="B329" i="7"/>
  <c r="B464" i="7"/>
  <c r="C474" i="7"/>
  <c r="E18" i="2"/>
  <c r="F17" i="2"/>
  <c r="F15" i="2"/>
  <c r="H368" i="2"/>
  <c r="H503" i="2" s="1"/>
  <c r="H372" i="2"/>
  <c r="H507" i="2" s="1"/>
  <c r="H365" i="2"/>
  <c r="H500" i="2" s="1"/>
  <c r="H371" i="2"/>
  <c r="H506" i="2" s="1"/>
  <c r="H366" i="2"/>
  <c r="H501" i="2" s="1"/>
  <c r="H727" i="2"/>
  <c r="H712" i="2" s="1"/>
  <c r="H69" i="2" s="1"/>
  <c r="I758" i="2"/>
  <c r="I400" i="2" s="1"/>
  <c r="I535" i="2" s="1"/>
  <c r="I756" i="2"/>
  <c r="I398" i="2" s="1"/>
  <c r="I533" i="2" s="1"/>
  <c r="I754" i="2"/>
  <c r="I396" i="2" s="1"/>
  <c r="I531" i="2" s="1"/>
  <c r="I752" i="2"/>
  <c r="I394" i="2" s="1"/>
  <c r="I529" i="2" s="1"/>
  <c r="I750" i="2"/>
  <c r="I392" i="2" s="1"/>
  <c r="I527" i="2" s="1"/>
  <c r="I726" i="2"/>
  <c r="I374" i="2" s="1"/>
  <c r="I509" i="2" s="1"/>
  <c r="I724" i="2"/>
  <c r="I372" i="2" s="1"/>
  <c r="I507" i="2" s="1"/>
  <c r="I757" i="2"/>
  <c r="I399" i="2" s="1"/>
  <c r="I534" i="2" s="1"/>
  <c r="I755" i="2"/>
  <c r="I397" i="2" s="1"/>
  <c r="I532" i="2" s="1"/>
  <c r="I753" i="2"/>
  <c r="I395" i="2" s="1"/>
  <c r="I530" i="2" s="1"/>
  <c r="I751" i="2"/>
  <c r="I393" i="2" s="1"/>
  <c r="I528" i="2" s="1"/>
  <c r="I749" i="2"/>
  <c r="I391" i="2" s="1"/>
  <c r="I526" i="2" s="1"/>
  <c r="I725" i="2"/>
  <c r="I373" i="2" s="1"/>
  <c r="I508" i="2" s="1"/>
  <c r="I722" i="2"/>
  <c r="I370" i="2" s="1"/>
  <c r="I505" i="2" s="1"/>
  <c r="I720" i="2"/>
  <c r="I368" i="2" s="1"/>
  <c r="I503" i="2" s="1"/>
  <c r="I718" i="2"/>
  <c r="I366" i="2" s="1"/>
  <c r="I501" i="2" s="1"/>
  <c r="I694" i="2"/>
  <c r="I349" i="2" s="1"/>
  <c r="I483" i="2" s="1"/>
  <c r="I692" i="2"/>
  <c r="I347" i="2" s="1"/>
  <c r="I481" i="2" s="1"/>
  <c r="I690" i="2"/>
  <c r="I345" i="2" s="1"/>
  <c r="I479" i="2" s="1"/>
  <c r="I688" i="2"/>
  <c r="I343" i="2" s="1"/>
  <c r="I477" i="2" s="1"/>
  <c r="I686" i="2"/>
  <c r="I341" i="2" s="1"/>
  <c r="I475" i="2" s="1"/>
  <c r="I762" i="2"/>
  <c r="I766" i="2"/>
  <c r="I768" i="2"/>
  <c r="I770" i="2"/>
  <c r="I723" i="2"/>
  <c r="I371" i="2" s="1"/>
  <c r="I506" i="2" s="1"/>
  <c r="I719" i="2"/>
  <c r="I367" i="2" s="1"/>
  <c r="I502" i="2" s="1"/>
  <c r="I691" i="2"/>
  <c r="I346" i="2" s="1"/>
  <c r="I480" i="2" s="1"/>
  <c r="I721" i="2"/>
  <c r="I369" i="2" s="1"/>
  <c r="I504" i="2" s="1"/>
  <c r="I717" i="2"/>
  <c r="I365" i="2" s="1"/>
  <c r="I500" i="2" s="1"/>
  <c r="I693" i="2"/>
  <c r="I348" i="2" s="1"/>
  <c r="I482" i="2" s="1"/>
  <c r="I689" i="2"/>
  <c r="I344" i="2" s="1"/>
  <c r="I478" i="2" s="1"/>
  <c r="I685" i="2"/>
  <c r="I340" i="2" s="1"/>
  <c r="I474" i="2" s="1"/>
  <c r="I765" i="2"/>
  <c r="I769" i="2"/>
  <c r="I767" i="2"/>
  <c r="I731" i="2"/>
  <c r="I733" i="2"/>
  <c r="I735" i="2"/>
  <c r="I737" i="2"/>
  <c r="I687" i="2"/>
  <c r="I342" i="2" s="1"/>
  <c r="I476" i="2" s="1"/>
  <c r="I764" i="2"/>
  <c r="I730" i="2"/>
  <c r="I732" i="2"/>
  <c r="I734" i="2"/>
  <c r="I736" i="2"/>
  <c r="I738" i="2"/>
  <c r="H759" i="2"/>
  <c r="H744" i="2" s="1"/>
  <c r="H70" i="2" s="1"/>
  <c r="I552" i="2"/>
  <c r="I553" i="2" s="1"/>
  <c r="I558" i="2"/>
  <c r="I559" i="2" s="1"/>
  <c r="I624" i="2"/>
  <c r="I617" i="2"/>
  <c r="J11" i="2"/>
  <c r="I317" i="2"/>
  <c r="I319" i="2"/>
  <c r="I321" i="2"/>
  <c r="I318" i="2"/>
  <c r="I322" i="2"/>
  <c r="I451" i="2"/>
  <c r="I453" i="2"/>
  <c r="I455" i="2"/>
  <c r="I320" i="2"/>
  <c r="I452" i="2"/>
  <c r="I454" i="2"/>
  <c r="I456" i="2"/>
  <c r="I19" i="2"/>
  <c r="I698" i="2"/>
  <c r="I699" i="2"/>
  <c r="I700" i="2"/>
  <c r="I701" i="2"/>
  <c r="I702" i="2"/>
  <c r="I703" i="2"/>
  <c r="I704" i="2"/>
  <c r="I705" i="2"/>
  <c r="I706" i="2"/>
  <c r="I469" i="2"/>
  <c r="H336" i="2"/>
  <c r="I335" i="2"/>
  <c r="H341" i="2"/>
  <c r="H475" i="2" s="1"/>
  <c r="H695" i="2"/>
  <c r="H680" i="2" s="1"/>
  <c r="H68" i="2" s="1"/>
  <c r="I23" i="2"/>
  <c r="I26" i="2"/>
  <c r="I30" i="2"/>
  <c r="I668" i="2"/>
  <c r="H27" i="2"/>
  <c r="J2" i="2"/>
  <c r="J674" i="2" s="1"/>
  <c r="I25" i="2"/>
  <c r="C547" i="7" l="1"/>
  <c r="J655" i="2"/>
  <c r="J659" i="2" s="1"/>
  <c r="E648" i="2"/>
  <c r="E653" i="2"/>
  <c r="I618" i="2"/>
  <c r="I470" i="2"/>
  <c r="J597" i="2"/>
  <c r="J593" i="2"/>
  <c r="J589" i="2"/>
  <c r="J585" i="2"/>
  <c r="B547" i="7"/>
  <c r="F18" i="2"/>
  <c r="G14" i="2"/>
  <c r="AO101" i="10"/>
  <c r="AL110" i="10"/>
  <c r="AL123" i="10" s="1"/>
  <c r="AO110" i="10"/>
  <c r="AP101" i="10"/>
  <c r="D649" i="10"/>
  <c r="D652" i="10" s="1"/>
  <c r="AP109" i="10"/>
  <c r="AO122" i="10"/>
  <c r="AP233" i="8"/>
  <c r="AP234" i="8" s="1"/>
  <c r="C384" i="8"/>
  <c r="B374" i="8"/>
  <c r="C410" i="8"/>
  <c r="B400" i="8"/>
  <c r="C701" i="8"/>
  <c r="C673" i="8" s="1"/>
  <c r="B691" i="8"/>
  <c r="C493" i="8"/>
  <c r="B483" i="8"/>
  <c r="C358" i="8"/>
  <c r="B348" i="8"/>
  <c r="C637" i="8"/>
  <c r="C609" i="8" s="1"/>
  <c r="B627" i="8"/>
  <c r="B509" i="8"/>
  <c r="C519" i="8"/>
  <c r="B659" i="8"/>
  <c r="C669" i="8"/>
  <c r="C641" i="8" s="1"/>
  <c r="C545" i="8"/>
  <c r="B535" i="8"/>
  <c r="C65" i="7"/>
  <c r="C671" i="7"/>
  <c r="D668" i="7" s="1"/>
  <c r="D671" i="7" s="1"/>
  <c r="E668" i="7" s="1"/>
  <c r="E671" i="7" s="1"/>
  <c r="F668" i="7" s="1"/>
  <c r="F671" i="7" s="1"/>
  <c r="G668" i="7" s="1"/>
  <c r="G671" i="7" s="1"/>
  <c r="H668" i="7" s="1"/>
  <c r="H671" i="7" s="1"/>
  <c r="I668" i="7" s="1"/>
  <c r="I671" i="7" s="1"/>
  <c r="J668" i="7" s="1"/>
  <c r="J671" i="7" s="1"/>
  <c r="K668" i="7" s="1"/>
  <c r="K671" i="7" s="1"/>
  <c r="L668" i="7" s="1"/>
  <c r="L671" i="7" s="1"/>
  <c r="M668" i="7" s="1"/>
  <c r="M671" i="7" s="1"/>
  <c r="N668" i="7" s="1"/>
  <c r="N671" i="7" s="1"/>
  <c r="O668" i="7" s="1"/>
  <c r="O671" i="7" s="1"/>
  <c r="P668" i="7" s="1"/>
  <c r="P671" i="7" s="1"/>
  <c r="Q668" i="7" s="1"/>
  <c r="Q671" i="7" s="1"/>
  <c r="R668" i="7" s="1"/>
  <c r="R671" i="7" s="1"/>
  <c r="S668" i="7" s="1"/>
  <c r="S671" i="7" s="1"/>
  <c r="T668" i="7" s="1"/>
  <c r="T671" i="7" s="1"/>
  <c r="U668" i="7" s="1"/>
  <c r="U671" i="7" s="1"/>
  <c r="V668" i="7" s="1"/>
  <c r="V671" i="7" s="1"/>
  <c r="W668" i="7" s="1"/>
  <c r="W671" i="7" s="1"/>
  <c r="X668" i="7" s="1"/>
  <c r="X671" i="7" s="1"/>
  <c r="Y668" i="7" s="1"/>
  <c r="Y671" i="7" s="1"/>
  <c r="Z668" i="7" s="1"/>
  <c r="Z671" i="7" s="1"/>
  <c r="AA668" i="7" s="1"/>
  <c r="AA671" i="7" s="1"/>
  <c r="AB668" i="7" s="1"/>
  <c r="AB671" i="7" s="1"/>
  <c r="AC668" i="7" s="1"/>
  <c r="AC671" i="7" s="1"/>
  <c r="AD668" i="7" s="1"/>
  <c r="AD671" i="7" s="1"/>
  <c r="AE668" i="7" s="1"/>
  <c r="AE671" i="7" s="1"/>
  <c r="AF668" i="7" s="1"/>
  <c r="AF671" i="7" s="1"/>
  <c r="AG668" i="7" s="1"/>
  <c r="AG671" i="7" s="1"/>
  <c r="AH668" i="7" s="1"/>
  <c r="AH671" i="7" s="1"/>
  <c r="AI668" i="7" s="1"/>
  <c r="AI671" i="7" s="1"/>
  <c r="AJ668" i="7" s="1"/>
  <c r="AJ671" i="7" s="1"/>
  <c r="AK668" i="7" s="1"/>
  <c r="AK671" i="7" s="1"/>
  <c r="AL668" i="7" s="1"/>
  <c r="AL671" i="7" s="1"/>
  <c r="AM668" i="7" s="1"/>
  <c r="AM671" i="7" s="1"/>
  <c r="AN668" i="7" s="1"/>
  <c r="AN671" i="7" s="1"/>
  <c r="AO668" i="7" s="1"/>
  <c r="AO671" i="7" s="1"/>
  <c r="AP668" i="7" s="1"/>
  <c r="AP671" i="7" s="1"/>
  <c r="C64" i="7"/>
  <c r="C639" i="7"/>
  <c r="D636" i="7" s="1"/>
  <c r="D639" i="7" s="1"/>
  <c r="E636" i="7" s="1"/>
  <c r="E639" i="7" s="1"/>
  <c r="F636" i="7" s="1"/>
  <c r="F639" i="7" s="1"/>
  <c r="G636" i="7" s="1"/>
  <c r="G639" i="7" s="1"/>
  <c r="H636" i="7" s="1"/>
  <c r="H639" i="7" s="1"/>
  <c r="I636" i="7" s="1"/>
  <c r="I639" i="7" s="1"/>
  <c r="J636" i="7" s="1"/>
  <c r="J639" i="7" s="1"/>
  <c r="K636" i="7" s="1"/>
  <c r="K639" i="7" s="1"/>
  <c r="L636" i="7" s="1"/>
  <c r="L639" i="7" s="1"/>
  <c r="M636" i="7" s="1"/>
  <c r="M639" i="7" s="1"/>
  <c r="N636" i="7" s="1"/>
  <c r="N639" i="7" s="1"/>
  <c r="O636" i="7" s="1"/>
  <c r="O639" i="7" s="1"/>
  <c r="P636" i="7" s="1"/>
  <c r="P639" i="7" s="1"/>
  <c r="Q636" i="7" s="1"/>
  <c r="Q639" i="7" s="1"/>
  <c r="R636" i="7" s="1"/>
  <c r="R639" i="7" s="1"/>
  <c r="S636" i="7" s="1"/>
  <c r="S639" i="7" s="1"/>
  <c r="T636" i="7" s="1"/>
  <c r="T639" i="7" s="1"/>
  <c r="U636" i="7" s="1"/>
  <c r="U639" i="7" s="1"/>
  <c r="V636" i="7" s="1"/>
  <c r="V639" i="7" s="1"/>
  <c r="W636" i="7" s="1"/>
  <c r="W639" i="7" s="1"/>
  <c r="X636" i="7" s="1"/>
  <c r="X639" i="7" s="1"/>
  <c r="Y636" i="7" s="1"/>
  <c r="Y639" i="7" s="1"/>
  <c r="Z636" i="7" s="1"/>
  <c r="Z639" i="7" s="1"/>
  <c r="AA636" i="7" s="1"/>
  <c r="AA639" i="7" s="1"/>
  <c r="AB636" i="7" s="1"/>
  <c r="AB639" i="7" s="1"/>
  <c r="AC636" i="7" s="1"/>
  <c r="AC639" i="7" s="1"/>
  <c r="AD636" i="7" s="1"/>
  <c r="AD639" i="7" s="1"/>
  <c r="AE636" i="7" s="1"/>
  <c r="AE639" i="7" s="1"/>
  <c r="AF636" i="7" s="1"/>
  <c r="AF639" i="7" s="1"/>
  <c r="AG636" i="7" s="1"/>
  <c r="AG639" i="7" s="1"/>
  <c r="AH636" i="7" s="1"/>
  <c r="AH639" i="7" s="1"/>
  <c r="AI636" i="7" s="1"/>
  <c r="AI639" i="7" s="1"/>
  <c r="AJ636" i="7" s="1"/>
  <c r="AJ639" i="7" s="1"/>
  <c r="AK636" i="7" s="1"/>
  <c r="AK639" i="7" s="1"/>
  <c r="AL636" i="7" s="1"/>
  <c r="AL639" i="7" s="1"/>
  <c r="AM636" i="7" s="1"/>
  <c r="AM639" i="7" s="1"/>
  <c r="AN636" i="7" s="1"/>
  <c r="AN639" i="7" s="1"/>
  <c r="AO636" i="7" s="1"/>
  <c r="AO639" i="7" s="1"/>
  <c r="AP636" i="7" s="1"/>
  <c r="AP639" i="7" s="1"/>
  <c r="C63" i="7"/>
  <c r="C607" i="7"/>
  <c r="D604" i="7" s="1"/>
  <c r="D607" i="7" s="1"/>
  <c r="E604" i="7" s="1"/>
  <c r="E607" i="7" s="1"/>
  <c r="F604" i="7" s="1"/>
  <c r="F607" i="7" s="1"/>
  <c r="G604" i="7" s="1"/>
  <c r="G607" i="7" s="1"/>
  <c r="H604" i="7" s="1"/>
  <c r="H607" i="7" s="1"/>
  <c r="I604" i="7" s="1"/>
  <c r="I607" i="7" s="1"/>
  <c r="J604" i="7" s="1"/>
  <c r="J607" i="7" s="1"/>
  <c r="K604" i="7" s="1"/>
  <c r="K607" i="7" s="1"/>
  <c r="L604" i="7" s="1"/>
  <c r="L607" i="7" s="1"/>
  <c r="G17" i="2"/>
  <c r="G15" i="2"/>
  <c r="H71" i="2"/>
  <c r="I759" i="2"/>
  <c r="I744" i="2" s="1"/>
  <c r="I70" i="2" s="1"/>
  <c r="J757" i="2"/>
  <c r="J399" i="2" s="1"/>
  <c r="J534" i="2" s="1"/>
  <c r="J755" i="2"/>
  <c r="J397" i="2" s="1"/>
  <c r="J532" i="2" s="1"/>
  <c r="J753" i="2"/>
  <c r="J395" i="2" s="1"/>
  <c r="J530" i="2" s="1"/>
  <c r="J751" i="2"/>
  <c r="J393" i="2" s="1"/>
  <c r="J528" i="2" s="1"/>
  <c r="J749" i="2"/>
  <c r="J391" i="2" s="1"/>
  <c r="J526" i="2" s="1"/>
  <c r="J725" i="2"/>
  <c r="J373" i="2" s="1"/>
  <c r="J508" i="2" s="1"/>
  <c r="J758" i="2"/>
  <c r="J400" i="2" s="1"/>
  <c r="J535" i="2" s="1"/>
  <c r="J756" i="2"/>
  <c r="J398" i="2" s="1"/>
  <c r="J533" i="2" s="1"/>
  <c r="J754" i="2"/>
  <c r="J396" i="2" s="1"/>
  <c r="J531" i="2" s="1"/>
  <c r="J752" i="2"/>
  <c r="J394" i="2" s="1"/>
  <c r="J529" i="2" s="1"/>
  <c r="J750" i="2"/>
  <c r="J392" i="2" s="1"/>
  <c r="J527" i="2" s="1"/>
  <c r="J726" i="2"/>
  <c r="J374" i="2" s="1"/>
  <c r="J509" i="2" s="1"/>
  <c r="J724" i="2"/>
  <c r="J372" i="2" s="1"/>
  <c r="J507" i="2" s="1"/>
  <c r="J723" i="2"/>
  <c r="J371" i="2" s="1"/>
  <c r="J506" i="2" s="1"/>
  <c r="J721" i="2"/>
  <c r="J369" i="2" s="1"/>
  <c r="J504" i="2" s="1"/>
  <c r="J719" i="2"/>
  <c r="J367" i="2" s="1"/>
  <c r="J502" i="2" s="1"/>
  <c r="J717" i="2"/>
  <c r="J365" i="2" s="1"/>
  <c r="J500" i="2" s="1"/>
  <c r="J693" i="2"/>
  <c r="J348" i="2" s="1"/>
  <c r="J482" i="2" s="1"/>
  <c r="J691" i="2"/>
  <c r="J346" i="2" s="1"/>
  <c r="J480" i="2" s="1"/>
  <c r="J689" i="2"/>
  <c r="J344" i="2" s="1"/>
  <c r="J478" i="2" s="1"/>
  <c r="J687" i="2"/>
  <c r="J342" i="2" s="1"/>
  <c r="J476" i="2" s="1"/>
  <c r="J685" i="2"/>
  <c r="J340" i="2" s="1"/>
  <c r="J474" i="2" s="1"/>
  <c r="J764" i="2"/>
  <c r="J765" i="2"/>
  <c r="J767" i="2"/>
  <c r="J769" i="2"/>
  <c r="J720" i="2"/>
  <c r="J368" i="2" s="1"/>
  <c r="J503" i="2" s="1"/>
  <c r="J692" i="2"/>
  <c r="J347" i="2" s="1"/>
  <c r="J481" i="2" s="1"/>
  <c r="J688" i="2"/>
  <c r="J343" i="2" s="1"/>
  <c r="J477" i="2" s="1"/>
  <c r="J722" i="2"/>
  <c r="J370" i="2" s="1"/>
  <c r="J505" i="2" s="1"/>
  <c r="J718" i="2"/>
  <c r="J366" i="2" s="1"/>
  <c r="J501" i="2" s="1"/>
  <c r="J694" i="2"/>
  <c r="J349" i="2" s="1"/>
  <c r="J483" i="2" s="1"/>
  <c r="J690" i="2"/>
  <c r="J345" i="2" s="1"/>
  <c r="J479" i="2" s="1"/>
  <c r="J686" i="2"/>
  <c r="J341" i="2" s="1"/>
  <c r="J475" i="2" s="1"/>
  <c r="J762" i="2"/>
  <c r="J766" i="2"/>
  <c r="J770" i="2"/>
  <c r="J768" i="2"/>
  <c r="J730" i="2"/>
  <c r="J732" i="2"/>
  <c r="J734" i="2"/>
  <c r="J736" i="2"/>
  <c r="J738" i="2"/>
  <c r="J731" i="2"/>
  <c r="J733" i="2"/>
  <c r="J735" i="2"/>
  <c r="J737" i="2"/>
  <c r="I727" i="2"/>
  <c r="I712" i="2" s="1"/>
  <c r="I69" i="2" s="1"/>
  <c r="J552" i="2"/>
  <c r="J553" i="2" s="1"/>
  <c r="J558" i="2"/>
  <c r="J559" i="2" s="1"/>
  <c r="J617" i="2"/>
  <c r="J624" i="2"/>
  <c r="K11" i="2"/>
  <c r="J318" i="2"/>
  <c r="J320" i="2"/>
  <c r="J322" i="2"/>
  <c r="J451" i="2"/>
  <c r="J452" i="2"/>
  <c r="J453" i="2"/>
  <c r="J454" i="2"/>
  <c r="J455" i="2"/>
  <c r="J470" i="2" s="1"/>
  <c r="J456" i="2"/>
  <c r="J319" i="2"/>
  <c r="J317" i="2"/>
  <c r="J321" i="2"/>
  <c r="J19" i="2"/>
  <c r="J700" i="2"/>
  <c r="J701" i="2"/>
  <c r="J702" i="2"/>
  <c r="J703" i="2"/>
  <c r="J704" i="2"/>
  <c r="J705" i="2"/>
  <c r="J706" i="2"/>
  <c r="J699" i="2"/>
  <c r="I336" i="2"/>
  <c r="J469" i="2"/>
  <c r="J335" i="2"/>
  <c r="I695" i="2"/>
  <c r="I680" i="2" s="1"/>
  <c r="I68" i="2" s="1"/>
  <c r="J23" i="2"/>
  <c r="J26" i="2"/>
  <c r="J30" i="2"/>
  <c r="J668" i="2"/>
  <c r="I27" i="2"/>
  <c r="K2" i="2"/>
  <c r="K674" i="2" s="1"/>
  <c r="J25" i="2"/>
  <c r="J618" i="2" l="1"/>
  <c r="K655" i="2"/>
  <c r="K659" i="2" s="1"/>
  <c r="E650" i="2"/>
  <c r="E651" i="2" s="1"/>
  <c r="F654" i="2" s="1"/>
  <c r="K597" i="2"/>
  <c r="K593" i="2"/>
  <c r="K589" i="2"/>
  <c r="K585" i="2"/>
  <c r="G18" i="2"/>
  <c r="H14" i="2"/>
  <c r="AO123" i="10"/>
  <c r="AP110" i="10"/>
  <c r="E649" i="10"/>
  <c r="E652" i="10" s="1"/>
  <c r="AP122" i="10"/>
  <c r="C55" i="8"/>
  <c r="C611" i="8"/>
  <c r="C57" i="8"/>
  <c r="C675" i="8"/>
  <c r="D672" i="8" s="1"/>
  <c r="D675" i="8" s="1"/>
  <c r="E672" i="8" s="1"/>
  <c r="E675" i="8" s="1"/>
  <c r="F672" i="8" s="1"/>
  <c r="F675" i="8" s="1"/>
  <c r="G672" i="8" s="1"/>
  <c r="G675" i="8" s="1"/>
  <c r="H672" i="8" s="1"/>
  <c r="H675" i="8" s="1"/>
  <c r="I672" i="8" s="1"/>
  <c r="I675" i="8" s="1"/>
  <c r="J672" i="8" s="1"/>
  <c r="J675" i="8" s="1"/>
  <c r="K672" i="8" s="1"/>
  <c r="K675" i="8" s="1"/>
  <c r="L672" i="8" s="1"/>
  <c r="L675" i="8" s="1"/>
  <c r="M672" i="8" s="1"/>
  <c r="M675" i="8" s="1"/>
  <c r="N672" i="8" s="1"/>
  <c r="N675" i="8" s="1"/>
  <c r="O672" i="8" s="1"/>
  <c r="O675" i="8" s="1"/>
  <c r="P672" i="8" s="1"/>
  <c r="P675" i="8" s="1"/>
  <c r="Q672" i="8" s="1"/>
  <c r="Q675" i="8" s="1"/>
  <c r="R672" i="8" s="1"/>
  <c r="R675" i="8" s="1"/>
  <c r="S672" i="8" s="1"/>
  <c r="S675" i="8" s="1"/>
  <c r="T672" i="8" s="1"/>
  <c r="T675" i="8" s="1"/>
  <c r="U672" i="8" s="1"/>
  <c r="U675" i="8" s="1"/>
  <c r="V672" i="8" s="1"/>
  <c r="V675" i="8" s="1"/>
  <c r="W672" i="8" s="1"/>
  <c r="W675" i="8" s="1"/>
  <c r="X672" i="8" s="1"/>
  <c r="X675" i="8" s="1"/>
  <c r="Y672" i="8" s="1"/>
  <c r="Y675" i="8" s="1"/>
  <c r="Z672" i="8" s="1"/>
  <c r="Z675" i="8" s="1"/>
  <c r="AA672" i="8" s="1"/>
  <c r="AA675" i="8" s="1"/>
  <c r="AB672" i="8" s="1"/>
  <c r="AB675" i="8" s="1"/>
  <c r="AC672" i="8" s="1"/>
  <c r="AC675" i="8" s="1"/>
  <c r="AD672" i="8" s="1"/>
  <c r="AD675" i="8" s="1"/>
  <c r="AE672" i="8" s="1"/>
  <c r="AE675" i="8" s="1"/>
  <c r="AF672" i="8" s="1"/>
  <c r="AF675" i="8" s="1"/>
  <c r="AG672" i="8" s="1"/>
  <c r="AG675" i="8" s="1"/>
  <c r="AH672" i="8" s="1"/>
  <c r="AH675" i="8" s="1"/>
  <c r="AI672" i="8" s="1"/>
  <c r="AI675" i="8" s="1"/>
  <c r="AJ672" i="8" s="1"/>
  <c r="AJ675" i="8" s="1"/>
  <c r="AK672" i="8" s="1"/>
  <c r="AK675" i="8" s="1"/>
  <c r="AL672" i="8" s="1"/>
  <c r="AL675" i="8" s="1"/>
  <c r="AM672" i="8" s="1"/>
  <c r="AM675" i="8" s="1"/>
  <c r="AN672" i="8" s="1"/>
  <c r="AN675" i="8" s="1"/>
  <c r="AO672" i="8" s="1"/>
  <c r="AO675" i="8" s="1"/>
  <c r="AP672" i="8" s="1"/>
  <c r="AP675" i="8" s="1"/>
  <c r="C56" i="8"/>
  <c r="C643" i="8"/>
  <c r="D640" i="8" s="1"/>
  <c r="D643" i="8" s="1"/>
  <c r="E640" i="8" s="1"/>
  <c r="E643" i="8" s="1"/>
  <c r="F640" i="8" s="1"/>
  <c r="F643" i="8" s="1"/>
  <c r="G640" i="8" s="1"/>
  <c r="G643" i="8" s="1"/>
  <c r="H640" i="8" s="1"/>
  <c r="H643" i="8" s="1"/>
  <c r="I640" i="8" s="1"/>
  <c r="I643" i="8" s="1"/>
  <c r="J640" i="8" s="1"/>
  <c r="J643" i="8" s="1"/>
  <c r="K640" i="8" s="1"/>
  <c r="K643" i="8" s="1"/>
  <c r="L640" i="8" s="1"/>
  <c r="L643" i="8" s="1"/>
  <c r="M640" i="8" s="1"/>
  <c r="M643" i="8" s="1"/>
  <c r="N640" i="8" s="1"/>
  <c r="N643" i="8" s="1"/>
  <c r="O640" i="8" s="1"/>
  <c r="O643" i="8" s="1"/>
  <c r="P640" i="8" s="1"/>
  <c r="P643" i="8" s="1"/>
  <c r="Q640" i="8" s="1"/>
  <c r="Q643" i="8" s="1"/>
  <c r="R640" i="8" s="1"/>
  <c r="R643" i="8" s="1"/>
  <c r="S640" i="8" s="1"/>
  <c r="S643" i="8" s="1"/>
  <c r="T640" i="8" s="1"/>
  <c r="T643" i="8" s="1"/>
  <c r="U640" i="8" s="1"/>
  <c r="U643" i="8" s="1"/>
  <c r="V640" i="8" s="1"/>
  <c r="V643" i="8" s="1"/>
  <c r="W640" i="8" s="1"/>
  <c r="W643" i="8" s="1"/>
  <c r="X640" i="8" s="1"/>
  <c r="X643" i="8" s="1"/>
  <c r="Y640" i="8" s="1"/>
  <c r="Y643" i="8" s="1"/>
  <c r="Z640" i="8" s="1"/>
  <c r="Z643" i="8" s="1"/>
  <c r="AA640" i="8" s="1"/>
  <c r="AA643" i="8" s="1"/>
  <c r="AB640" i="8" s="1"/>
  <c r="AB643" i="8" s="1"/>
  <c r="AC640" i="8" s="1"/>
  <c r="AC643" i="8" s="1"/>
  <c r="AD640" i="8" s="1"/>
  <c r="AD643" i="8" s="1"/>
  <c r="AE640" i="8" s="1"/>
  <c r="AE643" i="8" s="1"/>
  <c r="AF640" i="8" s="1"/>
  <c r="AF643" i="8" s="1"/>
  <c r="AG640" i="8" s="1"/>
  <c r="AG643" i="8" s="1"/>
  <c r="AH640" i="8" s="1"/>
  <c r="AH643" i="8" s="1"/>
  <c r="AI640" i="8" s="1"/>
  <c r="AI643" i="8" s="1"/>
  <c r="AJ640" i="8" s="1"/>
  <c r="AJ643" i="8" s="1"/>
  <c r="AK640" i="8" s="1"/>
  <c r="AK643" i="8" s="1"/>
  <c r="AL640" i="8" s="1"/>
  <c r="AL643" i="8" s="1"/>
  <c r="AM640" i="8" s="1"/>
  <c r="AM643" i="8" s="1"/>
  <c r="AN640" i="8" s="1"/>
  <c r="AN643" i="8" s="1"/>
  <c r="AO640" i="8" s="1"/>
  <c r="AO643" i="8" s="1"/>
  <c r="AP640" i="8" s="1"/>
  <c r="AP643" i="8" s="1"/>
  <c r="M604" i="7"/>
  <c r="M607" i="7" s="1"/>
  <c r="H15" i="2"/>
  <c r="H17" i="2"/>
  <c r="I71" i="2"/>
  <c r="K758" i="2"/>
  <c r="K400" i="2" s="1"/>
  <c r="K535" i="2" s="1"/>
  <c r="K756" i="2"/>
  <c r="K398" i="2" s="1"/>
  <c r="K533" i="2" s="1"/>
  <c r="K754" i="2"/>
  <c r="K396" i="2" s="1"/>
  <c r="K531" i="2" s="1"/>
  <c r="K752" i="2"/>
  <c r="K394" i="2" s="1"/>
  <c r="K529" i="2" s="1"/>
  <c r="K750" i="2"/>
  <c r="K392" i="2" s="1"/>
  <c r="K527" i="2" s="1"/>
  <c r="K726" i="2"/>
  <c r="K374" i="2" s="1"/>
  <c r="K509" i="2" s="1"/>
  <c r="K724" i="2"/>
  <c r="K372" i="2" s="1"/>
  <c r="K507" i="2" s="1"/>
  <c r="K757" i="2"/>
  <c r="K399" i="2" s="1"/>
  <c r="K534" i="2" s="1"/>
  <c r="K755" i="2"/>
  <c r="K397" i="2" s="1"/>
  <c r="K532" i="2" s="1"/>
  <c r="K753" i="2"/>
  <c r="K395" i="2" s="1"/>
  <c r="K530" i="2" s="1"/>
  <c r="K751" i="2"/>
  <c r="K393" i="2" s="1"/>
  <c r="K528" i="2" s="1"/>
  <c r="K749" i="2"/>
  <c r="K391" i="2" s="1"/>
  <c r="K526" i="2" s="1"/>
  <c r="K725" i="2"/>
  <c r="K373" i="2" s="1"/>
  <c r="K508" i="2" s="1"/>
  <c r="K722" i="2"/>
  <c r="K370" i="2" s="1"/>
  <c r="K505" i="2" s="1"/>
  <c r="K720" i="2"/>
  <c r="K368" i="2" s="1"/>
  <c r="K503" i="2" s="1"/>
  <c r="K718" i="2"/>
  <c r="K366" i="2" s="1"/>
  <c r="K501" i="2" s="1"/>
  <c r="K694" i="2"/>
  <c r="K349" i="2" s="1"/>
  <c r="K483" i="2" s="1"/>
  <c r="K692" i="2"/>
  <c r="K690" i="2"/>
  <c r="K688" i="2"/>
  <c r="K686" i="2"/>
  <c r="K341" i="2" s="1"/>
  <c r="K475" i="2" s="1"/>
  <c r="K762" i="2"/>
  <c r="K766" i="2"/>
  <c r="K768" i="2"/>
  <c r="K770" i="2"/>
  <c r="K721" i="2"/>
  <c r="K369" i="2" s="1"/>
  <c r="K504" i="2" s="1"/>
  <c r="K717" i="2"/>
  <c r="K365" i="2" s="1"/>
  <c r="K500" i="2" s="1"/>
  <c r="K693" i="2"/>
  <c r="K348" i="2" s="1"/>
  <c r="K482" i="2" s="1"/>
  <c r="K689" i="2"/>
  <c r="K344" i="2" s="1"/>
  <c r="K478" i="2" s="1"/>
  <c r="K723" i="2"/>
  <c r="K371" i="2" s="1"/>
  <c r="K506" i="2" s="1"/>
  <c r="K719" i="2"/>
  <c r="K367" i="2" s="1"/>
  <c r="K502" i="2" s="1"/>
  <c r="K691" i="2"/>
  <c r="K346" i="2" s="1"/>
  <c r="K480" i="2" s="1"/>
  <c r="K687" i="2"/>
  <c r="K342" i="2" s="1"/>
  <c r="K476" i="2" s="1"/>
  <c r="K764" i="2"/>
  <c r="K767" i="2"/>
  <c r="K685" i="2"/>
  <c r="K340" i="2" s="1"/>
  <c r="K474" i="2" s="1"/>
  <c r="K769" i="2"/>
  <c r="K731" i="2"/>
  <c r="K733" i="2"/>
  <c r="K735" i="2"/>
  <c r="K737" i="2"/>
  <c r="K765" i="2"/>
  <c r="K730" i="2"/>
  <c r="K732" i="2"/>
  <c r="K734" i="2"/>
  <c r="K736" i="2"/>
  <c r="K738" i="2"/>
  <c r="J727" i="2"/>
  <c r="J712" i="2" s="1"/>
  <c r="J69" i="2" s="1"/>
  <c r="J759" i="2"/>
  <c r="J744" i="2" s="1"/>
  <c r="J70" i="2" s="1"/>
  <c r="K552" i="2"/>
  <c r="K553" i="2" s="1"/>
  <c r="K558" i="2"/>
  <c r="K559" i="2" s="1"/>
  <c r="K624" i="2"/>
  <c r="K617" i="2"/>
  <c r="L11" i="2"/>
  <c r="K317" i="2"/>
  <c r="K319" i="2"/>
  <c r="K321" i="2"/>
  <c r="K320" i="2"/>
  <c r="K452" i="2"/>
  <c r="K454" i="2"/>
  <c r="K456" i="2"/>
  <c r="K318" i="2"/>
  <c r="K322" i="2"/>
  <c r="K451" i="2"/>
  <c r="K453" i="2"/>
  <c r="K455" i="2"/>
  <c r="K19" i="2"/>
  <c r="K699" i="2"/>
  <c r="K700" i="2"/>
  <c r="K701" i="2"/>
  <c r="K702" i="2"/>
  <c r="K703" i="2"/>
  <c r="K704" i="2"/>
  <c r="K705" i="2"/>
  <c r="K706" i="2"/>
  <c r="J336" i="2"/>
  <c r="K469" i="2"/>
  <c r="K335" i="2"/>
  <c r="K343" i="2"/>
  <c r="K477" i="2" s="1"/>
  <c r="K345" i="2"/>
  <c r="K479" i="2" s="1"/>
  <c r="K347" i="2"/>
  <c r="K481" i="2" s="1"/>
  <c r="J695" i="2"/>
  <c r="J680" i="2" s="1"/>
  <c r="J68" i="2" s="1"/>
  <c r="K23" i="2"/>
  <c r="K26" i="2"/>
  <c r="K30" i="2"/>
  <c r="K668" i="2"/>
  <c r="J27" i="2"/>
  <c r="L2" i="2"/>
  <c r="L674" i="2" s="1"/>
  <c r="K25" i="2"/>
  <c r="F9" i="1"/>
  <c r="K470" i="2" l="1"/>
  <c r="AO5" i="10"/>
  <c r="AP5" i="10"/>
  <c r="AN5" i="10"/>
  <c r="AL5" i="10"/>
  <c r="AJ5" i="10"/>
  <c r="AH5" i="10"/>
  <c r="AM5" i="10"/>
  <c r="AK5" i="10"/>
  <c r="AI5" i="10"/>
  <c r="AG5" i="10"/>
  <c r="AG5" i="7"/>
  <c r="AG5" i="8"/>
  <c r="AH5" i="7"/>
  <c r="AI5" i="7"/>
  <c r="AH5" i="8"/>
  <c r="AI5" i="8"/>
  <c r="AJ5" i="7"/>
  <c r="AJ5" i="8"/>
  <c r="AK5" i="7"/>
  <c r="AK5" i="8"/>
  <c r="AL5" i="7"/>
  <c r="AL5" i="8"/>
  <c r="AM5" i="7"/>
  <c r="AM5" i="8"/>
  <c r="AN5" i="7"/>
  <c r="AN5" i="8"/>
  <c r="AO5" i="7"/>
  <c r="AP5" i="7"/>
  <c r="AO5" i="8"/>
  <c r="AP5" i="8"/>
  <c r="L655" i="2"/>
  <c r="L659" i="2" s="1"/>
  <c r="F653" i="2"/>
  <c r="F648" i="2"/>
  <c r="K618" i="2"/>
  <c r="AF5" i="7"/>
  <c r="AD5" i="7"/>
  <c r="AB5" i="7"/>
  <c r="Z5" i="7"/>
  <c r="X5" i="7"/>
  <c r="V5" i="7"/>
  <c r="T5" i="7"/>
  <c r="R5" i="7"/>
  <c r="P5" i="7"/>
  <c r="N5" i="7"/>
  <c r="L5" i="7"/>
  <c r="J5" i="7"/>
  <c r="H5" i="7"/>
  <c r="F5" i="7"/>
  <c r="D5" i="7"/>
  <c r="AF5" i="10"/>
  <c r="AD5" i="10"/>
  <c r="AB5" i="10"/>
  <c r="Z5" i="10"/>
  <c r="X5" i="10"/>
  <c r="V5" i="10"/>
  <c r="T5" i="10"/>
  <c r="R5" i="10"/>
  <c r="P5" i="10"/>
  <c r="N5" i="10"/>
  <c r="L5" i="10"/>
  <c r="J5" i="10"/>
  <c r="H5" i="10"/>
  <c r="F5" i="10"/>
  <c r="D5" i="10"/>
  <c r="L5" i="2"/>
  <c r="J5" i="2"/>
  <c r="J10" i="2" s="1"/>
  <c r="J12" i="2" s="1"/>
  <c r="H5" i="2"/>
  <c r="F5" i="2"/>
  <c r="D5" i="2"/>
  <c r="AF5" i="8"/>
  <c r="AD5" i="8"/>
  <c r="AB5" i="8"/>
  <c r="Z5" i="8"/>
  <c r="X5" i="8"/>
  <c r="V5" i="8"/>
  <c r="T5" i="8"/>
  <c r="R5" i="8"/>
  <c r="P5" i="8"/>
  <c r="N5" i="8"/>
  <c r="L5" i="8"/>
  <c r="J5" i="8"/>
  <c r="H5" i="8"/>
  <c r="F5" i="8"/>
  <c r="D5" i="8"/>
  <c r="AE5" i="7"/>
  <c r="AC5" i="7"/>
  <c r="AA5" i="7"/>
  <c r="Y5" i="7"/>
  <c r="W5" i="7"/>
  <c r="U5" i="7"/>
  <c r="S5" i="7"/>
  <c r="Q5" i="7"/>
  <c r="O5" i="7"/>
  <c r="M5" i="7"/>
  <c r="K5" i="7"/>
  <c r="I5" i="7"/>
  <c r="G5" i="7"/>
  <c r="E5" i="7"/>
  <c r="C5" i="7"/>
  <c r="AE5" i="10"/>
  <c r="AC5" i="10"/>
  <c r="AA5" i="10"/>
  <c r="Y5" i="10"/>
  <c r="W5" i="10"/>
  <c r="U5" i="10"/>
  <c r="S5" i="10"/>
  <c r="Q5" i="10"/>
  <c r="O5" i="10"/>
  <c r="M5" i="10"/>
  <c r="K5" i="10"/>
  <c r="I5" i="10"/>
  <c r="G5" i="10"/>
  <c r="E5" i="10"/>
  <c r="C5" i="10"/>
  <c r="K5" i="2"/>
  <c r="I5" i="2"/>
  <c r="G5" i="2"/>
  <c r="E5" i="2"/>
  <c r="C5" i="2"/>
  <c r="AE5" i="8"/>
  <c r="AC5" i="8"/>
  <c r="AA5" i="8"/>
  <c r="Y5" i="8"/>
  <c r="W5" i="8"/>
  <c r="U5" i="8"/>
  <c r="S5" i="8"/>
  <c r="Q5" i="8"/>
  <c r="O5" i="8"/>
  <c r="M5" i="8"/>
  <c r="K5" i="8"/>
  <c r="I5" i="8"/>
  <c r="G5" i="8"/>
  <c r="E5" i="8"/>
  <c r="C5" i="8"/>
  <c r="H18" i="2"/>
  <c r="L597" i="2"/>
  <c r="L593" i="2"/>
  <c r="L589" i="2"/>
  <c r="L585" i="2"/>
  <c r="I14" i="2"/>
  <c r="AP123" i="10"/>
  <c r="F649" i="10"/>
  <c r="F652" i="10" s="1"/>
  <c r="D608" i="8"/>
  <c r="D611" i="8" s="1"/>
  <c r="N604" i="7"/>
  <c r="N607" i="7" s="1"/>
  <c r="I17" i="2"/>
  <c r="I15" i="2"/>
  <c r="J71" i="2"/>
  <c r="K759" i="2"/>
  <c r="K744" i="2" s="1"/>
  <c r="K70" i="2" s="1"/>
  <c r="L757" i="2"/>
  <c r="L399" i="2" s="1"/>
  <c r="L534" i="2" s="1"/>
  <c r="L755" i="2"/>
  <c r="L397" i="2" s="1"/>
  <c r="L532" i="2" s="1"/>
  <c r="L753" i="2"/>
  <c r="L395" i="2" s="1"/>
  <c r="L530" i="2" s="1"/>
  <c r="L751" i="2"/>
  <c r="L393" i="2" s="1"/>
  <c r="L528" i="2" s="1"/>
  <c r="L749" i="2"/>
  <c r="L391" i="2" s="1"/>
  <c r="L526" i="2" s="1"/>
  <c r="L725" i="2"/>
  <c r="L373" i="2" s="1"/>
  <c r="L508" i="2" s="1"/>
  <c r="L758" i="2"/>
  <c r="L400" i="2" s="1"/>
  <c r="L535" i="2" s="1"/>
  <c r="L756" i="2"/>
  <c r="L398" i="2" s="1"/>
  <c r="L533" i="2" s="1"/>
  <c r="L754" i="2"/>
  <c r="L396" i="2" s="1"/>
  <c r="L531" i="2" s="1"/>
  <c r="L752" i="2"/>
  <c r="L394" i="2" s="1"/>
  <c r="L529" i="2" s="1"/>
  <c r="L750" i="2"/>
  <c r="L392" i="2" s="1"/>
  <c r="L527" i="2" s="1"/>
  <c r="L726" i="2"/>
  <c r="L374" i="2" s="1"/>
  <c r="L509" i="2" s="1"/>
  <c r="L723" i="2"/>
  <c r="L371" i="2" s="1"/>
  <c r="L506" i="2" s="1"/>
  <c r="L721" i="2"/>
  <c r="L369" i="2" s="1"/>
  <c r="L504" i="2" s="1"/>
  <c r="L719" i="2"/>
  <c r="L367" i="2" s="1"/>
  <c r="L502" i="2" s="1"/>
  <c r="L717" i="2"/>
  <c r="L365" i="2" s="1"/>
  <c r="L500" i="2" s="1"/>
  <c r="L693" i="2"/>
  <c r="L348" i="2" s="1"/>
  <c r="L482" i="2" s="1"/>
  <c r="L691" i="2"/>
  <c r="L346" i="2" s="1"/>
  <c r="L480" i="2" s="1"/>
  <c r="L689" i="2"/>
  <c r="L344" i="2" s="1"/>
  <c r="L478" i="2" s="1"/>
  <c r="L687" i="2"/>
  <c r="L342" i="2" s="1"/>
  <c r="L476" i="2" s="1"/>
  <c r="L685" i="2"/>
  <c r="L340" i="2" s="1"/>
  <c r="L474" i="2" s="1"/>
  <c r="L765" i="2"/>
  <c r="L767" i="2"/>
  <c r="L769" i="2"/>
  <c r="L724" i="2"/>
  <c r="L372" i="2" s="1"/>
  <c r="L507" i="2" s="1"/>
  <c r="L722" i="2"/>
  <c r="L370" i="2" s="1"/>
  <c r="L505" i="2" s="1"/>
  <c r="L718" i="2"/>
  <c r="L366" i="2" s="1"/>
  <c r="L501" i="2" s="1"/>
  <c r="L694" i="2"/>
  <c r="L349" i="2" s="1"/>
  <c r="L483" i="2" s="1"/>
  <c r="L690" i="2"/>
  <c r="L345" i="2" s="1"/>
  <c r="L479" i="2" s="1"/>
  <c r="L720" i="2"/>
  <c r="L368" i="2" s="1"/>
  <c r="L503" i="2" s="1"/>
  <c r="L692" i="2"/>
  <c r="L347" i="2" s="1"/>
  <c r="L481" i="2" s="1"/>
  <c r="L688" i="2"/>
  <c r="L343" i="2" s="1"/>
  <c r="L477" i="2" s="1"/>
  <c r="L763" i="2"/>
  <c r="L768" i="2"/>
  <c r="L686" i="2"/>
  <c r="L341" i="2" s="1"/>
  <c r="L475" i="2" s="1"/>
  <c r="L762" i="2"/>
  <c r="L770" i="2"/>
  <c r="L730" i="2"/>
  <c r="L732" i="2"/>
  <c r="L734" i="2"/>
  <c r="L736" i="2"/>
  <c r="L738" i="2"/>
  <c r="L766" i="2"/>
  <c r="L731" i="2"/>
  <c r="L733" i="2"/>
  <c r="L735" i="2"/>
  <c r="L737" i="2"/>
  <c r="K727" i="2"/>
  <c r="K712" i="2" s="1"/>
  <c r="K69" i="2" s="1"/>
  <c r="L552" i="2"/>
  <c r="L553" i="2" s="1"/>
  <c r="L558" i="2"/>
  <c r="L559" i="2" s="1"/>
  <c r="L617" i="2"/>
  <c r="L624" i="2"/>
  <c r="M11" i="2"/>
  <c r="L318" i="2"/>
  <c r="L320" i="2"/>
  <c r="L322" i="2"/>
  <c r="L451" i="2"/>
  <c r="L452" i="2"/>
  <c r="L453" i="2"/>
  <c r="L454" i="2"/>
  <c r="L455" i="2"/>
  <c r="L470" i="2" s="1"/>
  <c r="L456" i="2"/>
  <c r="L317" i="2"/>
  <c r="L321" i="2"/>
  <c r="L319" i="2"/>
  <c r="L19" i="2"/>
  <c r="L700" i="2"/>
  <c r="L701" i="2"/>
  <c r="L702" i="2"/>
  <c r="L703" i="2"/>
  <c r="L704" i="2"/>
  <c r="L705" i="2"/>
  <c r="L706" i="2"/>
  <c r="L699" i="2"/>
  <c r="K336" i="2"/>
  <c r="L469" i="2"/>
  <c r="L335" i="2"/>
  <c r="K695" i="2"/>
  <c r="K680" i="2" s="1"/>
  <c r="K68" i="2" s="1"/>
  <c r="J554" i="2"/>
  <c r="J555" i="2" s="1"/>
  <c r="J103" i="2" s="1"/>
  <c r="J248" i="2" s="1"/>
  <c r="L23" i="2"/>
  <c r="L26" i="2"/>
  <c r="L30" i="2"/>
  <c r="J598" i="2"/>
  <c r="J599" i="2" s="1"/>
  <c r="J586" i="2"/>
  <c r="J587" i="2" s="1"/>
  <c r="M2" i="2"/>
  <c r="M674" i="2" s="1"/>
  <c r="L25" i="2"/>
  <c r="K10" i="2"/>
  <c r="K12" i="2" s="1"/>
  <c r="K27" i="2"/>
  <c r="AO587" i="8" l="1"/>
  <c r="AO588" i="8" s="1"/>
  <c r="AO15" i="8" s="1"/>
  <c r="AO583" i="8"/>
  <c r="AO584" i="8" s="1"/>
  <c r="AO551" i="8"/>
  <c r="AO552" i="8" s="1"/>
  <c r="AO94" i="8" s="1"/>
  <c r="AO29" i="8"/>
  <c r="AO31" i="8" s="1"/>
  <c r="AO595" i="8"/>
  <c r="AO596" i="8" s="1"/>
  <c r="AO17" i="8" s="1"/>
  <c r="AO591" i="8"/>
  <c r="AO592" i="8" s="1"/>
  <c r="AO16" i="8" s="1"/>
  <c r="AO557" i="8"/>
  <c r="AO558" i="8" s="1"/>
  <c r="AO95" i="8" s="1"/>
  <c r="AO112" i="8"/>
  <c r="AO10" i="8"/>
  <c r="AO12" i="8" s="1"/>
  <c r="AO524" i="7"/>
  <c r="AO525" i="7" s="1"/>
  <c r="AO520" i="7"/>
  <c r="AO521" i="7" s="1"/>
  <c r="AO486" i="7"/>
  <c r="AO487" i="7" s="1"/>
  <c r="AO104" i="7" s="1"/>
  <c r="AO124" i="7"/>
  <c r="AO10" i="7"/>
  <c r="AO12" i="7" s="1"/>
  <c r="AO516" i="7"/>
  <c r="AO517" i="7" s="1"/>
  <c r="AO512" i="7"/>
  <c r="AO513" i="7" s="1"/>
  <c r="AO480" i="7"/>
  <c r="AO481" i="7" s="1"/>
  <c r="AO103" i="7" s="1"/>
  <c r="AO29" i="7"/>
  <c r="AO31" i="7" s="1"/>
  <c r="AN520" i="7"/>
  <c r="AN521" i="7" s="1"/>
  <c r="AN486" i="7"/>
  <c r="AN487" i="7" s="1"/>
  <c r="AN104" i="7" s="1"/>
  <c r="AN524" i="7"/>
  <c r="AN525" i="7" s="1"/>
  <c r="AN124" i="7"/>
  <c r="AN10" i="7"/>
  <c r="AN12" i="7" s="1"/>
  <c r="AN512" i="7"/>
  <c r="AN513" i="7" s="1"/>
  <c r="AN480" i="7"/>
  <c r="AN481" i="7" s="1"/>
  <c r="AN103" i="7" s="1"/>
  <c r="AN516" i="7"/>
  <c r="AN517" i="7" s="1"/>
  <c r="AN29" i="7"/>
  <c r="AN31" i="7" s="1"/>
  <c r="AM516" i="7"/>
  <c r="AM517" i="7" s="1"/>
  <c r="AM512" i="7"/>
  <c r="AM513" i="7" s="1"/>
  <c r="AM480" i="7"/>
  <c r="AM481" i="7" s="1"/>
  <c r="AM103" i="7" s="1"/>
  <c r="AM29" i="7"/>
  <c r="AM31" i="7" s="1"/>
  <c r="AM524" i="7"/>
  <c r="AM525" i="7" s="1"/>
  <c r="AM520" i="7"/>
  <c r="AM521" i="7" s="1"/>
  <c r="AM486" i="7"/>
  <c r="AM487" i="7" s="1"/>
  <c r="AM104" i="7" s="1"/>
  <c r="AM124" i="7"/>
  <c r="AM10" i="7"/>
  <c r="AM12" i="7" s="1"/>
  <c r="AL520" i="7"/>
  <c r="AL521" i="7" s="1"/>
  <c r="AL486" i="7"/>
  <c r="AL487" i="7" s="1"/>
  <c r="AL104" i="7" s="1"/>
  <c r="AL524" i="7"/>
  <c r="AL525" i="7" s="1"/>
  <c r="AL124" i="7"/>
  <c r="AL10" i="7"/>
  <c r="AL12" i="7" s="1"/>
  <c r="AL512" i="7"/>
  <c r="AL513" i="7" s="1"/>
  <c r="AL480" i="7"/>
  <c r="AL481" i="7" s="1"/>
  <c r="AL103" i="7" s="1"/>
  <c r="AL516" i="7"/>
  <c r="AL517" i="7" s="1"/>
  <c r="AL29" i="7"/>
  <c r="AL31" i="7" s="1"/>
  <c r="AK524" i="7"/>
  <c r="AK525" i="7" s="1"/>
  <c r="AK520" i="7"/>
  <c r="AK521" i="7" s="1"/>
  <c r="AK124" i="7"/>
  <c r="AK516" i="7"/>
  <c r="AK517" i="7" s="1"/>
  <c r="AK512" i="7"/>
  <c r="AK513" i="7" s="1"/>
  <c r="AK480" i="7"/>
  <c r="AK481" i="7" s="1"/>
  <c r="AK103" i="7" s="1"/>
  <c r="AK29" i="7"/>
  <c r="AK31" i="7" s="1"/>
  <c r="AK486" i="7"/>
  <c r="AK487" i="7" s="1"/>
  <c r="AK104" i="7" s="1"/>
  <c r="AK10" i="7"/>
  <c r="AK12" i="7" s="1"/>
  <c r="AJ512" i="7"/>
  <c r="AJ513" i="7" s="1"/>
  <c r="AJ480" i="7"/>
  <c r="AJ481" i="7" s="1"/>
  <c r="AJ103" i="7" s="1"/>
  <c r="AJ516" i="7"/>
  <c r="AJ517" i="7" s="1"/>
  <c r="AJ29" i="7"/>
  <c r="AJ31" i="7" s="1"/>
  <c r="AJ520" i="7"/>
  <c r="AJ521" i="7" s="1"/>
  <c r="AJ486" i="7"/>
  <c r="AJ487" i="7" s="1"/>
  <c r="AJ104" i="7" s="1"/>
  <c r="AJ524" i="7"/>
  <c r="AJ525" i="7" s="1"/>
  <c r="AJ124" i="7"/>
  <c r="AJ10" i="7"/>
  <c r="AJ12" i="7" s="1"/>
  <c r="AH591" i="8"/>
  <c r="AH592" i="8" s="1"/>
  <c r="AH16" i="8" s="1"/>
  <c r="AH557" i="8"/>
  <c r="AH558" i="8" s="1"/>
  <c r="AH95" i="8" s="1"/>
  <c r="AH595" i="8"/>
  <c r="AH596" i="8" s="1"/>
  <c r="AH17" i="8" s="1"/>
  <c r="AH112" i="8"/>
  <c r="AH10" i="8"/>
  <c r="AH12" i="8" s="1"/>
  <c r="AH111" i="8" s="1"/>
  <c r="AH583" i="8"/>
  <c r="AH584" i="8" s="1"/>
  <c r="AH551" i="8"/>
  <c r="AH552" i="8" s="1"/>
  <c r="AH94" i="8" s="1"/>
  <c r="AH587" i="8"/>
  <c r="AH588" i="8" s="1"/>
  <c r="AH15" i="8" s="1"/>
  <c r="AH29" i="8"/>
  <c r="AH31" i="8" s="1"/>
  <c r="AH512" i="7"/>
  <c r="AH513" i="7" s="1"/>
  <c r="AH480" i="7"/>
  <c r="AH481" i="7" s="1"/>
  <c r="AH103" i="7" s="1"/>
  <c r="AH516" i="7"/>
  <c r="AH517" i="7" s="1"/>
  <c r="AH29" i="7"/>
  <c r="AH31" i="7" s="1"/>
  <c r="AH520" i="7"/>
  <c r="AH521" i="7" s="1"/>
  <c r="AH486" i="7"/>
  <c r="AH487" i="7" s="1"/>
  <c r="AH104" i="7" s="1"/>
  <c r="AH524" i="7"/>
  <c r="AH525" i="7" s="1"/>
  <c r="AH124" i="7"/>
  <c r="AH10" i="7"/>
  <c r="AH12" i="7" s="1"/>
  <c r="AG516" i="7"/>
  <c r="AG517" i="7" s="1"/>
  <c r="AG512" i="7"/>
  <c r="AG513" i="7" s="1"/>
  <c r="AG480" i="7"/>
  <c r="AG481" i="7" s="1"/>
  <c r="AG103" i="7" s="1"/>
  <c r="AG29" i="7"/>
  <c r="AG31" i="7" s="1"/>
  <c r="AG524" i="7"/>
  <c r="AG525" i="7" s="1"/>
  <c r="AG520" i="7"/>
  <c r="AG521" i="7" s="1"/>
  <c r="AG486" i="7"/>
  <c r="AG487" i="7" s="1"/>
  <c r="AG104" i="7" s="1"/>
  <c r="AG124" i="7"/>
  <c r="AG10" i="7"/>
  <c r="AG12" i="7" s="1"/>
  <c r="AI618" i="10"/>
  <c r="AI619" i="10" s="1"/>
  <c r="AI586" i="10"/>
  <c r="AI587" i="10" s="1"/>
  <c r="AI161" i="10" s="1"/>
  <c r="AI253" i="10" s="1"/>
  <c r="AI622" i="10"/>
  <c r="AI623" i="10" s="1"/>
  <c r="AI29" i="10"/>
  <c r="AI31" i="10" s="1"/>
  <c r="AI626" i="10"/>
  <c r="AI627" i="10" s="1"/>
  <c r="AI592" i="10"/>
  <c r="AI593" i="10" s="1"/>
  <c r="AI162" i="10" s="1"/>
  <c r="AI630" i="10"/>
  <c r="AI631" i="10" s="1"/>
  <c r="AI130" i="10"/>
  <c r="AI10" i="10"/>
  <c r="AI12" i="10" s="1"/>
  <c r="AM626" i="10"/>
  <c r="AM627" i="10" s="1"/>
  <c r="AM592" i="10"/>
  <c r="AM593" i="10" s="1"/>
  <c r="AM162" i="10" s="1"/>
  <c r="AM630" i="10"/>
  <c r="AM631" i="10" s="1"/>
  <c r="AM130" i="10"/>
  <c r="AM10" i="10"/>
  <c r="AM12" i="10" s="1"/>
  <c r="AM618" i="10"/>
  <c r="AM619" i="10" s="1"/>
  <c r="AM586" i="10"/>
  <c r="AM587" i="10" s="1"/>
  <c r="AM161" i="10" s="1"/>
  <c r="AM253" i="10" s="1"/>
  <c r="AM622" i="10"/>
  <c r="AM623" i="10" s="1"/>
  <c r="AM29" i="10"/>
  <c r="AM31" i="10" s="1"/>
  <c r="AJ622" i="10"/>
  <c r="AJ623" i="10" s="1"/>
  <c r="AJ618" i="10"/>
  <c r="AJ619" i="10" s="1"/>
  <c r="AJ586" i="10"/>
  <c r="AJ587" i="10" s="1"/>
  <c r="AJ161" i="10" s="1"/>
  <c r="AJ253" i="10" s="1"/>
  <c r="AJ29" i="10"/>
  <c r="AJ31" i="10" s="1"/>
  <c r="AJ630" i="10"/>
  <c r="AJ631" i="10" s="1"/>
  <c r="AJ626" i="10"/>
  <c r="AJ627" i="10" s="1"/>
  <c r="AJ592" i="10"/>
  <c r="AJ593" i="10" s="1"/>
  <c r="AJ162" i="10" s="1"/>
  <c r="AJ130" i="10"/>
  <c r="AJ10" i="10"/>
  <c r="AJ12" i="10" s="1"/>
  <c r="AN622" i="10"/>
  <c r="AN623" i="10" s="1"/>
  <c r="AN618" i="10"/>
  <c r="AN619" i="10" s="1"/>
  <c r="AN586" i="10"/>
  <c r="AN587" i="10" s="1"/>
  <c r="AN161" i="10" s="1"/>
  <c r="AN253" i="10" s="1"/>
  <c r="AN29" i="10"/>
  <c r="AN31" i="10" s="1"/>
  <c r="AN630" i="10"/>
  <c r="AN631" i="10" s="1"/>
  <c r="AN626" i="10"/>
  <c r="AN627" i="10" s="1"/>
  <c r="AN592" i="10"/>
  <c r="AN593" i="10" s="1"/>
  <c r="AN162" i="10" s="1"/>
  <c r="AN130" i="10"/>
  <c r="AN10" i="10"/>
  <c r="AN12" i="10" s="1"/>
  <c r="AO618" i="10"/>
  <c r="AO619" i="10" s="1"/>
  <c r="AO586" i="10"/>
  <c r="AO587" i="10" s="1"/>
  <c r="AO161" i="10" s="1"/>
  <c r="AO253" i="10" s="1"/>
  <c r="AO622" i="10"/>
  <c r="AO623" i="10" s="1"/>
  <c r="AO29" i="10"/>
  <c r="AO31" i="10" s="1"/>
  <c r="AO626" i="10"/>
  <c r="AO627" i="10" s="1"/>
  <c r="AO592" i="10"/>
  <c r="AO593" i="10" s="1"/>
  <c r="AO162" i="10" s="1"/>
  <c r="AO630" i="10"/>
  <c r="AO631" i="10" s="1"/>
  <c r="AO130" i="10"/>
  <c r="AO10" i="10"/>
  <c r="AO12" i="10" s="1"/>
  <c r="AP591" i="8"/>
  <c r="AP592" i="8" s="1"/>
  <c r="AP16" i="8" s="1"/>
  <c r="AP557" i="8"/>
  <c r="AP558" i="8" s="1"/>
  <c r="AP95" i="8" s="1"/>
  <c r="AP595" i="8"/>
  <c r="AP596" i="8" s="1"/>
  <c r="AP17" i="8" s="1"/>
  <c r="AP112" i="8"/>
  <c r="AP10" i="8"/>
  <c r="AP12" i="8" s="1"/>
  <c r="AP111" i="8" s="1"/>
  <c r="AP583" i="8"/>
  <c r="AP584" i="8" s="1"/>
  <c r="AP551" i="8"/>
  <c r="AP552" i="8" s="1"/>
  <c r="AP94" i="8" s="1"/>
  <c r="AP587" i="8"/>
  <c r="AP588" i="8" s="1"/>
  <c r="AP15" i="8" s="1"/>
  <c r="AP29" i="8"/>
  <c r="AP31" i="8" s="1"/>
  <c r="AP520" i="7"/>
  <c r="AP521" i="7" s="1"/>
  <c r="AP486" i="7"/>
  <c r="AP487" i="7" s="1"/>
  <c r="AP104" i="7" s="1"/>
  <c r="AP524" i="7"/>
  <c r="AP525" i="7" s="1"/>
  <c r="AP124" i="7"/>
  <c r="AP10" i="7"/>
  <c r="AP12" i="7" s="1"/>
  <c r="AP512" i="7"/>
  <c r="AP513" i="7" s="1"/>
  <c r="AP480" i="7"/>
  <c r="AP481" i="7" s="1"/>
  <c r="AP103" i="7" s="1"/>
  <c r="AP516" i="7"/>
  <c r="AP517" i="7" s="1"/>
  <c r="AP29" i="7"/>
  <c r="AP31" i="7" s="1"/>
  <c r="AN583" i="8"/>
  <c r="AN584" i="8" s="1"/>
  <c r="AN551" i="8"/>
  <c r="AN552" i="8" s="1"/>
  <c r="AN94" i="8" s="1"/>
  <c r="AN587" i="8"/>
  <c r="AN588" i="8" s="1"/>
  <c r="AN15" i="8" s="1"/>
  <c r="AN29" i="8"/>
  <c r="AN31" i="8" s="1"/>
  <c r="AN591" i="8"/>
  <c r="AN592" i="8" s="1"/>
  <c r="AN16" i="8" s="1"/>
  <c r="AN557" i="8"/>
  <c r="AN558" i="8" s="1"/>
  <c r="AN95" i="8" s="1"/>
  <c r="AN595" i="8"/>
  <c r="AN596" i="8" s="1"/>
  <c r="AN17" i="8" s="1"/>
  <c r="AN112" i="8"/>
  <c r="AN10" i="8"/>
  <c r="AN12" i="8" s="1"/>
  <c r="AN111" i="8" s="1"/>
  <c r="AM595" i="8"/>
  <c r="AM596" i="8" s="1"/>
  <c r="AM17" i="8" s="1"/>
  <c r="AM591" i="8"/>
  <c r="AM592" i="8" s="1"/>
  <c r="AM16" i="8" s="1"/>
  <c r="AM557" i="8"/>
  <c r="AM558" i="8" s="1"/>
  <c r="AM95" i="8" s="1"/>
  <c r="AM112" i="8"/>
  <c r="AM10" i="8"/>
  <c r="AM12" i="8" s="1"/>
  <c r="AM111" i="8" s="1"/>
  <c r="AM587" i="8"/>
  <c r="AM588" i="8" s="1"/>
  <c r="AM15" i="8" s="1"/>
  <c r="AM583" i="8"/>
  <c r="AM584" i="8" s="1"/>
  <c r="AM551" i="8"/>
  <c r="AM552" i="8" s="1"/>
  <c r="AM94" i="8" s="1"/>
  <c r="AM29" i="8"/>
  <c r="AM31" i="8" s="1"/>
  <c r="AL591" i="8"/>
  <c r="AL592" i="8" s="1"/>
  <c r="AL16" i="8" s="1"/>
  <c r="AL557" i="8"/>
  <c r="AL558" i="8" s="1"/>
  <c r="AL95" i="8" s="1"/>
  <c r="AL595" i="8"/>
  <c r="AL596" i="8" s="1"/>
  <c r="AL17" i="8" s="1"/>
  <c r="AL112" i="8"/>
  <c r="AL10" i="8"/>
  <c r="AL12" i="8" s="1"/>
  <c r="AL111" i="8" s="1"/>
  <c r="AL583" i="8"/>
  <c r="AL584" i="8" s="1"/>
  <c r="AL551" i="8"/>
  <c r="AL552" i="8" s="1"/>
  <c r="AL94" i="8" s="1"/>
  <c r="AL587" i="8"/>
  <c r="AL588" i="8" s="1"/>
  <c r="AL15" i="8" s="1"/>
  <c r="AL29" i="8"/>
  <c r="AL31" i="8" s="1"/>
  <c r="AK595" i="8"/>
  <c r="AK596" i="8" s="1"/>
  <c r="AK17" i="8" s="1"/>
  <c r="AK591" i="8"/>
  <c r="AK592" i="8" s="1"/>
  <c r="AK16" i="8" s="1"/>
  <c r="AK557" i="8"/>
  <c r="AK558" i="8" s="1"/>
  <c r="AK95" i="8" s="1"/>
  <c r="AK112" i="8"/>
  <c r="AK10" i="8"/>
  <c r="AK12" i="8" s="1"/>
  <c r="AK111" i="8" s="1"/>
  <c r="AK587" i="8"/>
  <c r="AK588" i="8" s="1"/>
  <c r="AK15" i="8" s="1"/>
  <c r="AK583" i="8"/>
  <c r="AK584" i="8" s="1"/>
  <c r="AK551" i="8"/>
  <c r="AK552" i="8" s="1"/>
  <c r="AK94" i="8" s="1"/>
  <c r="AK29" i="8"/>
  <c r="AK31" i="8" s="1"/>
  <c r="AJ591" i="8"/>
  <c r="AJ592" i="8" s="1"/>
  <c r="AJ16" i="8" s="1"/>
  <c r="AJ557" i="8"/>
  <c r="AJ558" i="8" s="1"/>
  <c r="AJ95" i="8" s="1"/>
  <c r="AJ595" i="8"/>
  <c r="AJ596" i="8" s="1"/>
  <c r="AJ17" i="8" s="1"/>
  <c r="AJ112" i="8"/>
  <c r="AJ10" i="8"/>
  <c r="AJ12" i="8" s="1"/>
  <c r="AJ111" i="8" s="1"/>
  <c r="AJ583" i="8"/>
  <c r="AJ584" i="8" s="1"/>
  <c r="AJ551" i="8"/>
  <c r="AJ552" i="8" s="1"/>
  <c r="AJ94" i="8" s="1"/>
  <c r="AJ587" i="8"/>
  <c r="AJ588" i="8" s="1"/>
  <c r="AJ15" i="8" s="1"/>
  <c r="AJ29" i="8"/>
  <c r="AJ31" i="8" s="1"/>
  <c r="AI587" i="8"/>
  <c r="AI588" i="8" s="1"/>
  <c r="AI15" i="8" s="1"/>
  <c r="AI583" i="8"/>
  <c r="AI584" i="8" s="1"/>
  <c r="AI551" i="8"/>
  <c r="AI552" i="8" s="1"/>
  <c r="AI94" i="8" s="1"/>
  <c r="AI29" i="8"/>
  <c r="AI31" i="8" s="1"/>
  <c r="AI595" i="8"/>
  <c r="AI596" i="8" s="1"/>
  <c r="AI17" i="8" s="1"/>
  <c r="AI591" i="8"/>
  <c r="AI592" i="8" s="1"/>
  <c r="AI16" i="8" s="1"/>
  <c r="AI557" i="8"/>
  <c r="AI558" i="8" s="1"/>
  <c r="AI95" i="8" s="1"/>
  <c r="AI112" i="8"/>
  <c r="AI10" i="8"/>
  <c r="AI12" i="8" s="1"/>
  <c r="AI111" i="8" s="1"/>
  <c r="AI516" i="7"/>
  <c r="AI517" i="7" s="1"/>
  <c r="AI480" i="7"/>
  <c r="AI481" i="7" s="1"/>
  <c r="AI103" i="7" s="1"/>
  <c r="AI524" i="7"/>
  <c r="AI525" i="7" s="1"/>
  <c r="AI520" i="7"/>
  <c r="AI521" i="7" s="1"/>
  <c r="AI486" i="7"/>
  <c r="AI487" i="7" s="1"/>
  <c r="AI104" i="7" s="1"/>
  <c r="AI124" i="7"/>
  <c r="AI10" i="7"/>
  <c r="AI12" i="7" s="1"/>
  <c r="AI512" i="7"/>
  <c r="AI513" i="7" s="1"/>
  <c r="AI29" i="7"/>
  <c r="AI31" i="7" s="1"/>
  <c r="AG595" i="8"/>
  <c r="AG596" i="8" s="1"/>
  <c r="AG17" i="8" s="1"/>
  <c r="AG591" i="8"/>
  <c r="AG592" i="8" s="1"/>
  <c r="AG16" i="8" s="1"/>
  <c r="AG557" i="8"/>
  <c r="AG558" i="8" s="1"/>
  <c r="AG95" i="8" s="1"/>
  <c r="AG112" i="8"/>
  <c r="AG10" i="8"/>
  <c r="AG12" i="8" s="1"/>
  <c r="AG111" i="8" s="1"/>
  <c r="AG587" i="8"/>
  <c r="AG588" i="8" s="1"/>
  <c r="AG15" i="8" s="1"/>
  <c r="AG583" i="8"/>
  <c r="AG584" i="8" s="1"/>
  <c r="AG551" i="8"/>
  <c r="AG552" i="8" s="1"/>
  <c r="AG94" i="8" s="1"/>
  <c r="AG29" i="8"/>
  <c r="AG31" i="8" s="1"/>
  <c r="AG618" i="10"/>
  <c r="AG619" i="10" s="1"/>
  <c r="AG586" i="10"/>
  <c r="AG587" i="10" s="1"/>
  <c r="AG161" i="10" s="1"/>
  <c r="AG253" i="10" s="1"/>
  <c r="AG622" i="10"/>
  <c r="AG623" i="10" s="1"/>
  <c r="AG29" i="10"/>
  <c r="AG31" i="10" s="1"/>
  <c r="AG626" i="10"/>
  <c r="AG627" i="10" s="1"/>
  <c r="AG592" i="10"/>
  <c r="AG593" i="10" s="1"/>
  <c r="AG162" i="10" s="1"/>
  <c r="AG630" i="10"/>
  <c r="AG631" i="10" s="1"/>
  <c r="AG130" i="10"/>
  <c r="AG10" i="10"/>
  <c r="AG12" i="10" s="1"/>
  <c r="AK626" i="10"/>
  <c r="AK627" i="10" s="1"/>
  <c r="AK592" i="10"/>
  <c r="AK593" i="10" s="1"/>
  <c r="AK162" i="10" s="1"/>
  <c r="AK630" i="10"/>
  <c r="AK631" i="10" s="1"/>
  <c r="AK130" i="10"/>
  <c r="AK10" i="10"/>
  <c r="AK12" i="10" s="1"/>
  <c r="AK618" i="10"/>
  <c r="AK619" i="10" s="1"/>
  <c r="AK586" i="10"/>
  <c r="AK587" i="10" s="1"/>
  <c r="AK161" i="10" s="1"/>
  <c r="AK253" i="10" s="1"/>
  <c r="AK622" i="10"/>
  <c r="AK623" i="10" s="1"/>
  <c r="AK29" i="10"/>
  <c r="AK31" i="10" s="1"/>
  <c r="AH630" i="10"/>
  <c r="AH631" i="10" s="1"/>
  <c r="AH626" i="10"/>
  <c r="AH627" i="10" s="1"/>
  <c r="AH592" i="10"/>
  <c r="AH593" i="10" s="1"/>
  <c r="AH162" i="10" s="1"/>
  <c r="AH130" i="10"/>
  <c r="AH10" i="10"/>
  <c r="AH12" i="10" s="1"/>
  <c r="AH622" i="10"/>
  <c r="AH623" i="10" s="1"/>
  <c r="AH618" i="10"/>
  <c r="AH619" i="10" s="1"/>
  <c r="AH586" i="10"/>
  <c r="AH587" i="10" s="1"/>
  <c r="AH161" i="10" s="1"/>
  <c r="AH253" i="10" s="1"/>
  <c r="AH29" i="10"/>
  <c r="AH31" i="10" s="1"/>
  <c r="AL622" i="10"/>
  <c r="AL623" i="10" s="1"/>
  <c r="AL618" i="10"/>
  <c r="AL619" i="10" s="1"/>
  <c r="AL586" i="10"/>
  <c r="AL587" i="10" s="1"/>
  <c r="AL161" i="10" s="1"/>
  <c r="AL253" i="10" s="1"/>
  <c r="AL29" i="10"/>
  <c r="AL31" i="10" s="1"/>
  <c r="AL630" i="10"/>
  <c r="AL631" i="10" s="1"/>
  <c r="AL626" i="10"/>
  <c r="AL627" i="10" s="1"/>
  <c r="AL592" i="10"/>
  <c r="AL593" i="10" s="1"/>
  <c r="AL162" i="10" s="1"/>
  <c r="AL130" i="10"/>
  <c r="AL10" i="10"/>
  <c r="AL12" i="10" s="1"/>
  <c r="AP622" i="10"/>
  <c r="AP623" i="10" s="1"/>
  <c r="AP618" i="10"/>
  <c r="AP619" i="10" s="1"/>
  <c r="AP586" i="10"/>
  <c r="AP587" i="10" s="1"/>
  <c r="AP161" i="10" s="1"/>
  <c r="AP253" i="10" s="1"/>
  <c r="AP29" i="10"/>
  <c r="AP31" i="10" s="1"/>
  <c r="AP630" i="10"/>
  <c r="AP631" i="10" s="1"/>
  <c r="AP626" i="10"/>
  <c r="AP627" i="10" s="1"/>
  <c r="AP592" i="10"/>
  <c r="AP593" i="10" s="1"/>
  <c r="AP162" i="10" s="1"/>
  <c r="AP130" i="10"/>
  <c r="AP10" i="10"/>
  <c r="AP12" i="10" s="1"/>
  <c r="M655" i="2"/>
  <c r="M659" i="2" s="1"/>
  <c r="J29" i="2"/>
  <c r="J31" i="2" s="1"/>
  <c r="J590" i="2"/>
  <c r="J591" i="2" s="1"/>
  <c r="J594" i="2"/>
  <c r="J595" i="2" s="1"/>
  <c r="J51" i="2" s="1"/>
  <c r="J560" i="2"/>
  <c r="J561" i="2" s="1"/>
  <c r="J104" i="2" s="1"/>
  <c r="J121" i="2"/>
  <c r="F650" i="2"/>
  <c r="F651" i="2" s="1"/>
  <c r="G654" i="2" s="1"/>
  <c r="L618" i="2"/>
  <c r="M5" i="2"/>
  <c r="E583" i="8"/>
  <c r="E584" i="8" s="1"/>
  <c r="E29" i="8"/>
  <c r="E31" i="8" s="1"/>
  <c r="E591" i="8"/>
  <c r="E592" i="8" s="1"/>
  <c r="E16" i="8" s="1"/>
  <c r="E112" i="8"/>
  <c r="E587" i="8"/>
  <c r="E588" i="8" s="1"/>
  <c r="E15" i="8" s="1"/>
  <c r="E551" i="8"/>
  <c r="E552" i="8" s="1"/>
  <c r="E94" i="8" s="1"/>
  <c r="E595" i="8"/>
  <c r="E596" i="8" s="1"/>
  <c r="E17" i="8" s="1"/>
  <c r="E557" i="8"/>
  <c r="E558" i="8" s="1"/>
  <c r="E95" i="8" s="1"/>
  <c r="E10" i="8"/>
  <c r="E12" i="8" s="1"/>
  <c r="E111" i="8" s="1"/>
  <c r="I591" i="8"/>
  <c r="I592" i="8" s="1"/>
  <c r="I16" i="8" s="1"/>
  <c r="I112" i="8"/>
  <c r="I587" i="8"/>
  <c r="I588" i="8" s="1"/>
  <c r="I15" i="8" s="1"/>
  <c r="I551" i="8"/>
  <c r="I552" i="8" s="1"/>
  <c r="I94" i="8" s="1"/>
  <c r="I595" i="8"/>
  <c r="I596" i="8" s="1"/>
  <c r="I17" i="8" s="1"/>
  <c r="I557" i="8"/>
  <c r="I558" i="8" s="1"/>
  <c r="I95" i="8" s="1"/>
  <c r="I10" i="8"/>
  <c r="I12" i="8" s="1"/>
  <c r="I111" i="8" s="1"/>
  <c r="I583" i="8"/>
  <c r="I584" i="8" s="1"/>
  <c r="I29" i="8"/>
  <c r="I31" i="8" s="1"/>
  <c r="M583" i="8"/>
  <c r="M584" i="8" s="1"/>
  <c r="M29" i="8"/>
  <c r="M31" i="8" s="1"/>
  <c r="M591" i="8"/>
  <c r="M592" i="8" s="1"/>
  <c r="M16" i="8" s="1"/>
  <c r="M112" i="8"/>
  <c r="M587" i="8"/>
  <c r="M588" i="8" s="1"/>
  <c r="M15" i="8" s="1"/>
  <c r="M551" i="8"/>
  <c r="M552" i="8" s="1"/>
  <c r="M94" i="8" s="1"/>
  <c r="M595" i="8"/>
  <c r="M596" i="8" s="1"/>
  <c r="M17" i="8" s="1"/>
  <c r="M557" i="8"/>
  <c r="M558" i="8" s="1"/>
  <c r="M95" i="8" s="1"/>
  <c r="M10" i="8"/>
  <c r="M12" i="8" s="1"/>
  <c r="M111" i="8" s="1"/>
  <c r="Q583" i="8"/>
  <c r="Q584" i="8" s="1"/>
  <c r="Q29" i="8"/>
  <c r="Q31" i="8" s="1"/>
  <c r="Q591" i="8"/>
  <c r="Q592" i="8" s="1"/>
  <c r="Q16" i="8" s="1"/>
  <c r="Q112" i="8"/>
  <c r="Q587" i="8"/>
  <c r="Q588" i="8" s="1"/>
  <c r="Q15" i="8" s="1"/>
  <c r="Q551" i="8"/>
  <c r="Q552" i="8" s="1"/>
  <c r="Q94" i="8" s="1"/>
  <c r="Q595" i="8"/>
  <c r="Q596" i="8" s="1"/>
  <c r="Q17" i="8" s="1"/>
  <c r="Q557" i="8"/>
  <c r="Q558" i="8" s="1"/>
  <c r="Q95" i="8" s="1"/>
  <c r="Q10" i="8"/>
  <c r="Q12" i="8" s="1"/>
  <c r="U583" i="8"/>
  <c r="U584" i="8" s="1"/>
  <c r="U29" i="8"/>
  <c r="U31" i="8" s="1"/>
  <c r="U591" i="8"/>
  <c r="U592" i="8" s="1"/>
  <c r="U16" i="8" s="1"/>
  <c r="U112" i="8"/>
  <c r="U587" i="8"/>
  <c r="U588" i="8" s="1"/>
  <c r="U15" i="8" s="1"/>
  <c r="U551" i="8"/>
  <c r="U552" i="8" s="1"/>
  <c r="U94" i="8" s="1"/>
  <c r="U595" i="8"/>
  <c r="U596" i="8" s="1"/>
  <c r="U17" i="8" s="1"/>
  <c r="U557" i="8"/>
  <c r="U558" i="8" s="1"/>
  <c r="U95" i="8" s="1"/>
  <c r="U10" i="8"/>
  <c r="U12" i="8" s="1"/>
  <c r="U111" i="8" s="1"/>
  <c r="Y591" i="8"/>
  <c r="Y592" i="8" s="1"/>
  <c r="Y16" i="8" s="1"/>
  <c r="Y112" i="8"/>
  <c r="Y587" i="8"/>
  <c r="Y588" i="8" s="1"/>
  <c r="Y15" i="8" s="1"/>
  <c r="Y551" i="8"/>
  <c r="Y552" i="8" s="1"/>
  <c r="Y94" i="8" s="1"/>
  <c r="Y595" i="8"/>
  <c r="Y596" i="8" s="1"/>
  <c r="Y17" i="8" s="1"/>
  <c r="Y557" i="8"/>
  <c r="Y558" i="8" s="1"/>
  <c r="Y95" i="8" s="1"/>
  <c r="Y10" i="8"/>
  <c r="Y12" i="8" s="1"/>
  <c r="Y111" i="8" s="1"/>
  <c r="Y583" i="8"/>
  <c r="Y584" i="8" s="1"/>
  <c r="Y29" i="8"/>
  <c r="Y31" i="8" s="1"/>
  <c r="AC583" i="8"/>
  <c r="AC584" i="8" s="1"/>
  <c r="AC29" i="8"/>
  <c r="AC31" i="8" s="1"/>
  <c r="AC591" i="8"/>
  <c r="AC592" i="8" s="1"/>
  <c r="AC16" i="8" s="1"/>
  <c r="AC112" i="8"/>
  <c r="AC587" i="8"/>
  <c r="AC588" i="8" s="1"/>
  <c r="AC15" i="8" s="1"/>
  <c r="AC551" i="8"/>
  <c r="AC552" i="8" s="1"/>
  <c r="AC94" i="8" s="1"/>
  <c r="AC595" i="8"/>
  <c r="AC596" i="8" s="1"/>
  <c r="AC17" i="8" s="1"/>
  <c r="AC557" i="8"/>
  <c r="AC558" i="8" s="1"/>
  <c r="AC95" i="8" s="1"/>
  <c r="AC10" i="8"/>
  <c r="AC12" i="8" s="1"/>
  <c r="AC111" i="8" s="1"/>
  <c r="C10" i="2"/>
  <c r="C12" i="2" s="1"/>
  <c r="C554" i="2"/>
  <c r="C555" i="2" s="1"/>
  <c r="C103" i="2" s="1"/>
  <c r="C598" i="2"/>
  <c r="C599" i="2" s="1"/>
  <c r="C586" i="2"/>
  <c r="C587" i="2" s="1"/>
  <c r="C560" i="2"/>
  <c r="C561" i="2" s="1"/>
  <c r="C104" i="2" s="1"/>
  <c r="C594" i="2"/>
  <c r="C595" i="2" s="1"/>
  <c r="C29" i="2"/>
  <c r="C31" i="2" s="1"/>
  <c r="C121" i="2"/>
  <c r="C590" i="2"/>
  <c r="C591" i="2" s="1"/>
  <c r="G10" i="2"/>
  <c r="G12" i="2" s="1"/>
  <c r="G590" i="2"/>
  <c r="G591" i="2" s="1"/>
  <c r="G121" i="2"/>
  <c r="G554" i="2"/>
  <c r="G555" i="2" s="1"/>
  <c r="G103" i="2" s="1"/>
  <c r="G598" i="2"/>
  <c r="G599" i="2" s="1"/>
  <c r="G586" i="2"/>
  <c r="G587" i="2" s="1"/>
  <c r="G29" i="2"/>
  <c r="G31" i="2" s="1"/>
  <c r="G560" i="2"/>
  <c r="G561" i="2" s="1"/>
  <c r="G104" i="2" s="1"/>
  <c r="G594" i="2"/>
  <c r="G595" i="2" s="1"/>
  <c r="E618" i="10"/>
  <c r="E619" i="10" s="1"/>
  <c r="E622" i="10"/>
  <c r="E623" i="10" s="1"/>
  <c r="E626" i="10"/>
  <c r="E627" i="10" s="1"/>
  <c r="E630" i="10"/>
  <c r="E631" i="10" s="1"/>
  <c r="E10" i="10"/>
  <c r="E12" i="10" s="1"/>
  <c r="E586" i="10"/>
  <c r="E587" i="10" s="1"/>
  <c r="E161" i="10" s="1"/>
  <c r="E253" i="10" s="1"/>
  <c r="E29" i="10"/>
  <c r="E31" i="10" s="1"/>
  <c r="E592" i="10"/>
  <c r="E593" i="10" s="1"/>
  <c r="E162" i="10" s="1"/>
  <c r="E130" i="10"/>
  <c r="I626" i="10"/>
  <c r="I627" i="10" s="1"/>
  <c r="I630" i="10"/>
  <c r="I631" i="10" s="1"/>
  <c r="I10" i="10"/>
  <c r="I12" i="10" s="1"/>
  <c r="I586" i="10"/>
  <c r="I587" i="10" s="1"/>
  <c r="I161" i="10" s="1"/>
  <c r="I253" i="10" s="1"/>
  <c r="I29" i="10"/>
  <c r="I31" i="10" s="1"/>
  <c r="I592" i="10"/>
  <c r="I593" i="10" s="1"/>
  <c r="I162" i="10" s="1"/>
  <c r="I130" i="10"/>
  <c r="I618" i="10"/>
  <c r="I619" i="10" s="1"/>
  <c r="I622" i="10"/>
  <c r="I623" i="10" s="1"/>
  <c r="M618" i="10"/>
  <c r="M619" i="10" s="1"/>
  <c r="M622" i="10"/>
  <c r="M623" i="10" s="1"/>
  <c r="M626" i="10"/>
  <c r="M627" i="10" s="1"/>
  <c r="M630" i="10"/>
  <c r="M631" i="10" s="1"/>
  <c r="M10" i="10"/>
  <c r="M12" i="10" s="1"/>
  <c r="M586" i="10"/>
  <c r="M587" i="10" s="1"/>
  <c r="M161" i="10" s="1"/>
  <c r="M253" i="10" s="1"/>
  <c r="M29" i="10"/>
  <c r="M31" i="10" s="1"/>
  <c r="M592" i="10"/>
  <c r="M593" i="10" s="1"/>
  <c r="M162" i="10" s="1"/>
  <c r="M130" i="10"/>
  <c r="Q618" i="10"/>
  <c r="Q619" i="10" s="1"/>
  <c r="Q622" i="10"/>
  <c r="Q623" i="10" s="1"/>
  <c r="Q626" i="10"/>
  <c r="Q627" i="10" s="1"/>
  <c r="Q630" i="10"/>
  <c r="Q631" i="10" s="1"/>
  <c r="Q10" i="10"/>
  <c r="Q12" i="10" s="1"/>
  <c r="Q586" i="10"/>
  <c r="Q587" i="10" s="1"/>
  <c r="Q161" i="10" s="1"/>
  <c r="Q253" i="10" s="1"/>
  <c r="Q29" i="10"/>
  <c r="Q31" i="10" s="1"/>
  <c r="Q592" i="10"/>
  <c r="Q593" i="10" s="1"/>
  <c r="Q162" i="10" s="1"/>
  <c r="Q130" i="10"/>
  <c r="U626" i="10"/>
  <c r="U627" i="10" s="1"/>
  <c r="U630" i="10"/>
  <c r="U631" i="10" s="1"/>
  <c r="U10" i="10"/>
  <c r="U12" i="10" s="1"/>
  <c r="U586" i="10"/>
  <c r="U587" i="10" s="1"/>
  <c r="U161" i="10" s="1"/>
  <c r="U253" i="10" s="1"/>
  <c r="U29" i="10"/>
  <c r="U31" i="10" s="1"/>
  <c r="U592" i="10"/>
  <c r="U593" i="10" s="1"/>
  <c r="U162" i="10" s="1"/>
  <c r="U130" i="10"/>
  <c r="U618" i="10"/>
  <c r="U619" i="10" s="1"/>
  <c r="U622" i="10"/>
  <c r="U623" i="10" s="1"/>
  <c r="Y618" i="10"/>
  <c r="Y619" i="10" s="1"/>
  <c r="Y622" i="10"/>
  <c r="Y623" i="10" s="1"/>
  <c r="Y626" i="10"/>
  <c r="Y627" i="10" s="1"/>
  <c r="Y630" i="10"/>
  <c r="Y631" i="10" s="1"/>
  <c r="Y10" i="10"/>
  <c r="Y12" i="10" s="1"/>
  <c r="Y586" i="10"/>
  <c r="Y587" i="10" s="1"/>
  <c r="Y161" i="10" s="1"/>
  <c r="Y253" i="10" s="1"/>
  <c r="Y29" i="10"/>
  <c r="Y31" i="10" s="1"/>
  <c r="Y592" i="10"/>
  <c r="Y593" i="10" s="1"/>
  <c r="Y162" i="10" s="1"/>
  <c r="Y130" i="10"/>
  <c r="AC618" i="10"/>
  <c r="AC619" i="10" s="1"/>
  <c r="AC622" i="10"/>
  <c r="AC623" i="10" s="1"/>
  <c r="AC626" i="10"/>
  <c r="AC627" i="10" s="1"/>
  <c r="AC630" i="10"/>
  <c r="AC631" i="10" s="1"/>
  <c r="AC10" i="10"/>
  <c r="AC12" i="10" s="1"/>
  <c r="AC586" i="10"/>
  <c r="AC587" i="10" s="1"/>
  <c r="AC161" i="10" s="1"/>
  <c r="AC253" i="10" s="1"/>
  <c r="AC29" i="10"/>
  <c r="AC31" i="10" s="1"/>
  <c r="AC592" i="10"/>
  <c r="AC593" i="10" s="1"/>
  <c r="AC162" i="10" s="1"/>
  <c r="AC130" i="10"/>
  <c r="C512" i="7"/>
  <c r="C513" i="7" s="1"/>
  <c r="C29" i="7"/>
  <c r="C31" i="7" s="1"/>
  <c r="C520" i="7"/>
  <c r="C521" i="7" s="1"/>
  <c r="C124" i="7"/>
  <c r="C516" i="7"/>
  <c r="C517" i="7" s="1"/>
  <c r="C480" i="7"/>
  <c r="C481" i="7" s="1"/>
  <c r="C103" i="7" s="1"/>
  <c r="C524" i="7"/>
  <c r="C525" i="7" s="1"/>
  <c r="C486" i="7"/>
  <c r="C487" i="7" s="1"/>
  <c r="C104" i="7" s="1"/>
  <c r="C10" i="7"/>
  <c r="C12" i="7" s="1"/>
  <c r="G524" i="7"/>
  <c r="G525" i="7" s="1"/>
  <c r="G486" i="7"/>
  <c r="G487" i="7" s="1"/>
  <c r="G104" i="7" s="1"/>
  <c r="G10" i="7"/>
  <c r="G12" i="7" s="1"/>
  <c r="G512" i="7"/>
  <c r="G513" i="7" s="1"/>
  <c r="G29" i="7"/>
  <c r="G31" i="7" s="1"/>
  <c r="G520" i="7"/>
  <c r="G521" i="7" s="1"/>
  <c r="G124" i="7"/>
  <c r="G516" i="7"/>
  <c r="G517" i="7" s="1"/>
  <c r="G480" i="7"/>
  <c r="G481" i="7" s="1"/>
  <c r="G103" i="7" s="1"/>
  <c r="K524" i="7"/>
  <c r="K525" i="7" s="1"/>
  <c r="K486" i="7"/>
  <c r="K487" i="7" s="1"/>
  <c r="K104" i="7" s="1"/>
  <c r="K10" i="7"/>
  <c r="K12" i="7" s="1"/>
  <c r="K480" i="7"/>
  <c r="K481" i="7" s="1"/>
  <c r="K103" i="7" s="1"/>
  <c r="K512" i="7"/>
  <c r="K513" i="7" s="1"/>
  <c r="K520" i="7"/>
  <c r="K521" i="7" s="1"/>
  <c r="K124" i="7"/>
  <c r="K516" i="7"/>
  <c r="K517" i="7" s="1"/>
  <c r="K29" i="7"/>
  <c r="K31" i="7" s="1"/>
  <c r="O524" i="7"/>
  <c r="O525" i="7" s="1"/>
  <c r="O124" i="7"/>
  <c r="O512" i="7"/>
  <c r="O513" i="7" s="1"/>
  <c r="O29" i="7"/>
  <c r="O31" i="7" s="1"/>
  <c r="O10" i="7"/>
  <c r="O12" i="7" s="1"/>
  <c r="O520" i="7"/>
  <c r="O521" i="7" s="1"/>
  <c r="O516" i="7"/>
  <c r="O517" i="7" s="1"/>
  <c r="O480" i="7"/>
  <c r="O481" i="7" s="1"/>
  <c r="O103" i="7" s="1"/>
  <c r="O486" i="7"/>
  <c r="O487" i="7" s="1"/>
  <c r="O104" i="7" s="1"/>
  <c r="S516" i="7"/>
  <c r="S517" i="7" s="1"/>
  <c r="S480" i="7"/>
  <c r="S481" i="7" s="1"/>
  <c r="S103" i="7" s="1"/>
  <c r="S524" i="7"/>
  <c r="S525" i="7" s="1"/>
  <c r="S486" i="7"/>
  <c r="S487" i="7" s="1"/>
  <c r="S104" i="7" s="1"/>
  <c r="S10" i="7"/>
  <c r="S12" i="7" s="1"/>
  <c r="S512" i="7"/>
  <c r="S513" i="7" s="1"/>
  <c r="S29" i="7"/>
  <c r="S31" i="7" s="1"/>
  <c r="S520" i="7"/>
  <c r="S521" i="7" s="1"/>
  <c r="S124" i="7"/>
  <c r="W516" i="7"/>
  <c r="W517" i="7" s="1"/>
  <c r="W480" i="7"/>
  <c r="W481" i="7" s="1"/>
  <c r="W103" i="7" s="1"/>
  <c r="W524" i="7"/>
  <c r="W525" i="7" s="1"/>
  <c r="W486" i="7"/>
  <c r="W487" i="7" s="1"/>
  <c r="W104" i="7" s="1"/>
  <c r="W10" i="7"/>
  <c r="W12" i="7" s="1"/>
  <c r="W512" i="7"/>
  <c r="W513" i="7" s="1"/>
  <c r="W29" i="7"/>
  <c r="W31" i="7" s="1"/>
  <c r="W520" i="7"/>
  <c r="W521" i="7" s="1"/>
  <c r="W124" i="7"/>
  <c r="AA516" i="7"/>
  <c r="AA517" i="7" s="1"/>
  <c r="AA480" i="7"/>
  <c r="AA481" i="7" s="1"/>
  <c r="AA103" i="7" s="1"/>
  <c r="AA524" i="7"/>
  <c r="AA525" i="7" s="1"/>
  <c r="AA486" i="7"/>
  <c r="AA487" i="7" s="1"/>
  <c r="AA104" i="7" s="1"/>
  <c r="AA10" i="7"/>
  <c r="AA12" i="7" s="1"/>
  <c r="AA512" i="7"/>
  <c r="AA513" i="7" s="1"/>
  <c r="AA29" i="7"/>
  <c r="AA31" i="7" s="1"/>
  <c r="AA520" i="7"/>
  <c r="AA521" i="7" s="1"/>
  <c r="AA124" i="7"/>
  <c r="AE524" i="7"/>
  <c r="AE525" i="7" s="1"/>
  <c r="AE486" i="7"/>
  <c r="AE487" i="7" s="1"/>
  <c r="AE104" i="7" s="1"/>
  <c r="AE10" i="7"/>
  <c r="AE12" i="7" s="1"/>
  <c r="AE512" i="7"/>
  <c r="AE513" i="7" s="1"/>
  <c r="AE29" i="7"/>
  <c r="AE31" i="7" s="1"/>
  <c r="AE520" i="7"/>
  <c r="AE521" i="7" s="1"/>
  <c r="AE124" i="7"/>
  <c r="AE516" i="7"/>
  <c r="AE517" i="7" s="1"/>
  <c r="AE480" i="7"/>
  <c r="AE481" i="7" s="1"/>
  <c r="AE103" i="7" s="1"/>
  <c r="D557" i="8"/>
  <c r="D558" i="8" s="1"/>
  <c r="D95" i="8" s="1"/>
  <c r="D112" i="8"/>
  <c r="D583" i="8"/>
  <c r="D584" i="8" s="1"/>
  <c r="D587" i="8"/>
  <c r="D588" i="8" s="1"/>
  <c r="D15" i="8" s="1"/>
  <c r="D591" i="8"/>
  <c r="D592" i="8" s="1"/>
  <c r="D16" i="8" s="1"/>
  <c r="D595" i="8"/>
  <c r="D596" i="8" s="1"/>
  <c r="D17" i="8" s="1"/>
  <c r="D10" i="8"/>
  <c r="D12" i="8" s="1"/>
  <c r="D111" i="8" s="1"/>
  <c r="D551" i="8"/>
  <c r="D552" i="8" s="1"/>
  <c r="D94" i="8" s="1"/>
  <c r="D29" i="8"/>
  <c r="D31" i="8" s="1"/>
  <c r="H583" i="8"/>
  <c r="H584" i="8" s="1"/>
  <c r="H587" i="8"/>
  <c r="H588" i="8" s="1"/>
  <c r="H15" i="8" s="1"/>
  <c r="H591" i="8"/>
  <c r="H592" i="8" s="1"/>
  <c r="H16" i="8" s="1"/>
  <c r="H595" i="8"/>
  <c r="H596" i="8" s="1"/>
  <c r="H17" i="8" s="1"/>
  <c r="H10" i="8"/>
  <c r="H12" i="8" s="1"/>
  <c r="H111" i="8" s="1"/>
  <c r="H551" i="8"/>
  <c r="H552" i="8" s="1"/>
  <c r="H94" i="8" s="1"/>
  <c r="H29" i="8"/>
  <c r="H31" i="8" s="1"/>
  <c r="H557" i="8"/>
  <c r="H558" i="8" s="1"/>
  <c r="H95" i="8" s="1"/>
  <c r="H112" i="8"/>
  <c r="L583" i="8"/>
  <c r="L584" i="8" s="1"/>
  <c r="L587" i="8"/>
  <c r="L588" i="8" s="1"/>
  <c r="L15" i="8" s="1"/>
  <c r="L591" i="8"/>
  <c r="L592" i="8" s="1"/>
  <c r="L16" i="8" s="1"/>
  <c r="L595" i="8"/>
  <c r="L596" i="8" s="1"/>
  <c r="L17" i="8" s="1"/>
  <c r="L10" i="8"/>
  <c r="L12" i="8" s="1"/>
  <c r="L551" i="8"/>
  <c r="L552" i="8" s="1"/>
  <c r="L94" i="8" s="1"/>
  <c r="L29" i="8"/>
  <c r="L31" i="8" s="1"/>
  <c r="L557" i="8"/>
  <c r="L558" i="8" s="1"/>
  <c r="L95" i="8" s="1"/>
  <c r="L112" i="8"/>
  <c r="P591" i="8"/>
  <c r="P592" i="8" s="1"/>
  <c r="P16" i="8" s="1"/>
  <c r="P595" i="8"/>
  <c r="P596" i="8" s="1"/>
  <c r="P17" i="8" s="1"/>
  <c r="P10" i="8"/>
  <c r="P12" i="8" s="1"/>
  <c r="P111" i="8" s="1"/>
  <c r="P551" i="8"/>
  <c r="P552" i="8" s="1"/>
  <c r="P94" i="8" s="1"/>
  <c r="P29" i="8"/>
  <c r="P31" i="8" s="1"/>
  <c r="P557" i="8"/>
  <c r="P558" i="8" s="1"/>
  <c r="P95" i="8" s="1"/>
  <c r="P112" i="8"/>
  <c r="P583" i="8"/>
  <c r="P584" i="8" s="1"/>
  <c r="P587" i="8"/>
  <c r="P588" i="8" s="1"/>
  <c r="P15" i="8" s="1"/>
  <c r="T591" i="8"/>
  <c r="T592" i="8" s="1"/>
  <c r="T16" i="8" s="1"/>
  <c r="T595" i="8"/>
  <c r="T596" i="8" s="1"/>
  <c r="T17" i="8" s="1"/>
  <c r="T10" i="8"/>
  <c r="T12" i="8" s="1"/>
  <c r="T551" i="8"/>
  <c r="T552" i="8" s="1"/>
  <c r="T94" i="8" s="1"/>
  <c r="T29" i="8"/>
  <c r="T31" i="8" s="1"/>
  <c r="T557" i="8"/>
  <c r="T558" i="8" s="1"/>
  <c r="T95" i="8" s="1"/>
  <c r="T112" i="8"/>
  <c r="T583" i="8"/>
  <c r="T584" i="8" s="1"/>
  <c r="T587" i="8"/>
  <c r="T588" i="8" s="1"/>
  <c r="T15" i="8" s="1"/>
  <c r="X591" i="8"/>
  <c r="X592" i="8" s="1"/>
  <c r="X16" i="8" s="1"/>
  <c r="X595" i="8"/>
  <c r="X596" i="8" s="1"/>
  <c r="X17" i="8" s="1"/>
  <c r="X10" i="8"/>
  <c r="X12" i="8" s="1"/>
  <c r="X111" i="8" s="1"/>
  <c r="X551" i="8"/>
  <c r="X552" i="8" s="1"/>
  <c r="X94" i="8" s="1"/>
  <c r="X29" i="8"/>
  <c r="X31" i="8" s="1"/>
  <c r="X557" i="8"/>
  <c r="X558" i="8" s="1"/>
  <c r="X95" i="8" s="1"/>
  <c r="X112" i="8"/>
  <c r="X583" i="8"/>
  <c r="X584" i="8" s="1"/>
  <c r="X587" i="8"/>
  <c r="X588" i="8" s="1"/>
  <c r="X15" i="8" s="1"/>
  <c r="AB583" i="8"/>
  <c r="AB584" i="8" s="1"/>
  <c r="AB587" i="8"/>
  <c r="AB588" i="8" s="1"/>
  <c r="AB15" i="8" s="1"/>
  <c r="AB591" i="8"/>
  <c r="AB592" i="8" s="1"/>
  <c r="AB16" i="8" s="1"/>
  <c r="AB595" i="8"/>
  <c r="AB596" i="8" s="1"/>
  <c r="AB17" i="8" s="1"/>
  <c r="AB10" i="8"/>
  <c r="AB12" i="8" s="1"/>
  <c r="AB111" i="8" s="1"/>
  <c r="AB551" i="8"/>
  <c r="AB552" i="8" s="1"/>
  <c r="AB94" i="8" s="1"/>
  <c r="AB29" i="8"/>
  <c r="AB31" i="8" s="1"/>
  <c r="AB557" i="8"/>
  <c r="AB558" i="8" s="1"/>
  <c r="AB95" i="8" s="1"/>
  <c r="AB112" i="8"/>
  <c r="AF583" i="8"/>
  <c r="AF584" i="8" s="1"/>
  <c r="AF10" i="8"/>
  <c r="AF12" i="8" s="1"/>
  <c r="AF111" i="8" s="1"/>
  <c r="AF112" i="8"/>
  <c r="AF29" i="8"/>
  <c r="AF31" i="8" s="1"/>
  <c r="AF551" i="8"/>
  <c r="AF552" i="8" s="1"/>
  <c r="AF94" i="8" s="1"/>
  <c r="AF591" i="8"/>
  <c r="AF592" i="8" s="1"/>
  <c r="AF16" i="8" s="1"/>
  <c r="AF595" i="8"/>
  <c r="AF596" i="8" s="1"/>
  <c r="AF17" i="8" s="1"/>
  <c r="AF557" i="8"/>
  <c r="AF558" i="8" s="1"/>
  <c r="AF95" i="8" s="1"/>
  <c r="AF587" i="8"/>
  <c r="AF588" i="8" s="1"/>
  <c r="AF15" i="8" s="1"/>
  <c r="F10" i="2"/>
  <c r="F12" i="2" s="1"/>
  <c r="F121" i="2"/>
  <c r="F560" i="2"/>
  <c r="F561" i="2" s="1"/>
  <c r="F104" i="2" s="1"/>
  <c r="F598" i="2"/>
  <c r="F599" i="2" s="1"/>
  <c r="F586" i="2"/>
  <c r="F587" i="2" s="1"/>
  <c r="F29" i="2"/>
  <c r="F31" i="2" s="1"/>
  <c r="F554" i="2"/>
  <c r="F555" i="2" s="1"/>
  <c r="F103" i="2" s="1"/>
  <c r="F594" i="2"/>
  <c r="F595" i="2" s="1"/>
  <c r="F590" i="2"/>
  <c r="F591" i="2" s="1"/>
  <c r="D630" i="10"/>
  <c r="D631" i="10" s="1"/>
  <c r="D592" i="10"/>
  <c r="D593" i="10" s="1"/>
  <c r="D162" i="10" s="1"/>
  <c r="D10" i="10"/>
  <c r="D12" i="10" s="1"/>
  <c r="D618" i="10"/>
  <c r="D619" i="10" s="1"/>
  <c r="D29" i="10"/>
  <c r="D31" i="10" s="1"/>
  <c r="D626" i="10"/>
  <c r="D627" i="10" s="1"/>
  <c r="D130" i="10"/>
  <c r="D622" i="10"/>
  <c r="D623" i="10" s="1"/>
  <c r="D586" i="10"/>
  <c r="D587" i="10" s="1"/>
  <c r="D161" i="10" s="1"/>
  <c r="D253" i="10" s="1"/>
  <c r="H630" i="10"/>
  <c r="H631" i="10" s="1"/>
  <c r="H592" i="10"/>
  <c r="H593" i="10" s="1"/>
  <c r="H162" i="10" s="1"/>
  <c r="H10" i="10"/>
  <c r="H12" i="10" s="1"/>
  <c r="H618" i="10"/>
  <c r="H619" i="10" s="1"/>
  <c r="H29" i="10"/>
  <c r="H31" i="10" s="1"/>
  <c r="H626" i="10"/>
  <c r="H627" i="10" s="1"/>
  <c r="H130" i="10"/>
  <c r="H622" i="10"/>
  <c r="H623" i="10" s="1"/>
  <c r="H586" i="10"/>
  <c r="H587" i="10" s="1"/>
  <c r="H161" i="10" s="1"/>
  <c r="H253" i="10" s="1"/>
  <c r="L622" i="10"/>
  <c r="L623" i="10" s="1"/>
  <c r="L586" i="10"/>
  <c r="L587" i="10" s="1"/>
  <c r="L161" i="10" s="1"/>
  <c r="L253" i="10" s="1"/>
  <c r="L630" i="10"/>
  <c r="L631" i="10" s="1"/>
  <c r="L592" i="10"/>
  <c r="L593" i="10" s="1"/>
  <c r="L162" i="10" s="1"/>
  <c r="L10" i="10"/>
  <c r="L12" i="10" s="1"/>
  <c r="L618" i="10"/>
  <c r="L619" i="10" s="1"/>
  <c r="L29" i="10"/>
  <c r="L31" i="10" s="1"/>
  <c r="L626" i="10"/>
  <c r="L627" i="10" s="1"/>
  <c r="L130" i="10"/>
  <c r="P622" i="10"/>
  <c r="P623" i="10" s="1"/>
  <c r="P586" i="10"/>
  <c r="P587" i="10" s="1"/>
  <c r="P161" i="10" s="1"/>
  <c r="P253" i="10" s="1"/>
  <c r="P630" i="10"/>
  <c r="P631" i="10" s="1"/>
  <c r="P592" i="10"/>
  <c r="P593" i="10" s="1"/>
  <c r="P162" i="10" s="1"/>
  <c r="P10" i="10"/>
  <c r="P12" i="10" s="1"/>
  <c r="P618" i="10"/>
  <c r="P619" i="10" s="1"/>
  <c r="P29" i="10"/>
  <c r="P31" i="10" s="1"/>
  <c r="P626" i="10"/>
  <c r="P627" i="10" s="1"/>
  <c r="P130" i="10"/>
  <c r="T622" i="10"/>
  <c r="T623" i="10" s="1"/>
  <c r="T586" i="10"/>
  <c r="T587" i="10" s="1"/>
  <c r="T161" i="10" s="1"/>
  <c r="T253" i="10" s="1"/>
  <c r="T630" i="10"/>
  <c r="T631" i="10" s="1"/>
  <c r="T592" i="10"/>
  <c r="T593" i="10" s="1"/>
  <c r="T162" i="10" s="1"/>
  <c r="T10" i="10"/>
  <c r="T12" i="10" s="1"/>
  <c r="T618" i="10"/>
  <c r="T619" i="10" s="1"/>
  <c r="T29" i="10"/>
  <c r="T31" i="10" s="1"/>
  <c r="T626" i="10"/>
  <c r="T627" i="10" s="1"/>
  <c r="T130" i="10"/>
  <c r="X622" i="10"/>
  <c r="X623" i="10" s="1"/>
  <c r="X586" i="10"/>
  <c r="X587" i="10" s="1"/>
  <c r="X161" i="10" s="1"/>
  <c r="X253" i="10" s="1"/>
  <c r="X630" i="10"/>
  <c r="X631" i="10" s="1"/>
  <c r="X592" i="10"/>
  <c r="X593" i="10" s="1"/>
  <c r="X162" i="10" s="1"/>
  <c r="X10" i="10"/>
  <c r="X12" i="10" s="1"/>
  <c r="X618" i="10"/>
  <c r="X619" i="10" s="1"/>
  <c r="X29" i="10"/>
  <c r="X31" i="10" s="1"/>
  <c r="X626" i="10"/>
  <c r="X627" i="10" s="1"/>
  <c r="X130" i="10"/>
  <c r="AB622" i="10"/>
  <c r="AB623" i="10" s="1"/>
  <c r="AB586" i="10"/>
  <c r="AB587" i="10" s="1"/>
  <c r="AB161" i="10" s="1"/>
  <c r="AB253" i="10" s="1"/>
  <c r="AB630" i="10"/>
  <c r="AB631" i="10" s="1"/>
  <c r="AB592" i="10"/>
  <c r="AB593" i="10" s="1"/>
  <c r="AB162" i="10" s="1"/>
  <c r="AB10" i="10"/>
  <c r="AB12" i="10" s="1"/>
  <c r="AB618" i="10"/>
  <c r="AB619" i="10" s="1"/>
  <c r="AB29" i="10"/>
  <c r="AB31" i="10" s="1"/>
  <c r="AB626" i="10"/>
  <c r="AB627" i="10" s="1"/>
  <c r="AB130" i="10"/>
  <c r="AF630" i="10"/>
  <c r="AF631" i="10" s="1"/>
  <c r="AF592" i="10"/>
  <c r="AF593" i="10" s="1"/>
  <c r="AF162" i="10" s="1"/>
  <c r="AF10" i="10"/>
  <c r="AF12" i="10" s="1"/>
  <c r="AF618" i="10"/>
  <c r="AF619" i="10" s="1"/>
  <c r="AF586" i="10"/>
  <c r="AF587" i="10" s="1"/>
  <c r="AF161" i="10" s="1"/>
  <c r="AF253" i="10" s="1"/>
  <c r="AF626" i="10"/>
  <c r="AF627" i="10" s="1"/>
  <c r="AF130" i="10"/>
  <c r="AF622" i="10"/>
  <c r="AF623" i="10" s="1"/>
  <c r="AF29" i="10"/>
  <c r="AF31" i="10" s="1"/>
  <c r="F520" i="7"/>
  <c r="F521" i="7" s="1"/>
  <c r="F524" i="7"/>
  <c r="F525" i="7" s="1"/>
  <c r="F10" i="7"/>
  <c r="F12" i="7" s="1"/>
  <c r="F480" i="7"/>
  <c r="F481" i="7" s="1"/>
  <c r="F103" i="7" s="1"/>
  <c r="F29" i="7"/>
  <c r="F31" i="7" s="1"/>
  <c r="F486" i="7"/>
  <c r="F487" i="7" s="1"/>
  <c r="F104" i="7" s="1"/>
  <c r="F124" i="7"/>
  <c r="F512" i="7"/>
  <c r="F513" i="7" s="1"/>
  <c r="F516" i="7"/>
  <c r="F517" i="7" s="1"/>
  <c r="J480" i="7"/>
  <c r="J481" i="7" s="1"/>
  <c r="J103" i="7" s="1"/>
  <c r="J29" i="7"/>
  <c r="J31" i="7" s="1"/>
  <c r="J486" i="7"/>
  <c r="J487" i="7" s="1"/>
  <c r="J104" i="7" s="1"/>
  <c r="J124" i="7"/>
  <c r="J512" i="7"/>
  <c r="J513" i="7" s="1"/>
  <c r="J516" i="7"/>
  <c r="J517" i="7" s="1"/>
  <c r="J520" i="7"/>
  <c r="J521" i="7" s="1"/>
  <c r="J524" i="7"/>
  <c r="J525" i="7" s="1"/>
  <c r="J10" i="7"/>
  <c r="J12" i="7" s="1"/>
  <c r="N480" i="7"/>
  <c r="N481" i="7" s="1"/>
  <c r="N103" i="7" s="1"/>
  <c r="N29" i="7"/>
  <c r="N31" i="7" s="1"/>
  <c r="N486" i="7"/>
  <c r="N487" i="7" s="1"/>
  <c r="N104" i="7" s="1"/>
  <c r="N124" i="7"/>
  <c r="N512" i="7"/>
  <c r="N513" i="7" s="1"/>
  <c r="N516" i="7"/>
  <c r="N517" i="7" s="1"/>
  <c r="N520" i="7"/>
  <c r="N521" i="7" s="1"/>
  <c r="N524" i="7"/>
  <c r="N525" i="7" s="1"/>
  <c r="N10" i="7"/>
  <c r="N12" i="7" s="1"/>
  <c r="R512" i="7"/>
  <c r="R513" i="7" s="1"/>
  <c r="R516" i="7"/>
  <c r="R517" i="7" s="1"/>
  <c r="R520" i="7"/>
  <c r="R521" i="7" s="1"/>
  <c r="R124" i="7"/>
  <c r="R524" i="7"/>
  <c r="R525" i="7" s="1"/>
  <c r="R480" i="7"/>
  <c r="R481" i="7" s="1"/>
  <c r="R103" i="7" s="1"/>
  <c r="R29" i="7"/>
  <c r="R31" i="7" s="1"/>
  <c r="R486" i="7"/>
  <c r="R487" i="7" s="1"/>
  <c r="R104" i="7" s="1"/>
  <c r="R10" i="7"/>
  <c r="R12" i="7" s="1"/>
  <c r="V486" i="7"/>
  <c r="V487" i="7" s="1"/>
  <c r="V104" i="7" s="1"/>
  <c r="V10" i="7"/>
  <c r="V12" i="7" s="1"/>
  <c r="V480" i="7"/>
  <c r="V481" i="7" s="1"/>
  <c r="V103" i="7" s="1"/>
  <c r="V29" i="7"/>
  <c r="V31" i="7" s="1"/>
  <c r="V520" i="7"/>
  <c r="V521" i="7" s="1"/>
  <c r="V524" i="7"/>
  <c r="V525" i="7" s="1"/>
  <c r="V512" i="7"/>
  <c r="V513" i="7" s="1"/>
  <c r="V516" i="7"/>
  <c r="V517" i="7" s="1"/>
  <c r="V124" i="7"/>
  <c r="Z486" i="7"/>
  <c r="Z487" i="7" s="1"/>
  <c r="Z104" i="7" s="1"/>
  <c r="Z512" i="7"/>
  <c r="Z513" i="7" s="1"/>
  <c r="Z516" i="7"/>
  <c r="Z517" i="7" s="1"/>
  <c r="Z524" i="7"/>
  <c r="Z525" i="7" s="1"/>
  <c r="Z520" i="7"/>
  <c r="Z521" i="7" s="1"/>
  <c r="Z10" i="7"/>
  <c r="Z12" i="7" s="1"/>
  <c r="Z480" i="7"/>
  <c r="Z481" i="7" s="1"/>
  <c r="Z103" i="7" s="1"/>
  <c r="Z29" i="7"/>
  <c r="Z31" i="7" s="1"/>
  <c r="Z124" i="7"/>
  <c r="AD480" i="7"/>
  <c r="AD481" i="7" s="1"/>
  <c r="AD103" i="7" s="1"/>
  <c r="AD29" i="7"/>
  <c r="AD31" i="7" s="1"/>
  <c r="AD486" i="7"/>
  <c r="AD487" i="7" s="1"/>
  <c r="AD104" i="7" s="1"/>
  <c r="AD124" i="7"/>
  <c r="AD512" i="7"/>
  <c r="AD513" i="7" s="1"/>
  <c r="AD516" i="7"/>
  <c r="AD517" i="7" s="1"/>
  <c r="AD520" i="7"/>
  <c r="AD521" i="7" s="1"/>
  <c r="AD524" i="7"/>
  <c r="AD525" i="7" s="1"/>
  <c r="AD10" i="7"/>
  <c r="AD12" i="7" s="1"/>
  <c r="C595" i="8"/>
  <c r="C596" i="8" s="1"/>
  <c r="C17" i="8" s="1"/>
  <c r="C557" i="8"/>
  <c r="C558" i="8" s="1"/>
  <c r="C95" i="8" s="1"/>
  <c r="C10" i="8"/>
  <c r="C12" i="8" s="1"/>
  <c r="C111" i="8" s="1"/>
  <c r="C583" i="8"/>
  <c r="C584" i="8" s="1"/>
  <c r="C29" i="8"/>
  <c r="C31" i="8" s="1"/>
  <c r="C591" i="8"/>
  <c r="C592" i="8" s="1"/>
  <c r="C16" i="8" s="1"/>
  <c r="C112" i="8"/>
  <c r="C587" i="8"/>
  <c r="C588" i="8" s="1"/>
  <c r="C15" i="8" s="1"/>
  <c r="C551" i="8"/>
  <c r="C552" i="8" s="1"/>
  <c r="C94" i="8" s="1"/>
  <c r="G583" i="8"/>
  <c r="G584" i="8" s="1"/>
  <c r="G29" i="8"/>
  <c r="G31" i="8" s="1"/>
  <c r="G591" i="8"/>
  <c r="G592" i="8" s="1"/>
  <c r="G16" i="8" s="1"/>
  <c r="G112" i="8"/>
  <c r="G587" i="8"/>
  <c r="G588" i="8" s="1"/>
  <c r="G15" i="8" s="1"/>
  <c r="G551" i="8"/>
  <c r="G552" i="8" s="1"/>
  <c r="G94" i="8" s="1"/>
  <c r="G595" i="8"/>
  <c r="G596" i="8" s="1"/>
  <c r="G17" i="8" s="1"/>
  <c r="G557" i="8"/>
  <c r="G558" i="8" s="1"/>
  <c r="G95" i="8" s="1"/>
  <c r="G10" i="8"/>
  <c r="G12" i="8" s="1"/>
  <c r="G111" i="8" s="1"/>
  <c r="K583" i="8"/>
  <c r="K584" i="8" s="1"/>
  <c r="K29" i="8"/>
  <c r="K31" i="8" s="1"/>
  <c r="K591" i="8"/>
  <c r="K592" i="8" s="1"/>
  <c r="K16" i="8" s="1"/>
  <c r="K112" i="8"/>
  <c r="K587" i="8"/>
  <c r="K588" i="8" s="1"/>
  <c r="K15" i="8" s="1"/>
  <c r="K551" i="8"/>
  <c r="K552" i="8" s="1"/>
  <c r="K94" i="8" s="1"/>
  <c r="K595" i="8"/>
  <c r="K596" i="8" s="1"/>
  <c r="K17" i="8" s="1"/>
  <c r="K557" i="8"/>
  <c r="K558" i="8" s="1"/>
  <c r="K95" i="8" s="1"/>
  <c r="K10" i="8"/>
  <c r="K12" i="8" s="1"/>
  <c r="O583" i="8"/>
  <c r="O584" i="8" s="1"/>
  <c r="O29" i="8"/>
  <c r="O31" i="8" s="1"/>
  <c r="O591" i="8"/>
  <c r="O592" i="8" s="1"/>
  <c r="O16" i="8" s="1"/>
  <c r="O112" i="8"/>
  <c r="O587" i="8"/>
  <c r="O588" i="8" s="1"/>
  <c r="O15" i="8" s="1"/>
  <c r="O551" i="8"/>
  <c r="O552" i="8" s="1"/>
  <c r="O94" i="8" s="1"/>
  <c r="O595" i="8"/>
  <c r="O596" i="8" s="1"/>
  <c r="O17" i="8" s="1"/>
  <c r="O557" i="8"/>
  <c r="O558" i="8" s="1"/>
  <c r="O95" i="8" s="1"/>
  <c r="O10" i="8"/>
  <c r="O12" i="8" s="1"/>
  <c r="O111" i="8" s="1"/>
  <c r="S591" i="8"/>
  <c r="S592" i="8" s="1"/>
  <c r="S16" i="8" s="1"/>
  <c r="S112" i="8"/>
  <c r="S587" i="8"/>
  <c r="S588" i="8" s="1"/>
  <c r="S15" i="8" s="1"/>
  <c r="S551" i="8"/>
  <c r="S552" i="8" s="1"/>
  <c r="S94" i="8" s="1"/>
  <c r="S595" i="8"/>
  <c r="S596" i="8" s="1"/>
  <c r="S17" i="8" s="1"/>
  <c r="S557" i="8"/>
  <c r="S558" i="8" s="1"/>
  <c r="S95" i="8" s="1"/>
  <c r="S10" i="8"/>
  <c r="S12" i="8" s="1"/>
  <c r="S583" i="8"/>
  <c r="S584" i="8" s="1"/>
  <c r="S29" i="8"/>
  <c r="S31" i="8" s="1"/>
  <c r="W583" i="8"/>
  <c r="W584" i="8" s="1"/>
  <c r="W29" i="8"/>
  <c r="W31" i="8" s="1"/>
  <c r="W591" i="8"/>
  <c r="W592" i="8" s="1"/>
  <c r="W16" i="8" s="1"/>
  <c r="W112" i="8"/>
  <c r="W587" i="8"/>
  <c r="W588" i="8" s="1"/>
  <c r="W15" i="8" s="1"/>
  <c r="W551" i="8"/>
  <c r="W552" i="8" s="1"/>
  <c r="W94" i="8" s="1"/>
  <c r="W595" i="8"/>
  <c r="W596" i="8" s="1"/>
  <c r="W17" i="8" s="1"/>
  <c r="W557" i="8"/>
  <c r="W558" i="8" s="1"/>
  <c r="W95" i="8" s="1"/>
  <c r="W10" i="8"/>
  <c r="W12" i="8" s="1"/>
  <c r="W111" i="8" s="1"/>
  <c r="AA583" i="8"/>
  <c r="AA584" i="8" s="1"/>
  <c r="AA29" i="8"/>
  <c r="AA31" i="8" s="1"/>
  <c r="AA591" i="8"/>
  <c r="AA592" i="8" s="1"/>
  <c r="AA16" i="8" s="1"/>
  <c r="AA112" i="8"/>
  <c r="AA587" i="8"/>
  <c r="AA588" i="8" s="1"/>
  <c r="AA15" i="8" s="1"/>
  <c r="AA551" i="8"/>
  <c r="AA552" i="8" s="1"/>
  <c r="AA94" i="8" s="1"/>
  <c r="AA595" i="8"/>
  <c r="AA596" i="8" s="1"/>
  <c r="AA17" i="8" s="1"/>
  <c r="AA557" i="8"/>
  <c r="AA558" i="8" s="1"/>
  <c r="AA95" i="8" s="1"/>
  <c r="AA10" i="8"/>
  <c r="AA12" i="8" s="1"/>
  <c r="AA111" i="8" s="1"/>
  <c r="AE583" i="8"/>
  <c r="AE584" i="8" s="1"/>
  <c r="AE29" i="8"/>
  <c r="AE31" i="8" s="1"/>
  <c r="AE591" i="8"/>
  <c r="AE592" i="8" s="1"/>
  <c r="AE16" i="8" s="1"/>
  <c r="AE112" i="8"/>
  <c r="AE587" i="8"/>
  <c r="AE588" i="8" s="1"/>
  <c r="AE15" i="8" s="1"/>
  <c r="AE551" i="8"/>
  <c r="AE552" i="8" s="1"/>
  <c r="AE94" i="8" s="1"/>
  <c r="AE595" i="8"/>
  <c r="AE596" i="8" s="1"/>
  <c r="AE17" i="8" s="1"/>
  <c r="AE557" i="8"/>
  <c r="AE558" i="8" s="1"/>
  <c r="AE95" i="8" s="1"/>
  <c r="AE10" i="8"/>
  <c r="AE12" i="8" s="1"/>
  <c r="AE111" i="8" s="1"/>
  <c r="E10" i="2"/>
  <c r="E12" i="2" s="1"/>
  <c r="E590" i="2"/>
  <c r="E591" i="2" s="1"/>
  <c r="E121" i="2"/>
  <c r="E560" i="2"/>
  <c r="E561" i="2" s="1"/>
  <c r="E104" i="2" s="1"/>
  <c r="E598" i="2"/>
  <c r="E599" i="2" s="1"/>
  <c r="E586" i="2"/>
  <c r="E587" i="2" s="1"/>
  <c r="E29" i="2"/>
  <c r="E31" i="2" s="1"/>
  <c r="E554" i="2"/>
  <c r="E555" i="2" s="1"/>
  <c r="E103" i="2" s="1"/>
  <c r="E594" i="2"/>
  <c r="E595" i="2" s="1"/>
  <c r="I10" i="2"/>
  <c r="I12" i="2" s="1"/>
  <c r="I120" i="2" s="1"/>
  <c r="I121" i="2"/>
  <c r="I560" i="2"/>
  <c r="I561" i="2" s="1"/>
  <c r="I104" i="2" s="1"/>
  <c r="I590" i="2"/>
  <c r="I591" i="2" s="1"/>
  <c r="I594" i="2"/>
  <c r="I595" i="2" s="1"/>
  <c r="I554" i="2"/>
  <c r="I555" i="2" s="1"/>
  <c r="I103" i="2" s="1"/>
  <c r="I598" i="2"/>
  <c r="I599" i="2" s="1"/>
  <c r="I586" i="2"/>
  <c r="I587" i="2" s="1"/>
  <c r="I29" i="2"/>
  <c r="I31" i="2" s="1"/>
  <c r="C592" i="10"/>
  <c r="C593" i="10" s="1"/>
  <c r="C162" i="10" s="1"/>
  <c r="C130" i="10"/>
  <c r="C618" i="10"/>
  <c r="C619" i="10" s="1"/>
  <c r="C622" i="10"/>
  <c r="C623" i="10" s="1"/>
  <c r="C626" i="10"/>
  <c r="C627" i="10" s="1"/>
  <c r="C630" i="10"/>
  <c r="C631" i="10" s="1"/>
  <c r="C10" i="10"/>
  <c r="C12" i="10" s="1"/>
  <c r="C586" i="10"/>
  <c r="C587" i="10" s="1"/>
  <c r="C161" i="10" s="1"/>
  <c r="C253" i="10" s="1"/>
  <c r="C29" i="10"/>
  <c r="C31" i="10" s="1"/>
  <c r="G586" i="10"/>
  <c r="G587" i="10" s="1"/>
  <c r="G161" i="10" s="1"/>
  <c r="G253" i="10" s="1"/>
  <c r="G29" i="10"/>
  <c r="G31" i="10" s="1"/>
  <c r="G592" i="10"/>
  <c r="G593" i="10" s="1"/>
  <c r="G162" i="10" s="1"/>
  <c r="G130" i="10"/>
  <c r="G618" i="10"/>
  <c r="G619" i="10" s="1"/>
  <c r="G622" i="10"/>
  <c r="G623" i="10" s="1"/>
  <c r="G626" i="10"/>
  <c r="G627" i="10" s="1"/>
  <c r="G630" i="10"/>
  <c r="G631" i="10" s="1"/>
  <c r="G10" i="10"/>
  <c r="G12" i="10" s="1"/>
  <c r="K592" i="10"/>
  <c r="K593" i="10" s="1"/>
  <c r="K162" i="10" s="1"/>
  <c r="K130" i="10"/>
  <c r="K618" i="10"/>
  <c r="K619" i="10" s="1"/>
  <c r="K622" i="10"/>
  <c r="K623" i="10" s="1"/>
  <c r="K626" i="10"/>
  <c r="K627" i="10" s="1"/>
  <c r="K630" i="10"/>
  <c r="K631" i="10" s="1"/>
  <c r="K10" i="10"/>
  <c r="K12" i="10" s="1"/>
  <c r="K586" i="10"/>
  <c r="K587" i="10" s="1"/>
  <c r="K161" i="10" s="1"/>
  <c r="K253" i="10" s="1"/>
  <c r="K29" i="10"/>
  <c r="K31" i="10" s="1"/>
  <c r="O592" i="10"/>
  <c r="O593" i="10" s="1"/>
  <c r="O162" i="10" s="1"/>
  <c r="O130" i="10"/>
  <c r="O618" i="10"/>
  <c r="O619" i="10" s="1"/>
  <c r="O622" i="10"/>
  <c r="O623" i="10" s="1"/>
  <c r="O626" i="10"/>
  <c r="O627" i="10" s="1"/>
  <c r="O630" i="10"/>
  <c r="O631" i="10" s="1"/>
  <c r="O10" i="10"/>
  <c r="O12" i="10" s="1"/>
  <c r="O586" i="10"/>
  <c r="O587" i="10" s="1"/>
  <c r="O161" i="10" s="1"/>
  <c r="O253" i="10" s="1"/>
  <c r="O29" i="10"/>
  <c r="O31" i="10" s="1"/>
  <c r="S592" i="10"/>
  <c r="S593" i="10" s="1"/>
  <c r="S162" i="10" s="1"/>
  <c r="S130" i="10"/>
  <c r="S618" i="10"/>
  <c r="S619" i="10" s="1"/>
  <c r="S622" i="10"/>
  <c r="S623" i="10" s="1"/>
  <c r="S626" i="10"/>
  <c r="S627" i="10" s="1"/>
  <c r="S630" i="10"/>
  <c r="S631" i="10" s="1"/>
  <c r="S10" i="10"/>
  <c r="S12" i="10" s="1"/>
  <c r="S586" i="10"/>
  <c r="S587" i="10" s="1"/>
  <c r="S161" i="10" s="1"/>
  <c r="S253" i="10" s="1"/>
  <c r="S29" i="10"/>
  <c r="S31" i="10" s="1"/>
  <c r="W592" i="10"/>
  <c r="W593" i="10" s="1"/>
  <c r="W162" i="10" s="1"/>
  <c r="W130" i="10"/>
  <c r="W618" i="10"/>
  <c r="W619" i="10" s="1"/>
  <c r="W622" i="10"/>
  <c r="W623" i="10" s="1"/>
  <c r="W626" i="10"/>
  <c r="W627" i="10" s="1"/>
  <c r="W630" i="10"/>
  <c r="W631" i="10" s="1"/>
  <c r="W10" i="10"/>
  <c r="W12" i="10" s="1"/>
  <c r="W586" i="10"/>
  <c r="W587" i="10" s="1"/>
  <c r="W161" i="10" s="1"/>
  <c r="W253" i="10" s="1"/>
  <c r="W29" i="10"/>
  <c r="W31" i="10" s="1"/>
  <c r="AA592" i="10"/>
  <c r="AA593" i="10" s="1"/>
  <c r="AA162" i="10" s="1"/>
  <c r="AA130" i="10"/>
  <c r="AA618" i="10"/>
  <c r="AA619" i="10" s="1"/>
  <c r="AA622" i="10"/>
  <c r="AA623" i="10" s="1"/>
  <c r="AA626" i="10"/>
  <c r="AA627" i="10" s="1"/>
  <c r="AA630" i="10"/>
  <c r="AA631" i="10" s="1"/>
  <c r="AA10" i="10"/>
  <c r="AA12" i="10" s="1"/>
  <c r="AA586" i="10"/>
  <c r="AA587" i="10" s="1"/>
  <c r="AA161" i="10" s="1"/>
  <c r="AA253" i="10" s="1"/>
  <c r="AA29" i="10"/>
  <c r="AA31" i="10" s="1"/>
  <c r="AE592" i="10"/>
  <c r="AE593" i="10" s="1"/>
  <c r="AE162" i="10" s="1"/>
  <c r="AE130" i="10"/>
  <c r="AE618" i="10"/>
  <c r="AE619" i="10" s="1"/>
  <c r="AE622" i="10"/>
  <c r="AE623" i="10" s="1"/>
  <c r="AE626" i="10"/>
  <c r="AE627" i="10" s="1"/>
  <c r="AE630" i="10"/>
  <c r="AE631" i="10" s="1"/>
  <c r="AE10" i="10"/>
  <c r="AE12" i="10" s="1"/>
  <c r="AE586" i="10"/>
  <c r="AE587" i="10" s="1"/>
  <c r="AE161" i="10" s="1"/>
  <c r="AE253" i="10" s="1"/>
  <c r="AE29" i="10"/>
  <c r="AE31" i="10" s="1"/>
  <c r="E524" i="7"/>
  <c r="E525" i="7" s="1"/>
  <c r="E486" i="7"/>
  <c r="E487" i="7" s="1"/>
  <c r="E104" i="7" s="1"/>
  <c r="E10" i="7"/>
  <c r="E12" i="7" s="1"/>
  <c r="E512" i="7"/>
  <c r="E513" i="7" s="1"/>
  <c r="E29" i="7"/>
  <c r="E31" i="7" s="1"/>
  <c r="E520" i="7"/>
  <c r="E521" i="7" s="1"/>
  <c r="E124" i="7"/>
  <c r="E516" i="7"/>
  <c r="E517" i="7" s="1"/>
  <c r="E480" i="7"/>
  <c r="E481" i="7" s="1"/>
  <c r="E103" i="7" s="1"/>
  <c r="I516" i="7"/>
  <c r="I517" i="7" s="1"/>
  <c r="I480" i="7"/>
  <c r="I481" i="7" s="1"/>
  <c r="I103" i="7" s="1"/>
  <c r="I524" i="7"/>
  <c r="I525" i="7" s="1"/>
  <c r="I486" i="7"/>
  <c r="I487" i="7" s="1"/>
  <c r="I104" i="7" s="1"/>
  <c r="I10" i="7"/>
  <c r="I12" i="7" s="1"/>
  <c r="I512" i="7"/>
  <c r="I513" i="7" s="1"/>
  <c r="I29" i="7"/>
  <c r="I31" i="7" s="1"/>
  <c r="I520" i="7"/>
  <c r="I521" i="7" s="1"/>
  <c r="I124" i="7"/>
  <c r="M524" i="7"/>
  <c r="M525" i="7" s="1"/>
  <c r="M516" i="7"/>
  <c r="M517" i="7" s="1"/>
  <c r="M480" i="7"/>
  <c r="M481" i="7" s="1"/>
  <c r="M103" i="7" s="1"/>
  <c r="M520" i="7"/>
  <c r="M521" i="7" s="1"/>
  <c r="M10" i="7"/>
  <c r="M12" i="7" s="1"/>
  <c r="M486" i="7"/>
  <c r="M487" i="7" s="1"/>
  <c r="M104" i="7" s="1"/>
  <c r="M512" i="7"/>
  <c r="M513" i="7" s="1"/>
  <c r="M29" i="7"/>
  <c r="M31" i="7" s="1"/>
  <c r="M124" i="7"/>
  <c r="Q524" i="7"/>
  <c r="Q525" i="7" s="1"/>
  <c r="Q486" i="7"/>
  <c r="Q487" i="7" s="1"/>
  <c r="Q104" i="7" s="1"/>
  <c r="Q10" i="7"/>
  <c r="Q12" i="7" s="1"/>
  <c r="Q512" i="7"/>
  <c r="Q513" i="7" s="1"/>
  <c r="Q29" i="7"/>
  <c r="Q31" i="7" s="1"/>
  <c r="Q520" i="7"/>
  <c r="Q521" i="7" s="1"/>
  <c r="Q124" i="7"/>
  <c r="Q516" i="7"/>
  <c r="Q517" i="7" s="1"/>
  <c r="Q480" i="7"/>
  <c r="Q481" i="7" s="1"/>
  <c r="Q103" i="7" s="1"/>
  <c r="U524" i="7"/>
  <c r="U525" i="7" s="1"/>
  <c r="U486" i="7"/>
  <c r="U487" i="7" s="1"/>
  <c r="U104" i="7" s="1"/>
  <c r="U10" i="7"/>
  <c r="U12" i="7" s="1"/>
  <c r="U516" i="7"/>
  <c r="U517" i="7" s="1"/>
  <c r="U29" i="7"/>
  <c r="U31" i="7" s="1"/>
  <c r="U520" i="7"/>
  <c r="U521" i="7" s="1"/>
  <c r="U124" i="7"/>
  <c r="U480" i="7"/>
  <c r="U481" i="7" s="1"/>
  <c r="U103" i="7" s="1"/>
  <c r="U512" i="7"/>
  <c r="U513" i="7" s="1"/>
  <c r="Y524" i="7"/>
  <c r="Y525" i="7" s="1"/>
  <c r="Y486" i="7"/>
  <c r="Y487" i="7" s="1"/>
  <c r="Y104" i="7" s="1"/>
  <c r="Y10" i="7"/>
  <c r="Y12" i="7" s="1"/>
  <c r="Y512" i="7"/>
  <c r="Y513" i="7" s="1"/>
  <c r="Y29" i="7"/>
  <c r="Y31" i="7" s="1"/>
  <c r="Y520" i="7"/>
  <c r="Y521" i="7" s="1"/>
  <c r="Y124" i="7"/>
  <c r="Y516" i="7"/>
  <c r="Y517" i="7" s="1"/>
  <c r="Y480" i="7"/>
  <c r="Y481" i="7" s="1"/>
  <c r="Y103" i="7" s="1"/>
  <c r="AC524" i="7"/>
  <c r="AC525" i="7" s="1"/>
  <c r="AC486" i="7"/>
  <c r="AC487" i="7" s="1"/>
  <c r="AC104" i="7" s="1"/>
  <c r="AC10" i="7"/>
  <c r="AC12" i="7" s="1"/>
  <c r="AC512" i="7"/>
  <c r="AC513" i="7" s="1"/>
  <c r="AC29" i="7"/>
  <c r="AC31" i="7" s="1"/>
  <c r="AC520" i="7"/>
  <c r="AC521" i="7" s="1"/>
  <c r="AC124" i="7"/>
  <c r="AC516" i="7"/>
  <c r="AC517" i="7" s="1"/>
  <c r="AC480" i="7"/>
  <c r="AC481" i="7" s="1"/>
  <c r="AC103" i="7" s="1"/>
  <c r="F557" i="8"/>
  <c r="F558" i="8" s="1"/>
  <c r="F95" i="8" s="1"/>
  <c r="F112" i="8"/>
  <c r="F583" i="8"/>
  <c r="F584" i="8" s="1"/>
  <c r="F587" i="8"/>
  <c r="F588" i="8" s="1"/>
  <c r="F15" i="8" s="1"/>
  <c r="F595" i="8"/>
  <c r="F596" i="8" s="1"/>
  <c r="F17" i="8" s="1"/>
  <c r="F551" i="8"/>
  <c r="F552" i="8" s="1"/>
  <c r="F94" i="8" s="1"/>
  <c r="F591" i="8"/>
  <c r="F592" i="8" s="1"/>
  <c r="F16" i="8" s="1"/>
  <c r="F10" i="8"/>
  <c r="F12" i="8" s="1"/>
  <c r="F29" i="8"/>
  <c r="F31" i="8" s="1"/>
  <c r="J591" i="8"/>
  <c r="J592" i="8" s="1"/>
  <c r="J16" i="8" s="1"/>
  <c r="J595" i="8"/>
  <c r="J596" i="8" s="1"/>
  <c r="J17" i="8" s="1"/>
  <c r="J10" i="8"/>
  <c r="J12" i="8" s="1"/>
  <c r="J111" i="8" s="1"/>
  <c r="J551" i="8"/>
  <c r="J552" i="8" s="1"/>
  <c r="J94" i="8" s="1"/>
  <c r="J587" i="8"/>
  <c r="J588" i="8" s="1"/>
  <c r="J15" i="8" s="1"/>
  <c r="J557" i="8"/>
  <c r="J558" i="8" s="1"/>
  <c r="J95" i="8" s="1"/>
  <c r="J112" i="8"/>
  <c r="J583" i="8"/>
  <c r="J584" i="8" s="1"/>
  <c r="J29" i="8"/>
  <c r="J31" i="8" s="1"/>
  <c r="N591" i="8"/>
  <c r="N592" i="8" s="1"/>
  <c r="N16" i="8" s="1"/>
  <c r="N595" i="8"/>
  <c r="N596" i="8" s="1"/>
  <c r="N17" i="8" s="1"/>
  <c r="N10" i="8"/>
  <c r="N12" i="8" s="1"/>
  <c r="N111" i="8" s="1"/>
  <c r="N551" i="8"/>
  <c r="N552" i="8" s="1"/>
  <c r="N94" i="8" s="1"/>
  <c r="N29" i="8"/>
  <c r="N31" i="8" s="1"/>
  <c r="N557" i="8"/>
  <c r="N558" i="8" s="1"/>
  <c r="N95" i="8" s="1"/>
  <c r="N112" i="8"/>
  <c r="N583" i="8"/>
  <c r="N584" i="8" s="1"/>
  <c r="N587" i="8"/>
  <c r="N588" i="8" s="1"/>
  <c r="N15" i="8" s="1"/>
  <c r="R583" i="8"/>
  <c r="R584" i="8" s="1"/>
  <c r="R587" i="8"/>
  <c r="R588" i="8" s="1"/>
  <c r="R15" i="8" s="1"/>
  <c r="R591" i="8"/>
  <c r="R592" i="8" s="1"/>
  <c r="R16" i="8" s="1"/>
  <c r="R595" i="8"/>
  <c r="R596" i="8" s="1"/>
  <c r="R17" i="8" s="1"/>
  <c r="R10" i="8"/>
  <c r="R12" i="8" s="1"/>
  <c r="R111" i="8" s="1"/>
  <c r="R551" i="8"/>
  <c r="R552" i="8" s="1"/>
  <c r="R94" i="8" s="1"/>
  <c r="R29" i="8"/>
  <c r="R31" i="8" s="1"/>
  <c r="R557" i="8"/>
  <c r="R558" i="8" s="1"/>
  <c r="R95" i="8" s="1"/>
  <c r="R112" i="8"/>
  <c r="V591" i="8"/>
  <c r="V592" i="8" s="1"/>
  <c r="V16" i="8" s="1"/>
  <c r="V595" i="8"/>
  <c r="V596" i="8" s="1"/>
  <c r="V17" i="8" s="1"/>
  <c r="V10" i="8"/>
  <c r="V12" i="8" s="1"/>
  <c r="V111" i="8" s="1"/>
  <c r="V551" i="8"/>
  <c r="V552" i="8" s="1"/>
  <c r="V94" i="8" s="1"/>
  <c r="V29" i="8"/>
  <c r="V31" i="8" s="1"/>
  <c r="V557" i="8"/>
  <c r="V558" i="8" s="1"/>
  <c r="V95" i="8" s="1"/>
  <c r="V112" i="8"/>
  <c r="V583" i="8"/>
  <c r="V584" i="8" s="1"/>
  <c r="V587" i="8"/>
  <c r="V588" i="8" s="1"/>
  <c r="V15" i="8" s="1"/>
  <c r="Z583" i="8"/>
  <c r="Z584" i="8" s="1"/>
  <c r="Z587" i="8"/>
  <c r="Z588" i="8" s="1"/>
  <c r="Z15" i="8" s="1"/>
  <c r="Z591" i="8"/>
  <c r="Z592" i="8" s="1"/>
  <c r="Z16" i="8" s="1"/>
  <c r="Z595" i="8"/>
  <c r="Z596" i="8" s="1"/>
  <c r="Z17" i="8" s="1"/>
  <c r="Z10" i="8"/>
  <c r="Z12" i="8" s="1"/>
  <c r="Z111" i="8" s="1"/>
  <c r="Z551" i="8"/>
  <c r="Z552" i="8" s="1"/>
  <c r="Z94" i="8" s="1"/>
  <c r="Z29" i="8"/>
  <c r="Z31" i="8" s="1"/>
  <c r="Z557" i="8"/>
  <c r="Z558" i="8" s="1"/>
  <c r="Z95" i="8" s="1"/>
  <c r="Z112" i="8"/>
  <c r="AD591" i="8"/>
  <c r="AD592" i="8" s="1"/>
  <c r="AD16" i="8" s="1"/>
  <c r="AD595" i="8"/>
  <c r="AD596" i="8" s="1"/>
  <c r="AD17" i="8" s="1"/>
  <c r="AD10" i="8"/>
  <c r="AD12" i="8" s="1"/>
  <c r="AD111" i="8" s="1"/>
  <c r="AD551" i="8"/>
  <c r="AD552" i="8" s="1"/>
  <c r="AD94" i="8" s="1"/>
  <c r="AD29" i="8"/>
  <c r="AD31" i="8" s="1"/>
  <c r="AD557" i="8"/>
  <c r="AD558" i="8" s="1"/>
  <c r="AD95" i="8" s="1"/>
  <c r="AD112" i="8"/>
  <c r="AD583" i="8"/>
  <c r="AD584" i="8" s="1"/>
  <c r="AD587" i="8"/>
  <c r="AD588" i="8" s="1"/>
  <c r="AD15" i="8" s="1"/>
  <c r="D10" i="2"/>
  <c r="D12" i="2" s="1"/>
  <c r="D554" i="2"/>
  <c r="D555" i="2" s="1"/>
  <c r="D103" i="2" s="1"/>
  <c r="D598" i="2"/>
  <c r="D599" i="2" s="1"/>
  <c r="D586" i="2"/>
  <c r="D587" i="2" s="1"/>
  <c r="D121" i="2"/>
  <c r="D560" i="2"/>
  <c r="D561" i="2" s="1"/>
  <c r="D104" i="2" s="1"/>
  <c r="D594" i="2"/>
  <c r="D595" i="2" s="1"/>
  <c r="D590" i="2"/>
  <c r="D591" i="2" s="1"/>
  <c r="D29" i="2"/>
  <c r="D31" i="2" s="1"/>
  <c r="H10" i="2"/>
  <c r="H12" i="2" s="1"/>
  <c r="H120" i="2" s="1"/>
  <c r="H121" i="2"/>
  <c r="H560" i="2"/>
  <c r="H561" i="2" s="1"/>
  <c r="H104" i="2" s="1"/>
  <c r="H598" i="2"/>
  <c r="H599" i="2" s="1"/>
  <c r="H586" i="2"/>
  <c r="H587" i="2" s="1"/>
  <c r="H554" i="2"/>
  <c r="H555" i="2" s="1"/>
  <c r="H103" i="2" s="1"/>
  <c r="H594" i="2"/>
  <c r="H595" i="2" s="1"/>
  <c r="H590" i="2"/>
  <c r="H591" i="2" s="1"/>
  <c r="H29" i="2"/>
  <c r="H31" i="2" s="1"/>
  <c r="F618" i="10"/>
  <c r="F619" i="10" s="1"/>
  <c r="F29" i="10"/>
  <c r="F31" i="10" s="1"/>
  <c r="F626" i="10"/>
  <c r="F627" i="10" s="1"/>
  <c r="F130" i="10"/>
  <c r="F622" i="10"/>
  <c r="F623" i="10" s="1"/>
  <c r="F586" i="10"/>
  <c r="F587" i="10" s="1"/>
  <c r="F161" i="10" s="1"/>
  <c r="F253" i="10" s="1"/>
  <c r="F630" i="10"/>
  <c r="F631" i="10" s="1"/>
  <c r="F592" i="10"/>
  <c r="F593" i="10" s="1"/>
  <c r="F162" i="10" s="1"/>
  <c r="F10" i="10"/>
  <c r="F12" i="10" s="1"/>
  <c r="J618" i="10"/>
  <c r="J619" i="10" s="1"/>
  <c r="J29" i="10"/>
  <c r="J31" i="10" s="1"/>
  <c r="J626" i="10"/>
  <c r="J627" i="10" s="1"/>
  <c r="J130" i="10"/>
  <c r="J622" i="10"/>
  <c r="J623" i="10" s="1"/>
  <c r="J586" i="10"/>
  <c r="J587" i="10" s="1"/>
  <c r="J161" i="10" s="1"/>
  <c r="J253" i="10" s="1"/>
  <c r="J630" i="10"/>
  <c r="J631" i="10" s="1"/>
  <c r="J592" i="10"/>
  <c r="J593" i="10" s="1"/>
  <c r="J162" i="10" s="1"/>
  <c r="J10" i="10"/>
  <c r="J12" i="10" s="1"/>
  <c r="N626" i="10"/>
  <c r="N627" i="10" s="1"/>
  <c r="N130" i="10"/>
  <c r="N622" i="10"/>
  <c r="N623" i="10" s="1"/>
  <c r="N586" i="10"/>
  <c r="N587" i="10" s="1"/>
  <c r="N161" i="10" s="1"/>
  <c r="N253" i="10" s="1"/>
  <c r="N630" i="10"/>
  <c r="N631" i="10" s="1"/>
  <c r="N592" i="10"/>
  <c r="N593" i="10" s="1"/>
  <c r="N162" i="10" s="1"/>
  <c r="N10" i="10"/>
  <c r="N12" i="10" s="1"/>
  <c r="N618" i="10"/>
  <c r="N619" i="10" s="1"/>
  <c r="N29" i="10"/>
  <c r="N31" i="10" s="1"/>
  <c r="R618" i="10"/>
  <c r="R619" i="10" s="1"/>
  <c r="R29" i="10"/>
  <c r="R31" i="10" s="1"/>
  <c r="R626" i="10"/>
  <c r="R627" i="10" s="1"/>
  <c r="R130" i="10"/>
  <c r="R622" i="10"/>
  <c r="R623" i="10" s="1"/>
  <c r="R586" i="10"/>
  <c r="R587" i="10" s="1"/>
  <c r="R161" i="10" s="1"/>
  <c r="R253" i="10" s="1"/>
  <c r="R630" i="10"/>
  <c r="R631" i="10" s="1"/>
  <c r="R592" i="10"/>
  <c r="R593" i="10" s="1"/>
  <c r="R162" i="10" s="1"/>
  <c r="R10" i="10"/>
  <c r="R12" i="10" s="1"/>
  <c r="V618" i="10"/>
  <c r="V619" i="10" s="1"/>
  <c r="V29" i="10"/>
  <c r="V31" i="10" s="1"/>
  <c r="V626" i="10"/>
  <c r="V627" i="10" s="1"/>
  <c r="V130" i="10"/>
  <c r="V622" i="10"/>
  <c r="V623" i="10" s="1"/>
  <c r="V586" i="10"/>
  <c r="V587" i="10" s="1"/>
  <c r="V161" i="10" s="1"/>
  <c r="V253" i="10" s="1"/>
  <c r="V630" i="10"/>
  <c r="V631" i="10" s="1"/>
  <c r="V592" i="10"/>
  <c r="V593" i="10" s="1"/>
  <c r="V162" i="10" s="1"/>
  <c r="V10" i="10"/>
  <c r="V12" i="10" s="1"/>
  <c r="Z618" i="10"/>
  <c r="Z619" i="10" s="1"/>
  <c r="Z29" i="10"/>
  <c r="Z31" i="10" s="1"/>
  <c r="Z626" i="10"/>
  <c r="Z627" i="10" s="1"/>
  <c r="Z130" i="10"/>
  <c r="Z622" i="10"/>
  <c r="Z623" i="10" s="1"/>
  <c r="Z586" i="10"/>
  <c r="Z587" i="10" s="1"/>
  <c r="Z161" i="10" s="1"/>
  <c r="Z253" i="10" s="1"/>
  <c r="Z630" i="10"/>
  <c r="Z631" i="10" s="1"/>
  <c r="Z592" i="10"/>
  <c r="Z593" i="10" s="1"/>
  <c r="Z162" i="10" s="1"/>
  <c r="Z10" i="10"/>
  <c r="Z12" i="10" s="1"/>
  <c r="AD618" i="10"/>
  <c r="AD619" i="10" s="1"/>
  <c r="AD29" i="10"/>
  <c r="AD31" i="10" s="1"/>
  <c r="AD626" i="10"/>
  <c r="AD627" i="10" s="1"/>
  <c r="AD130" i="10"/>
  <c r="AD622" i="10"/>
  <c r="AD623" i="10" s="1"/>
  <c r="AD586" i="10"/>
  <c r="AD587" i="10" s="1"/>
  <c r="AD161" i="10" s="1"/>
  <c r="AD253" i="10" s="1"/>
  <c r="AD630" i="10"/>
  <c r="AD631" i="10" s="1"/>
  <c r="AD592" i="10"/>
  <c r="AD593" i="10" s="1"/>
  <c r="AD162" i="10" s="1"/>
  <c r="AD10" i="10"/>
  <c r="AD12" i="10" s="1"/>
  <c r="D520" i="7"/>
  <c r="D521" i="7" s="1"/>
  <c r="D524" i="7"/>
  <c r="D525" i="7" s="1"/>
  <c r="D10" i="7"/>
  <c r="D12" i="7" s="1"/>
  <c r="D480" i="7"/>
  <c r="D481" i="7" s="1"/>
  <c r="D103" i="7" s="1"/>
  <c r="D29" i="7"/>
  <c r="D31" i="7" s="1"/>
  <c r="D486" i="7"/>
  <c r="D487" i="7" s="1"/>
  <c r="D104" i="7" s="1"/>
  <c r="D124" i="7"/>
  <c r="D512" i="7"/>
  <c r="D513" i="7" s="1"/>
  <c r="D516" i="7"/>
  <c r="D517" i="7" s="1"/>
  <c r="H480" i="7"/>
  <c r="H481" i="7" s="1"/>
  <c r="H103" i="7" s="1"/>
  <c r="H29" i="7"/>
  <c r="H31" i="7" s="1"/>
  <c r="H512" i="7"/>
  <c r="H513" i="7" s="1"/>
  <c r="H516" i="7"/>
  <c r="H517" i="7" s="1"/>
  <c r="H520" i="7"/>
  <c r="H521" i="7" s="1"/>
  <c r="H524" i="7"/>
  <c r="H525" i="7" s="1"/>
  <c r="H10" i="7"/>
  <c r="H12" i="7" s="1"/>
  <c r="H124" i="7"/>
  <c r="H486" i="7"/>
  <c r="H487" i="7" s="1"/>
  <c r="H104" i="7" s="1"/>
  <c r="L480" i="7"/>
  <c r="L481" i="7" s="1"/>
  <c r="L103" i="7" s="1"/>
  <c r="L29" i="7"/>
  <c r="L31" i="7" s="1"/>
  <c r="L486" i="7"/>
  <c r="L487" i="7" s="1"/>
  <c r="L104" i="7" s="1"/>
  <c r="L124" i="7"/>
  <c r="L512" i="7"/>
  <c r="L513" i="7" s="1"/>
  <c r="L516" i="7"/>
  <c r="L517" i="7" s="1"/>
  <c r="L520" i="7"/>
  <c r="L521" i="7" s="1"/>
  <c r="L524" i="7"/>
  <c r="L525" i="7" s="1"/>
  <c r="L10" i="7"/>
  <c r="L12" i="7" s="1"/>
  <c r="P480" i="7"/>
  <c r="P481" i="7" s="1"/>
  <c r="P103" i="7" s="1"/>
  <c r="P29" i="7"/>
  <c r="P31" i="7" s="1"/>
  <c r="P486" i="7"/>
  <c r="P487" i="7" s="1"/>
  <c r="P104" i="7" s="1"/>
  <c r="P124" i="7"/>
  <c r="P512" i="7"/>
  <c r="P513" i="7" s="1"/>
  <c r="P516" i="7"/>
  <c r="P517" i="7" s="1"/>
  <c r="P520" i="7"/>
  <c r="P521" i="7" s="1"/>
  <c r="P524" i="7"/>
  <c r="P525" i="7" s="1"/>
  <c r="P10" i="7"/>
  <c r="P12" i="7" s="1"/>
  <c r="T520" i="7"/>
  <c r="T521" i="7" s="1"/>
  <c r="T524" i="7"/>
  <c r="T525" i="7" s="1"/>
  <c r="T10" i="7"/>
  <c r="T12" i="7" s="1"/>
  <c r="T516" i="7"/>
  <c r="T517" i="7" s="1"/>
  <c r="T480" i="7"/>
  <c r="T481" i="7" s="1"/>
  <c r="T103" i="7" s="1"/>
  <c r="T486" i="7"/>
  <c r="T487" i="7" s="1"/>
  <c r="T104" i="7" s="1"/>
  <c r="T124" i="7"/>
  <c r="T512" i="7"/>
  <c r="T513" i="7" s="1"/>
  <c r="T29" i="7"/>
  <c r="T31" i="7" s="1"/>
  <c r="X480" i="7"/>
  <c r="X481" i="7" s="1"/>
  <c r="X103" i="7" s="1"/>
  <c r="X29" i="7"/>
  <c r="X31" i="7" s="1"/>
  <c r="X486" i="7"/>
  <c r="X487" i="7" s="1"/>
  <c r="X104" i="7" s="1"/>
  <c r="X124" i="7"/>
  <c r="X512" i="7"/>
  <c r="X513" i="7" s="1"/>
  <c r="X516" i="7"/>
  <c r="X517" i="7" s="1"/>
  <c r="X520" i="7"/>
  <c r="X521" i="7" s="1"/>
  <c r="X524" i="7"/>
  <c r="X525" i="7" s="1"/>
  <c r="X10" i="7"/>
  <c r="X12" i="7" s="1"/>
  <c r="AB520" i="7"/>
  <c r="AB521" i="7" s="1"/>
  <c r="AB524" i="7"/>
  <c r="AB525" i="7" s="1"/>
  <c r="AB10" i="7"/>
  <c r="AB12" i="7" s="1"/>
  <c r="AB516" i="7"/>
  <c r="AB517" i="7" s="1"/>
  <c r="AB512" i="7"/>
  <c r="AB513" i="7" s="1"/>
  <c r="AB486" i="7"/>
  <c r="AB487" i="7" s="1"/>
  <c r="AB104" i="7" s="1"/>
  <c r="AB124" i="7"/>
  <c r="AB480" i="7"/>
  <c r="AB481" i="7" s="1"/>
  <c r="AB103" i="7" s="1"/>
  <c r="AB29" i="7"/>
  <c r="AB31" i="7" s="1"/>
  <c r="AF480" i="7"/>
  <c r="AF481" i="7" s="1"/>
  <c r="AF103" i="7" s="1"/>
  <c r="AF29" i="7"/>
  <c r="AF31" i="7" s="1"/>
  <c r="AF486" i="7"/>
  <c r="AF487" i="7" s="1"/>
  <c r="AF104" i="7" s="1"/>
  <c r="AF124" i="7"/>
  <c r="AF512" i="7"/>
  <c r="AF513" i="7" s="1"/>
  <c r="AF516" i="7"/>
  <c r="AF517" i="7" s="1"/>
  <c r="AF520" i="7"/>
  <c r="AF521" i="7" s="1"/>
  <c r="AF524" i="7"/>
  <c r="AF525" i="7" s="1"/>
  <c r="AF10" i="7"/>
  <c r="AF12" i="7" s="1"/>
  <c r="I18" i="2"/>
  <c r="M597" i="2"/>
  <c r="M593" i="2"/>
  <c r="M589" i="2"/>
  <c r="M585" i="2"/>
  <c r="J49" i="2"/>
  <c r="J14" i="2"/>
  <c r="G649" i="10"/>
  <c r="G652" i="10" s="1"/>
  <c r="E608" i="8"/>
  <c r="E611" i="8" s="1"/>
  <c r="O604" i="7"/>
  <c r="O607" i="7" s="1"/>
  <c r="J17" i="2"/>
  <c r="J52" i="2"/>
  <c r="J234" i="2"/>
  <c r="J273" i="2"/>
  <c r="J15" i="2"/>
  <c r="J50" i="2"/>
  <c r="J232" i="2"/>
  <c r="J271" i="2"/>
  <c r="K71" i="2"/>
  <c r="M758" i="2"/>
  <c r="M400" i="2" s="1"/>
  <c r="M535" i="2" s="1"/>
  <c r="M756" i="2"/>
  <c r="M398" i="2" s="1"/>
  <c r="M533" i="2" s="1"/>
  <c r="M754" i="2"/>
  <c r="M396" i="2" s="1"/>
  <c r="M531" i="2" s="1"/>
  <c r="M752" i="2"/>
  <c r="M394" i="2" s="1"/>
  <c r="M529" i="2" s="1"/>
  <c r="M750" i="2"/>
  <c r="M392" i="2" s="1"/>
  <c r="M527" i="2" s="1"/>
  <c r="M726" i="2"/>
  <c r="M374" i="2" s="1"/>
  <c r="M509" i="2" s="1"/>
  <c r="M724" i="2"/>
  <c r="M372" i="2" s="1"/>
  <c r="M507" i="2" s="1"/>
  <c r="M757" i="2"/>
  <c r="M399" i="2" s="1"/>
  <c r="M534" i="2" s="1"/>
  <c r="M755" i="2"/>
  <c r="M397" i="2" s="1"/>
  <c r="M532" i="2" s="1"/>
  <c r="M753" i="2"/>
  <c r="M395" i="2" s="1"/>
  <c r="M530" i="2" s="1"/>
  <c r="M751" i="2"/>
  <c r="M393" i="2" s="1"/>
  <c r="M528" i="2" s="1"/>
  <c r="M749" i="2"/>
  <c r="M391" i="2" s="1"/>
  <c r="M526" i="2" s="1"/>
  <c r="M725" i="2"/>
  <c r="M373" i="2" s="1"/>
  <c r="M508" i="2" s="1"/>
  <c r="M722" i="2"/>
  <c r="M370" i="2" s="1"/>
  <c r="M505" i="2" s="1"/>
  <c r="M720" i="2"/>
  <c r="M368" i="2" s="1"/>
  <c r="M503" i="2" s="1"/>
  <c r="M718" i="2"/>
  <c r="M366" i="2" s="1"/>
  <c r="M501" i="2" s="1"/>
  <c r="M694" i="2"/>
  <c r="M349" i="2" s="1"/>
  <c r="M483" i="2" s="1"/>
  <c r="M692" i="2"/>
  <c r="M347" i="2" s="1"/>
  <c r="M481" i="2" s="1"/>
  <c r="M690" i="2"/>
  <c r="M345" i="2" s="1"/>
  <c r="M479" i="2" s="1"/>
  <c r="M688" i="2"/>
  <c r="M343" i="2" s="1"/>
  <c r="M477" i="2" s="1"/>
  <c r="M686" i="2"/>
  <c r="M341" i="2" s="1"/>
  <c r="M475" i="2" s="1"/>
  <c r="M762" i="2"/>
  <c r="M763" i="2"/>
  <c r="M766" i="2"/>
  <c r="M768" i="2"/>
  <c r="M770" i="2"/>
  <c r="M723" i="2"/>
  <c r="M371" i="2" s="1"/>
  <c r="M506" i="2" s="1"/>
  <c r="M719" i="2"/>
  <c r="M367" i="2" s="1"/>
  <c r="M502" i="2" s="1"/>
  <c r="M691" i="2"/>
  <c r="M346" i="2" s="1"/>
  <c r="M480" i="2" s="1"/>
  <c r="M687" i="2"/>
  <c r="M342" i="2" s="1"/>
  <c r="M476" i="2" s="1"/>
  <c r="M721" i="2"/>
  <c r="M369" i="2" s="1"/>
  <c r="M504" i="2" s="1"/>
  <c r="M717" i="2"/>
  <c r="M365" i="2" s="1"/>
  <c r="M500" i="2" s="1"/>
  <c r="M693" i="2"/>
  <c r="M348" i="2" s="1"/>
  <c r="M482" i="2" s="1"/>
  <c r="M689" i="2"/>
  <c r="M344" i="2" s="1"/>
  <c r="M478" i="2" s="1"/>
  <c r="M685" i="2"/>
  <c r="M340" i="2" s="1"/>
  <c r="M474" i="2" s="1"/>
  <c r="M765" i="2"/>
  <c r="M769" i="2"/>
  <c r="M731" i="2"/>
  <c r="M733" i="2"/>
  <c r="M735" i="2"/>
  <c r="M737" i="2"/>
  <c r="M767" i="2"/>
  <c r="M732" i="2"/>
  <c r="M734" i="2"/>
  <c r="M736" i="2"/>
  <c r="M738" i="2"/>
  <c r="L727" i="2"/>
  <c r="L712" i="2" s="1"/>
  <c r="L69" i="2" s="1"/>
  <c r="L759" i="2"/>
  <c r="L744" i="2" s="1"/>
  <c r="L70" i="2" s="1"/>
  <c r="M552" i="2"/>
  <c r="M553" i="2" s="1"/>
  <c r="M558" i="2"/>
  <c r="M559" i="2" s="1"/>
  <c r="M624" i="2"/>
  <c r="M617" i="2"/>
  <c r="N11" i="2"/>
  <c r="M317" i="2"/>
  <c r="M319" i="2"/>
  <c r="M321" i="2"/>
  <c r="M318" i="2"/>
  <c r="M322" i="2"/>
  <c r="M451" i="2"/>
  <c r="M453" i="2"/>
  <c r="M455" i="2"/>
  <c r="M470" i="2" s="1"/>
  <c r="M320" i="2"/>
  <c r="M452" i="2"/>
  <c r="M454" i="2"/>
  <c r="M456" i="2"/>
  <c r="K121" i="2"/>
  <c r="M19" i="2"/>
  <c r="J120" i="2"/>
  <c r="M699" i="2"/>
  <c r="M700" i="2"/>
  <c r="M701" i="2"/>
  <c r="M702" i="2"/>
  <c r="M703" i="2"/>
  <c r="M704" i="2"/>
  <c r="M705" i="2"/>
  <c r="M706" i="2"/>
  <c r="J105" i="2"/>
  <c r="L336" i="2"/>
  <c r="M469" i="2"/>
  <c r="M335" i="2"/>
  <c r="L695" i="2"/>
  <c r="L680" i="2" s="1"/>
  <c r="L68" i="2" s="1"/>
  <c r="K554" i="2"/>
  <c r="K555" i="2" s="1"/>
  <c r="K103" i="2" s="1"/>
  <c r="K248" i="2" s="1"/>
  <c r="K560" i="2"/>
  <c r="K561" i="2" s="1"/>
  <c r="K104" i="2" s="1"/>
  <c r="M23" i="2"/>
  <c r="M26" i="2"/>
  <c r="M30" i="2"/>
  <c r="J272" i="2"/>
  <c r="J233" i="2"/>
  <c r="J270" i="2"/>
  <c r="J231" i="2"/>
  <c r="J601" i="2"/>
  <c r="K598" i="2"/>
  <c r="K599" i="2" s="1"/>
  <c r="K590" i="2"/>
  <c r="K591" i="2" s="1"/>
  <c r="K586" i="2"/>
  <c r="K587" i="2" s="1"/>
  <c r="K594" i="2"/>
  <c r="K595" i="2" s="1"/>
  <c r="K51" i="2" s="1"/>
  <c r="L27" i="2"/>
  <c r="N2" i="2"/>
  <c r="N674" i="2" s="1"/>
  <c r="M25" i="2"/>
  <c r="L10" i="2"/>
  <c r="L12" i="2" s="1"/>
  <c r="K29" i="2"/>
  <c r="K31" i="2" s="1"/>
  <c r="AP289" i="10" l="1"/>
  <c r="AP306" i="10"/>
  <c r="AP16" i="10"/>
  <c r="AP287" i="10"/>
  <c r="AP633" i="10"/>
  <c r="AP304" i="10"/>
  <c r="AP14" i="10"/>
  <c r="AL280" i="10"/>
  <c r="AL296" i="10" s="1"/>
  <c r="AL129" i="10"/>
  <c r="AL307" i="10"/>
  <c r="AL17" i="10"/>
  <c r="AL290" i="10"/>
  <c r="AL305" i="10"/>
  <c r="AL288" i="10"/>
  <c r="AL15" i="10"/>
  <c r="AH305" i="10"/>
  <c r="AH288" i="10"/>
  <c r="AH15" i="10"/>
  <c r="AH306" i="10"/>
  <c r="AH289" i="10"/>
  <c r="AH16" i="10"/>
  <c r="AK280" i="10"/>
  <c r="AK296" i="10" s="1"/>
  <c r="AK129" i="10"/>
  <c r="AK307" i="10"/>
  <c r="AK17" i="10"/>
  <c r="AK290" i="10"/>
  <c r="AK306" i="10"/>
  <c r="AK289" i="10"/>
  <c r="AK16" i="10"/>
  <c r="AG14" i="8"/>
  <c r="AG18" i="8" s="1"/>
  <c r="AG20" i="8" s="1"/>
  <c r="AG598" i="8"/>
  <c r="AI14" i="7"/>
  <c r="AI18" i="7" s="1"/>
  <c r="AI20" i="7" s="1"/>
  <c r="AI527" i="7"/>
  <c r="AI157" i="7"/>
  <c r="AI196" i="7"/>
  <c r="AI49" i="7"/>
  <c r="AI159" i="7"/>
  <c r="AI198" i="7"/>
  <c r="AI51" i="7"/>
  <c r="AI174" i="7"/>
  <c r="AI105" i="7"/>
  <c r="AI245" i="8"/>
  <c r="AI96" i="8"/>
  <c r="AJ14" i="8"/>
  <c r="AJ18" i="8" s="1"/>
  <c r="AJ20" i="8" s="1"/>
  <c r="AJ598" i="8"/>
  <c r="AK14" i="8"/>
  <c r="AK18" i="8" s="1"/>
  <c r="AK20" i="8" s="1"/>
  <c r="AK598" i="8"/>
  <c r="AL14" i="8"/>
  <c r="AL18" i="8" s="1"/>
  <c r="AL20" i="8" s="1"/>
  <c r="AL598" i="8"/>
  <c r="AM14" i="8"/>
  <c r="AM18" i="8" s="1"/>
  <c r="AM20" i="8" s="1"/>
  <c r="AM598" i="8"/>
  <c r="AN245" i="8"/>
  <c r="AN96" i="8"/>
  <c r="AP174" i="7"/>
  <c r="AP105" i="7"/>
  <c r="AP123" i="7"/>
  <c r="AP160" i="7"/>
  <c r="AP199" i="7"/>
  <c r="AP52" i="7"/>
  <c r="AP198" i="7"/>
  <c r="AP51" i="7"/>
  <c r="AP159" i="7"/>
  <c r="AP14" i="8"/>
  <c r="AP18" i="8" s="1"/>
  <c r="AP20" i="8" s="1"/>
  <c r="AP598" i="8"/>
  <c r="AO280" i="10"/>
  <c r="AO296" i="10" s="1"/>
  <c r="AO129" i="10"/>
  <c r="AO290" i="10"/>
  <c r="AO307" i="10"/>
  <c r="AO17" i="10"/>
  <c r="AO289" i="10"/>
  <c r="AO16" i="10"/>
  <c r="AO306" i="10"/>
  <c r="AO288" i="10"/>
  <c r="AO15" i="10"/>
  <c r="AO305" i="10"/>
  <c r="AO287" i="10"/>
  <c r="AO14" i="10"/>
  <c r="AO304" i="10"/>
  <c r="AO633" i="10"/>
  <c r="AN289" i="10"/>
  <c r="AN16" i="10"/>
  <c r="AN306" i="10"/>
  <c r="AN287" i="10"/>
  <c r="AN633" i="10"/>
  <c r="AN304" i="10"/>
  <c r="AN14" i="10"/>
  <c r="AJ280" i="10"/>
  <c r="AJ296" i="10" s="1"/>
  <c r="AJ129" i="10"/>
  <c r="AJ290" i="10"/>
  <c r="AJ307" i="10"/>
  <c r="AJ17" i="10"/>
  <c r="AJ288" i="10"/>
  <c r="AJ15" i="10"/>
  <c r="AJ305" i="10"/>
  <c r="AM288" i="10"/>
  <c r="AM305" i="10"/>
  <c r="AM15" i="10"/>
  <c r="AM287" i="10"/>
  <c r="AM14" i="10"/>
  <c r="AM304" i="10"/>
  <c r="AM633" i="10"/>
  <c r="AI280" i="10"/>
  <c r="AI296" i="10" s="1"/>
  <c r="AI129" i="10"/>
  <c r="AI307" i="10"/>
  <c r="AI17" i="10"/>
  <c r="AI290" i="10"/>
  <c r="AI306" i="10"/>
  <c r="AI289" i="10"/>
  <c r="AI16" i="10"/>
  <c r="AI305" i="10"/>
  <c r="AI288" i="10"/>
  <c r="AI15" i="10"/>
  <c r="AI304" i="10"/>
  <c r="AI14" i="10"/>
  <c r="AI287" i="10"/>
  <c r="AI633" i="10"/>
  <c r="AG198" i="7"/>
  <c r="AG51" i="7"/>
  <c r="AG159" i="7"/>
  <c r="AG14" i="7"/>
  <c r="AG18" i="7" s="1"/>
  <c r="AG20" i="7" s="1"/>
  <c r="AG196" i="7"/>
  <c r="AG49" i="7"/>
  <c r="AG527" i="7"/>
  <c r="AG157" i="7"/>
  <c r="AH123" i="7"/>
  <c r="AH160" i="7"/>
  <c r="AH199" i="7"/>
  <c r="AH52" i="7"/>
  <c r="AH198" i="7"/>
  <c r="AH51" i="7"/>
  <c r="AH159" i="7"/>
  <c r="AH197" i="7"/>
  <c r="AH50" i="7"/>
  <c r="AH158" i="7"/>
  <c r="AH14" i="7"/>
  <c r="AH18" i="7" s="1"/>
  <c r="AH20" i="7" s="1"/>
  <c r="AH527" i="7"/>
  <c r="AH157" i="7"/>
  <c r="AH196" i="7"/>
  <c r="AH49" i="7"/>
  <c r="AH14" i="8"/>
  <c r="AH18" i="8" s="1"/>
  <c r="AH20" i="8" s="1"/>
  <c r="AH598" i="8"/>
  <c r="AJ123" i="7"/>
  <c r="AJ199" i="7"/>
  <c r="AJ52" i="7"/>
  <c r="AJ160" i="7"/>
  <c r="AJ159" i="7"/>
  <c r="AJ198" i="7"/>
  <c r="AJ51" i="7"/>
  <c r="AJ197" i="7"/>
  <c r="AJ50" i="7"/>
  <c r="AJ158" i="7"/>
  <c r="AJ14" i="7"/>
  <c r="AJ18" i="7" s="1"/>
  <c r="AJ20" i="7" s="1"/>
  <c r="AJ196" i="7"/>
  <c r="AJ49" i="7"/>
  <c r="AJ527" i="7"/>
  <c r="AJ157" i="7"/>
  <c r="AK174" i="7"/>
  <c r="AK105" i="7"/>
  <c r="AK197" i="7"/>
  <c r="AK50" i="7"/>
  <c r="AK158" i="7"/>
  <c r="AK159" i="7"/>
  <c r="AK198" i="7"/>
  <c r="AK51" i="7"/>
  <c r="AL174" i="7"/>
  <c r="AL105" i="7"/>
  <c r="AL123" i="7"/>
  <c r="AL199" i="7"/>
  <c r="AL52" i="7"/>
  <c r="AL160" i="7"/>
  <c r="AL159" i="7"/>
  <c r="AL198" i="7"/>
  <c r="AL51" i="7"/>
  <c r="AM159" i="7"/>
  <c r="AM198" i="7"/>
  <c r="AM51" i="7"/>
  <c r="AM14" i="7"/>
  <c r="AM18" i="7" s="1"/>
  <c r="AM527" i="7"/>
  <c r="AM157" i="7"/>
  <c r="AM196" i="7"/>
  <c r="AM49" i="7"/>
  <c r="AN174" i="7"/>
  <c r="AN105" i="7"/>
  <c r="AN123" i="7"/>
  <c r="AN199" i="7"/>
  <c r="AN52" i="7"/>
  <c r="AN160" i="7"/>
  <c r="AN159" i="7"/>
  <c r="AN198" i="7"/>
  <c r="AN51" i="7"/>
  <c r="AO174" i="7"/>
  <c r="AO105" i="7"/>
  <c r="AO197" i="7"/>
  <c r="AO50" i="7"/>
  <c r="AO158" i="7"/>
  <c r="AO159" i="7"/>
  <c r="AO198" i="7"/>
  <c r="AO51" i="7"/>
  <c r="AO111" i="8"/>
  <c r="AO245" i="8"/>
  <c r="AO96" i="8"/>
  <c r="AP280" i="10"/>
  <c r="AP296" i="10" s="1"/>
  <c r="AP129" i="10"/>
  <c r="AP290" i="10"/>
  <c r="AP17" i="10"/>
  <c r="AP307" i="10"/>
  <c r="AP288" i="10"/>
  <c r="AP305" i="10"/>
  <c r="AP15" i="10"/>
  <c r="AL306" i="10"/>
  <c r="AL289" i="10"/>
  <c r="AL16" i="10"/>
  <c r="AL304" i="10"/>
  <c r="AL14" i="10"/>
  <c r="AL287" i="10"/>
  <c r="AL633" i="10"/>
  <c r="AH304" i="10"/>
  <c r="AH14" i="10"/>
  <c r="AH287" i="10"/>
  <c r="AH633" i="10"/>
  <c r="AH280" i="10"/>
  <c r="AH296" i="10" s="1"/>
  <c r="AH129" i="10"/>
  <c r="AH307" i="10"/>
  <c r="AH17" i="10"/>
  <c r="AH290" i="10"/>
  <c r="AK305" i="10"/>
  <c r="AK288" i="10"/>
  <c r="AK15" i="10"/>
  <c r="AK304" i="10"/>
  <c r="AK633" i="10"/>
  <c r="AK287" i="10"/>
  <c r="AK14" i="10"/>
  <c r="AK18" i="10" s="1"/>
  <c r="AK20" i="10" s="1"/>
  <c r="AG280" i="10"/>
  <c r="AG296" i="10" s="1"/>
  <c r="AG129" i="10"/>
  <c r="AG290" i="10"/>
  <c r="AG17" i="10"/>
  <c r="AG307" i="10"/>
  <c r="AG289" i="10"/>
  <c r="AG306" i="10"/>
  <c r="AG16" i="10"/>
  <c r="AG288" i="10"/>
  <c r="AG15" i="10"/>
  <c r="AG305" i="10"/>
  <c r="AG287" i="10"/>
  <c r="AG304" i="10"/>
  <c r="AG633" i="10"/>
  <c r="AG14" i="10"/>
  <c r="AG245" i="8"/>
  <c r="AG96" i="8"/>
  <c r="AI123" i="7"/>
  <c r="AI199" i="7"/>
  <c r="AI52" i="7"/>
  <c r="AI160" i="7"/>
  <c r="AI197" i="7"/>
  <c r="AI50" i="7"/>
  <c r="AI158" i="7"/>
  <c r="AI14" i="8"/>
  <c r="AI18" i="8" s="1"/>
  <c r="AI20" i="8" s="1"/>
  <c r="AI598" i="8"/>
  <c r="AJ245" i="8"/>
  <c r="AJ96" i="8"/>
  <c r="AK245" i="8"/>
  <c r="AK96" i="8"/>
  <c r="AL245" i="8"/>
  <c r="AL96" i="8"/>
  <c r="AM245" i="8"/>
  <c r="AM96" i="8"/>
  <c r="AN14" i="8"/>
  <c r="AN18" i="8" s="1"/>
  <c r="AN20" i="8" s="1"/>
  <c r="AN598" i="8"/>
  <c r="AP197" i="7"/>
  <c r="AP50" i="7"/>
  <c r="AP158" i="7"/>
  <c r="AP14" i="7"/>
  <c r="AP18" i="7" s="1"/>
  <c r="AP20" i="7" s="1"/>
  <c r="AP196" i="7"/>
  <c r="AP49" i="7"/>
  <c r="AP53" i="7" s="1"/>
  <c r="AP527" i="7"/>
  <c r="AP157" i="7"/>
  <c r="AP245" i="8"/>
  <c r="AP96" i="8"/>
  <c r="AN280" i="10"/>
  <c r="AN296" i="10" s="1"/>
  <c r="AN129" i="10"/>
  <c r="AN290" i="10"/>
  <c r="AN307" i="10"/>
  <c r="AN17" i="10"/>
  <c r="AN288" i="10"/>
  <c r="AN305" i="10"/>
  <c r="AN15" i="10"/>
  <c r="AJ289" i="10"/>
  <c r="AJ16" i="10"/>
  <c r="AJ306" i="10"/>
  <c r="AJ287" i="10"/>
  <c r="AJ14" i="10"/>
  <c r="AJ18" i="10" s="1"/>
  <c r="AJ20" i="10" s="1"/>
  <c r="AJ304" i="10"/>
  <c r="AJ633" i="10"/>
  <c r="AM280" i="10"/>
  <c r="AM296" i="10" s="1"/>
  <c r="AM129" i="10"/>
  <c r="AM290" i="10"/>
  <c r="AM307" i="10"/>
  <c r="AM17" i="10"/>
  <c r="AM289" i="10"/>
  <c r="AM306" i="10"/>
  <c r="AM16" i="10"/>
  <c r="AG123" i="7"/>
  <c r="AG199" i="7"/>
  <c r="AG52" i="7"/>
  <c r="AG160" i="7"/>
  <c r="AG174" i="7"/>
  <c r="AG105" i="7"/>
  <c r="AG158" i="7"/>
  <c r="AG197" i="7"/>
  <c r="AG50" i="7"/>
  <c r="AH174" i="7"/>
  <c r="AH105" i="7"/>
  <c r="AH245" i="8"/>
  <c r="AH96" i="8"/>
  <c r="AJ174" i="7"/>
  <c r="AJ105" i="7"/>
  <c r="AK123" i="7"/>
  <c r="AK14" i="7"/>
  <c r="AK18" i="7" s="1"/>
  <c r="AK20" i="7" s="1"/>
  <c r="AK196" i="7"/>
  <c r="AK49" i="7"/>
  <c r="AK527" i="7"/>
  <c r="AK157" i="7"/>
  <c r="AK161" i="7" s="1"/>
  <c r="AK162" i="7" s="1"/>
  <c r="AK160" i="7"/>
  <c r="AK199" i="7"/>
  <c r="AK52" i="7"/>
  <c r="AL197" i="7"/>
  <c r="AL50" i="7"/>
  <c r="AL158" i="7"/>
  <c r="AL14" i="7"/>
  <c r="AL18" i="7" s="1"/>
  <c r="AL20" i="7" s="1"/>
  <c r="AL527" i="7"/>
  <c r="AL157" i="7"/>
  <c r="AL196" i="7"/>
  <c r="AL49" i="7"/>
  <c r="AL53" i="7" s="1"/>
  <c r="AM123" i="7"/>
  <c r="AM20" i="7"/>
  <c r="AM199" i="7"/>
  <c r="AM52" i="7"/>
  <c r="AM160" i="7"/>
  <c r="AM174" i="7"/>
  <c r="AM105" i="7"/>
  <c r="AM158" i="7"/>
  <c r="AM197" i="7"/>
  <c r="AM50" i="7"/>
  <c r="AN158" i="7"/>
  <c r="AN197" i="7"/>
  <c r="AN50" i="7"/>
  <c r="AN14" i="7"/>
  <c r="AN18" i="7" s="1"/>
  <c r="AN20" i="7" s="1"/>
  <c r="AN196" i="7"/>
  <c r="AN49" i="7"/>
  <c r="AN527" i="7"/>
  <c r="AN157" i="7"/>
  <c r="AO14" i="7"/>
  <c r="AO18" i="7" s="1"/>
  <c r="AO20" i="7" s="1"/>
  <c r="AO527" i="7"/>
  <c r="AO157" i="7"/>
  <c r="AO196" i="7"/>
  <c r="AO49" i="7"/>
  <c r="AO123" i="7"/>
  <c r="AO199" i="7"/>
  <c r="AO52" i="7"/>
  <c r="AO160" i="7"/>
  <c r="AO14" i="8"/>
  <c r="AO18" i="8" s="1"/>
  <c r="AO20" i="8" s="1"/>
  <c r="AO598" i="8"/>
  <c r="N655" i="2"/>
  <c r="N659" i="2" s="1"/>
  <c r="G653" i="2"/>
  <c r="G648" i="2"/>
  <c r="M618" i="2"/>
  <c r="N5" i="2"/>
  <c r="I20" i="2"/>
  <c r="AF199" i="7"/>
  <c r="AF160" i="7"/>
  <c r="AF52" i="7"/>
  <c r="AF158" i="7"/>
  <c r="AF50" i="7"/>
  <c r="AF197" i="7"/>
  <c r="AB14" i="7"/>
  <c r="AB18" i="7" s="1"/>
  <c r="AB49" i="7"/>
  <c r="AB157" i="7"/>
  <c r="AB196" i="7"/>
  <c r="AB527" i="7"/>
  <c r="AB123" i="7"/>
  <c r="AB20" i="7"/>
  <c r="AB198" i="7"/>
  <c r="AB159" i="7"/>
  <c r="AB51" i="7"/>
  <c r="X160" i="7"/>
  <c r="X52" i="7"/>
  <c r="X199" i="7"/>
  <c r="X197" i="7"/>
  <c r="X158" i="7"/>
  <c r="X50" i="7"/>
  <c r="T174" i="7"/>
  <c r="T105" i="7"/>
  <c r="T123" i="7"/>
  <c r="T51" i="7"/>
  <c r="T198" i="7"/>
  <c r="T159" i="7"/>
  <c r="P160" i="7"/>
  <c r="P52" i="7"/>
  <c r="P199" i="7"/>
  <c r="P158" i="7"/>
  <c r="P50" i="7"/>
  <c r="P197" i="7"/>
  <c r="L123" i="7"/>
  <c r="L198" i="7"/>
  <c r="L159" i="7"/>
  <c r="L51" i="7"/>
  <c r="L14" i="7"/>
  <c r="L18" i="7" s="1"/>
  <c r="L20" i="7" s="1"/>
  <c r="L527" i="7"/>
  <c r="L196" i="7"/>
  <c r="L157" i="7"/>
  <c r="L49" i="7"/>
  <c r="L174" i="7"/>
  <c r="L105" i="7"/>
  <c r="H160" i="7"/>
  <c r="H52" i="7"/>
  <c r="H199" i="7"/>
  <c r="H158" i="7"/>
  <c r="H50" i="7"/>
  <c r="H197" i="7"/>
  <c r="D50" i="7"/>
  <c r="D197" i="7"/>
  <c r="D158" i="7"/>
  <c r="D123" i="7"/>
  <c r="D51" i="7"/>
  <c r="D198" i="7"/>
  <c r="D159" i="7"/>
  <c r="Z129" i="10"/>
  <c r="Z280" i="10"/>
  <c r="Z296" i="10" s="1"/>
  <c r="Z307" i="10"/>
  <c r="Z17" i="10"/>
  <c r="Z290" i="10"/>
  <c r="Z305" i="10"/>
  <c r="Z288" i="10"/>
  <c r="Z15" i="10"/>
  <c r="Z306" i="10"/>
  <c r="Z289" i="10"/>
  <c r="Z16" i="10"/>
  <c r="Z304" i="10"/>
  <c r="Z633" i="10"/>
  <c r="Z287" i="10"/>
  <c r="Z14" i="10"/>
  <c r="R280" i="10"/>
  <c r="R296" i="10" s="1"/>
  <c r="R129" i="10"/>
  <c r="R307" i="10"/>
  <c r="R17" i="10"/>
  <c r="R290" i="10"/>
  <c r="R305" i="10"/>
  <c r="R288" i="10"/>
  <c r="R15" i="10"/>
  <c r="R306" i="10"/>
  <c r="R289" i="10"/>
  <c r="R16" i="10"/>
  <c r="R304" i="10"/>
  <c r="R14" i="10"/>
  <c r="R287" i="10"/>
  <c r="R633" i="10"/>
  <c r="N304" i="10"/>
  <c r="N633" i="10"/>
  <c r="N287" i="10"/>
  <c r="N14" i="10"/>
  <c r="J129" i="10"/>
  <c r="J280" i="10"/>
  <c r="J296" i="10" s="1"/>
  <c r="J307" i="10"/>
  <c r="J17" i="10"/>
  <c r="J290" i="10"/>
  <c r="J305" i="10"/>
  <c r="J288" i="10"/>
  <c r="J15" i="10"/>
  <c r="J306" i="10"/>
  <c r="J16" i="10"/>
  <c r="J289" i="10"/>
  <c r="J304" i="10"/>
  <c r="J633" i="10"/>
  <c r="J287" i="10"/>
  <c r="J14" i="10"/>
  <c r="H51" i="2"/>
  <c r="H233" i="2"/>
  <c r="H272" i="2"/>
  <c r="H49" i="2"/>
  <c r="H270" i="2"/>
  <c r="H601" i="2"/>
  <c r="H231" i="2"/>
  <c r="D50" i="2"/>
  <c r="D271" i="2"/>
  <c r="D232" i="2"/>
  <c r="D49" i="2"/>
  <c r="D270" i="2"/>
  <c r="D231" i="2"/>
  <c r="D601" i="2"/>
  <c r="D248" i="2"/>
  <c r="D105" i="2"/>
  <c r="Z245" i="8"/>
  <c r="Z96" i="8"/>
  <c r="R245" i="8"/>
  <c r="R96" i="8"/>
  <c r="J14" i="8"/>
  <c r="J18" i="8" s="1"/>
  <c r="J20" i="8" s="1"/>
  <c r="J598" i="8"/>
  <c r="J245" i="8"/>
  <c r="J96" i="8"/>
  <c r="F14" i="8"/>
  <c r="F18" i="8" s="1"/>
  <c r="F20" i="8" s="1"/>
  <c r="F598" i="8"/>
  <c r="AC197" i="7"/>
  <c r="AC158" i="7"/>
  <c r="AC50" i="7"/>
  <c r="AC198" i="7"/>
  <c r="AC159" i="7"/>
  <c r="AC51" i="7"/>
  <c r="AC14" i="7"/>
  <c r="AC18" i="7" s="1"/>
  <c r="AC20" i="7" s="1"/>
  <c r="AC196" i="7"/>
  <c r="AC527" i="7"/>
  <c r="AC49" i="7"/>
  <c r="AC157" i="7"/>
  <c r="Y174" i="7"/>
  <c r="Y105" i="7"/>
  <c r="Y123" i="7"/>
  <c r="Y199" i="7"/>
  <c r="Y160" i="7"/>
  <c r="Y52" i="7"/>
  <c r="U174" i="7"/>
  <c r="U105" i="7"/>
  <c r="U51" i="7"/>
  <c r="U198" i="7"/>
  <c r="U159" i="7"/>
  <c r="U197" i="7"/>
  <c r="U158" i="7"/>
  <c r="U50" i="7"/>
  <c r="Q174" i="7"/>
  <c r="Q105" i="7"/>
  <c r="Q123" i="7"/>
  <c r="Q160" i="7"/>
  <c r="Q199" i="7"/>
  <c r="Q52" i="7"/>
  <c r="M198" i="7"/>
  <c r="M159" i="7"/>
  <c r="M51" i="7"/>
  <c r="M197" i="7"/>
  <c r="M158" i="7"/>
  <c r="M50" i="7"/>
  <c r="I123" i="7"/>
  <c r="I160" i="7"/>
  <c r="I52" i="7"/>
  <c r="I199" i="7"/>
  <c r="I197" i="7"/>
  <c r="I158" i="7"/>
  <c r="I50" i="7"/>
  <c r="E158" i="7"/>
  <c r="E50" i="7"/>
  <c r="E197" i="7"/>
  <c r="E198" i="7"/>
  <c r="E159" i="7"/>
  <c r="E51" i="7"/>
  <c r="E14" i="7"/>
  <c r="E18" i="7" s="1"/>
  <c r="E20" i="7" s="1"/>
  <c r="E527" i="7"/>
  <c r="E196" i="7"/>
  <c r="E157" i="7"/>
  <c r="E49" i="7"/>
  <c r="AE129" i="10"/>
  <c r="AE280" i="10"/>
  <c r="AE296" i="10" s="1"/>
  <c r="AE306" i="10"/>
  <c r="AE289" i="10"/>
  <c r="AE16" i="10"/>
  <c r="AE304" i="10"/>
  <c r="AE633" i="10"/>
  <c r="AE287" i="10"/>
  <c r="AE14" i="10"/>
  <c r="AA307" i="10"/>
  <c r="AA17" i="10"/>
  <c r="AA290" i="10"/>
  <c r="AA305" i="10"/>
  <c r="AA288" i="10"/>
  <c r="AA15" i="10"/>
  <c r="W129" i="10"/>
  <c r="W280" i="10"/>
  <c r="W296" i="10" s="1"/>
  <c r="W306" i="10"/>
  <c r="W289" i="10"/>
  <c r="W16" i="10"/>
  <c r="W304" i="10"/>
  <c r="W14" i="10"/>
  <c r="W287" i="10"/>
  <c r="W633" i="10"/>
  <c r="S307" i="10"/>
  <c r="S290" i="10"/>
  <c r="S17" i="10"/>
  <c r="S305" i="10"/>
  <c r="S288" i="10"/>
  <c r="S15" i="10"/>
  <c r="O129" i="10"/>
  <c r="O280" i="10"/>
  <c r="O296" i="10" s="1"/>
  <c r="O306" i="10"/>
  <c r="O16" i="10"/>
  <c r="O289" i="10"/>
  <c r="O304" i="10"/>
  <c r="O14" i="10"/>
  <c r="O287" i="10"/>
  <c r="O633" i="10"/>
  <c r="K307" i="10"/>
  <c r="K290" i="10"/>
  <c r="K17" i="10"/>
  <c r="K305" i="10"/>
  <c r="K288" i="10"/>
  <c r="K15" i="10"/>
  <c r="G129" i="10"/>
  <c r="G280" i="10"/>
  <c r="G296" i="10" s="1"/>
  <c r="G306" i="10"/>
  <c r="G16" i="10"/>
  <c r="G289" i="10"/>
  <c r="G304" i="10"/>
  <c r="G14" i="10"/>
  <c r="G287" i="10"/>
  <c r="G633" i="10"/>
  <c r="C307" i="10"/>
  <c r="C290" i="10"/>
  <c r="C17" i="10"/>
  <c r="C305" i="10"/>
  <c r="C15" i="10"/>
  <c r="C288" i="10"/>
  <c r="B133" i="10"/>
  <c r="B130" i="10"/>
  <c r="I234" i="2"/>
  <c r="I52" i="2"/>
  <c r="I273" i="2"/>
  <c r="I51" i="2"/>
  <c r="I272" i="2"/>
  <c r="I233" i="2"/>
  <c r="E248" i="2"/>
  <c r="E105" i="2"/>
  <c r="E49" i="2"/>
  <c r="E270" i="2"/>
  <c r="E601" i="2"/>
  <c r="E231" i="2"/>
  <c r="E50" i="2"/>
  <c r="E271" i="2"/>
  <c r="E232" i="2"/>
  <c r="AE14" i="8"/>
  <c r="AE18" i="8" s="1"/>
  <c r="AE20" i="8" s="1"/>
  <c r="AE598" i="8"/>
  <c r="AA245" i="8"/>
  <c r="AA96" i="8"/>
  <c r="W14" i="8"/>
  <c r="W18" i="8" s="1"/>
  <c r="W20" i="8" s="1"/>
  <c r="W598" i="8"/>
  <c r="S14" i="8"/>
  <c r="S18" i="8" s="1"/>
  <c r="S20" i="8" s="1"/>
  <c r="S598" i="8"/>
  <c r="S245" i="8"/>
  <c r="S96" i="8"/>
  <c r="O14" i="8"/>
  <c r="O18" i="8" s="1"/>
  <c r="O20" i="8" s="1"/>
  <c r="O598" i="8"/>
  <c r="K245" i="8"/>
  <c r="K96" i="8"/>
  <c r="G14" i="8"/>
  <c r="G18" i="8" s="1"/>
  <c r="G20" i="8" s="1"/>
  <c r="G598" i="8"/>
  <c r="C14" i="8"/>
  <c r="C18" i="8" s="1"/>
  <c r="C20" i="8" s="1"/>
  <c r="C598" i="8"/>
  <c r="AD199" i="7"/>
  <c r="AD160" i="7"/>
  <c r="AD52" i="7"/>
  <c r="AD50" i="7"/>
  <c r="AD197" i="7"/>
  <c r="AD158" i="7"/>
  <c r="Z174" i="7"/>
  <c r="Z105" i="7"/>
  <c r="Z198" i="7"/>
  <c r="Z159" i="7"/>
  <c r="Z51" i="7"/>
  <c r="Z158" i="7"/>
  <c r="Z50" i="7"/>
  <c r="Z197" i="7"/>
  <c r="V197" i="7"/>
  <c r="V158" i="7"/>
  <c r="V50" i="7"/>
  <c r="V199" i="7"/>
  <c r="V160" i="7"/>
  <c r="V52" i="7"/>
  <c r="V123" i="7"/>
  <c r="R123" i="7"/>
  <c r="R199" i="7"/>
  <c r="R160" i="7"/>
  <c r="R52" i="7"/>
  <c r="R159" i="7"/>
  <c r="R51" i="7"/>
  <c r="R198" i="7"/>
  <c r="R14" i="7"/>
  <c r="R18" i="7" s="1"/>
  <c r="R20" i="7" s="1"/>
  <c r="R196" i="7"/>
  <c r="R527" i="7"/>
  <c r="R49" i="7"/>
  <c r="R157" i="7"/>
  <c r="N160" i="7"/>
  <c r="N52" i="7"/>
  <c r="N199" i="7"/>
  <c r="N158" i="7"/>
  <c r="N50" i="7"/>
  <c r="N197" i="7"/>
  <c r="J123" i="7"/>
  <c r="J198" i="7"/>
  <c r="J159" i="7"/>
  <c r="J51" i="7"/>
  <c r="J14" i="7"/>
  <c r="J18" i="7" s="1"/>
  <c r="J20" i="7" s="1"/>
  <c r="J527" i="7"/>
  <c r="J196" i="7"/>
  <c r="J157" i="7"/>
  <c r="J49" i="7"/>
  <c r="J174" i="7"/>
  <c r="J105" i="7"/>
  <c r="F14" i="7"/>
  <c r="F18" i="7" s="1"/>
  <c r="F20" i="7" s="1"/>
  <c r="F527" i="7"/>
  <c r="F196" i="7"/>
  <c r="F157" i="7"/>
  <c r="F49" i="7"/>
  <c r="F174" i="7"/>
  <c r="F105" i="7"/>
  <c r="F52" i="7"/>
  <c r="F199" i="7"/>
  <c r="F160" i="7"/>
  <c r="AF129" i="10"/>
  <c r="AF280" i="10"/>
  <c r="AF296" i="10" s="1"/>
  <c r="AF307" i="10"/>
  <c r="AF290" i="10"/>
  <c r="AF17" i="10"/>
  <c r="AB306" i="10"/>
  <c r="AB16" i="10"/>
  <c r="AB289" i="10"/>
  <c r="AB304" i="10"/>
  <c r="AB633" i="10"/>
  <c r="AB287" i="10"/>
  <c r="AB14" i="10"/>
  <c r="X129" i="10"/>
  <c r="X280" i="10"/>
  <c r="X296" i="10" s="1"/>
  <c r="X307" i="10"/>
  <c r="X290" i="10"/>
  <c r="X17" i="10"/>
  <c r="X305" i="10"/>
  <c r="X15" i="10"/>
  <c r="X288" i="10"/>
  <c r="T306" i="10"/>
  <c r="T16" i="10"/>
  <c r="T289" i="10"/>
  <c r="T304" i="10"/>
  <c r="T14" i="10"/>
  <c r="T287" i="10"/>
  <c r="T633" i="10"/>
  <c r="P129" i="10"/>
  <c r="P280" i="10"/>
  <c r="P296" i="10" s="1"/>
  <c r="P307" i="10"/>
  <c r="P290" i="10"/>
  <c r="P17" i="10"/>
  <c r="P305" i="10"/>
  <c r="P15" i="10"/>
  <c r="P288" i="10"/>
  <c r="L306" i="10"/>
  <c r="L16" i="10"/>
  <c r="L289" i="10"/>
  <c r="L304" i="10"/>
  <c r="L633" i="10"/>
  <c r="L287" i="10"/>
  <c r="L14" i="10"/>
  <c r="H129" i="10"/>
  <c r="H280" i="10"/>
  <c r="H296" i="10" s="1"/>
  <c r="H307" i="10"/>
  <c r="H290" i="10"/>
  <c r="H17" i="10"/>
  <c r="D305" i="10"/>
  <c r="D15" i="10"/>
  <c r="D288" i="10"/>
  <c r="D306" i="10"/>
  <c r="D289" i="10"/>
  <c r="D16" i="10"/>
  <c r="D304" i="10"/>
  <c r="D633" i="10"/>
  <c r="D287" i="10"/>
  <c r="D14" i="10"/>
  <c r="F232" i="2"/>
  <c r="F50" i="2"/>
  <c r="F271" i="2"/>
  <c r="F248" i="2"/>
  <c r="F105" i="2"/>
  <c r="F49" i="2"/>
  <c r="F601" i="2"/>
  <c r="F231" i="2"/>
  <c r="F270" i="2"/>
  <c r="F120" i="2"/>
  <c r="F20" i="2"/>
  <c r="AB14" i="8"/>
  <c r="AB18" i="8" s="1"/>
  <c r="AB20" i="8" s="1"/>
  <c r="AB598" i="8"/>
  <c r="X14" i="8"/>
  <c r="X18" i="8" s="1"/>
  <c r="X20" i="8" s="1"/>
  <c r="X598" i="8"/>
  <c r="X245" i="8"/>
  <c r="X96" i="8"/>
  <c r="T111" i="8"/>
  <c r="P14" i="8"/>
  <c r="P18" i="8" s="1"/>
  <c r="P20" i="8" s="1"/>
  <c r="P598" i="8"/>
  <c r="P245" i="8"/>
  <c r="P96" i="8"/>
  <c r="L111" i="8"/>
  <c r="L14" i="8"/>
  <c r="L18" i="8" s="1"/>
  <c r="L20" i="8" s="1"/>
  <c r="L598" i="8"/>
  <c r="H245" i="8"/>
  <c r="H96" i="8"/>
  <c r="D14" i="8"/>
  <c r="D18" i="8" s="1"/>
  <c r="D20" i="8" s="1"/>
  <c r="D598" i="8"/>
  <c r="AE197" i="7"/>
  <c r="AE158" i="7"/>
  <c r="AE50" i="7"/>
  <c r="AE198" i="7"/>
  <c r="AE159" i="7"/>
  <c r="AE51" i="7"/>
  <c r="AE14" i="7"/>
  <c r="AE18" i="7" s="1"/>
  <c r="AE20" i="7" s="1"/>
  <c r="AE49" i="7"/>
  <c r="AE157" i="7"/>
  <c r="AE196" i="7"/>
  <c r="AE527" i="7"/>
  <c r="AA123" i="7"/>
  <c r="AA52" i="7"/>
  <c r="AA199" i="7"/>
  <c r="AA160" i="7"/>
  <c r="AA158" i="7"/>
  <c r="AA50" i="7"/>
  <c r="AA197" i="7"/>
  <c r="W51" i="7"/>
  <c r="W198" i="7"/>
  <c r="W159" i="7"/>
  <c r="W14" i="7"/>
  <c r="W18" i="7" s="1"/>
  <c r="W196" i="7"/>
  <c r="W527" i="7"/>
  <c r="W49" i="7"/>
  <c r="W157" i="7"/>
  <c r="W174" i="7"/>
  <c r="W105" i="7"/>
  <c r="S123" i="7"/>
  <c r="S199" i="7"/>
  <c r="S160" i="7"/>
  <c r="S52" i="7"/>
  <c r="S197" i="7"/>
  <c r="S50" i="7"/>
  <c r="S158" i="7"/>
  <c r="O174" i="7"/>
  <c r="O105" i="7"/>
  <c r="O198" i="7"/>
  <c r="O159" i="7"/>
  <c r="O51" i="7"/>
  <c r="K14" i="7"/>
  <c r="K18" i="7" s="1"/>
  <c r="K20" i="7" s="1"/>
  <c r="K196" i="7"/>
  <c r="K527" i="7"/>
  <c r="K49" i="7"/>
  <c r="K157" i="7"/>
  <c r="K123" i="7"/>
  <c r="K199" i="7"/>
  <c r="K160" i="7"/>
  <c r="K52" i="7"/>
  <c r="G197" i="7"/>
  <c r="G158" i="7"/>
  <c r="G50" i="7"/>
  <c r="G198" i="7"/>
  <c r="G159" i="7"/>
  <c r="G51" i="7"/>
  <c r="G14" i="7"/>
  <c r="G18" i="7" s="1"/>
  <c r="G527" i="7"/>
  <c r="G196" i="7"/>
  <c r="G157" i="7"/>
  <c r="G49" i="7"/>
  <c r="C123" i="7"/>
  <c r="C199" i="7"/>
  <c r="C160" i="7"/>
  <c r="C52" i="7"/>
  <c r="C197" i="7"/>
  <c r="C158" i="7"/>
  <c r="C50" i="7"/>
  <c r="C51" i="7"/>
  <c r="C198" i="7"/>
  <c r="C159" i="7"/>
  <c r="C14" i="7"/>
  <c r="C18" i="7" s="1"/>
  <c r="C20" i="7" s="1"/>
  <c r="C196" i="7"/>
  <c r="C527" i="7"/>
  <c r="C49" i="7"/>
  <c r="C157" i="7"/>
  <c r="AC307" i="10"/>
  <c r="AC17" i="10"/>
  <c r="AC290" i="10"/>
  <c r="AC305" i="10"/>
  <c r="AC15" i="10"/>
  <c r="AC288" i="10"/>
  <c r="Y129" i="10"/>
  <c r="Y280" i="10"/>
  <c r="Y296" i="10" s="1"/>
  <c r="Y306" i="10"/>
  <c r="Y289" i="10"/>
  <c r="Y16" i="10"/>
  <c r="Y304" i="10"/>
  <c r="Y14" i="10"/>
  <c r="Y287" i="10"/>
  <c r="Y633" i="10"/>
  <c r="U304" i="10"/>
  <c r="U14" i="10"/>
  <c r="U287" i="10"/>
  <c r="U633" i="10"/>
  <c r="U307" i="10"/>
  <c r="U290" i="10"/>
  <c r="U17" i="10"/>
  <c r="Q129" i="10"/>
  <c r="Q280" i="10"/>
  <c r="Q296" i="10" s="1"/>
  <c r="Q306" i="10"/>
  <c r="Q289" i="10"/>
  <c r="Q16" i="10"/>
  <c r="Q304" i="10"/>
  <c r="Q633" i="10"/>
  <c r="Q287" i="10"/>
  <c r="Q14" i="10"/>
  <c r="M307" i="10"/>
  <c r="M17" i="10"/>
  <c r="M290" i="10"/>
  <c r="M305" i="10"/>
  <c r="M15" i="10"/>
  <c r="M288" i="10"/>
  <c r="I305" i="10"/>
  <c r="I15" i="10"/>
  <c r="I288" i="10"/>
  <c r="I129" i="10"/>
  <c r="I280" i="10"/>
  <c r="I296" i="10" s="1"/>
  <c r="I306" i="10"/>
  <c r="I16" i="10"/>
  <c r="I289" i="10"/>
  <c r="E307" i="10"/>
  <c r="E17" i="10"/>
  <c r="E290" i="10"/>
  <c r="E305" i="10"/>
  <c r="E15" i="10"/>
  <c r="E288" i="10"/>
  <c r="G51" i="2"/>
  <c r="G272" i="2"/>
  <c r="G233" i="2"/>
  <c r="G52" i="2"/>
  <c r="G273" i="2"/>
  <c r="G234" i="2"/>
  <c r="G120" i="2"/>
  <c r="G20" i="2"/>
  <c r="C51" i="2"/>
  <c r="C272" i="2"/>
  <c r="C233" i="2"/>
  <c r="C49" i="2"/>
  <c r="C270" i="2"/>
  <c r="C231" i="2"/>
  <c r="C601" i="2"/>
  <c r="C248" i="2"/>
  <c r="C105" i="2"/>
  <c r="AC14" i="8"/>
  <c r="AC18" i="8" s="1"/>
  <c r="AC20" i="8" s="1"/>
  <c r="AC598" i="8"/>
  <c r="Y14" i="8"/>
  <c r="Y18" i="8" s="1"/>
  <c r="Y20" i="8" s="1"/>
  <c r="Y598" i="8"/>
  <c r="Y245" i="8"/>
  <c r="Y96" i="8"/>
  <c r="U14" i="8"/>
  <c r="U18" i="8" s="1"/>
  <c r="U20" i="8" s="1"/>
  <c r="U598" i="8"/>
  <c r="Q245" i="8"/>
  <c r="Q96" i="8"/>
  <c r="M14" i="8"/>
  <c r="M18" i="8" s="1"/>
  <c r="M20" i="8" s="1"/>
  <c r="M598" i="8"/>
  <c r="I14" i="8"/>
  <c r="I18" i="8" s="1"/>
  <c r="I20" i="8" s="1"/>
  <c r="I598" i="8"/>
  <c r="I245" i="8"/>
  <c r="I96" i="8"/>
  <c r="E14" i="8"/>
  <c r="E18" i="8" s="1"/>
  <c r="E20" i="8" s="1"/>
  <c r="E598" i="8"/>
  <c r="H20" i="2"/>
  <c r="AF123" i="7"/>
  <c r="AF51" i="7"/>
  <c r="AF198" i="7"/>
  <c r="AF159" i="7"/>
  <c r="AF14" i="7"/>
  <c r="AF18" i="7" s="1"/>
  <c r="AF20" i="7" s="1"/>
  <c r="AF49" i="7"/>
  <c r="AF53" i="7" s="1"/>
  <c r="AF157" i="7"/>
  <c r="AF196" i="7"/>
  <c r="AF527" i="7"/>
  <c r="AF174" i="7"/>
  <c r="AF105" i="7"/>
  <c r="AB174" i="7"/>
  <c r="AB105" i="7"/>
  <c r="AB50" i="7"/>
  <c r="AB197" i="7"/>
  <c r="AB158" i="7"/>
  <c r="AB160" i="7"/>
  <c r="AB52" i="7"/>
  <c r="AB199" i="7"/>
  <c r="X123" i="7"/>
  <c r="X51" i="7"/>
  <c r="X198" i="7"/>
  <c r="X159" i="7"/>
  <c r="X14" i="7"/>
  <c r="X18" i="7" s="1"/>
  <c r="X20" i="7" s="1"/>
  <c r="X157" i="7"/>
  <c r="X49" i="7"/>
  <c r="X527" i="7"/>
  <c r="X196" i="7"/>
  <c r="X174" i="7"/>
  <c r="X105" i="7"/>
  <c r="T14" i="7"/>
  <c r="T18" i="7" s="1"/>
  <c r="T20" i="7" s="1"/>
  <c r="T157" i="7"/>
  <c r="T49" i="7"/>
  <c r="T527" i="7"/>
  <c r="T196" i="7"/>
  <c r="T197" i="7"/>
  <c r="T158" i="7"/>
  <c r="T50" i="7"/>
  <c r="T199" i="7"/>
  <c r="T160" i="7"/>
  <c r="T52" i="7"/>
  <c r="P123" i="7"/>
  <c r="P51" i="7"/>
  <c r="P198" i="7"/>
  <c r="P159" i="7"/>
  <c r="P14" i="7"/>
  <c r="P18" i="7" s="1"/>
  <c r="P20" i="7" s="1"/>
  <c r="P49" i="7"/>
  <c r="P157" i="7"/>
  <c r="P196" i="7"/>
  <c r="P527" i="7"/>
  <c r="P174" i="7"/>
  <c r="P105" i="7"/>
  <c r="L199" i="7"/>
  <c r="L160" i="7"/>
  <c r="L52" i="7"/>
  <c r="L197" i="7"/>
  <c r="L158" i="7"/>
  <c r="L50" i="7"/>
  <c r="H123" i="7"/>
  <c r="H51" i="7"/>
  <c r="H198" i="7"/>
  <c r="H159" i="7"/>
  <c r="H14" i="7"/>
  <c r="H18" i="7" s="1"/>
  <c r="H20" i="7" s="1"/>
  <c r="H49" i="7"/>
  <c r="H157" i="7"/>
  <c r="H196" i="7"/>
  <c r="H527" i="7"/>
  <c r="H174" i="7"/>
  <c r="H105" i="7"/>
  <c r="D14" i="7"/>
  <c r="D18" i="7" s="1"/>
  <c r="D20" i="7" s="1"/>
  <c r="D527" i="7"/>
  <c r="D196" i="7"/>
  <c r="D157" i="7"/>
  <c r="D49" i="7"/>
  <c r="D174" i="7"/>
  <c r="D105" i="7"/>
  <c r="D160" i="7"/>
  <c r="D52" i="7"/>
  <c r="D199" i="7"/>
  <c r="AD129" i="10"/>
  <c r="AD280" i="10"/>
  <c r="AD296" i="10" s="1"/>
  <c r="AD307" i="10"/>
  <c r="AD290" i="10"/>
  <c r="AD17" i="10"/>
  <c r="AD305" i="10"/>
  <c r="AD15" i="10"/>
  <c r="AD288" i="10"/>
  <c r="AD306" i="10"/>
  <c r="AD16" i="10"/>
  <c r="AD289" i="10"/>
  <c r="AD304" i="10"/>
  <c r="AD14" i="10"/>
  <c r="AD287" i="10"/>
  <c r="AD633" i="10"/>
  <c r="V129" i="10"/>
  <c r="V280" i="10"/>
  <c r="V296" i="10" s="1"/>
  <c r="V307" i="10"/>
  <c r="V290" i="10"/>
  <c r="V17" i="10"/>
  <c r="V305" i="10"/>
  <c r="V15" i="10"/>
  <c r="V288" i="10"/>
  <c r="V306" i="10"/>
  <c r="V16" i="10"/>
  <c r="V289" i="10"/>
  <c r="V304" i="10"/>
  <c r="V14" i="10"/>
  <c r="V287" i="10"/>
  <c r="V633" i="10"/>
  <c r="N129" i="10"/>
  <c r="N280" i="10"/>
  <c r="N296" i="10" s="1"/>
  <c r="N307" i="10"/>
  <c r="N290" i="10"/>
  <c r="N17" i="10"/>
  <c r="N305" i="10"/>
  <c r="N288" i="10"/>
  <c r="N15" i="10"/>
  <c r="N306" i="10"/>
  <c r="N16" i="10"/>
  <c r="N289" i="10"/>
  <c r="F129" i="10"/>
  <c r="F280" i="10"/>
  <c r="F296" i="10" s="1"/>
  <c r="F307" i="10"/>
  <c r="F17" i="10"/>
  <c r="F290" i="10"/>
  <c r="F305" i="10"/>
  <c r="F288" i="10"/>
  <c r="F15" i="10"/>
  <c r="F306" i="10"/>
  <c r="F16" i="10"/>
  <c r="F289" i="10"/>
  <c r="F304" i="10"/>
  <c r="F633" i="10"/>
  <c r="F287" i="10"/>
  <c r="F14" i="10"/>
  <c r="H50" i="2"/>
  <c r="H271" i="2"/>
  <c r="H232" i="2"/>
  <c r="H248" i="2"/>
  <c r="H105" i="2"/>
  <c r="H52" i="2"/>
  <c r="H273" i="2"/>
  <c r="H234" i="2"/>
  <c r="D51" i="2"/>
  <c r="D272" i="2"/>
  <c r="D233" i="2"/>
  <c r="D234" i="2"/>
  <c r="D52" i="2"/>
  <c r="D273" i="2"/>
  <c r="D120" i="2"/>
  <c r="D20" i="2"/>
  <c r="AD14" i="8"/>
  <c r="AD18" i="8" s="1"/>
  <c r="AD20" i="8" s="1"/>
  <c r="AD598" i="8"/>
  <c r="AD245" i="8"/>
  <c r="AD96" i="8"/>
  <c r="Z14" i="8"/>
  <c r="Z18" i="8" s="1"/>
  <c r="Z20" i="8" s="1"/>
  <c r="Z598" i="8"/>
  <c r="V14" i="8"/>
  <c r="V18" i="8" s="1"/>
  <c r="V20" i="8" s="1"/>
  <c r="V598" i="8"/>
  <c r="V245" i="8"/>
  <c r="V96" i="8"/>
  <c r="R14" i="8"/>
  <c r="R18" i="8" s="1"/>
  <c r="R20" i="8" s="1"/>
  <c r="R598" i="8"/>
  <c r="N14" i="8"/>
  <c r="N18" i="8" s="1"/>
  <c r="N20" i="8" s="1"/>
  <c r="N598" i="8"/>
  <c r="N245" i="8"/>
  <c r="N96" i="8"/>
  <c r="F111" i="8"/>
  <c r="F245" i="8"/>
  <c r="F96" i="8"/>
  <c r="AC174" i="7"/>
  <c r="AC105" i="7"/>
  <c r="AC123" i="7"/>
  <c r="AC199" i="7"/>
  <c r="AC160" i="7"/>
  <c r="AC52" i="7"/>
  <c r="Y197" i="7"/>
  <c r="Y158" i="7"/>
  <c r="Y50" i="7"/>
  <c r="Y198" i="7"/>
  <c r="Y159" i="7"/>
  <c r="Y51" i="7"/>
  <c r="Y14" i="7"/>
  <c r="Y18" i="7" s="1"/>
  <c r="Y20" i="7" s="1"/>
  <c r="Y196" i="7"/>
  <c r="Y527" i="7"/>
  <c r="Y49" i="7"/>
  <c r="Y157" i="7"/>
  <c r="U14" i="7"/>
  <c r="U18" i="7" s="1"/>
  <c r="U20" i="7" s="1"/>
  <c r="U49" i="7"/>
  <c r="U157" i="7"/>
  <c r="U196" i="7"/>
  <c r="U527" i="7"/>
  <c r="U123" i="7"/>
  <c r="U199" i="7"/>
  <c r="U160" i="7"/>
  <c r="U52" i="7"/>
  <c r="Q197" i="7"/>
  <c r="Q158" i="7"/>
  <c r="Q50" i="7"/>
  <c r="Q159" i="7"/>
  <c r="Q51" i="7"/>
  <c r="Q198" i="7"/>
  <c r="Q14" i="7"/>
  <c r="Q18" i="7" s="1"/>
  <c r="Q20" i="7" s="1"/>
  <c r="Q49" i="7"/>
  <c r="Q157" i="7"/>
  <c r="Q196" i="7"/>
  <c r="Q527" i="7"/>
  <c r="M14" i="7"/>
  <c r="M18" i="7" s="1"/>
  <c r="M20" i="7" s="1"/>
  <c r="M196" i="7"/>
  <c r="M527" i="7"/>
  <c r="M49" i="7"/>
  <c r="M157" i="7"/>
  <c r="M123" i="7"/>
  <c r="M174" i="7"/>
  <c r="M105" i="7"/>
  <c r="M199" i="7"/>
  <c r="M160" i="7"/>
  <c r="M52" i="7"/>
  <c r="I198" i="7"/>
  <c r="I159" i="7"/>
  <c r="I51" i="7"/>
  <c r="I14" i="7"/>
  <c r="I18" i="7" s="1"/>
  <c r="I20" i="7" s="1"/>
  <c r="I49" i="7"/>
  <c r="I157" i="7"/>
  <c r="I196" i="7"/>
  <c r="I527" i="7"/>
  <c r="I174" i="7"/>
  <c r="I105" i="7"/>
  <c r="E174" i="7"/>
  <c r="E105" i="7"/>
  <c r="E123" i="7"/>
  <c r="E160" i="7"/>
  <c r="E52" i="7"/>
  <c r="E199" i="7"/>
  <c r="AE307" i="10"/>
  <c r="AE17" i="10"/>
  <c r="AE290" i="10"/>
  <c r="AE305" i="10"/>
  <c r="AE288" i="10"/>
  <c r="AE15" i="10"/>
  <c r="AA129" i="10"/>
  <c r="AA280" i="10"/>
  <c r="AA296" i="10" s="1"/>
  <c r="AA306" i="10"/>
  <c r="AA289" i="10"/>
  <c r="AA16" i="10"/>
  <c r="AA304" i="10"/>
  <c r="AA14" i="10"/>
  <c r="AA287" i="10"/>
  <c r="AA633" i="10"/>
  <c r="W307" i="10"/>
  <c r="W17" i="10"/>
  <c r="W290" i="10"/>
  <c r="W305" i="10"/>
  <c r="W288" i="10"/>
  <c r="W15" i="10"/>
  <c r="S129" i="10"/>
  <c r="S280" i="10"/>
  <c r="S296" i="10" s="1"/>
  <c r="S306" i="10"/>
  <c r="S16" i="10"/>
  <c r="S289" i="10"/>
  <c r="S304" i="10"/>
  <c r="S633" i="10"/>
  <c r="S287" i="10"/>
  <c r="S14" i="10"/>
  <c r="O307" i="10"/>
  <c r="O290" i="10"/>
  <c r="O17" i="10"/>
  <c r="O305" i="10"/>
  <c r="O288" i="10"/>
  <c r="O15" i="10"/>
  <c r="K129" i="10"/>
  <c r="K280" i="10"/>
  <c r="K296" i="10" s="1"/>
  <c r="K306" i="10"/>
  <c r="K16" i="10"/>
  <c r="K289" i="10"/>
  <c r="K304" i="10"/>
  <c r="K633" i="10"/>
  <c r="K287" i="10"/>
  <c r="K14" i="10"/>
  <c r="G307" i="10"/>
  <c r="G290" i="10"/>
  <c r="G17" i="10"/>
  <c r="G305" i="10"/>
  <c r="G288" i="10"/>
  <c r="G15" i="10"/>
  <c r="C129" i="10"/>
  <c r="C280" i="10"/>
  <c r="C296" i="10" s="1"/>
  <c r="C306" i="10"/>
  <c r="C289" i="10"/>
  <c r="C16" i="10"/>
  <c r="C304" i="10"/>
  <c r="C287" i="10"/>
  <c r="C14" i="10"/>
  <c r="C633" i="10"/>
  <c r="I231" i="2"/>
  <c r="I601" i="2"/>
  <c r="I49" i="2"/>
  <c r="I270" i="2"/>
  <c r="I248" i="2"/>
  <c r="I105" i="2"/>
  <c r="I232" i="2"/>
  <c r="I50" i="2"/>
  <c r="I271" i="2"/>
  <c r="E51" i="2"/>
  <c r="E272" i="2"/>
  <c r="E233" i="2"/>
  <c r="E52" i="2"/>
  <c r="E273" i="2"/>
  <c r="E234" i="2"/>
  <c r="E120" i="2"/>
  <c r="E20" i="2"/>
  <c r="AE245" i="8"/>
  <c r="AE96" i="8"/>
  <c r="AA14" i="8"/>
  <c r="AA18" i="8" s="1"/>
  <c r="AA20" i="8" s="1"/>
  <c r="AA598" i="8"/>
  <c r="W245" i="8"/>
  <c r="W96" i="8"/>
  <c r="S111" i="8"/>
  <c r="O245" i="8"/>
  <c r="O96" i="8"/>
  <c r="K111" i="8"/>
  <c r="K14" i="8"/>
  <c r="K18" i="8" s="1"/>
  <c r="K20" i="8" s="1"/>
  <c r="K598" i="8"/>
  <c r="G245" i="8"/>
  <c r="G96" i="8"/>
  <c r="C245" i="8"/>
  <c r="C96" i="8"/>
  <c r="B115" i="8"/>
  <c r="B112" i="8"/>
  <c r="AD123" i="7"/>
  <c r="AD198" i="7"/>
  <c r="AD159" i="7"/>
  <c r="AD51" i="7"/>
  <c r="AD14" i="7"/>
  <c r="AD18" i="7" s="1"/>
  <c r="AD20" i="7" s="1"/>
  <c r="AD527" i="7"/>
  <c r="AD196" i="7"/>
  <c r="AD157" i="7"/>
  <c r="AD49" i="7"/>
  <c r="AD174" i="7"/>
  <c r="AD105" i="7"/>
  <c r="Z123" i="7"/>
  <c r="Z52" i="7"/>
  <c r="Z199" i="7"/>
  <c r="Z160" i="7"/>
  <c r="Z14" i="7"/>
  <c r="Z18" i="7" s="1"/>
  <c r="Z20" i="7" s="1"/>
  <c r="Z49" i="7"/>
  <c r="Z157" i="7"/>
  <c r="Z196" i="7"/>
  <c r="Z527" i="7"/>
  <c r="V14" i="7"/>
  <c r="V18" i="7" s="1"/>
  <c r="V20" i="7" s="1"/>
  <c r="V157" i="7"/>
  <c r="V49" i="7"/>
  <c r="V527" i="7"/>
  <c r="V196" i="7"/>
  <c r="V198" i="7"/>
  <c r="V159" i="7"/>
  <c r="V51" i="7"/>
  <c r="V174" i="7"/>
  <c r="V105" i="7"/>
  <c r="R174" i="7"/>
  <c r="R105" i="7"/>
  <c r="R50" i="7"/>
  <c r="R197" i="7"/>
  <c r="R158" i="7"/>
  <c r="N123" i="7"/>
  <c r="N51" i="7"/>
  <c r="N198" i="7"/>
  <c r="N159" i="7"/>
  <c r="N14" i="7"/>
  <c r="N18" i="7" s="1"/>
  <c r="N20" i="7" s="1"/>
  <c r="N49" i="7"/>
  <c r="N157" i="7"/>
  <c r="N196" i="7"/>
  <c r="N527" i="7"/>
  <c r="N174" i="7"/>
  <c r="N105" i="7"/>
  <c r="J52" i="7"/>
  <c r="J199" i="7"/>
  <c r="J160" i="7"/>
  <c r="J197" i="7"/>
  <c r="J158" i="7"/>
  <c r="J50" i="7"/>
  <c r="F50" i="7"/>
  <c r="F197" i="7"/>
  <c r="F158" i="7"/>
  <c r="F123" i="7"/>
  <c r="F159" i="7"/>
  <c r="F51" i="7"/>
  <c r="F198" i="7"/>
  <c r="AF305" i="10"/>
  <c r="AF288" i="10"/>
  <c r="AF15" i="10"/>
  <c r="AF306" i="10"/>
  <c r="AF16" i="10"/>
  <c r="AF289" i="10"/>
  <c r="AF304" i="10"/>
  <c r="AF633" i="10"/>
  <c r="AF287" i="10"/>
  <c r="AF14" i="10"/>
  <c r="AB129" i="10"/>
  <c r="AB280" i="10"/>
  <c r="AB296" i="10" s="1"/>
  <c r="AB307" i="10"/>
  <c r="AB17" i="10"/>
  <c r="AB290" i="10"/>
  <c r="AB305" i="10"/>
  <c r="AB288" i="10"/>
  <c r="AB15" i="10"/>
  <c r="X306" i="10"/>
  <c r="X289" i="10"/>
  <c r="X16" i="10"/>
  <c r="X304" i="10"/>
  <c r="X633" i="10"/>
  <c r="X287" i="10"/>
  <c r="X291" i="10" s="1"/>
  <c r="X14" i="10"/>
  <c r="T129" i="10"/>
  <c r="T280" i="10"/>
  <c r="T296" i="10" s="1"/>
  <c r="T307" i="10"/>
  <c r="T17" i="10"/>
  <c r="T290" i="10"/>
  <c r="T305" i="10"/>
  <c r="T288" i="10"/>
  <c r="T15" i="10"/>
  <c r="P306" i="10"/>
  <c r="P16" i="10"/>
  <c r="P289" i="10"/>
  <c r="P304" i="10"/>
  <c r="P14" i="10"/>
  <c r="P287" i="10"/>
  <c r="P633" i="10"/>
  <c r="L129" i="10"/>
  <c r="L280" i="10"/>
  <c r="L296" i="10" s="1"/>
  <c r="L307" i="10"/>
  <c r="L290" i="10"/>
  <c r="L17" i="10"/>
  <c r="L305" i="10"/>
  <c r="L15" i="10"/>
  <c r="L288" i="10"/>
  <c r="H305" i="10"/>
  <c r="H15" i="10"/>
  <c r="H288" i="10"/>
  <c r="H306" i="10"/>
  <c r="H289" i="10"/>
  <c r="H16" i="10"/>
  <c r="H304" i="10"/>
  <c r="H633" i="10"/>
  <c r="H287" i="10"/>
  <c r="H14" i="10"/>
  <c r="D129" i="10"/>
  <c r="D280" i="10"/>
  <c r="D296" i="10" s="1"/>
  <c r="D307" i="10"/>
  <c r="D290" i="10"/>
  <c r="D17" i="10"/>
  <c r="F51" i="2"/>
  <c r="F272" i="2"/>
  <c r="F233" i="2"/>
  <c r="F234" i="2"/>
  <c r="F52" i="2"/>
  <c r="F273" i="2"/>
  <c r="AF245" i="8"/>
  <c r="AF96" i="8"/>
  <c r="AF14" i="8"/>
  <c r="AF18" i="8" s="1"/>
  <c r="AF20" i="8" s="1"/>
  <c r="AF598" i="8"/>
  <c r="AB245" i="8"/>
  <c r="AB96" i="8"/>
  <c r="T14" i="8"/>
  <c r="T18" i="8" s="1"/>
  <c r="T20" i="8" s="1"/>
  <c r="T598" i="8"/>
  <c r="T245" i="8"/>
  <c r="T96" i="8"/>
  <c r="L245" i="8"/>
  <c r="L96" i="8"/>
  <c r="H14" i="8"/>
  <c r="H18" i="8" s="1"/>
  <c r="H20" i="8" s="1"/>
  <c r="H598" i="8"/>
  <c r="D245" i="8"/>
  <c r="D96" i="8"/>
  <c r="AE174" i="7"/>
  <c r="AE105" i="7"/>
  <c r="AE123" i="7"/>
  <c r="AE52" i="7"/>
  <c r="AE199" i="7"/>
  <c r="AE160" i="7"/>
  <c r="AA198" i="7"/>
  <c r="AA159" i="7"/>
  <c r="AA51" i="7"/>
  <c r="AA14" i="7"/>
  <c r="AA18" i="7" s="1"/>
  <c r="AA20" i="7" s="1"/>
  <c r="AA157" i="7"/>
  <c r="AA49" i="7"/>
  <c r="AA527" i="7"/>
  <c r="AA196" i="7"/>
  <c r="AA174" i="7"/>
  <c r="AA105" i="7"/>
  <c r="W20" i="7"/>
  <c r="W123" i="7"/>
  <c r="W199" i="7"/>
  <c r="W160" i="7"/>
  <c r="W52" i="7"/>
  <c r="W50" i="7"/>
  <c r="W197" i="7"/>
  <c r="W158" i="7"/>
  <c r="S198" i="7"/>
  <c r="S159" i="7"/>
  <c r="S51" i="7"/>
  <c r="S14" i="7"/>
  <c r="S18" i="7" s="1"/>
  <c r="S20" i="7" s="1"/>
  <c r="S527" i="7"/>
  <c r="S196" i="7"/>
  <c r="S49" i="7"/>
  <c r="S53" i="7" s="1"/>
  <c r="S157" i="7"/>
  <c r="S174" i="7"/>
  <c r="S105" i="7"/>
  <c r="O50" i="7"/>
  <c r="O197" i="7"/>
  <c r="O158" i="7"/>
  <c r="O123" i="7"/>
  <c r="O14" i="7"/>
  <c r="O18" i="7" s="1"/>
  <c r="O20" i="7" s="1"/>
  <c r="O157" i="7"/>
  <c r="O49" i="7"/>
  <c r="O527" i="7"/>
  <c r="O196" i="7"/>
  <c r="O199" i="7"/>
  <c r="O160" i="7"/>
  <c r="O52" i="7"/>
  <c r="K197" i="7"/>
  <c r="K158" i="7"/>
  <c r="K50" i="7"/>
  <c r="K198" i="7"/>
  <c r="K159" i="7"/>
  <c r="K51" i="7"/>
  <c r="K174" i="7"/>
  <c r="K105" i="7"/>
  <c r="G174" i="7"/>
  <c r="G105" i="7"/>
  <c r="G20" i="7"/>
  <c r="G123" i="7"/>
  <c r="G160" i="7"/>
  <c r="G52" i="7"/>
  <c r="G199" i="7"/>
  <c r="C174" i="7"/>
  <c r="C105" i="7"/>
  <c r="B127" i="7"/>
  <c r="B124" i="7"/>
  <c r="AC129" i="10"/>
  <c r="AC280" i="10"/>
  <c r="AC296" i="10" s="1"/>
  <c r="AC306" i="10"/>
  <c r="AC289" i="10"/>
  <c r="AC16" i="10"/>
  <c r="AC304" i="10"/>
  <c r="AC633" i="10"/>
  <c r="AC287" i="10"/>
  <c r="AC14" i="10"/>
  <c r="AC18" i="10" s="1"/>
  <c r="AC20" i="10" s="1"/>
  <c r="Y307" i="10"/>
  <c r="Y17" i="10"/>
  <c r="Y290" i="10"/>
  <c r="Y305" i="10"/>
  <c r="Y15" i="10"/>
  <c r="Y288" i="10"/>
  <c r="U305" i="10"/>
  <c r="U288" i="10"/>
  <c r="U15" i="10"/>
  <c r="U280" i="10"/>
  <c r="U296" i="10" s="1"/>
  <c r="U129" i="10"/>
  <c r="U306" i="10"/>
  <c r="U16" i="10"/>
  <c r="U289" i="10"/>
  <c r="Q307" i="10"/>
  <c r="Q17" i="10"/>
  <c r="Q290" i="10"/>
  <c r="Q305" i="10"/>
  <c r="Q15" i="10"/>
  <c r="Q288" i="10"/>
  <c r="M129" i="10"/>
  <c r="M280" i="10"/>
  <c r="M296" i="10" s="1"/>
  <c r="M306" i="10"/>
  <c r="M289" i="10"/>
  <c r="M16" i="10"/>
  <c r="M304" i="10"/>
  <c r="M633" i="10"/>
  <c r="M287" i="10"/>
  <c r="M291" i="10" s="1"/>
  <c r="M14" i="10"/>
  <c r="M18" i="10" s="1"/>
  <c r="M20" i="10" s="1"/>
  <c r="I304" i="10"/>
  <c r="I14" i="10"/>
  <c r="I287" i="10"/>
  <c r="I633" i="10"/>
  <c r="I307" i="10"/>
  <c r="I290" i="10"/>
  <c r="I17" i="10"/>
  <c r="E129" i="10"/>
  <c r="E280" i="10"/>
  <c r="E296" i="10" s="1"/>
  <c r="E306" i="10"/>
  <c r="E289" i="10"/>
  <c r="E16" i="10"/>
  <c r="E304" i="10"/>
  <c r="E633" i="10"/>
  <c r="E287" i="10"/>
  <c r="E291" i="10" s="1"/>
  <c r="E14" i="10"/>
  <c r="G49" i="2"/>
  <c r="G270" i="2"/>
  <c r="G601" i="2"/>
  <c r="G231" i="2"/>
  <c r="G248" i="2"/>
  <c r="G105" i="2"/>
  <c r="G50" i="2"/>
  <c r="G271" i="2"/>
  <c r="G232" i="2"/>
  <c r="C232" i="2"/>
  <c r="C50" i="2"/>
  <c r="C271" i="2"/>
  <c r="C234" i="2"/>
  <c r="C52" i="2"/>
  <c r="C273" i="2"/>
  <c r="C120" i="2"/>
  <c r="C20" i="2"/>
  <c r="AC245" i="8"/>
  <c r="AC96" i="8"/>
  <c r="U245" i="8"/>
  <c r="U96" i="8"/>
  <c r="Q111" i="8"/>
  <c r="Q14" i="8"/>
  <c r="Q18" i="8" s="1"/>
  <c r="Q20" i="8" s="1"/>
  <c r="Q598" i="8"/>
  <c r="M245" i="8"/>
  <c r="M96" i="8"/>
  <c r="E245" i="8"/>
  <c r="E96" i="8"/>
  <c r="J18" i="2"/>
  <c r="J20" i="2" s="1"/>
  <c r="N597" i="2"/>
  <c r="N593" i="2"/>
  <c r="N589" i="2"/>
  <c r="N585" i="2"/>
  <c r="J53" i="2"/>
  <c r="K49" i="2"/>
  <c r="K14" i="2"/>
  <c r="H649" i="10"/>
  <c r="H652" i="10" s="1"/>
  <c r="F608" i="8"/>
  <c r="F611" i="8" s="1"/>
  <c r="P604" i="7"/>
  <c r="P607" i="7" s="1"/>
  <c r="K17" i="2"/>
  <c r="K52" i="2"/>
  <c r="K234" i="2"/>
  <c r="K273" i="2"/>
  <c r="K15" i="2"/>
  <c r="K50" i="2"/>
  <c r="K232" i="2"/>
  <c r="K271" i="2"/>
  <c r="L71" i="2"/>
  <c r="N757" i="2"/>
  <c r="N399" i="2" s="1"/>
  <c r="N534" i="2" s="1"/>
  <c r="N755" i="2"/>
  <c r="N397" i="2" s="1"/>
  <c r="N532" i="2" s="1"/>
  <c r="N753" i="2"/>
  <c r="N395" i="2" s="1"/>
  <c r="N530" i="2" s="1"/>
  <c r="N751" i="2"/>
  <c r="N393" i="2" s="1"/>
  <c r="N528" i="2" s="1"/>
  <c r="N749" i="2"/>
  <c r="N391" i="2" s="1"/>
  <c r="N526" i="2" s="1"/>
  <c r="N725" i="2"/>
  <c r="N373" i="2" s="1"/>
  <c r="N508" i="2" s="1"/>
  <c r="N758" i="2"/>
  <c r="N400" i="2" s="1"/>
  <c r="N535" i="2" s="1"/>
  <c r="N756" i="2"/>
  <c r="N398" i="2" s="1"/>
  <c r="N533" i="2" s="1"/>
  <c r="N754" i="2"/>
  <c r="N396" i="2" s="1"/>
  <c r="N531" i="2" s="1"/>
  <c r="N752" i="2"/>
  <c r="N394" i="2" s="1"/>
  <c r="N529" i="2" s="1"/>
  <c r="N750" i="2"/>
  <c r="N392" i="2" s="1"/>
  <c r="N527" i="2" s="1"/>
  <c r="N726" i="2"/>
  <c r="N374" i="2" s="1"/>
  <c r="N509" i="2" s="1"/>
  <c r="N724" i="2"/>
  <c r="N372" i="2" s="1"/>
  <c r="N507" i="2" s="1"/>
  <c r="N723" i="2"/>
  <c r="N371" i="2" s="1"/>
  <c r="N506" i="2" s="1"/>
  <c r="N721" i="2"/>
  <c r="N369" i="2" s="1"/>
  <c r="N504" i="2" s="1"/>
  <c r="N719" i="2"/>
  <c r="N367" i="2" s="1"/>
  <c r="N502" i="2" s="1"/>
  <c r="N717" i="2"/>
  <c r="N365" i="2" s="1"/>
  <c r="N500" i="2" s="1"/>
  <c r="N693" i="2"/>
  <c r="N348" i="2" s="1"/>
  <c r="N482" i="2" s="1"/>
  <c r="N691" i="2"/>
  <c r="N346" i="2" s="1"/>
  <c r="N480" i="2" s="1"/>
  <c r="N689" i="2"/>
  <c r="N344" i="2" s="1"/>
  <c r="N478" i="2" s="1"/>
  <c r="N687" i="2"/>
  <c r="N342" i="2" s="1"/>
  <c r="N476" i="2" s="1"/>
  <c r="N685" i="2"/>
  <c r="N340" i="2" s="1"/>
  <c r="N474" i="2" s="1"/>
  <c r="N765" i="2"/>
  <c r="N767" i="2"/>
  <c r="N769" i="2"/>
  <c r="N720" i="2"/>
  <c r="N368" i="2" s="1"/>
  <c r="N503" i="2" s="1"/>
  <c r="N692" i="2"/>
  <c r="N347" i="2" s="1"/>
  <c r="N481" i="2" s="1"/>
  <c r="N688" i="2"/>
  <c r="N343" i="2" s="1"/>
  <c r="N477" i="2" s="1"/>
  <c r="N722" i="2"/>
  <c r="N370" i="2" s="1"/>
  <c r="N505" i="2" s="1"/>
  <c r="N718" i="2"/>
  <c r="N366" i="2" s="1"/>
  <c r="N501" i="2" s="1"/>
  <c r="N694" i="2"/>
  <c r="N349" i="2" s="1"/>
  <c r="N483" i="2" s="1"/>
  <c r="N690" i="2"/>
  <c r="N345" i="2" s="1"/>
  <c r="N479" i="2" s="1"/>
  <c r="N686" i="2"/>
  <c r="N341" i="2" s="1"/>
  <c r="N475" i="2" s="1"/>
  <c r="N762" i="2"/>
  <c r="N766" i="2"/>
  <c r="N770" i="2"/>
  <c r="N763" i="2"/>
  <c r="N732" i="2"/>
  <c r="N734" i="2"/>
  <c r="N736" i="2"/>
  <c r="N738" i="2"/>
  <c r="N768" i="2"/>
  <c r="N731" i="2"/>
  <c r="N733" i="2"/>
  <c r="N735" i="2"/>
  <c r="N737" i="2"/>
  <c r="M727" i="2"/>
  <c r="M712" i="2" s="1"/>
  <c r="M69" i="2" s="1"/>
  <c r="M759" i="2"/>
  <c r="M744" i="2" s="1"/>
  <c r="M70" i="2" s="1"/>
  <c r="N552" i="2"/>
  <c r="N553" i="2" s="1"/>
  <c r="N558" i="2"/>
  <c r="N559" i="2" s="1"/>
  <c r="N617" i="2"/>
  <c r="N624" i="2"/>
  <c r="O11" i="2"/>
  <c r="N318" i="2"/>
  <c r="N320" i="2"/>
  <c r="N322" i="2"/>
  <c r="N451" i="2"/>
  <c r="N452" i="2"/>
  <c r="N453" i="2"/>
  <c r="N454" i="2"/>
  <c r="N455" i="2"/>
  <c r="N456" i="2"/>
  <c r="N319" i="2"/>
  <c r="N317" i="2"/>
  <c r="N321" i="2"/>
  <c r="L121" i="2"/>
  <c r="N19" i="2"/>
  <c r="K120" i="2"/>
  <c r="J235" i="2"/>
  <c r="J236" i="2" s="1"/>
  <c r="N700" i="2"/>
  <c r="N701" i="2"/>
  <c r="N702" i="2"/>
  <c r="N703" i="2"/>
  <c r="N704" i="2"/>
  <c r="N705" i="2"/>
  <c r="N706" i="2"/>
  <c r="N699" i="2"/>
  <c r="K105" i="2"/>
  <c r="N469" i="2"/>
  <c r="M336" i="2"/>
  <c r="N335" i="2"/>
  <c r="J274" i="2"/>
  <c r="J275" i="2" s="1"/>
  <c r="M695" i="2"/>
  <c r="M680" i="2" s="1"/>
  <c r="M68" i="2" s="1"/>
  <c r="L554" i="2"/>
  <c r="L555" i="2" s="1"/>
  <c r="L103" i="2" s="1"/>
  <c r="L248" i="2" s="1"/>
  <c r="L560" i="2"/>
  <c r="L561" i="2" s="1"/>
  <c r="L104" i="2" s="1"/>
  <c r="N23" i="2"/>
  <c r="N26" i="2"/>
  <c r="N30" i="2"/>
  <c r="K270" i="2"/>
  <c r="K231" i="2"/>
  <c r="K272" i="2"/>
  <c r="K233" i="2"/>
  <c r="M27" i="2"/>
  <c r="K601" i="2"/>
  <c r="L594" i="2"/>
  <c r="L595" i="2" s="1"/>
  <c r="L51" i="2" s="1"/>
  <c r="L598" i="2"/>
  <c r="L599" i="2" s="1"/>
  <c r="L590" i="2"/>
  <c r="L591" i="2" s="1"/>
  <c r="L586" i="2"/>
  <c r="L587" i="2" s="1"/>
  <c r="E186" i="1"/>
  <c r="D186" i="1"/>
  <c r="C186" i="1"/>
  <c r="B186" i="1"/>
  <c r="M10" i="2"/>
  <c r="M12" i="2" s="1"/>
  <c r="O2" i="2"/>
  <c r="O674" i="2" s="1"/>
  <c r="N25" i="2"/>
  <c r="L29" i="2"/>
  <c r="L31" i="2" s="1"/>
  <c r="H18" i="10" l="1"/>
  <c r="H20" i="10" s="1"/>
  <c r="AK291" i="10"/>
  <c r="S161" i="7"/>
  <c r="S162" i="7" s="1"/>
  <c r="H291" i="10"/>
  <c r="X18" i="10"/>
  <c r="X20" i="10" s="1"/>
  <c r="AP200" i="7"/>
  <c r="AP201" i="7" s="1"/>
  <c r="AJ53" i="7"/>
  <c r="AH200" i="7"/>
  <c r="AH201" i="7" s="1"/>
  <c r="E18" i="10"/>
  <c r="E20" i="10" s="1"/>
  <c r="AA291" i="10"/>
  <c r="AC291" i="10"/>
  <c r="AL200" i="7"/>
  <c r="AL201" i="7" s="1"/>
  <c r="AL18" i="10"/>
  <c r="AL20" i="10" s="1"/>
  <c r="AI18" i="10"/>
  <c r="AI20" i="10" s="1"/>
  <c r="AA18" i="10"/>
  <c r="AA20" i="10" s="1"/>
  <c r="AJ161" i="7"/>
  <c r="AJ162" i="7" s="1"/>
  <c r="AN200" i="7"/>
  <c r="AN201" i="7" s="1"/>
  <c r="AK53" i="7"/>
  <c r="AG308" i="10"/>
  <c r="AJ200" i="7"/>
  <c r="AJ201" i="7" s="1"/>
  <c r="AJ308" i="10"/>
  <c r="AJ291" i="10"/>
  <c r="AP161" i="7"/>
  <c r="AP162" i="7" s="1"/>
  <c r="AG18" i="10"/>
  <c r="AG20" i="10" s="1"/>
  <c r="AK308" i="10"/>
  <c r="AL308" i="10"/>
  <c r="AH53" i="7"/>
  <c r="AH161" i="7"/>
  <c r="AH162" i="7" s="1"/>
  <c r="AO18" i="10"/>
  <c r="AO20" i="10" s="1"/>
  <c r="AO161" i="7"/>
  <c r="AO162" i="7" s="1"/>
  <c r="AO200" i="7"/>
  <c r="AO201" i="7" s="1"/>
  <c r="AN161" i="7"/>
  <c r="AN162" i="7" s="1"/>
  <c r="AN53" i="7"/>
  <c r="AL161" i="7"/>
  <c r="AL162" i="7" s="1"/>
  <c r="AK200" i="7"/>
  <c r="AK201" i="7" s="1"/>
  <c r="AG291" i="10"/>
  <c r="AH18" i="10"/>
  <c r="AH20" i="10" s="1"/>
  <c r="AL291" i="10"/>
  <c r="AM53" i="7"/>
  <c r="AM161" i="7"/>
  <c r="AM162" i="7" s="1"/>
  <c r="AG161" i="7"/>
  <c r="AG162" i="7" s="1"/>
  <c r="AG53" i="7"/>
  <c r="AM308" i="10"/>
  <c r="AM291" i="10"/>
  <c r="AN18" i="10"/>
  <c r="AN20" i="10" s="1"/>
  <c r="AI53" i="7"/>
  <c r="AI161" i="7"/>
  <c r="AI162" i="7" s="1"/>
  <c r="AP308" i="10"/>
  <c r="AP291" i="10"/>
  <c r="AO53" i="7"/>
  <c r="AH291" i="10"/>
  <c r="AH308" i="10"/>
  <c r="AM200" i="7"/>
  <c r="AM201" i="7" s="1"/>
  <c r="AG200" i="7"/>
  <c r="AG201" i="7" s="1"/>
  <c r="AI291" i="10"/>
  <c r="AI308" i="10"/>
  <c r="AM18" i="10"/>
  <c r="AM20" i="10" s="1"/>
  <c r="AN308" i="10"/>
  <c r="AN291" i="10"/>
  <c r="AO308" i="10"/>
  <c r="AO291" i="10"/>
  <c r="AI200" i="7"/>
  <c r="AI201" i="7" s="1"/>
  <c r="AP18" i="10"/>
  <c r="AP20" i="10" s="1"/>
  <c r="I200" i="7"/>
  <c r="I201" i="7" s="1"/>
  <c r="I53" i="7"/>
  <c r="P53" i="7"/>
  <c r="X161" i="7"/>
  <c r="X162" i="7" s="1"/>
  <c r="B114" i="8"/>
  <c r="B116" i="8" s="1"/>
  <c r="B88" i="1" s="1"/>
  <c r="Z53" i="7"/>
  <c r="I161" i="7"/>
  <c r="I162" i="7" s="1"/>
  <c r="H53" i="7"/>
  <c r="X200" i="7"/>
  <c r="X201" i="7" s="1"/>
  <c r="N53" i="7"/>
  <c r="N470" i="2"/>
  <c r="O655" i="2"/>
  <c r="O659" i="2" s="1"/>
  <c r="G650" i="2"/>
  <c r="G651" i="2" s="1"/>
  <c r="H654" i="2" s="1"/>
  <c r="N618" i="2"/>
  <c r="O5" i="2"/>
  <c r="G235" i="2"/>
  <c r="G236" i="2" s="1"/>
  <c r="I18" i="10"/>
  <c r="I20" i="10" s="1"/>
  <c r="AC308" i="10"/>
  <c r="O200" i="7"/>
  <c r="O201" i="7" s="1"/>
  <c r="O53" i="7"/>
  <c r="V200" i="7"/>
  <c r="V201" i="7" s="1"/>
  <c r="V53" i="7"/>
  <c r="Z200" i="7"/>
  <c r="Z201" i="7" s="1"/>
  <c r="Q200" i="7"/>
  <c r="Q201" i="7" s="1"/>
  <c r="Q53" i="7"/>
  <c r="Y161" i="7"/>
  <c r="Y162" i="7" s="1"/>
  <c r="F18" i="10"/>
  <c r="F20" i="10" s="1"/>
  <c r="V18" i="10"/>
  <c r="V20" i="10" s="1"/>
  <c r="AD291" i="10"/>
  <c r="AD308" i="10"/>
  <c r="H161" i="7"/>
  <c r="H162" i="7" s="1"/>
  <c r="C161" i="7"/>
  <c r="J291" i="10"/>
  <c r="J308" i="10"/>
  <c r="R18" i="10"/>
  <c r="R20" i="10" s="1"/>
  <c r="Z291" i="10"/>
  <c r="Z308" i="10"/>
  <c r="S200" i="7"/>
  <c r="S201" i="7" s="1"/>
  <c r="AA200" i="7"/>
  <c r="AA201" i="7" s="1"/>
  <c r="AA53" i="7"/>
  <c r="P18" i="10"/>
  <c r="P20" i="10" s="1"/>
  <c r="X308" i="10"/>
  <c r="AF18" i="10"/>
  <c r="AF20" i="10" s="1"/>
  <c r="N161" i="7"/>
  <c r="N162" i="7" s="1"/>
  <c r="AD161" i="7"/>
  <c r="AD162" i="7" s="1"/>
  <c r="I53" i="2"/>
  <c r="I274" i="2"/>
  <c r="I275" i="2" s="1"/>
  <c r="C291" i="10"/>
  <c r="K291" i="10"/>
  <c r="K308" i="10"/>
  <c r="S18" i="10"/>
  <c r="S20" i="10" s="1"/>
  <c r="AA308" i="10"/>
  <c r="P161" i="7"/>
  <c r="P162" i="7" s="1"/>
  <c r="AF200" i="7"/>
  <c r="AF201" i="7" s="1"/>
  <c r="B111" i="8"/>
  <c r="B132" i="10"/>
  <c r="B134" i="10" s="1"/>
  <c r="D88" i="1" s="1"/>
  <c r="B129" i="10"/>
  <c r="B126" i="7"/>
  <c r="B128" i="7" s="1"/>
  <c r="E88" i="1" s="1"/>
  <c r="B123" i="7"/>
  <c r="G274" i="2"/>
  <c r="G275" i="2" s="1"/>
  <c r="M161" i="7"/>
  <c r="M162" i="7" s="1"/>
  <c r="U200" i="7"/>
  <c r="U201" i="7" s="1"/>
  <c r="U53" i="7"/>
  <c r="D161" i="7"/>
  <c r="D162" i="7" s="1"/>
  <c r="T200" i="7"/>
  <c r="T201" i="7" s="1"/>
  <c r="T53" i="7"/>
  <c r="C274" i="2"/>
  <c r="Q291" i="10"/>
  <c r="Q308" i="10"/>
  <c r="U291" i="10"/>
  <c r="U308" i="10"/>
  <c r="Y291" i="10"/>
  <c r="Y308" i="10"/>
  <c r="G53" i="7"/>
  <c r="G200" i="7"/>
  <c r="G201" i="7" s="1"/>
  <c r="K161" i="7"/>
  <c r="K162" i="7" s="1"/>
  <c r="W161" i="7"/>
  <c r="W162" i="7" s="1"/>
  <c r="AE161" i="7"/>
  <c r="AE162" i="7" s="1"/>
  <c r="F235" i="2"/>
  <c r="F236" i="2" s="1"/>
  <c r="F53" i="2"/>
  <c r="D18" i="10"/>
  <c r="D20" i="10" s="1"/>
  <c r="L291" i="10"/>
  <c r="L308" i="10"/>
  <c r="T18" i="10"/>
  <c r="T20" i="10" s="1"/>
  <c r="AB291" i="10"/>
  <c r="AB308" i="10"/>
  <c r="F53" i="7"/>
  <c r="F200" i="7"/>
  <c r="F201" i="7" s="1"/>
  <c r="J161" i="7"/>
  <c r="J162" i="7" s="1"/>
  <c r="R53" i="7"/>
  <c r="R200" i="7"/>
  <c r="R201" i="7" s="1"/>
  <c r="E53" i="2"/>
  <c r="G291" i="10"/>
  <c r="G308" i="10"/>
  <c r="O18" i="10"/>
  <c r="O20" i="10" s="1"/>
  <c r="W291" i="10"/>
  <c r="W308" i="10"/>
  <c r="AE18" i="10"/>
  <c r="AE20" i="10" s="1"/>
  <c r="E161" i="7"/>
  <c r="E162" i="7" s="1"/>
  <c r="AC161" i="7"/>
  <c r="AC162" i="7" s="1"/>
  <c r="D235" i="2"/>
  <c r="D236" i="2" s="1"/>
  <c r="H235" i="2"/>
  <c r="H236" i="2" s="1"/>
  <c r="H274" i="2"/>
  <c r="H275" i="2" s="1"/>
  <c r="N18" i="10"/>
  <c r="N20" i="10" s="1"/>
  <c r="L53" i="7"/>
  <c r="L200" i="7"/>
  <c r="L201" i="7" s="1"/>
  <c r="AB161" i="7"/>
  <c r="AB162" i="7" s="1"/>
  <c r="G53" i="2"/>
  <c r="E308" i="10"/>
  <c r="I291" i="10"/>
  <c r="I308" i="10"/>
  <c r="M308" i="10"/>
  <c r="O161" i="7"/>
  <c r="O162" i="7" s="1"/>
  <c r="AA161" i="7"/>
  <c r="AA162" i="7" s="1"/>
  <c r="H308" i="10"/>
  <c r="P291" i="10"/>
  <c r="P308" i="10"/>
  <c r="AF291" i="10"/>
  <c r="AF308" i="10"/>
  <c r="N200" i="7"/>
  <c r="N201" i="7" s="1"/>
  <c r="V161" i="7"/>
  <c r="V162" i="7" s="1"/>
  <c r="Z161" i="7"/>
  <c r="Z162" i="7" s="1"/>
  <c r="AD53" i="7"/>
  <c r="AD200" i="7"/>
  <c r="AD201" i="7" s="1"/>
  <c r="I235" i="2"/>
  <c r="I236" i="2" s="1"/>
  <c r="C18" i="10"/>
  <c r="C20" i="10" s="1"/>
  <c r="C308" i="10"/>
  <c r="K18" i="10"/>
  <c r="K20" i="10" s="1"/>
  <c r="S291" i="10"/>
  <c r="S308" i="10"/>
  <c r="M53" i="7"/>
  <c r="M200" i="7"/>
  <c r="M201" i="7" s="1"/>
  <c r="Q161" i="7"/>
  <c r="Q162" i="7" s="1"/>
  <c r="U161" i="7"/>
  <c r="U162" i="7" s="1"/>
  <c r="Y53" i="7"/>
  <c r="Y200" i="7"/>
  <c r="Y201" i="7" s="1"/>
  <c r="F291" i="10"/>
  <c r="F308" i="10"/>
  <c r="V291" i="10"/>
  <c r="V308" i="10"/>
  <c r="AD18" i="10"/>
  <c r="AD20" i="10" s="1"/>
  <c r="D53" i="7"/>
  <c r="D200" i="7"/>
  <c r="D201" i="7" s="1"/>
  <c r="H200" i="7"/>
  <c r="H201" i="7" s="1"/>
  <c r="P200" i="7"/>
  <c r="P201" i="7" s="1"/>
  <c r="T161" i="7"/>
  <c r="T162" i="7" s="1"/>
  <c r="X53" i="7"/>
  <c r="AF161" i="7"/>
  <c r="AF162" i="7" s="1"/>
  <c r="C235" i="2"/>
  <c r="C53" i="2"/>
  <c r="Q18" i="10"/>
  <c r="Q20" i="10" s="1"/>
  <c r="U18" i="10"/>
  <c r="U20" i="10" s="1"/>
  <c r="Y18" i="10"/>
  <c r="Y20" i="10" s="1"/>
  <c r="C53" i="7"/>
  <c r="C200" i="7"/>
  <c r="G161" i="7"/>
  <c r="G162" i="7" s="1"/>
  <c r="K53" i="7"/>
  <c r="K200" i="7"/>
  <c r="K201" i="7" s="1"/>
  <c r="W53" i="7"/>
  <c r="W200" i="7"/>
  <c r="W201" i="7" s="1"/>
  <c r="AE200" i="7"/>
  <c r="AE201" i="7" s="1"/>
  <c r="AE53" i="7"/>
  <c r="F274" i="2"/>
  <c r="F275" i="2" s="1"/>
  <c r="D291" i="10"/>
  <c r="D308" i="10"/>
  <c r="L18" i="10"/>
  <c r="L20" i="10" s="1"/>
  <c r="T291" i="10"/>
  <c r="T308" i="10"/>
  <c r="AB18" i="10"/>
  <c r="AB20" i="10" s="1"/>
  <c r="F161" i="7"/>
  <c r="F162" i="7" s="1"/>
  <c r="J53" i="7"/>
  <c r="J200" i="7"/>
  <c r="J201" i="7" s="1"/>
  <c r="R161" i="7"/>
  <c r="R162" i="7" s="1"/>
  <c r="E235" i="2"/>
  <c r="E236" i="2" s="1"/>
  <c r="E274" i="2"/>
  <c r="E275" i="2" s="1"/>
  <c r="G18" i="10"/>
  <c r="G20" i="10" s="1"/>
  <c r="O291" i="10"/>
  <c r="O308" i="10"/>
  <c r="W18" i="10"/>
  <c r="W20" i="10" s="1"/>
  <c r="AE291" i="10"/>
  <c r="AE308" i="10"/>
  <c r="E53" i="7"/>
  <c r="E200" i="7"/>
  <c r="E201" i="7" s="1"/>
  <c r="AC53" i="7"/>
  <c r="AC200" i="7"/>
  <c r="AC201" i="7" s="1"/>
  <c r="D274" i="2"/>
  <c r="D275" i="2" s="1"/>
  <c r="D53" i="2"/>
  <c r="H53" i="2"/>
  <c r="J18" i="10"/>
  <c r="J20" i="10" s="1"/>
  <c r="N291" i="10"/>
  <c r="N308" i="10"/>
  <c r="R291" i="10"/>
  <c r="R308" i="10"/>
  <c r="Z18" i="10"/>
  <c r="Z20" i="10" s="1"/>
  <c r="L161" i="7"/>
  <c r="L162" i="7" s="1"/>
  <c r="AB200" i="7"/>
  <c r="AB201" i="7" s="1"/>
  <c r="AB53" i="7"/>
  <c r="K18" i="2"/>
  <c r="K20" i="2" s="1"/>
  <c r="O597" i="2"/>
  <c r="O593" i="2"/>
  <c r="O589" i="2"/>
  <c r="O585" i="2"/>
  <c r="K53" i="2"/>
  <c r="L49" i="2"/>
  <c r="L14" i="2"/>
  <c r="I649" i="10"/>
  <c r="I652" i="10" s="1"/>
  <c r="G608" i="8"/>
  <c r="G611" i="8" s="1"/>
  <c r="Q604" i="7"/>
  <c r="Q607" i="7" s="1"/>
  <c r="L17" i="2"/>
  <c r="L52" i="2"/>
  <c r="L234" i="2"/>
  <c r="L273" i="2"/>
  <c r="L15" i="2"/>
  <c r="L50" i="2"/>
  <c r="L232" i="2"/>
  <c r="L271" i="2"/>
  <c r="M71" i="2"/>
  <c r="O758" i="2"/>
  <c r="O400" i="2" s="1"/>
  <c r="O535" i="2" s="1"/>
  <c r="O756" i="2"/>
  <c r="O398" i="2" s="1"/>
  <c r="O533" i="2" s="1"/>
  <c r="O754" i="2"/>
  <c r="O396" i="2" s="1"/>
  <c r="O531" i="2" s="1"/>
  <c r="O752" i="2"/>
  <c r="O394" i="2" s="1"/>
  <c r="O529" i="2" s="1"/>
  <c r="O750" i="2"/>
  <c r="O392" i="2" s="1"/>
  <c r="O527" i="2" s="1"/>
  <c r="O726" i="2"/>
  <c r="O374" i="2" s="1"/>
  <c r="O509" i="2" s="1"/>
  <c r="O724" i="2"/>
  <c r="O372" i="2" s="1"/>
  <c r="O507" i="2" s="1"/>
  <c r="O757" i="2"/>
  <c r="O399" i="2" s="1"/>
  <c r="O534" i="2" s="1"/>
  <c r="O755" i="2"/>
  <c r="O397" i="2" s="1"/>
  <c r="O532" i="2" s="1"/>
  <c r="O753" i="2"/>
  <c r="O395" i="2" s="1"/>
  <c r="O530" i="2" s="1"/>
  <c r="O751" i="2"/>
  <c r="O393" i="2" s="1"/>
  <c r="O528" i="2" s="1"/>
  <c r="O749" i="2"/>
  <c r="O391" i="2" s="1"/>
  <c r="O526" i="2" s="1"/>
  <c r="O725" i="2"/>
  <c r="O373" i="2" s="1"/>
  <c r="O508" i="2" s="1"/>
  <c r="O722" i="2"/>
  <c r="O370" i="2" s="1"/>
  <c r="O505" i="2" s="1"/>
  <c r="O720" i="2"/>
  <c r="O368" i="2" s="1"/>
  <c r="O503" i="2" s="1"/>
  <c r="O718" i="2"/>
  <c r="O366" i="2" s="1"/>
  <c r="O501" i="2" s="1"/>
  <c r="O694" i="2"/>
  <c r="O349" i="2" s="1"/>
  <c r="O483" i="2" s="1"/>
  <c r="O692" i="2"/>
  <c r="O347" i="2" s="1"/>
  <c r="O481" i="2" s="1"/>
  <c r="O690" i="2"/>
  <c r="O345" i="2" s="1"/>
  <c r="O479" i="2" s="1"/>
  <c r="O688" i="2"/>
  <c r="O343" i="2" s="1"/>
  <c r="O477" i="2" s="1"/>
  <c r="O686" i="2"/>
  <c r="O341" i="2" s="1"/>
  <c r="O475" i="2" s="1"/>
  <c r="O762" i="2"/>
  <c r="O763" i="2"/>
  <c r="O766" i="2"/>
  <c r="O768" i="2"/>
  <c r="O770" i="2"/>
  <c r="O721" i="2"/>
  <c r="O369" i="2" s="1"/>
  <c r="O504" i="2" s="1"/>
  <c r="O717" i="2"/>
  <c r="O365" i="2" s="1"/>
  <c r="O500" i="2" s="1"/>
  <c r="O693" i="2"/>
  <c r="O348" i="2" s="1"/>
  <c r="O482" i="2" s="1"/>
  <c r="O689" i="2"/>
  <c r="O344" i="2" s="1"/>
  <c r="O478" i="2" s="1"/>
  <c r="O723" i="2"/>
  <c r="O371" i="2" s="1"/>
  <c r="O506" i="2" s="1"/>
  <c r="O719" i="2"/>
  <c r="O367" i="2" s="1"/>
  <c r="O502" i="2" s="1"/>
  <c r="O691" i="2"/>
  <c r="O346" i="2" s="1"/>
  <c r="O480" i="2" s="1"/>
  <c r="O687" i="2"/>
  <c r="O342" i="2" s="1"/>
  <c r="O476" i="2" s="1"/>
  <c r="O764" i="2"/>
  <c r="O767" i="2"/>
  <c r="O731" i="2"/>
  <c r="O733" i="2"/>
  <c r="O735" i="2"/>
  <c r="O737" i="2"/>
  <c r="O685" i="2"/>
  <c r="O340" i="2" s="1"/>
  <c r="O474" i="2" s="1"/>
  <c r="O769" i="2"/>
  <c r="O732" i="2"/>
  <c r="O734" i="2"/>
  <c r="O736" i="2"/>
  <c r="O738" i="2"/>
  <c r="N727" i="2"/>
  <c r="N712" i="2" s="1"/>
  <c r="N69" i="2" s="1"/>
  <c r="N759" i="2"/>
  <c r="N744" i="2" s="1"/>
  <c r="N70" i="2" s="1"/>
  <c r="O697" i="2"/>
  <c r="O552" i="2"/>
  <c r="O558" i="2"/>
  <c r="O559" i="2" s="1"/>
  <c r="O624" i="2"/>
  <c r="O617" i="2"/>
  <c r="J33" i="1"/>
  <c r="J6" i="1"/>
  <c r="P11" i="2"/>
  <c r="O317" i="2"/>
  <c r="O319" i="2"/>
  <c r="O321" i="2"/>
  <c r="O320" i="2"/>
  <c r="O452" i="2"/>
  <c r="O454" i="2"/>
  <c r="O456" i="2"/>
  <c r="O318" i="2"/>
  <c r="O322" i="2"/>
  <c r="O451" i="2"/>
  <c r="O453" i="2"/>
  <c r="O455" i="2"/>
  <c r="M121" i="2"/>
  <c r="O19" i="2"/>
  <c r="L120" i="2"/>
  <c r="B22" i="1"/>
  <c r="O699" i="2"/>
  <c r="O700" i="2"/>
  <c r="O701" i="2"/>
  <c r="O702" i="2"/>
  <c r="O703" i="2"/>
  <c r="O704" i="2"/>
  <c r="O705" i="2"/>
  <c r="O706" i="2"/>
  <c r="L105" i="2"/>
  <c r="O469" i="2"/>
  <c r="N336" i="2"/>
  <c r="O335" i="2"/>
  <c r="N695" i="2"/>
  <c r="N680" i="2" s="1"/>
  <c r="N68" i="2" s="1"/>
  <c r="O553" i="2"/>
  <c r="M554" i="2"/>
  <c r="M555" i="2" s="1"/>
  <c r="M103" i="2" s="1"/>
  <c r="M248" i="2" s="1"/>
  <c r="M560" i="2"/>
  <c r="M561" i="2" s="1"/>
  <c r="M104" i="2" s="1"/>
  <c r="O23" i="2"/>
  <c r="O26" i="2"/>
  <c r="O30" i="2"/>
  <c r="E40" i="2"/>
  <c r="G40" i="2"/>
  <c r="I40" i="2"/>
  <c r="K40" i="2"/>
  <c r="M40" i="2"/>
  <c r="O40" i="2"/>
  <c r="C40" i="2"/>
  <c r="D40" i="2"/>
  <c r="F40" i="2"/>
  <c r="H40" i="2"/>
  <c r="J40" i="2"/>
  <c r="L40" i="2"/>
  <c r="N40" i="2"/>
  <c r="L270" i="2"/>
  <c r="L231" i="2"/>
  <c r="K274" i="2"/>
  <c r="K275" i="2" s="1"/>
  <c r="L272" i="2"/>
  <c r="L233" i="2"/>
  <c r="K235" i="2"/>
  <c r="K236" i="2" s="1"/>
  <c r="B63" i="1"/>
  <c r="C606" i="10" s="1"/>
  <c r="B61" i="1"/>
  <c r="C604" i="10" s="1"/>
  <c r="B62" i="1"/>
  <c r="C605" i="10" s="1"/>
  <c r="B60" i="1"/>
  <c r="C603" i="10" s="1"/>
  <c r="L601" i="2"/>
  <c r="M598" i="2"/>
  <c r="M599" i="2" s="1"/>
  <c r="M590" i="2"/>
  <c r="M591" i="2" s="1"/>
  <c r="M586" i="2"/>
  <c r="M587" i="2" s="1"/>
  <c r="M594" i="2"/>
  <c r="M595" i="2" s="1"/>
  <c r="M51" i="2" s="1"/>
  <c r="B139" i="1"/>
  <c r="B141" i="1"/>
  <c r="M29" i="2"/>
  <c r="M31" i="2" s="1"/>
  <c r="N27" i="2"/>
  <c r="P2" i="2"/>
  <c r="P674" i="2" s="1"/>
  <c r="O25" i="2"/>
  <c r="N10" i="2"/>
  <c r="N12" i="2" s="1"/>
  <c r="O470" i="2" l="1"/>
  <c r="AG33" i="10"/>
  <c r="AG35" i="10" s="1"/>
  <c r="AG37" i="10" s="1"/>
  <c r="AG39" i="10" s="1"/>
  <c r="AH33" i="10"/>
  <c r="AH35" i="10" s="1"/>
  <c r="AH37" i="10" s="1"/>
  <c r="AH39" i="10" s="1"/>
  <c r="AG33" i="7"/>
  <c r="AG35" i="7" s="1"/>
  <c r="AG37" i="7" s="1"/>
  <c r="AG39" i="7" s="1"/>
  <c r="AG41" i="7" s="1"/>
  <c r="AI33" i="10"/>
  <c r="AI35" i="10" s="1"/>
  <c r="AI37" i="10" s="1"/>
  <c r="AI39" i="10" s="1"/>
  <c r="AG33" i="8"/>
  <c r="AG35" i="8" s="1"/>
  <c r="AG37" i="8" s="1"/>
  <c r="AG39" i="8" s="1"/>
  <c r="AG41" i="8" s="1"/>
  <c r="AH33" i="7"/>
  <c r="AH35" i="7" s="1"/>
  <c r="AH37" i="7" s="1"/>
  <c r="AH39" i="7" s="1"/>
  <c r="AH41" i="7" s="1"/>
  <c r="AJ33" i="10"/>
  <c r="AJ35" i="10" s="1"/>
  <c r="AJ37" i="10" s="1"/>
  <c r="AJ39" i="10" s="1"/>
  <c r="AI33" i="7"/>
  <c r="AI35" i="7" s="1"/>
  <c r="AI37" i="7" s="1"/>
  <c r="AI39" i="7" s="1"/>
  <c r="AI41" i="7" s="1"/>
  <c r="AH33" i="8"/>
  <c r="AH35" i="8" s="1"/>
  <c r="AH37" i="8" s="1"/>
  <c r="AH39" i="8" s="1"/>
  <c r="AH41" i="8" s="1"/>
  <c r="AK33" i="10"/>
  <c r="AK35" i="10" s="1"/>
  <c r="AK37" i="10" s="1"/>
  <c r="AK39" i="10" s="1"/>
  <c r="AJ33" i="7"/>
  <c r="AJ35" i="7" s="1"/>
  <c r="AJ37" i="7" s="1"/>
  <c r="AJ39" i="7" s="1"/>
  <c r="AJ41" i="7" s="1"/>
  <c r="AI33" i="8"/>
  <c r="AI35" i="8" s="1"/>
  <c r="AI37" i="8" s="1"/>
  <c r="AI39" i="8" s="1"/>
  <c r="AI41" i="8" s="1"/>
  <c r="AK33" i="7"/>
  <c r="AK35" i="7" s="1"/>
  <c r="AK37" i="7" s="1"/>
  <c r="AK39" i="7" s="1"/>
  <c r="AK41" i="7" s="1"/>
  <c r="AL33" i="10"/>
  <c r="AL35" i="10" s="1"/>
  <c r="AL37" i="10" s="1"/>
  <c r="AL39" i="10" s="1"/>
  <c r="AJ33" i="8"/>
  <c r="AJ35" i="8" s="1"/>
  <c r="AJ37" i="8" s="1"/>
  <c r="AJ39" i="8" s="1"/>
  <c r="AJ41" i="8" s="1"/>
  <c r="AK33" i="8"/>
  <c r="AK35" i="8" s="1"/>
  <c r="AK37" i="8" s="1"/>
  <c r="AK39" i="8" s="1"/>
  <c r="AK41" i="8" s="1"/>
  <c r="AL33" i="7"/>
  <c r="AL35" i="7" s="1"/>
  <c r="AL37" i="7" s="1"/>
  <c r="AL39" i="7" s="1"/>
  <c r="AL41" i="7" s="1"/>
  <c r="AM33" i="10"/>
  <c r="AM35" i="10" s="1"/>
  <c r="AM37" i="10" s="1"/>
  <c r="AM39" i="10" s="1"/>
  <c r="AN33" i="10"/>
  <c r="AN35" i="10" s="1"/>
  <c r="AN37" i="10" s="1"/>
  <c r="AN39" i="10" s="1"/>
  <c r="AL33" i="8"/>
  <c r="AL35" i="8" s="1"/>
  <c r="AL37" i="8" s="1"/>
  <c r="AL39" i="8" s="1"/>
  <c r="AL41" i="8" s="1"/>
  <c r="AM33" i="7"/>
  <c r="AM35" i="7" s="1"/>
  <c r="AM37" i="7" s="1"/>
  <c r="AM39" i="7" s="1"/>
  <c r="AM41" i="7" s="1"/>
  <c r="AO33" i="10"/>
  <c r="AO35" i="10" s="1"/>
  <c r="AO37" i="10" s="1"/>
  <c r="AO39" i="10" s="1"/>
  <c r="AN33" i="7"/>
  <c r="AN35" i="7" s="1"/>
  <c r="AN37" i="7" s="1"/>
  <c r="AN39" i="7" s="1"/>
  <c r="AN41" i="7" s="1"/>
  <c r="AM33" i="8"/>
  <c r="AM35" i="8" s="1"/>
  <c r="AM37" i="8" s="1"/>
  <c r="AM39" i="8" s="1"/>
  <c r="AM41" i="8" s="1"/>
  <c r="AN33" i="8"/>
  <c r="AN35" i="8" s="1"/>
  <c r="AN37" i="8" s="1"/>
  <c r="AN39" i="8" s="1"/>
  <c r="AN41" i="8" s="1"/>
  <c r="AO33" i="7"/>
  <c r="AO35" i="7" s="1"/>
  <c r="AO37" i="7" s="1"/>
  <c r="AO39" i="7" s="1"/>
  <c r="AO41" i="7" s="1"/>
  <c r="AP33" i="10"/>
  <c r="AP35" i="10" s="1"/>
  <c r="AP37" i="10" s="1"/>
  <c r="AP39" i="10" s="1"/>
  <c r="AO33" i="8"/>
  <c r="AO35" i="8" s="1"/>
  <c r="AO37" i="8" s="1"/>
  <c r="AO39" i="8" s="1"/>
  <c r="AO41" i="8" s="1"/>
  <c r="AP33" i="7"/>
  <c r="AP35" i="7" s="1"/>
  <c r="AP37" i="7" s="1"/>
  <c r="AP39" i="7" s="1"/>
  <c r="AP41" i="7" s="1"/>
  <c r="AP33" i="8"/>
  <c r="AP35" i="8" s="1"/>
  <c r="AP37" i="8" s="1"/>
  <c r="AP39" i="8" s="1"/>
  <c r="AP41" i="8" s="1"/>
  <c r="P655" i="2"/>
  <c r="P659" i="2" s="1"/>
  <c r="H653" i="2"/>
  <c r="H650" i="2" s="1"/>
  <c r="H648" i="2"/>
  <c r="O618" i="2"/>
  <c r="P5" i="2"/>
  <c r="L18" i="2"/>
  <c r="L20" i="2" s="1"/>
  <c r="P597" i="2"/>
  <c r="P593" i="2"/>
  <c r="P589" i="2"/>
  <c r="P585" i="2"/>
  <c r="L53" i="2"/>
  <c r="M49" i="2"/>
  <c r="M14" i="2"/>
  <c r="C607" i="10"/>
  <c r="C263" i="10"/>
  <c r="C232" i="10"/>
  <c r="C265" i="10"/>
  <c r="C234" i="10"/>
  <c r="C266" i="10"/>
  <c r="C235" i="10"/>
  <c r="C33" i="10"/>
  <c r="C35" i="10" s="1"/>
  <c r="C37" i="10" s="1"/>
  <c r="D33" i="10"/>
  <c r="D35" i="10" s="1"/>
  <c r="D37" i="10" s="1"/>
  <c r="E33" i="10"/>
  <c r="E35" i="10" s="1"/>
  <c r="E37" i="10" s="1"/>
  <c r="F33" i="10"/>
  <c r="F35" i="10" s="1"/>
  <c r="F37" i="10" s="1"/>
  <c r="G33" i="10"/>
  <c r="G35" i="10" s="1"/>
  <c r="G37" i="10" s="1"/>
  <c r="H33" i="10"/>
  <c r="H35" i="10" s="1"/>
  <c r="H37" i="10" s="1"/>
  <c r="I33" i="10"/>
  <c r="I35" i="10" s="1"/>
  <c r="I37" i="10" s="1"/>
  <c r="J33" i="10"/>
  <c r="J35" i="10" s="1"/>
  <c r="J37" i="10" s="1"/>
  <c r="K33" i="10"/>
  <c r="K35" i="10" s="1"/>
  <c r="K37" i="10" s="1"/>
  <c r="L33" i="10"/>
  <c r="L35" i="10" s="1"/>
  <c r="L37" i="10" s="1"/>
  <c r="M33" i="10"/>
  <c r="M35" i="10" s="1"/>
  <c r="M37" i="10" s="1"/>
  <c r="N33" i="10"/>
  <c r="N35" i="10" s="1"/>
  <c r="N37" i="10" s="1"/>
  <c r="O33" i="10"/>
  <c r="O35" i="10" s="1"/>
  <c r="O37" i="10" s="1"/>
  <c r="P33" i="10"/>
  <c r="P35" i="10" s="1"/>
  <c r="P37" i="10" s="1"/>
  <c r="Q33" i="10"/>
  <c r="Q35" i="10" s="1"/>
  <c r="Q37" i="10" s="1"/>
  <c r="R33" i="10"/>
  <c r="R35" i="10" s="1"/>
  <c r="R37" i="10" s="1"/>
  <c r="S33" i="10"/>
  <c r="S35" i="10" s="1"/>
  <c r="S37" i="10" s="1"/>
  <c r="T33" i="10"/>
  <c r="T35" i="10" s="1"/>
  <c r="T37" i="10" s="1"/>
  <c r="U33" i="10"/>
  <c r="U35" i="10" s="1"/>
  <c r="U37" i="10" s="1"/>
  <c r="V33" i="10"/>
  <c r="V35" i="10" s="1"/>
  <c r="V37" i="10" s="1"/>
  <c r="W33" i="10"/>
  <c r="W35" i="10" s="1"/>
  <c r="W37" i="10" s="1"/>
  <c r="X33" i="10"/>
  <c r="X35" i="10" s="1"/>
  <c r="X37" i="10" s="1"/>
  <c r="Y33" i="10"/>
  <c r="Y35" i="10" s="1"/>
  <c r="Y37" i="10" s="1"/>
  <c r="Z33" i="10"/>
  <c r="Z35" i="10" s="1"/>
  <c r="Z37" i="10" s="1"/>
  <c r="AA33" i="10"/>
  <c r="AA35" i="10" s="1"/>
  <c r="AA37" i="10" s="1"/>
  <c r="AB33" i="10"/>
  <c r="AB35" i="10" s="1"/>
  <c r="AB37" i="10" s="1"/>
  <c r="AC33" i="10"/>
  <c r="AC35" i="10" s="1"/>
  <c r="AC37" i="10" s="1"/>
  <c r="AD33" i="10"/>
  <c r="AD35" i="10" s="1"/>
  <c r="AD37" i="10" s="1"/>
  <c r="AE33" i="10"/>
  <c r="AE35" i="10" s="1"/>
  <c r="AE37" i="10" s="1"/>
  <c r="AF33" i="10"/>
  <c r="AF35" i="10" s="1"/>
  <c r="AF37" i="10" s="1"/>
  <c r="J649" i="10"/>
  <c r="J652" i="10" s="1"/>
  <c r="C264" i="10"/>
  <c r="C233" i="10"/>
  <c r="C570" i="8"/>
  <c r="C219" i="8" s="1"/>
  <c r="C571" i="8"/>
  <c r="C220" i="8" s="1"/>
  <c r="C569" i="8"/>
  <c r="C256" i="8" s="1"/>
  <c r="H608" i="8"/>
  <c r="H611" i="8" s="1"/>
  <c r="C33" i="8"/>
  <c r="C35" i="8" s="1"/>
  <c r="C37" i="8" s="1"/>
  <c r="C39" i="8" s="1"/>
  <c r="C41" i="8" s="1"/>
  <c r="D33" i="8"/>
  <c r="D35" i="8" s="1"/>
  <c r="D37" i="8" s="1"/>
  <c r="D39" i="8" s="1"/>
  <c r="D41" i="8" s="1"/>
  <c r="E33" i="8"/>
  <c r="E35" i="8" s="1"/>
  <c r="E37" i="8" s="1"/>
  <c r="E39" i="8" s="1"/>
  <c r="E41" i="8" s="1"/>
  <c r="F33" i="8"/>
  <c r="F35" i="8" s="1"/>
  <c r="F37" i="8" s="1"/>
  <c r="F39" i="8" s="1"/>
  <c r="F41" i="8" s="1"/>
  <c r="G33" i="8"/>
  <c r="G35" i="8" s="1"/>
  <c r="G37" i="8" s="1"/>
  <c r="G39" i="8" s="1"/>
  <c r="G41" i="8" s="1"/>
  <c r="H33" i="8"/>
  <c r="H35" i="8" s="1"/>
  <c r="H37" i="8" s="1"/>
  <c r="H39" i="8" s="1"/>
  <c r="H41" i="8" s="1"/>
  <c r="I33" i="8"/>
  <c r="I35" i="8" s="1"/>
  <c r="I37" i="8" s="1"/>
  <c r="I39" i="8" s="1"/>
  <c r="I41" i="8" s="1"/>
  <c r="J33" i="8"/>
  <c r="J35" i="8" s="1"/>
  <c r="J37" i="8" s="1"/>
  <c r="J39" i="8" s="1"/>
  <c r="J41" i="8" s="1"/>
  <c r="K33" i="8"/>
  <c r="K35" i="8" s="1"/>
  <c r="K37" i="8" s="1"/>
  <c r="K39" i="8" s="1"/>
  <c r="K41" i="8" s="1"/>
  <c r="L33" i="8"/>
  <c r="L35" i="8" s="1"/>
  <c r="L37" i="8" s="1"/>
  <c r="L39" i="8" s="1"/>
  <c r="L41" i="8" s="1"/>
  <c r="M33" i="8"/>
  <c r="M35" i="8" s="1"/>
  <c r="M37" i="8" s="1"/>
  <c r="M39" i="8" s="1"/>
  <c r="M41" i="8" s="1"/>
  <c r="N33" i="8"/>
  <c r="N35" i="8" s="1"/>
  <c r="N37" i="8" s="1"/>
  <c r="N39" i="8" s="1"/>
  <c r="N41" i="8" s="1"/>
  <c r="O33" i="8"/>
  <c r="O35" i="8" s="1"/>
  <c r="O37" i="8" s="1"/>
  <c r="O39" i="8" s="1"/>
  <c r="O41" i="8" s="1"/>
  <c r="P33" i="8"/>
  <c r="P35" i="8" s="1"/>
  <c r="P37" i="8" s="1"/>
  <c r="P39" i="8" s="1"/>
  <c r="P41" i="8" s="1"/>
  <c r="Q33" i="8"/>
  <c r="Q35" i="8" s="1"/>
  <c r="Q37" i="8" s="1"/>
  <c r="Q39" i="8" s="1"/>
  <c r="Q41" i="8" s="1"/>
  <c r="R33" i="8"/>
  <c r="R35" i="8" s="1"/>
  <c r="R37" i="8" s="1"/>
  <c r="R39" i="8" s="1"/>
  <c r="R41" i="8" s="1"/>
  <c r="S33" i="8"/>
  <c r="S35" i="8" s="1"/>
  <c r="S37" i="8" s="1"/>
  <c r="S39" i="8" s="1"/>
  <c r="S41" i="8" s="1"/>
  <c r="T33" i="8"/>
  <c r="T35" i="8" s="1"/>
  <c r="T37" i="8" s="1"/>
  <c r="T39" i="8" s="1"/>
  <c r="T41" i="8" s="1"/>
  <c r="U33" i="8"/>
  <c r="U35" i="8" s="1"/>
  <c r="U37" i="8" s="1"/>
  <c r="U39" i="8" s="1"/>
  <c r="U41" i="8" s="1"/>
  <c r="V33" i="8"/>
  <c r="V35" i="8" s="1"/>
  <c r="V37" i="8" s="1"/>
  <c r="V39" i="8" s="1"/>
  <c r="V41" i="8" s="1"/>
  <c r="W33" i="8"/>
  <c r="W35" i="8" s="1"/>
  <c r="W37" i="8" s="1"/>
  <c r="W39" i="8" s="1"/>
  <c r="W41" i="8" s="1"/>
  <c r="X33" i="8"/>
  <c r="X35" i="8" s="1"/>
  <c r="X37" i="8" s="1"/>
  <c r="X39" i="8" s="1"/>
  <c r="X41" i="8" s="1"/>
  <c r="Y33" i="8"/>
  <c r="Y35" i="8" s="1"/>
  <c r="Y37" i="8" s="1"/>
  <c r="Y39" i="8" s="1"/>
  <c r="Y41" i="8" s="1"/>
  <c r="Z33" i="8"/>
  <c r="Z35" i="8" s="1"/>
  <c r="Z37" i="8" s="1"/>
  <c r="Z39" i="8" s="1"/>
  <c r="Z41" i="8" s="1"/>
  <c r="AA33" i="8"/>
  <c r="AA35" i="8" s="1"/>
  <c r="AA37" i="8" s="1"/>
  <c r="AA39" i="8" s="1"/>
  <c r="AA41" i="8" s="1"/>
  <c r="AB33" i="8"/>
  <c r="AB35" i="8" s="1"/>
  <c r="AB37" i="8" s="1"/>
  <c r="AB39" i="8" s="1"/>
  <c r="AB41" i="8" s="1"/>
  <c r="AC33" i="8"/>
  <c r="AC35" i="8" s="1"/>
  <c r="AC37" i="8" s="1"/>
  <c r="AC39" i="8" s="1"/>
  <c r="AC41" i="8" s="1"/>
  <c r="AD33" i="8"/>
  <c r="AD35" i="8" s="1"/>
  <c r="AD37" i="8" s="1"/>
  <c r="AD39" i="8" s="1"/>
  <c r="AD41" i="8" s="1"/>
  <c r="AE33" i="8"/>
  <c r="AE35" i="8" s="1"/>
  <c r="AE37" i="8" s="1"/>
  <c r="AE39" i="8" s="1"/>
  <c r="AE41" i="8" s="1"/>
  <c r="AF33" i="8"/>
  <c r="AF35" i="8" s="1"/>
  <c r="AF37" i="8" s="1"/>
  <c r="AF39" i="8" s="1"/>
  <c r="AF41" i="8" s="1"/>
  <c r="C497" i="7"/>
  <c r="C184" i="7" s="1"/>
  <c r="C568" i="8"/>
  <c r="C498" i="7"/>
  <c r="R604" i="7"/>
  <c r="R607" i="7" s="1"/>
  <c r="C573" i="2"/>
  <c r="C221" i="2" s="1"/>
  <c r="C499" i="7"/>
  <c r="C500" i="7"/>
  <c r="O33" i="2"/>
  <c r="O35" i="2" s="1"/>
  <c r="O37" i="2" s="1"/>
  <c r="O39" i="2" s="1"/>
  <c r="C33" i="7"/>
  <c r="C35" i="7" s="1"/>
  <c r="C37" i="7" s="1"/>
  <c r="C39" i="7" s="1"/>
  <c r="C41" i="7" s="1"/>
  <c r="D33" i="7"/>
  <c r="D35" i="7" s="1"/>
  <c r="D37" i="7" s="1"/>
  <c r="D39" i="7" s="1"/>
  <c r="D41" i="7" s="1"/>
  <c r="E33" i="7"/>
  <c r="E35" i="7" s="1"/>
  <c r="E37" i="7" s="1"/>
  <c r="E39" i="7" s="1"/>
  <c r="E41" i="7" s="1"/>
  <c r="F33" i="7"/>
  <c r="F35" i="7" s="1"/>
  <c r="F37" i="7" s="1"/>
  <c r="F39" i="7" s="1"/>
  <c r="F41" i="7" s="1"/>
  <c r="G33" i="7"/>
  <c r="G35" i="7" s="1"/>
  <c r="G37" i="7" s="1"/>
  <c r="G39" i="7" s="1"/>
  <c r="G41" i="7" s="1"/>
  <c r="H33" i="7"/>
  <c r="H35" i="7" s="1"/>
  <c r="H37" i="7" s="1"/>
  <c r="H39" i="7" s="1"/>
  <c r="H41" i="7" s="1"/>
  <c r="I33" i="7"/>
  <c r="I35" i="7" s="1"/>
  <c r="I37" i="7" s="1"/>
  <c r="I39" i="7" s="1"/>
  <c r="I41" i="7" s="1"/>
  <c r="J33" i="7"/>
  <c r="J35" i="7" s="1"/>
  <c r="J37" i="7" s="1"/>
  <c r="J39" i="7" s="1"/>
  <c r="J41" i="7" s="1"/>
  <c r="K33" i="7"/>
  <c r="K35" i="7" s="1"/>
  <c r="K37" i="7" s="1"/>
  <c r="K39" i="7" s="1"/>
  <c r="K41" i="7" s="1"/>
  <c r="L33" i="7"/>
  <c r="L35" i="7" s="1"/>
  <c r="L37" i="7" s="1"/>
  <c r="L39" i="7" s="1"/>
  <c r="L41" i="7" s="1"/>
  <c r="M33" i="7"/>
  <c r="M35" i="7" s="1"/>
  <c r="M37" i="7" s="1"/>
  <c r="M39" i="7" s="1"/>
  <c r="M41" i="7" s="1"/>
  <c r="N33" i="7"/>
  <c r="N35" i="7" s="1"/>
  <c r="N37" i="7" s="1"/>
  <c r="N39" i="7" s="1"/>
  <c r="N41" i="7" s="1"/>
  <c r="O33" i="7"/>
  <c r="O35" i="7" s="1"/>
  <c r="O37" i="7" s="1"/>
  <c r="O39" i="7" s="1"/>
  <c r="O41" i="7" s="1"/>
  <c r="P33" i="7"/>
  <c r="P35" i="7" s="1"/>
  <c r="P37" i="7" s="1"/>
  <c r="P39" i="7" s="1"/>
  <c r="P41" i="7" s="1"/>
  <c r="Q33" i="7"/>
  <c r="Q35" i="7" s="1"/>
  <c r="Q37" i="7" s="1"/>
  <c r="Q39" i="7" s="1"/>
  <c r="Q41" i="7" s="1"/>
  <c r="R33" i="7"/>
  <c r="R35" i="7" s="1"/>
  <c r="R37" i="7" s="1"/>
  <c r="R39" i="7" s="1"/>
  <c r="R41" i="7" s="1"/>
  <c r="S33" i="7"/>
  <c r="S35" i="7" s="1"/>
  <c r="S37" i="7" s="1"/>
  <c r="S39" i="7" s="1"/>
  <c r="S41" i="7" s="1"/>
  <c r="T33" i="7"/>
  <c r="T35" i="7" s="1"/>
  <c r="T37" i="7" s="1"/>
  <c r="T39" i="7" s="1"/>
  <c r="T41" i="7" s="1"/>
  <c r="U33" i="7"/>
  <c r="U35" i="7" s="1"/>
  <c r="U37" i="7" s="1"/>
  <c r="U39" i="7" s="1"/>
  <c r="U41" i="7" s="1"/>
  <c r="V33" i="7"/>
  <c r="V35" i="7" s="1"/>
  <c r="V37" i="7" s="1"/>
  <c r="V39" i="7" s="1"/>
  <c r="V41" i="7" s="1"/>
  <c r="W33" i="7"/>
  <c r="W35" i="7" s="1"/>
  <c r="W37" i="7" s="1"/>
  <c r="W39" i="7" s="1"/>
  <c r="W41" i="7" s="1"/>
  <c r="X33" i="7"/>
  <c r="X35" i="7" s="1"/>
  <c r="X37" i="7" s="1"/>
  <c r="X39" i="7" s="1"/>
  <c r="X41" i="7" s="1"/>
  <c r="Y33" i="7"/>
  <c r="Y35" i="7" s="1"/>
  <c r="Y37" i="7" s="1"/>
  <c r="Y39" i="7" s="1"/>
  <c r="Y41" i="7" s="1"/>
  <c r="Z33" i="7"/>
  <c r="Z35" i="7" s="1"/>
  <c r="Z37" i="7" s="1"/>
  <c r="Z39" i="7" s="1"/>
  <c r="Z41" i="7" s="1"/>
  <c r="AA33" i="7"/>
  <c r="AA35" i="7" s="1"/>
  <c r="AA37" i="7" s="1"/>
  <c r="AA39" i="7" s="1"/>
  <c r="AA41" i="7" s="1"/>
  <c r="AB33" i="7"/>
  <c r="AB35" i="7" s="1"/>
  <c r="AB37" i="7" s="1"/>
  <c r="AB39" i="7" s="1"/>
  <c r="AB41" i="7" s="1"/>
  <c r="AC33" i="7"/>
  <c r="AC35" i="7" s="1"/>
  <c r="AC37" i="7" s="1"/>
  <c r="AC39" i="7" s="1"/>
  <c r="AC41" i="7" s="1"/>
  <c r="AD33" i="7"/>
  <c r="AD35" i="7" s="1"/>
  <c r="AD37" i="7" s="1"/>
  <c r="AD39" i="7" s="1"/>
  <c r="AD41" i="7" s="1"/>
  <c r="AE33" i="7"/>
  <c r="AE35" i="7" s="1"/>
  <c r="AE37" i="7" s="1"/>
  <c r="AE39" i="7" s="1"/>
  <c r="AE41" i="7" s="1"/>
  <c r="AF33" i="7"/>
  <c r="AF35" i="7" s="1"/>
  <c r="AF37" i="7" s="1"/>
  <c r="AF39" i="7" s="1"/>
  <c r="AF41" i="7" s="1"/>
  <c r="M17" i="2"/>
  <c r="M52" i="2"/>
  <c r="M234" i="2"/>
  <c r="M273" i="2"/>
  <c r="M15" i="2"/>
  <c r="M50" i="2"/>
  <c r="M232" i="2"/>
  <c r="M271" i="2"/>
  <c r="N71" i="2"/>
  <c r="P757" i="2"/>
  <c r="P399" i="2" s="1"/>
  <c r="P534" i="2" s="1"/>
  <c r="P755" i="2"/>
  <c r="P397" i="2" s="1"/>
  <c r="P532" i="2" s="1"/>
  <c r="P753" i="2"/>
  <c r="P395" i="2" s="1"/>
  <c r="P530" i="2" s="1"/>
  <c r="P751" i="2"/>
  <c r="P393" i="2" s="1"/>
  <c r="P528" i="2" s="1"/>
  <c r="P749" i="2"/>
  <c r="P391" i="2" s="1"/>
  <c r="P526" i="2" s="1"/>
  <c r="P725" i="2"/>
  <c r="P373" i="2" s="1"/>
  <c r="P508" i="2" s="1"/>
  <c r="P758" i="2"/>
  <c r="P400" i="2" s="1"/>
  <c r="P535" i="2" s="1"/>
  <c r="P756" i="2"/>
  <c r="P398" i="2" s="1"/>
  <c r="P533" i="2" s="1"/>
  <c r="P754" i="2"/>
  <c r="P396" i="2" s="1"/>
  <c r="P531" i="2" s="1"/>
  <c r="P752" i="2"/>
  <c r="P394" i="2" s="1"/>
  <c r="P529" i="2" s="1"/>
  <c r="P750" i="2"/>
  <c r="P392" i="2" s="1"/>
  <c r="P527" i="2" s="1"/>
  <c r="P726" i="2"/>
  <c r="P374" i="2" s="1"/>
  <c r="P509" i="2" s="1"/>
  <c r="P723" i="2"/>
  <c r="P371" i="2" s="1"/>
  <c r="P506" i="2" s="1"/>
  <c r="P721" i="2"/>
  <c r="P369" i="2" s="1"/>
  <c r="P504" i="2" s="1"/>
  <c r="P719" i="2"/>
  <c r="P367" i="2" s="1"/>
  <c r="P502" i="2" s="1"/>
  <c r="P717" i="2"/>
  <c r="P365" i="2" s="1"/>
  <c r="P500" i="2" s="1"/>
  <c r="P693" i="2"/>
  <c r="P348" i="2" s="1"/>
  <c r="P482" i="2" s="1"/>
  <c r="P691" i="2"/>
  <c r="P346" i="2" s="1"/>
  <c r="P480" i="2" s="1"/>
  <c r="P689" i="2"/>
  <c r="P344" i="2" s="1"/>
  <c r="P478" i="2" s="1"/>
  <c r="P687" i="2"/>
  <c r="P342" i="2" s="1"/>
  <c r="P476" i="2" s="1"/>
  <c r="P685" i="2"/>
  <c r="P340" i="2" s="1"/>
  <c r="P474" i="2" s="1"/>
  <c r="P764" i="2"/>
  <c r="P767" i="2"/>
  <c r="P769" i="2"/>
  <c r="P724" i="2"/>
  <c r="P372" i="2" s="1"/>
  <c r="P507" i="2" s="1"/>
  <c r="P722" i="2"/>
  <c r="P370" i="2" s="1"/>
  <c r="P505" i="2" s="1"/>
  <c r="P718" i="2"/>
  <c r="P366" i="2" s="1"/>
  <c r="P501" i="2" s="1"/>
  <c r="P694" i="2"/>
  <c r="P349" i="2" s="1"/>
  <c r="P483" i="2" s="1"/>
  <c r="P690" i="2"/>
  <c r="P345" i="2" s="1"/>
  <c r="P479" i="2" s="1"/>
  <c r="P720" i="2"/>
  <c r="P368" i="2" s="1"/>
  <c r="P503" i="2" s="1"/>
  <c r="P692" i="2"/>
  <c r="P688" i="2"/>
  <c r="P343" i="2" s="1"/>
  <c r="P477" i="2" s="1"/>
  <c r="P763" i="2"/>
  <c r="P768" i="2"/>
  <c r="P766" i="2"/>
  <c r="P732" i="2"/>
  <c r="P734" i="2"/>
  <c r="P736" i="2"/>
  <c r="P738" i="2"/>
  <c r="P686" i="2"/>
  <c r="P341" i="2" s="1"/>
  <c r="P475" i="2" s="1"/>
  <c r="P770" i="2"/>
  <c r="P731" i="2"/>
  <c r="P733" i="2"/>
  <c r="P735" i="2"/>
  <c r="P737" i="2"/>
  <c r="P762" i="2"/>
  <c r="O727" i="2"/>
  <c r="O712" i="2" s="1"/>
  <c r="O69" i="2" s="1"/>
  <c r="O759" i="2"/>
  <c r="O744" i="2" s="1"/>
  <c r="O70" i="2" s="1"/>
  <c r="J8" i="1"/>
  <c r="C33" i="2"/>
  <c r="C35" i="2" s="1"/>
  <c r="C37" i="2" s="1"/>
  <c r="C39" i="2" s="1"/>
  <c r="C41" i="2" s="1"/>
  <c r="D33" i="2"/>
  <c r="D35" i="2" s="1"/>
  <c r="D37" i="2" s="1"/>
  <c r="D39" i="2" s="1"/>
  <c r="D41" i="2" s="1"/>
  <c r="E33" i="2"/>
  <c r="E35" i="2" s="1"/>
  <c r="E37" i="2" s="1"/>
  <c r="E39" i="2" s="1"/>
  <c r="E41" i="2" s="1"/>
  <c r="F33" i="2"/>
  <c r="F35" i="2" s="1"/>
  <c r="F37" i="2" s="1"/>
  <c r="F39" i="2" s="1"/>
  <c r="F41" i="2" s="1"/>
  <c r="G33" i="2"/>
  <c r="G35" i="2" s="1"/>
  <c r="G37" i="2" s="1"/>
  <c r="G39" i="2" s="1"/>
  <c r="G41" i="2" s="1"/>
  <c r="H33" i="2"/>
  <c r="H35" i="2" s="1"/>
  <c r="H37" i="2" s="1"/>
  <c r="H39" i="2" s="1"/>
  <c r="H41" i="2" s="1"/>
  <c r="I33" i="2"/>
  <c r="I35" i="2" s="1"/>
  <c r="I37" i="2" s="1"/>
  <c r="I39" i="2" s="1"/>
  <c r="I41" i="2" s="1"/>
  <c r="J33" i="2"/>
  <c r="J35" i="2" s="1"/>
  <c r="J37" i="2" s="1"/>
  <c r="J39" i="2" s="1"/>
  <c r="J41" i="2" s="1"/>
  <c r="K33" i="2"/>
  <c r="K35" i="2" s="1"/>
  <c r="K37" i="2" s="1"/>
  <c r="K39" i="2" s="1"/>
  <c r="K41" i="2" s="1"/>
  <c r="L33" i="2"/>
  <c r="L35" i="2" s="1"/>
  <c r="L37" i="2" s="1"/>
  <c r="L39" i="2" s="1"/>
  <c r="L41" i="2" s="1"/>
  <c r="K675" i="2" s="1"/>
  <c r="L672" i="2" s="1"/>
  <c r="M33" i="2"/>
  <c r="M35" i="2" s="1"/>
  <c r="M37" i="2" s="1"/>
  <c r="M39" i="2" s="1"/>
  <c r="M41" i="2" s="1"/>
  <c r="L675" i="2" s="1"/>
  <c r="M672" i="2" s="1"/>
  <c r="N33" i="2"/>
  <c r="N35" i="2" s="1"/>
  <c r="N37" i="2" s="1"/>
  <c r="N39" i="2" s="1"/>
  <c r="P697" i="2"/>
  <c r="P33" i="2"/>
  <c r="P35" i="2" s="1"/>
  <c r="P37" i="2" s="1"/>
  <c r="P39" i="2" s="1"/>
  <c r="P552" i="2"/>
  <c r="P553" i="2" s="1"/>
  <c r="P558" i="2"/>
  <c r="P559" i="2" s="1"/>
  <c r="P617" i="2"/>
  <c r="P624" i="2"/>
  <c r="Q11" i="2"/>
  <c r="P318" i="2"/>
  <c r="P320" i="2"/>
  <c r="P322" i="2"/>
  <c r="P451" i="2"/>
  <c r="P470" i="2" s="1"/>
  <c r="P452" i="2"/>
  <c r="P453" i="2"/>
  <c r="P454" i="2"/>
  <c r="P455" i="2"/>
  <c r="P456" i="2"/>
  <c r="P317" i="2"/>
  <c r="P321" i="2"/>
  <c r="P319" i="2"/>
  <c r="N121" i="2"/>
  <c r="P19" i="2"/>
  <c r="M120" i="2"/>
  <c r="P700" i="2"/>
  <c r="P701" i="2"/>
  <c r="P702" i="2"/>
  <c r="P703" i="2"/>
  <c r="P704" i="2"/>
  <c r="P705" i="2"/>
  <c r="P706" i="2"/>
  <c r="P699" i="2"/>
  <c r="M105" i="2"/>
  <c r="O336" i="2"/>
  <c r="P469" i="2"/>
  <c r="P335" i="2"/>
  <c r="P347" i="2"/>
  <c r="P481" i="2" s="1"/>
  <c r="O695" i="2"/>
  <c r="O680" i="2" s="1"/>
  <c r="O68" i="2" s="1"/>
  <c r="D195" i="1"/>
  <c r="B91" i="10" s="1"/>
  <c r="B195" i="1"/>
  <c r="C195" i="1"/>
  <c r="E195" i="1"/>
  <c r="B76" i="7" s="1"/>
  <c r="N554" i="2"/>
  <c r="N555" i="2" s="1"/>
  <c r="N103" i="2" s="1"/>
  <c r="N248" i="2" s="1"/>
  <c r="N560" i="2"/>
  <c r="N561" i="2" s="1"/>
  <c r="N104" i="2" s="1"/>
  <c r="P40" i="2"/>
  <c r="P23" i="2"/>
  <c r="P26" i="2"/>
  <c r="P30" i="2"/>
  <c r="C571" i="2"/>
  <c r="C219" i="2" s="1"/>
  <c r="B436" i="2"/>
  <c r="B302" i="2"/>
  <c r="B152" i="2" s="1"/>
  <c r="C572" i="2"/>
  <c r="C259" i="2" s="1"/>
  <c r="B437" i="2"/>
  <c r="C574" i="2"/>
  <c r="C261" i="2" s="1"/>
  <c r="B305" i="2"/>
  <c r="L274" i="2"/>
  <c r="L275" i="2" s="1"/>
  <c r="M270" i="2"/>
  <c r="M231" i="2"/>
  <c r="M272" i="2"/>
  <c r="M233" i="2"/>
  <c r="L235" i="2"/>
  <c r="L236" i="2" s="1"/>
  <c r="M601" i="2"/>
  <c r="N594" i="2"/>
  <c r="N595" i="2" s="1"/>
  <c r="N51" i="2" s="1"/>
  <c r="N598" i="2"/>
  <c r="N599" i="2" s="1"/>
  <c r="N590" i="2"/>
  <c r="N591" i="2" s="1"/>
  <c r="N586" i="2"/>
  <c r="N587" i="2" s="1"/>
  <c r="P668" i="2"/>
  <c r="B142" i="1"/>
  <c r="O27" i="2"/>
  <c r="O10" i="2"/>
  <c r="O12" i="2" s="1"/>
  <c r="Q2" i="2"/>
  <c r="Q674" i="2" s="1"/>
  <c r="P25" i="2"/>
  <c r="N29" i="2"/>
  <c r="N31" i="2" s="1"/>
  <c r="C145" i="7" l="1"/>
  <c r="AO601" i="7"/>
  <c r="AP43" i="7"/>
  <c r="AO640" i="10"/>
  <c r="AP283" i="10"/>
  <c r="AP299" i="10" s="1"/>
  <c r="AP42" i="10"/>
  <c r="AP44" i="10" s="1"/>
  <c r="AP48" i="10" s="1"/>
  <c r="AM605" i="8"/>
  <c r="AN43" i="8"/>
  <c r="AM601" i="7"/>
  <c r="AN43" i="7"/>
  <c r="AL601" i="7"/>
  <c r="AM43" i="7"/>
  <c r="AN42" i="10"/>
  <c r="AN44" i="10" s="1"/>
  <c r="AN48" i="10" s="1"/>
  <c r="AN283" i="10"/>
  <c r="AN299" i="10" s="1"/>
  <c r="AM640" i="10"/>
  <c r="AK601" i="7"/>
  <c r="AL43" i="7"/>
  <c r="AI605" i="8"/>
  <c r="AJ43" i="8"/>
  <c r="AJ601" i="7"/>
  <c r="AK43" i="7"/>
  <c r="AI601" i="7"/>
  <c r="AJ598" i="7" s="1"/>
  <c r="AJ43" i="7"/>
  <c r="AG605" i="8"/>
  <c r="AH43" i="8"/>
  <c r="AJ283" i="10"/>
  <c r="AJ299" i="10" s="1"/>
  <c r="AI640" i="10"/>
  <c r="AJ42" i="10"/>
  <c r="AJ44" i="10" s="1"/>
  <c r="AJ48" i="10" s="1"/>
  <c r="AF605" i="8"/>
  <c r="AG602" i="8" s="1"/>
  <c r="AG43" i="8"/>
  <c r="AF601" i="7"/>
  <c r="AG598" i="7" s="1"/>
  <c r="AG43" i="7"/>
  <c r="AF640" i="10"/>
  <c r="AG637" i="10" s="1"/>
  <c r="AG283" i="10"/>
  <c r="AG299" i="10" s="1"/>
  <c r="AG42" i="10"/>
  <c r="AG44" i="10" s="1"/>
  <c r="AG48" i="10" s="1"/>
  <c r="AO605" i="8"/>
  <c r="AP43" i="8"/>
  <c r="AN605" i="8"/>
  <c r="AO43" i="8"/>
  <c r="AN601" i="7"/>
  <c r="AO43" i="7"/>
  <c r="AL605" i="8"/>
  <c r="AM43" i="8"/>
  <c r="AO42" i="10"/>
  <c r="AO44" i="10" s="1"/>
  <c r="AO48" i="10" s="1"/>
  <c r="AN640" i="10"/>
  <c r="AO283" i="10"/>
  <c r="AO299" i="10" s="1"/>
  <c r="AK605" i="8"/>
  <c r="AL43" i="8"/>
  <c r="AL640" i="10"/>
  <c r="AM42" i="10"/>
  <c r="AM44" i="10" s="1"/>
  <c r="AM48" i="10" s="1"/>
  <c r="AM283" i="10"/>
  <c r="AM299" i="10" s="1"/>
  <c r="AJ605" i="8"/>
  <c r="AK43" i="8"/>
  <c r="AK640" i="10"/>
  <c r="AL42" i="10"/>
  <c r="AL44" i="10" s="1"/>
  <c r="AL48" i="10" s="1"/>
  <c r="AL283" i="10"/>
  <c r="AL299" i="10" s="1"/>
  <c r="AH605" i="8"/>
  <c r="AI43" i="8"/>
  <c r="AK42" i="10"/>
  <c r="AK44" i="10" s="1"/>
  <c r="AK48" i="10" s="1"/>
  <c r="AJ640" i="10"/>
  <c r="AK283" i="10"/>
  <c r="AK299" i="10" s="1"/>
  <c r="AH601" i="7"/>
  <c r="AI43" i="7"/>
  <c r="AG601" i="7"/>
  <c r="AH43" i="7"/>
  <c r="AI42" i="10"/>
  <c r="AI44" i="10" s="1"/>
  <c r="AI48" i="10" s="1"/>
  <c r="AI283" i="10"/>
  <c r="AI299" i="10" s="1"/>
  <c r="AH640" i="10"/>
  <c r="AH283" i="10"/>
  <c r="AH299" i="10" s="1"/>
  <c r="AG640" i="10"/>
  <c r="AH42" i="10"/>
  <c r="AH44" i="10" s="1"/>
  <c r="AH48" i="10" s="1"/>
  <c r="L673" i="2"/>
  <c r="J43" i="2"/>
  <c r="J620" i="2" s="1"/>
  <c r="I675" i="2"/>
  <c r="J672" i="2" s="1"/>
  <c r="H43" i="2"/>
  <c r="H242" i="2" s="1"/>
  <c r="G675" i="2"/>
  <c r="H672" i="2" s="1"/>
  <c r="F43" i="2"/>
  <c r="F620" i="2" s="1"/>
  <c r="E675" i="2"/>
  <c r="F672" i="2" s="1"/>
  <c r="D43" i="2"/>
  <c r="D620" i="2" s="1"/>
  <c r="C675" i="2"/>
  <c r="D672" i="2" s="1"/>
  <c r="AF43" i="7"/>
  <c r="AF132" i="7" s="1"/>
  <c r="AE601" i="7"/>
  <c r="AD43" i="7"/>
  <c r="AD168" i="7" s="1"/>
  <c r="AC601" i="7"/>
  <c r="AB43" i="7"/>
  <c r="AB132" i="7" s="1"/>
  <c r="AA601" i="7"/>
  <c r="Z43" i="7"/>
  <c r="Z168" i="7" s="1"/>
  <c r="Y601" i="7"/>
  <c r="X43" i="7"/>
  <c r="X132" i="7" s="1"/>
  <c r="W601" i="7"/>
  <c r="V43" i="7"/>
  <c r="V168" i="7" s="1"/>
  <c r="U601" i="7"/>
  <c r="T43" i="7"/>
  <c r="T132" i="7" s="1"/>
  <c r="S601" i="7"/>
  <c r="R43" i="7"/>
  <c r="R168" i="7" s="1"/>
  <c r="Q601" i="7"/>
  <c r="P43" i="7"/>
  <c r="P132" i="7" s="1"/>
  <c r="O601" i="7"/>
  <c r="N43" i="7"/>
  <c r="N546" i="7" s="1"/>
  <c r="N548" i="7" s="1"/>
  <c r="M601" i="7"/>
  <c r="L43" i="7"/>
  <c r="L546" i="7" s="1"/>
  <c r="L548" i="7" s="1"/>
  <c r="K601" i="7"/>
  <c r="J43" i="7"/>
  <c r="J546" i="7" s="1"/>
  <c r="J548" i="7" s="1"/>
  <c r="I601" i="7"/>
  <c r="H43" i="7"/>
  <c r="H546" i="7" s="1"/>
  <c r="H548" i="7" s="1"/>
  <c r="G601" i="7"/>
  <c r="F43" i="7"/>
  <c r="F546" i="7" s="1"/>
  <c r="F548" i="7" s="1"/>
  <c r="E601" i="7"/>
  <c r="D43" i="7"/>
  <c r="D546" i="7" s="1"/>
  <c r="D548" i="7" s="1"/>
  <c r="C601" i="7"/>
  <c r="AE43" i="8"/>
  <c r="AE240" i="8" s="1"/>
  <c r="AD605" i="8"/>
  <c r="AC43" i="8"/>
  <c r="AC205" i="8" s="1"/>
  <c r="AB605" i="8"/>
  <c r="AA43" i="8"/>
  <c r="AA240" i="8" s="1"/>
  <c r="Z605" i="8"/>
  <c r="Y43" i="8"/>
  <c r="Y205" i="8" s="1"/>
  <c r="X605" i="8"/>
  <c r="W43" i="8"/>
  <c r="W240" i="8" s="1"/>
  <c r="V605" i="8"/>
  <c r="U43" i="8"/>
  <c r="U205" i="8" s="1"/>
  <c r="T605" i="8"/>
  <c r="S43" i="8"/>
  <c r="S240" i="8" s="1"/>
  <c r="R605" i="8"/>
  <c r="Q43" i="8"/>
  <c r="Q205" i="8" s="1"/>
  <c r="P605" i="8"/>
  <c r="O43" i="8"/>
  <c r="O240" i="8" s="1"/>
  <c r="N605" i="8"/>
  <c r="M43" i="8"/>
  <c r="M205" i="8" s="1"/>
  <c r="L605" i="8"/>
  <c r="K43" i="8"/>
  <c r="K240" i="8" s="1"/>
  <c r="J605" i="8"/>
  <c r="I43" i="8"/>
  <c r="I205" i="8" s="1"/>
  <c r="H605" i="8"/>
  <c r="G43" i="8"/>
  <c r="G240" i="8" s="1"/>
  <c r="F605" i="8"/>
  <c r="E43" i="8"/>
  <c r="E205" i="8" s="1"/>
  <c r="D605" i="8"/>
  <c r="C43" i="8"/>
  <c r="C240" i="8" s="1"/>
  <c r="B605" i="8"/>
  <c r="K43" i="2"/>
  <c r="K47" i="2" s="1"/>
  <c r="J675" i="2"/>
  <c r="K672" i="2" s="1"/>
  <c r="K673" i="2" s="1"/>
  <c r="I43" i="2"/>
  <c r="I620" i="2" s="1"/>
  <c r="H675" i="2"/>
  <c r="I672" i="2" s="1"/>
  <c r="I673" i="2" s="1"/>
  <c r="G43" i="2"/>
  <c r="G47" i="2" s="1"/>
  <c r="F675" i="2"/>
  <c r="G672" i="2" s="1"/>
  <c r="G673" i="2" s="1"/>
  <c r="E43" i="2"/>
  <c r="E620" i="2" s="1"/>
  <c r="D675" i="2"/>
  <c r="E672" i="2" s="1"/>
  <c r="E673" i="2" s="1"/>
  <c r="C43" i="2"/>
  <c r="C242" i="2" s="1"/>
  <c r="B675" i="2"/>
  <c r="AE43" i="7"/>
  <c r="AE168" i="7" s="1"/>
  <c r="AD601" i="7"/>
  <c r="AE598" i="7" s="1"/>
  <c r="AC43" i="7"/>
  <c r="AC132" i="7" s="1"/>
  <c r="AB601" i="7"/>
  <c r="AC598" i="7" s="1"/>
  <c r="AA43" i="7"/>
  <c r="AA168" i="7" s="1"/>
  <c r="Z601" i="7"/>
  <c r="AA598" i="7" s="1"/>
  <c r="Y43" i="7"/>
  <c r="Y132" i="7" s="1"/>
  <c r="X601" i="7"/>
  <c r="Y598" i="7" s="1"/>
  <c r="W43" i="7"/>
  <c r="W168" i="7" s="1"/>
  <c r="V601" i="7"/>
  <c r="W598" i="7" s="1"/>
  <c r="U43" i="7"/>
  <c r="U132" i="7" s="1"/>
  <c r="T601" i="7"/>
  <c r="U598" i="7" s="1"/>
  <c r="S43" i="7"/>
  <c r="S168" i="7" s="1"/>
  <c r="R601" i="7"/>
  <c r="S598" i="7" s="1"/>
  <c r="Q43" i="7"/>
  <c r="Q132" i="7" s="1"/>
  <c r="P601" i="7"/>
  <c r="Q598" i="7" s="1"/>
  <c r="O43" i="7"/>
  <c r="O546" i="7" s="1"/>
  <c r="O548" i="7" s="1"/>
  <c r="N601" i="7"/>
  <c r="O598" i="7" s="1"/>
  <c r="M43" i="7"/>
  <c r="M546" i="7" s="1"/>
  <c r="M548" i="7" s="1"/>
  <c r="L601" i="7"/>
  <c r="M598" i="7" s="1"/>
  <c r="K43" i="7"/>
  <c r="K546" i="7" s="1"/>
  <c r="K548" i="7" s="1"/>
  <c r="J601" i="7"/>
  <c r="K598" i="7" s="1"/>
  <c r="I43" i="7"/>
  <c r="I546" i="7" s="1"/>
  <c r="I548" i="7" s="1"/>
  <c r="H601" i="7"/>
  <c r="I598" i="7" s="1"/>
  <c r="G43" i="7"/>
  <c r="G546" i="7" s="1"/>
  <c r="G548" i="7" s="1"/>
  <c r="F601" i="7"/>
  <c r="G598" i="7" s="1"/>
  <c r="E43" i="7"/>
  <c r="E546" i="7" s="1"/>
  <c r="E548" i="7" s="1"/>
  <c r="D601" i="7"/>
  <c r="E598" i="7" s="1"/>
  <c r="C43" i="7"/>
  <c r="C546" i="7" s="1"/>
  <c r="C548" i="7" s="1"/>
  <c r="B601" i="7"/>
  <c r="AF43" i="8"/>
  <c r="AF240" i="8" s="1"/>
  <c r="AE605" i="8"/>
  <c r="AD43" i="8"/>
  <c r="AD205" i="8" s="1"/>
  <c r="AC605" i="8"/>
  <c r="AB43" i="8"/>
  <c r="AB240" i="8" s="1"/>
  <c r="AA605" i="8"/>
  <c r="Z43" i="8"/>
  <c r="Z205" i="8" s="1"/>
  <c r="Y605" i="8"/>
  <c r="X43" i="8"/>
  <c r="X240" i="8" s="1"/>
  <c r="W605" i="8"/>
  <c r="V43" i="8"/>
  <c r="V205" i="8" s="1"/>
  <c r="U605" i="8"/>
  <c r="T43" i="8"/>
  <c r="T240" i="8" s="1"/>
  <c r="S605" i="8"/>
  <c r="R43" i="8"/>
  <c r="R205" i="8" s="1"/>
  <c r="Q605" i="8"/>
  <c r="P43" i="8"/>
  <c r="P240" i="8" s="1"/>
  <c r="O605" i="8"/>
  <c r="N43" i="8"/>
  <c r="N205" i="8" s="1"/>
  <c r="M605" i="8"/>
  <c r="L43" i="8"/>
  <c r="L240" i="8" s="1"/>
  <c r="K605" i="8"/>
  <c r="J43" i="8"/>
  <c r="J205" i="8" s="1"/>
  <c r="I605" i="8"/>
  <c r="H43" i="8"/>
  <c r="H240" i="8" s="1"/>
  <c r="G605" i="8"/>
  <c r="F43" i="8"/>
  <c r="F205" i="8" s="1"/>
  <c r="E605" i="8"/>
  <c r="D43" i="8"/>
  <c r="D240" i="8" s="1"/>
  <c r="C605" i="8"/>
  <c r="Q655" i="2"/>
  <c r="Q659" i="2" s="1"/>
  <c r="H651" i="2"/>
  <c r="I654" i="2" s="1"/>
  <c r="I653" i="2" s="1"/>
  <c r="I650" i="2" s="1"/>
  <c r="Q564" i="7"/>
  <c r="Q584" i="7" s="1"/>
  <c r="P564" i="7"/>
  <c r="P584" i="7" s="1"/>
  <c r="H564" i="7"/>
  <c r="H584" i="7" s="1"/>
  <c r="H586" i="7" s="1"/>
  <c r="P618" i="2"/>
  <c r="Q5" i="2"/>
  <c r="C260" i="2"/>
  <c r="L43" i="2"/>
  <c r="L620" i="2" s="1"/>
  <c r="Q597" i="2"/>
  <c r="Q593" i="2"/>
  <c r="Q589" i="2"/>
  <c r="Q585" i="2"/>
  <c r="C257" i="8"/>
  <c r="B93" i="10"/>
  <c r="B139" i="10"/>
  <c r="B151" i="10" s="1"/>
  <c r="C218" i="8"/>
  <c r="M18" i="2"/>
  <c r="M20" i="2" s="1"/>
  <c r="M43" i="2" s="1"/>
  <c r="M53" i="2"/>
  <c r="N49" i="2"/>
  <c r="N14" i="2"/>
  <c r="AF39" i="10"/>
  <c r="AD39" i="10"/>
  <c r="AB39" i="10"/>
  <c r="Z39" i="10"/>
  <c r="X39" i="10"/>
  <c r="V39" i="10"/>
  <c r="T39" i="10"/>
  <c r="R39" i="10"/>
  <c r="P39" i="10"/>
  <c r="N39" i="10"/>
  <c r="L39" i="10"/>
  <c r="J39" i="10"/>
  <c r="H39" i="10"/>
  <c r="F39" i="10"/>
  <c r="D39" i="10"/>
  <c r="AE39" i="10"/>
  <c r="AC39" i="10"/>
  <c r="AA39" i="10"/>
  <c r="Y39" i="10"/>
  <c r="W39" i="10"/>
  <c r="U39" i="10"/>
  <c r="S39" i="10"/>
  <c r="Q39" i="10"/>
  <c r="O39" i="10"/>
  <c r="M39" i="10"/>
  <c r="K39" i="10"/>
  <c r="I39" i="10"/>
  <c r="G39" i="10"/>
  <c r="E39" i="10"/>
  <c r="C39" i="10"/>
  <c r="C258" i="8"/>
  <c r="C236" i="10"/>
  <c r="K649" i="10"/>
  <c r="K652" i="10" s="1"/>
  <c r="C267" i="10"/>
  <c r="B68" i="8"/>
  <c r="I608" i="8"/>
  <c r="I611" i="8" s="1"/>
  <c r="H704" i="8"/>
  <c r="B78" i="7"/>
  <c r="B70" i="8"/>
  <c r="AE205" i="8"/>
  <c r="AC240" i="8"/>
  <c r="AC47" i="8"/>
  <c r="AA205" i="8"/>
  <c r="Y240" i="8"/>
  <c r="Y47" i="8"/>
  <c r="W205" i="8"/>
  <c r="U240" i="8"/>
  <c r="U47" i="8"/>
  <c r="S205" i="8"/>
  <c r="Q240" i="8"/>
  <c r="Q47" i="8"/>
  <c r="O205" i="8"/>
  <c r="M240" i="8"/>
  <c r="M47" i="8"/>
  <c r="K205" i="8"/>
  <c r="I240" i="8"/>
  <c r="I47" i="8"/>
  <c r="G205" i="8"/>
  <c r="E240" i="8"/>
  <c r="E47" i="8"/>
  <c r="C205" i="8"/>
  <c r="C572" i="8"/>
  <c r="C255" i="8"/>
  <c r="C217" i="8"/>
  <c r="C187" i="7"/>
  <c r="C148" i="7"/>
  <c r="C186" i="7"/>
  <c r="C147" i="7"/>
  <c r="C185" i="7"/>
  <c r="C146" i="7"/>
  <c r="C501" i="7"/>
  <c r="AF47" i="7"/>
  <c r="Z132" i="7"/>
  <c r="T168" i="7"/>
  <c r="P47" i="7"/>
  <c r="J132" i="7"/>
  <c r="S604" i="7"/>
  <c r="S607" i="7" s="1"/>
  <c r="N15" i="2"/>
  <c r="N50" i="2"/>
  <c r="N232" i="2"/>
  <c r="N271" i="2"/>
  <c r="N17" i="2"/>
  <c r="N52" i="2"/>
  <c r="N234" i="2"/>
  <c r="N273" i="2"/>
  <c r="O71" i="2"/>
  <c r="Q758" i="2"/>
  <c r="Q400" i="2" s="1"/>
  <c r="Q535" i="2" s="1"/>
  <c r="Q756" i="2"/>
  <c r="Q398" i="2" s="1"/>
  <c r="Q533" i="2" s="1"/>
  <c r="Q754" i="2"/>
  <c r="Q396" i="2" s="1"/>
  <c r="Q531" i="2" s="1"/>
  <c r="Q752" i="2"/>
  <c r="Q394" i="2" s="1"/>
  <c r="Q529" i="2" s="1"/>
  <c r="Q750" i="2"/>
  <c r="Q392" i="2" s="1"/>
  <c r="Q527" i="2" s="1"/>
  <c r="Q726" i="2"/>
  <c r="Q374" i="2" s="1"/>
  <c r="Q509" i="2" s="1"/>
  <c r="Q724" i="2"/>
  <c r="Q372" i="2" s="1"/>
  <c r="Q507" i="2" s="1"/>
  <c r="Q757" i="2"/>
  <c r="Q399" i="2" s="1"/>
  <c r="Q534" i="2" s="1"/>
  <c r="Q755" i="2"/>
  <c r="Q397" i="2" s="1"/>
  <c r="Q532" i="2" s="1"/>
  <c r="Q753" i="2"/>
  <c r="Q395" i="2" s="1"/>
  <c r="Q530" i="2" s="1"/>
  <c r="Q751" i="2"/>
  <c r="Q393" i="2" s="1"/>
  <c r="Q528" i="2" s="1"/>
  <c r="Q749" i="2"/>
  <c r="Q391" i="2" s="1"/>
  <c r="Q526" i="2" s="1"/>
  <c r="Q725" i="2"/>
  <c r="Q373" i="2" s="1"/>
  <c r="Q508" i="2" s="1"/>
  <c r="Q722" i="2"/>
  <c r="Q370" i="2" s="1"/>
  <c r="Q505" i="2" s="1"/>
  <c r="Q720" i="2"/>
  <c r="Q368" i="2" s="1"/>
  <c r="Q503" i="2" s="1"/>
  <c r="Q718" i="2"/>
  <c r="Q366" i="2" s="1"/>
  <c r="Q501" i="2" s="1"/>
  <c r="Q694" i="2"/>
  <c r="Q349" i="2" s="1"/>
  <c r="Q483" i="2" s="1"/>
  <c r="Q692" i="2"/>
  <c r="Q347" i="2" s="1"/>
  <c r="Q481" i="2" s="1"/>
  <c r="Q690" i="2"/>
  <c r="Q345" i="2" s="1"/>
  <c r="Q479" i="2" s="1"/>
  <c r="Q688" i="2"/>
  <c r="Q343" i="2" s="1"/>
  <c r="Q477" i="2" s="1"/>
  <c r="Q686" i="2"/>
  <c r="Q341" i="2" s="1"/>
  <c r="Q475" i="2" s="1"/>
  <c r="Q763" i="2"/>
  <c r="Q766" i="2"/>
  <c r="Q768" i="2"/>
  <c r="Q770" i="2"/>
  <c r="Q723" i="2"/>
  <c r="Q371" i="2" s="1"/>
  <c r="Q506" i="2" s="1"/>
  <c r="Q719" i="2"/>
  <c r="Q367" i="2" s="1"/>
  <c r="Q502" i="2" s="1"/>
  <c r="Q691" i="2"/>
  <c r="Q346" i="2" s="1"/>
  <c r="Q480" i="2" s="1"/>
  <c r="Q687" i="2"/>
  <c r="Q342" i="2" s="1"/>
  <c r="Q476" i="2" s="1"/>
  <c r="Q721" i="2"/>
  <c r="Q369" i="2" s="1"/>
  <c r="Q504" i="2" s="1"/>
  <c r="Q717" i="2"/>
  <c r="Q365" i="2" s="1"/>
  <c r="Q500" i="2" s="1"/>
  <c r="Q693" i="2"/>
  <c r="Q348" i="2" s="1"/>
  <c r="Q482" i="2" s="1"/>
  <c r="Q689" i="2"/>
  <c r="Q344" i="2" s="1"/>
  <c r="Q478" i="2" s="1"/>
  <c r="Q685" i="2"/>
  <c r="Q340" i="2" s="1"/>
  <c r="Q474" i="2" s="1"/>
  <c r="Q769" i="2"/>
  <c r="Q767" i="2"/>
  <c r="Q731" i="2"/>
  <c r="Q733" i="2"/>
  <c r="Q735" i="2"/>
  <c r="Q737" i="2"/>
  <c r="Q764" i="2"/>
  <c r="Q732" i="2"/>
  <c r="Q734" i="2"/>
  <c r="Q736" i="2"/>
  <c r="Q738" i="2"/>
  <c r="Q762" i="2"/>
  <c r="P727" i="2"/>
  <c r="P712" i="2" s="1"/>
  <c r="P69" i="2" s="1"/>
  <c r="P759" i="2"/>
  <c r="P744" i="2" s="1"/>
  <c r="P70" i="2" s="1"/>
  <c r="C179" i="1"/>
  <c r="D179" i="1"/>
  <c r="E179" i="1"/>
  <c r="B179" i="1"/>
  <c r="N41" i="2"/>
  <c r="M675" i="2" s="1"/>
  <c r="N672" i="2" s="1"/>
  <c r="C258" i="2"/>
  <c r="Q33" i="2"/>
  <c r="Q35" i="2" s="1"/>
  <c r="Q37" i="2" s="1"/>
  <c r="Q39" i="2" s="1"/>
  <c r="Q697" i="2"/>
  <c r="Q552" i="2"/>
  <c r="Q553" i="2" s="1"/>
  <c r="Q558" i="2"/>
  <c r="Q559" i="2" s="1"/>
  <c r="Q624" i="2"/>
  <c r="Q667" i="2"/>
  <c r="Q617" i="2"/>
  <c r="F47" i="2"/>
  <c r="R11" i="2"/>
  <c r="Q317" i="2"/>
  <c r="Q319" i="2"/>
  <c r="Q321" i="2"/>
  <c r="Q318" i="2"/>
  <c r="Q322" i="2"/>
  <c r="Q451" i="2"/>
  <c r="Q453" i="2"/>
  <c r="Q455" i="2"/>
  <c r="Q320" i="2"/>
  <c r="Q452" i="2"/>
  <c r="Q454" i="2"/>
  <c r="Q456" i="2"/>
  <c r="O121" i="2"/>
  <c r="Q19" i="2"/>
  <c r="B76" i="2"/>
  <c r="B78" i="2" s="1"/>
  <c r="N120" i="2"/>
  <c r="Q700" i="2"/>
  <c r="Q701" i="2"/>
  <c r="Q702" i="2"/>
  <c r="Q703" i="2"/>
  <c r="Q704" i="2"/>
  <c r="Q705" i="2"/>
  <c r="Q706" i="2"/>
  <c r="N105" i="2"/>
  <c r="P336" i="2"/>
  <c r="Q469" i="2"/>
  <c r="Q335" i="2"/>
  <c r="P695" i="2"/>
  <c r="P680" i="2" s="1"/>
  <c r="P68" i="2" s="1"/>
  <c r="O554" i="2"/>
  <c r="O555" i="2" s="1"/>
  <c r="O103" i="2" s="1"/>
  <c r="O248" i="2" s="1"/>
  <c r="O560" i="2"/>
  <c r="O561" i="2" s="1"/>
  <c r="O104" i="2" s="1"/>
  <c r="C220" i="2"/>
  <c r="C222" i="2"/>
  <c r="Q23" i="2"/>
  <c r="Q26" i="2"/>
  <c r="Q30" i="2"/>
  <c r="Q40" i="2"/>
  <c r="C575" i="2"/>
  <c r="B306" i="2"/>
  <c r="B440" i="2"/>
  <c r="N272" i="2"/>
  <c r="N233" i="2"/>
  <c r="M274" i="2"/>
  <c r="M275" i="2" s="1"/>
  <c r="N270" i="2"/>
  <c r="N231" i="2"/>
  <c r="M235" i="2"/>
  <c r="M236" i="2" s="1"/>
  <c r="N601" i="2"/>
  <c r="O598" i="2"/>
  <c r="O599" i="2" s="1"/>
  <c r="O590" i="2"/>
  <c r="O591" i="2" s="1"/>
  <c r="O586" i="2"/>
  <c r="O587" i="2" s="1"/>
  <c r="O594" i="2"/>
  <c r="O595" i="2" s="1"/>
  <c r="O51" i="2" s="1"/>
  <c r="P27" i="2"/>
  <c r="O29" i="2"/>
  <c r="O31" i="2" s="1"/>
  <c r="O41" i="2" s="1"/>
  <c r="N675" i="2" s="1"/>
  <c r="O672" i="2" s="1"/>
  <c r="R2" i="2"/>
  <c r="Q25" i="2"/>
  <c r="P10" i="2"/>
  <c r="P12" i="2" s="1"/>
  <c r="AD240" i="8" l="1"/>
  <c r="AF205" i="8"/>
  <c r="H206" i="2"/>
  <c r="C206" i="2"/>
  <c r="J240" i="8"/>
  <c r="H205" i="8"/>
  <c r="X205" i="8"/>
  <c r="F47" i="8"/>
  <c r="V240" i="8"/>
  <c r="J47" i="8"/>
  <c r="Z47" i="8"/>
  <c r="F240" i="8"/>
  <c r="N240" i="8"/>
  <c r="Z240" i="8"/>
  <c r="R47" i="8"/>
  <c r="P205" i="8"/>
  <c r="V47" i="8"/>
  <c r="L205" i="8"/>
  <c r="T205" i="8"/>
  <c r="D205" i="8"/>
  <c r="AB205" i="8"/>
  <c r="R660" i="2"/>
  <c r="R674" i="2"/>
  <c r="R669" i="2"/>
  <c r="Q470" i="2"/>
  <c r="N47" i="8"/>
  <c r="R240" i="8"/>
  <c r="AD47" i="8"/>
  <c r="AG638" i="10"/>
  <c r="AG58" i="10" s="1"/>
  <c r="AG63" i="10" s="1"/>
  <c r="AG69" i="10" s="1"/>
  <c r="AH637" i="10"/>
  <c r="AH638" i="10" s="1"/>
  <c r="AH58" i="10" s="1"/>
  <c r="AH63" i="10" s="1"/>
  <c r="AH69" i="10" s="1"/>
  <c r="AI637" i="10"/>
  <c r="AG599" i="7"/>
  <c r="AG62" i="7" s="1"/>
  <c r="AG66" i="7" s="1"/>
  <c r="AG72" i="7" s="1"/>
  <c r="AH598" i="7"/>
  <c r="AH599" i="7" s="1"/>
  <c r="AH62" i="7" s="1"/>
  <c r="AH66" i="7" s="1"/>
  <c r="AH72" i="7" s="1"/>
  <c r="AI598" i="7"/>
  <c r="AI599" i="7" s="1"/>
  <c r="AI62" i="7" s="1"/>
  <c r="AI66" i="7" s="1"/>
  <c r="AI72" i="7" s="1"/>
  <c r="AK637" i="10"/>
  <c r="AI205" i="8"/>
  <c r="AI47" i="8"/>
  <c r="AI240" i="8"/>
  <c r="AK638" i="10"/>
  <c r="AK58" i="10" s="1"/>
  <c r="AK63" i="10" s="1"/>
  <c r="AK69" i="10" s="1"/>
  <c r="AL637" i="10"/>
  <c r="AK602" i="8"/>
  <c r="AL240" i="8"/>
  <c r="AL47" i="8"/>
  <c r="AL205" i="8"/>
  <c r="AM602" i="8"/>
  <c r="AO598" i="7"/>
  <c r="AO599" i="7" s="1"/>
  <c r="AO62" i="7" s="1"/>
  <c r="AO66" i="7" s="1"/>
  <c r="AO72" i="7" s="1"/>
  <c r="AO602" i="8"/>
  <c r="AO603" i="8" s="1"/>
  <c r="AO54" i="8" s="1"/>
  <c r="AO58" i="8" s="1"/>
  <c r="AO64" i="8" s="1"/>
  <c r="AP602" i="8"/>
  <c r="AP604" i="8" s="1"/>
  <c r="AP54" i="8" s="1"/>
  <c r="AP58" i="8" s="1"/>
  <c r="AP64" i="8" s="1"/>
  <c r="AG132" i="7"/>
  <c r="AG168" i="7"/>
  <c r="AG47" i="7"/>
  <c r="AG205" i="8"/>
  <c r="AG240" i="8"/>
  <c r="AG47" i="8"/>
  <c r="AG603" i="8"/>
  <c r="AG54" i="8" s="1"/>
  <c r="AG58" i="8" s="1"/>
  <c r="AG64" i="8" s="1"/>
  <c r="AH602" i="8"/>
  <c r="AK598" i="7"/>
  <c r="AJ599" i="7"/>
  <c r="AJ62" i="7" s="1"/>
  <c r="AJ66" i="7" s="1"/>
  <c r="AJ72" i="7" s="1"/>
  <c r="AJ602" i="8"/>
  <c r="AJ603" i="8" s="1"/>
  <c r="AJ54" i="8" s="1"/>
  <c r="AJ58" i="8" s="1"/>
  <c r="AJ64" i="8" s="1"/>
  <c r="AK599" i="7"/>
  <c r="AK62" i="7" s="1"/>
  <c r="AK66" i="7" s="1"/>
  <c r="AK72" i="7" s="1"/>
  <c r="AL598" i="7"/>
  <c r="AM168" i="7"/>
  <c r="AM132" i="7"/>
  <c r="AM47" i="7"/>
  <c r="AN168" i="7"/>
  <c r="AN132" i="7"/>
  <c r="AN47" i="7"/>
  <c r="AN205" i="8"/>
  <c r="AN240" i="8"/>
  <c r="AN47" i="8"/>
  <c r="AP637" i="10"/>
  <c r="AP639" i="10" s="1"/>
  <c r="AP598" i="7"/>
  <c r="AP600" i="7" s="1"/>
  <c r="AP62" i="7" s="1"/>
  <c r="AP66" i="7" s="1"/>
  <c r="AP72" i="7" s="1"/>
  <c r="AH168" i="7"/>
  <c r="AH132" i="7"/>
  <c r="AH47" i="7"/>
  <c r="AI168" i="7"/>
  <c r="AI47" i="7"/>
  <c r="AI132" i="7"/>
  <c r="AI602" i="8"/>
  <c r="AI603" i="8" s="1"/>
  <c r="AI54" i="8" s="1"/>
  <c r="AI58" i="8" s="1"/>
  <c r="AI64" i="8" s="1"/>
  <c r="AH603" i="8"/>
  <c r="AH54" i="8" s="1"/>
  <c r="AH58" i="8" s="1"/>
  <c r="AH64" i="8" s="1"/>
  <c r="AK240" i="8"/>
  <c r="AK47" i="8"/>
  <c r="AK205" i="8"/>
  <c r="AM637" i="10"/>
  <c r="AL638" i="10"/>
  <c r="AL58" i="10" s="1"/>
  <c r="AL63" i="10" s="1"/>
  <c r="AL69" i="10" s="1"/>
  <c r="AL602" i="8"/>
  <c r="AL603" i="8" s="1"/>
  <c r="AL54" i="8" s="1"/>
  <c r="AL58" i="8" s="1"/>
  <c r="AL64" i="8" s="1"/>
  <c r="AK603" i="8"/>
  <c r="AK54" i="8" s="1"/>
  <c r="AK58" i="8" s="1"/>
  <c r="AK64" i="8" s="1"/>
  <c r="AO637" i="10"/>
  <c r="AO638" i="10" s="1"/>
  <c r="AO58" i="10" s="1"/>
  <c r="AO63" i="10" s="1"/>
  <c r="AO69" i="10" s="1"/>
  <c r="AM240" i="8"/>
  <c r="AM47" i="8"/>
  <c r="AM205" i="8"/>
  <c r="AO168" i="7"/>
  <c r="AO47" i="7"/>
  <c r="AO132" i="7"/>
  <c r="AO240" i="8"/>
  <c r="AO47" i="8"/>
  <c r="AO205" i="8"/>
  <c r="AP205" i="8"/>
  <c r="AP240" i="8"/>
  <c r="AP47" i="8"/>
  <c r="AI638" i="10"/>
  <c r="AI58" i="10" s="1"/>
  <c r="AI63" i="10" s="1"/>
  <c r="AI69" i="10" s="1"/>
  <c r="AJ637" i="10"/>
  <c r="AJ638" i="10" s="1"/>
  <c r="AJ58" i="10" s="1"/>
  <c r="AJ63" i="10" s="1"/>
  <c r="AJ69" i="10" s="1"/>
  <c r="AH240" i="8"/>
  <c r="AH205" i="8"/>
  <c r="AH47" i="8"/>
  <c r="AJ132" i="7"/>
  <c r="AJ168" i="7"/>
  <c r="AJ47" i="7"/>
  <c r="AK168" i="7"/>
  <c r="AK47" i="7"/>
  <c r="AK132" i="7"/>
  <c r="AJ240" i="8"/>
  <c r="AJ205" i="8"/>
  <c r="AJ47" i="8"/>
  <c r="AL168" i="7"/>
  <c r="AL132" i="7"/>
  <c r="AL47" i="7"/>
  <c r="AM638" i="10"/>
  <c r="AM58" i="10" s="1"/>
  <c r="AM63" i="10" s="1"/>
  <c r="AM69" i="10" s="1"/>
  <c r="AN637" i="10"/>
  <c r="AN638" i="10" s="1"/>
  <c r="AN58" i="10" s="1"/>
  <c r="AN63" i="10" s="1"/>
  <c r="AN69" i="10" s="1"/>
  <c r="AM598" i="7"/>
  <c r="AL599" i="7"/>
  <c r="AL62" i="7" s="1"/>
  <c r="AL66" i="7" s="1"/>
  <c r="AL72" i="7" s="1"/>
  <c r="AM599" i="7"/>
  <c r="AM62" i="7" s="1"/>
  <c r="AM66" i="7" s="1"/>
  <c r="AM72" i="7" s="1"/>
  <c r="AN598" i="7"/>
  <c r="AN599" i="7" s="1"/>
  <c r="AN62" i="7" s="1"/>
  <c r="AN66" i="7" s="1"/>
  <c r="AN72" i="7" s="1"/>
  <c r="AN602" i="8"/>
  <c r="AN603" i="8" s="1"/>
  <c r="AN54" i="8" s="1"/>
  <c r="AN58" i="8" s="1"/>
  <c r="AN64" i="8" s="1"/>
  <c r="AM603" i="8"/>
  <c r="AM54" i="8" s="1"/>
  <c r="AM58" i="8" s="1"/>
  <c r="AM64" i="8" s="1"/>
  <c r="AP132" i="7"/>
  <c r="AP168" i="7"/>
  <c r="AP47" i="7"/>
  <c r="J206" i="2"/>
  <c r="F206" i="2"/>
  <c r="J47" i="2"/>
  <c r="H47" i="7"/>
  <c r="L168" i="7"/>
  <c r="R132" i="7"/>
  <c r="X47" i="7"/>
  <c r="AB168" i="7"/>
  <c r="D168" i="7"/>
  <c r="M47" i="7"/>
  <c r="W132" i="7"/>
  <c r="E168" i="7"/>
  <c r="Q168" i="7"/>
  <c r="AC47" i="7"/>
  <c r="I168" i="7"/>
  <c r="O132" i="7"/>
  <c r="U47" i="7"/>
  <c r="Y168" i="7"/>
  <c r="AE132" i="7"/>
  <c r="D47" i="7"/>
  <c r="F132" i="7"/>
  <c r="H168" i="7"/>
  <c r="L47" i="7"/>
  <c r="N132" i="7"/>
  <c r="P168" i="7"/>
  <c r="T47" i="7"/>
  <c r="V132" i="7"/>
  <c r="X168" i="7"/>
  <c r="AB47" i="7"/>
  <c r="AD132" i="7"/>
  <c r="AF168" i="7"/>
  <c r="C132" i="7"/>
  <c r="I47" i="7"/>
  <c r="K132" i="7"/>
  <c r="M168" i="7"/>
  <c r="Q47" i="7"/>
  <c r="S132" i="7"/>
  <c r="U168" i="7"/>
  <c r="Y47" i="7"/>
  <c r="AA132" i="7"/>
  <c r="AC168" i="7"/>
  <c r="D564" i="7"/>
  <c r="D584" i="7" s="1"/>
  <c r="D586" i="7" s="1"/>
  <c r="L564" i="7"/>
  <c r="L584" i="7" s="1"/>
  <c r="L586" i="7" s="1"/>
  <c r="I564" i="7"/>
  <c r="I584" i="7" s="1"/>
  <c r="I586" i="7" s="1"/>
  <c r="D132" i="7"/>
  <c r="F47" i="7"/>
  <c r="F168" i="7"/>
  <c r="H132" i="7"/>
  <c r="J47" i="7"/>
  <c r="J168" i="7"/>
  <c r="L132" i="7"/>
  <c r="N47" i="7"/>
  <c r="N168" i="7"/>
  <c r="R47" i="7"/>
  <c r="V47" i="7"/>
  <c r="Z47" i="7"/>
  <c r="AD47" i="7"/>
  <c r="E47" i="7"/>
  <c r="G132" i="7"/>
  <c r="I132" i="7"/>
  <c r="K47" i="7"/>
  <c r="K168" i="7"/>
  <c r="M132" i="7"/>
  <c r="O47" i="7"/>
  <c r="O168" i="7"/>
  <c r="S47" i="7"/>
  <c r="W47" i="7"/>
  <c r="AA47" i="7"/>
  <c r="AE47" i="7"/>
  <c r="F564" i="7"/>
  <c r="F584" i="7" s="1"/>
  <c r="F586" i="7" s="1"/>
  <c r="J564" i="7"/>
  <c r="J584" i="7" s="1"/>
  <c r="J586" i="7" s="1"/>
  <c r="N564" i="7"/>
  <c r="N584" i="7" s="1"/>
  <c r="N586" i="7" s="1"/>
  <c r="E564" i="7"/>
  <c r="E584" i="7" s="1"/>
  <c r="E586" i="7" s="1"/>
  <c r="M564" i="7"/>
  <c r="M584" i="7" s="1"/>
  <c r="M586" i="7" s="1"/>
  <c r="C47" i="7"/>
  <c r="C168" i="7"/>
  <c r="E132" i="7"/>
  <c r="G47" i="7"/>
  <c r="G168" i="7"/>
  <c r="C564" i="7"/>
  <c r="C584" i="7" s="1"/>
  <c r="C586" i="7" s="1"/>
  <c r="G564" i="7"/>
  <c r="G584" i="7" s="1"/>
  <c r="G586" i="7" s="1"/>
  <c r="K564" i="7"/>
  <c r="K584" i="7" s="1"/>
  <c r="K586" i="7" s="1"/>
  <c r="O564" i="7"/>
  <c r="O584" i="7" s="1"/>
  <c r="O586" i="7" s="1"/>
  <c r="G242" i="2"/>
  <c r="I242" i="2"/>
  <c r="K206" i="2"/>
  <c r="E242" i="2"/>
  <c r="C47" i="2"/>
  <c r="H47" i="2"/>
  <c r="D206" i="2"/>
  <c r="H620" i="2"/>
  <c r="G620" i="2"/>
  <c r="K620" i="2"/>
  <c r="C620" i="2"/>
  <c r="J242" i="2"/>
  <c r="G206" i="2"/>
  <c r="I206" i="2"/>
  <c r="F242" i="2"/>
  <c r="K242" i="2"/>
  <c r="E206" i="2"/>
  <c r="L206" i="2"/>
  <c r="I47" i="2"/>
  <c r="E47" i="2"/>
  <c r="D242" i="2"/>
  <c r="D47" i="2"/>
  <c r="D47" i="8"/>
  <c r="H47" i="8"/>
  <c r="L47" i="8"/>
  <c r="P47" i="8"/>
  <c r="T47" i="8"/>
  <c r="X47" i="8"/>
  <c r="AB47" i="8"/>
  <c r="AF47" i="8"/>
  <c r="C47" i="8"/>
  <c r="G47" i="8"/>
  <c r="K47" i="8"/>
  <c r="O47" i="8"/>
  <c r="S47" i="8"/>
  <c r="W47" i="8"/>
  <c r="AA47" i="8"/>
  <c r="AE47" i="8"/>
  <c r="C283" i="10"/>
  <c r="C299" i="10" s="1"/>
  <c r="B640" i="10"/>
  <c r="G283" i="10"/>
  <c r="G299" i="10" s="1"/>
  <c r="F640" i="10"/>
  <c r="K283" i="10"/>
  <c r="K299" i="10" s="1"/>
  <c r="J640" i="10"/>
  <c r="O283" i="10"/>
  <c r="O299" i="10" s="1"/>
  <c r="N640" i="10"/>
  <c r="O637" i="10" s="1"/>
  <c r="S283" i="10"/>
  <c r="S299" i="10" s="1"/>
  <c r="R640" i="10"/>
  <c r="S637" i="10" s="1"/>
  <c r="W283" i="10"/>
  <c r="W299" i="10" s="1"/>
  <c r="V640" i="10"/>
  <c r="W637" i="10" s="1"/>
  <c r="AA283" i="10"/>
  <c r="AA299" i="10" s="1"/>
  <c r="Z640" i="10"/>
  <c r="AA637" i="10" s="1"/>
  <c r="AE283" i="10"/>
  <c r="AE299" i="10" s="1"/>
  <c r="AD640" i="10"/>
  <c r="AE637" i="10" s="1"/>
  <c r="F283" i="10"/>
  <c r="F299" i="10" s="1"/>
  <c r="E640" i="10"/>
  <c r="J283" i="10"/>
  <c r="J299" i="10" s="1"/>
  <c r="I640" i="10"/>
  <c r="N283" i="10"/>
  <c r="N299" i="10" s="1"/>
  <c r="M640" i="10"/>
  <c r="N637" i="10" s="1"/>
  <c r="R283" i="10"/>
  <c r="R299" i="10" s="1"/>
  <c r="Q640" i="10"/>
  <c r="R637" i="10" s="1"/>
  <c r="V283" i="10"/>
  <c r="V299" i="10" s="1"/>
  <c r="U640" i="10"/>
  <c r="V637" i="10" s="1"/>
  <c r="Z283" i="10"/>
  <c r="Z299" i="10" s="1"/>
  <c r="Y640" i="10"/>
  <c r="Z637" i="10" s="1"/>
  <c r="AD283" i="10"/>
  <c r="AD299" i="10" s="1"/>
  <c r="AC640" i="10"/>
  <c r="AD637" i="10" s="1"/>
  <c r="N673" i="2"/>
  <c r="M673" i="2"/>
  <c r="E283" i="10"/>
  <c r="E299" i="10" s="1"/>
  <c r="D640" i="10"/>
  <c r="I283" i="10"/>
  <c r="I299" i="10" s="1"/>
  <c r="H640" i="10"/>
  <c r="M283" i="10"/>
  <c r="M299" i="10" s="1"/>
  <c r="L640" i="10"/>
  <c r="M637" i="10" s="1"/>
  <c r="Q283" i="10"/>
  <c r="Q299" i="10" s="1"/>
  <c r="P640" i="10"/>
  <c r="Q637" i="10" s="1"/>
  <c r="U283" i="10"/>
  <c r="U299" i="10" s="1"/>
  <c r="T640" i="10"/>
  <c r="U637" i="10" s="1"/>
  <c r="Y283" i="10"/>
  <c r="Y299" i="10" s="1"/>
  <c r="X640" i="10"/>
  <c r="Y637" i="10" s="1"/>
  <c r="AC283" i="10"/>
  <c r="AC299" i="10" s="1"/>
  <c r="AB640" i="10"/>
  <c r="AC637" i="10" s="1"/>
  <c r="D283" i="10"/>
  <c r="D299" i="10" s="1"/>
  <c r="C640" i="10"/>
  <c r="H283" i="10"/>
  <c r="H299" i="10" s="1"/>
  <c r="G640" i="10"/>
  <c r="L283" i="10"/>
  <c r="L299" i="10" s="1"/>
  <c r="K640" i="10"/>
  <c r="L637" i="10" s="1"/>
  <c r="P283" i="10"/>
  <c r="P299" i="10" s="1"/>
  <c r="O640" i="10"/>
  <c r="P637" i="10" s="1"/>
  <c r="T283" i="10"/>
  <c r="T299" i="10" s="1"/>
  <c r="S640" i="10"/>
  <c r="T637" i="10" s="1"/>
  <c r="X283" i="10"/>
  <c r="X299" i="10" s="1"/>
  <c r="W640" i="10"/>
  <c r="X637" i="10" s="1"/>
  <c r="AB283" i="10"/>
  <c r="AB299" i="10" s="1"/>
  <c r="AA640" i="10"/>
  <c r="AB637" i="10" s="1"/>
  <c r="AF283" i="10"/>
  <c r="AF299" i="10" s="1"/>
  <c r="AE640" i="10"/>
  <c r="AF637" i="10" s="1"/>
  <c r="D602" i="8"/>
  <c r="C704" i="8"/>
  <c r="F602" i="8"/>
  <c r="F603" i="8" s="1"/>
  <c r="F54" i="8" s="1"/>
  <c r="E704" i="8"/>
  <c r="H602" i="8"/>
  <c r="G704" i="8"/>
  <c r="J602" i="8"/>
  <c r="J603" i="8" s="1"/>
  <c r="J54" i="8" s="1"/>
  <c r="L602" i="8"/>
  <c r="L603" i="8" s="1"/>
  <c r="L54" i="8" s="1"/>
  <c r="N602" i="8"/>
  <c r="P602" i="8"/>
  <c r="P603" i="8" s="1"/>
  <c r="P54" i="8" s="1"/>
  <c r="P58" i="8" s="1"/>
  <c r="P64" i="8" s="1"/>
  <c r="R602" i="8"/>
  <c r="T602" i="8"/>
  <c r="T603" i="8" s="1"/>
  <c r="T54" i="8" s="1"/>
  <c r="T58" i="8" s="1"/>
  <c r="T64" i="8" s="1"/>
  <c r="V602" i="8"/>
  <c r="X602" i="8"/>
  <c r="X603" i="8" s="1"/>
  <c r="X54" i="8" s="1"/>
  <c r="X58" i="8" s="1"/>
  <c r="X64" i="8" s="1"/>
  <c r="Z602" i="8"/>
  <c r="AB602" i="8"/>
  <c r="AB603" i="8" s="1"/>
  <c r="AB54" i="8" s="1"/>
  <c r="AB58" i="8" s="1"/>
  <c r="AB64" i="8" s="1"/>
  <c r="AD602" i="8"/>
  <c r="AF602" i="8"/>
  <c r="B599" i="7"/>
  <c r="C598" i="7"/>
  <c r="C599" i="7" s="1"/>
  <c r="C62" i="7" s="1"/>
  <c r="B673" i="2"/>
  <c r="C180" i="1" s="1"/>
  <c r="C672" i="2"/>
  <c r="C673" i="2" s="1"/>
  <c r="B603" i="8"/>
  <c r="B704" i="8"/>
  <c r="C602" i="8"/>
  <c r="C603" i="8" s="1"/>
  <c r="C54" i="8" s="1"/>
  <c r="D603" i="8"/>
  <c r="D54" i="8" s="1"/>
  <c r="E602" i="8"/>
  <c r="E603" i="8" s="1"/>
  <c r="E54" i="8" s="1"/>
  <c r="D704" i="8"/>
  <c r="G602" i="8"/>
  <c r="G603" i="8" s="1"/>
  <c r="G54" i="8" s="1"/>
  <c r="F704" i="8"/>
  <c r="H603" i="8"/>
  <c r="H54" i="8" s="1"/>
  <c r="I602" i="8"/>
  <c r="I603" i="8" s="1"/>
  <c r="I54" i="8" s="1"/>
  <c r="K602" i="8"/>
  <c r="K603" i="8" s="1"/>
  <c r="K54" i="8" s="1"/>
  <c r="M602" i="8"/>
  <c r="M603" i="8" s="1"/>
  <c r="M54" i="8" s="1"/>
  <c r="M58" i="8" s="1"/>
  <c r="M64" i="8" s="1"/>
  <c r="N603" i="8"/>
  <c r="N54" i="8" s="1"/>
  <c r="N58" i="8" s="1"/>
  <c r="N64" i="8" s="1"/>
  <c r="O602" i="8"/>
  <c r="O603" i="8" s="1"/>
  <c r="O54" i="8" s="1"/>
  <c r="O58" i="8" s="1"/>
  <c r="O64" i="8" s="1"/>
  <c r="Q602" i="8"/>
  <c r="Q603" i="8" s="1"/>
  <c r="Q54" i="8" s="1"/>
  <c r="Q58" i="8" s="1"/>
  <c r="Q64" i="8" s="1"/>
  <c r="R603" i="8"/>
  <c r="R54" i="8" s="1"/>
  <c r="R58" i="8" s="1"/>
  <c r="R64" i="8" s="1"/>
  <c r="S602" i="8"/>
  <c r="S603" i="8" s="1"/>
  <c r="S54" i="8" s="1"/>
  <c r="S58" i="8" s="1"/>
  <c r="S64" i="8" s="1"/>
  <c r="U602" i="8"/>
  <c r="U603" i="8" s="1"/>
  <c r="U54" i="8" s="1"/>
  <c r="U58" i="8" s="1"/>
  <c r="U64" i="8" s="1"/>
  <c r="V603" i="8"/>
  <c r="V54" i="8" s="1"/>
  <c r="V58" i="8" s="1"/>
  <c r="V64" i="8" s="1"/>
  <c r="W602" i="8"/>
  <c r="W603" i="8" s="1"/>
  <c r="W54" i="8" s="1"/>
  <c r="W58" i="8" s="1"/>
  <c r="W64" i="8" s="1"/>
  <c r="Y602" i="8"/>
  <c r="Y603" i="8" s="1"/>
  <c r="Y54" i="8" s="1"/>
  <c r="Y58" i="8" s="1"/>
  <c r="Y64" i="8" s="1"/>
  <c r="Z603" i="8"/>
  <c r="Z54" i="8" s="1"/>
  <c r="Z58" i="8" s="1"/>
  <c r="Z64" i="8" s="1"/>
  <c r="AA602" i="8"/>
  <c r="AA603" i="8" s="1"/>
  <c r="AA54" i="8" s="1"/>
  <c r="AA58" i="8" s="1"/>
  <c r="AA64" i="8" s="1"/>
  <c r="AC602" i="8"/>
  <c r="AC603" i="8" s="1"/>
  <c r="AC54" i="8" s="1"/>
  <c r="AC58" i="8" s="1"/>
  <c r="AC64" i="8" s="1"/>
  <c r="AD603" i="8"/>
  <c r="AD54" i="8" s="1"/>
  <c r="AD58" i="8" s="1"/>
  <c r="AD64" i="8" s="1"/>
  <c r="AE602" i="8"/>
  <c r="AE603" i="8" s="1"/>
  <c r="AE54" i="8" s="1"/>
  <c r="AE58" i="8" s="1"/>
  <c r="AE64" i="8" s="1"/>
  <c r="D598" i="7"/>
  <c r="D599" i="7" s="1"/>
  <c r="D62" i="7" s="1"/>
  <c r="F598" i="7"/>
  <c r="F599" i="7" s="1"/>
  <c r="F62" i="7" s="1"/>
  <c r="E599" i="7"/>
  <c r="E62" i="7" s="1"/>
  <c r="H598" i="7"/>
  <c r="H599" i="7" s="1"/>
  <c r="H62" i="7" s="1"/>
  <c r="G599" i="7"/>
  <c r="G62" i="7" s="1"/>
  <c r="J598" i="7"/>
  <c r="J599" i="7" s="1"/>
  <c r="J62" i="7" s="1"/>
  <c r="I599" i="7"/>
  <c r="I62" i="7" s="1"/>
  <c r="L598" i="7"/>
  <c r="L599" i="7" s="1"/>
  <c r="L62" i="7" s="1"/>
  <c r="K599" i="7"/>
  <c r="K62" i="7" s="1"/>
  <c r="N598" i="7"/>
  <c r="N599" i="7" s="1"/>
  <c r="N62" i="7" s="1"/>
  <c r="M599" i="7"/>
  <c r="M62" i="7" s="1"/>
  <c r="P598" i="7"/>
  <c r="P599" i="7" s="1"/>
  <c r="P62" i="7" s="1"/>
  <c r="O599" i="7"/>
  <c r="O62" i="7" s="1"/>
  <c r="R598" i="7"/>
  <c r="R599" i="7" s="1"/>
  <c r="R62" i="7" s="1"/>
  <c r="Q599" i="7"/>
  <c r="Q62" i="7" s="1"/>
  <c r="T598" i="7"/>
  <c r="T599" i="7" s="1"/>
  <c r="T62" i="7" s="1"/>
  <c r="S599" i="7"/>
  <c r="S62" i="7" s="1"/>
  <c r="V598" i="7"/>
  <c r="V599" i="7" s="1"/>
  <c r="V62" i="7" s="1"/>
  <c r="U599" i="7"/>
  <c r="U62" i="7" s="1"/>
  <c r="X598" i="7"/>
  <c r="X599" i="7" s="1"/>
  <c r="X62" i="7" s="1"/>
  <c r="X66" i="7" s="1"/>
  <c r="X72" i="7" s="1"/>
  <c r="W599" i="7"/>
  <c r="W62" i="7" s="1"/>
  <c r="W66" i="7" s="1"/>
  <c r="W72" i="7" s="1"/>
  <c r="Z598" i="7"/>
  <c r="Z599" i="7" s="1"/>
  <c r="Z62" i="7" s="1"/>
  <c r="Z66" i="7" s="1"/>
  <c r="Z72" i="7" s="1"/>
  <c r="Y599" i="7"/>
  <c r="Y62" i="7" s="1"/>
  <c r="Y66" i="7" s="1"/>
  <c r="Y72" i="7" s="1"/>
  <c r="AB598" i="7"/>
  <c r="AB599" i="7" s="1"/>
  <c r="AB62" i="7" s="1"/>
  <c r="AB66" i="7" s="1"/>
  <c r="AB72" i="7" s="1"/>
  <c r="AA599" i="7"/>
  <c r="AA62" i="7" s="1"/>
  <c r="AA66" i="7" s="1"/>
  <c r="AA72" i="7" s="1"/>
  <c r="AD598" i="7"/>
  <c r="AD599" i="7" s="1"/>
  <c r="AD62" i="7" s="1"/>
  <c r="AD66" i="7" s="1"/>
  <c r="AD72" i="7" s="1"/>
  <c r="AC599" i="7"/>
  <c r="AC62" i="7" s="1"/>
  <c r="AC66" i="7" s="1"/>
  <c r="AC72" i="7" s="1"/>
  <c r="AF598" i="7"/>
  <c r="AE599" i="7"/>
  <c r="AE62" i="7" s="1"/>
  <c r="AE66" i="7" s="1"/>
  <c r="AE72" i="7" s="1"/>
  <c r="D673" i="2"/>
  <c r="F673" i="2"/>
  <c r="H673" i="2"/>
  <c r="J673" i="2"/>
  <c r="L242" i="2"/>
  <c r="L47" i="2"/>
  <c r="C262" i="2"/>
  <c r="C275" i="2" s="1"/>
  <c r="B548" i="7"/>
  <c r="B546" i="7"/>
  <c r="I648" i="2"/>
  <c r="I651" i="2" s="1"/>
  <c r="J654" i="2" s="1"/>
  <c r="J653" i="2" s="1"/>
  <c r="J650" i="2" s="1"/>
  <c r="R655" i="2"/>
  <c r="R654" i="2"/>
  <c r="C221" i="8"/>
  <c r="C234" i="8" s="1"/>
  <c r="Q618" i="2"/>
  <c r="R5" i="2"/>
  <c r="R638" i="2"/>
  <c r="R658" i="2" s="1"/>
  <c r="M620" i="2"/>
  <c r="R620" i="2"/>
  <c r="R621" i="2"/>
  <c r="R597" i="2"/>
  <c r="R593" i="2"/>
  <c r="R589" i="2"/>
  <c r="R585" i="2"/>
  <c r="N53" i="2"/>
  <c r="B54" i="10"/>
  <c r="D210" i="1"/>
  <c r="C259" i="8"/>
  <c r="C272" i="8" s="1"/>
  <c r="D42" i="10"/>
  <c r="D44" i="10" s="1"/>
  <c r="D48" i="10" s="1"/>
  <c r="Q42" i="10"/>
  <c r="Q44" i="10" s="1"/>
  <c r="Q48" i="10" s="1"/>
  <c r="T42" i="10"/>
  <c r="T44" i="10" s="1"/>
  <c r="T48" i="10" s="1"/>
  <c r="I42" i="10"/>
  <c r="I44" i="10" s="1"/>
  <c r="I48" i="10" s="1"/>
  <c r="Y42" i="10"/>
  <c r="Y44" i="10" s="1"/>
  <c r="Y48" i="10" s="1"/>
  <c r="L42" i="10"/>
  <c r="L44" i="10" s="1"/>
  <c r="L48" i="10" s="1"/>
  <c r="AB42" i="10"/>
  <c r="AB44" i="10" s="1"/>
  <c r="O49" i="2"/>
  <c r="O14" i="2"/>
  <c r="E42" i="10"/>
  <c r="E44" i="10" s="1"/>
  <c r="M42" i="10"/>
  <c r="M44" i="10" s="1"/>
  <c r="U42" i="10"/>
  <c r="U44" i="10" s="1"/>
  <c r="AC42" i="10"/>
  <c r="AC44" i="10" s="1"/>
  <c r="AC48" i="10" s="1"/>
  <c r="H42" i="10"/>
  <c r="H44" i="10" s="1"/>
  <c r="H48" i="10" s="1"/>
  <c r="P42" i="10"/>
  <c r="P44" i="10" s="1"/>
  <c r="P48" i="10" s="1"/>
  <c r="X42" i="10"/>
  <c r="X44" i="10" s="1"/>
  <c r="X48" i="10" s="1"/>
  <c r="AF42" i="10"/>
  <c r="AF44" i="10" s="1"/>
  <c r="AF48" i="10" s="1"/>
  <c r="C274" i="10"/>
  <c r="C42" i="10"/>
  <c r="C44" i="10" s="1"/>
  <c r="C48" i="10" s="1"/>
  <c r="G42" i="10"/>
  <c r="G44" i="10" s="1"/>
  <c r="G48" i="10" s="1"/>
  <c r="K42" i="10"/>
  <c r="K44" i="10" s="1"/>
  <c r="K48" i="10" s="1"/>
  <c r="O42" i="10"/>
  <c r="O44" i="10" s="1"/>
  <c r="O48" i="10" s="1"/>
  <c r="S42" i="10"/>
  <c r="S44" i="10" s="1"/>
  <c r="S48" i="10" s="1"/>
  <c r="W42" i="10"/>
  <c r="W44" i="10" s="1"/>
  <c r="W48" i="10" s="1"/>
  <c r="AA42" i="10"/>
  <c r="AA44" i="10" s="1"/>
  <c r="AA48" i="10" s="1"/>
  <c r="AE42" i="10"/>
  <c r="AE44" i="10" s="1"/>
  <c r="AE48" i="10" s="1"/>
  <c r="F42" i="10"/>
  <c r="F44" i="10" s="1"/>
  <c r="F48" i="10" s="1"/>
  <c r="J42" i="10"/>
  <c r="J44" i="10" s="1"/>
  <c r="N42" i="10"/>
  <c r="N44" i="10" s="1"/>
  <c r="N48" i="10" s="1"/>
  <c r="R42" i="10"/>
  <c r="R44" i="10" s="1"/>
  <c r="V42" i="10"/>
  <c r="V44" i="10" s="1"/>
  <c r="V48" i="10" s="1"/>
  <c r="Z42" i="10"/>
  <c r="Z44" i="10" s="1"/>
  <c r="AD42" i="10"/>
  <c r="AD44" i="10" s="1"/>
  <c r="AD48" i="10" s="1"/>
  <c r="C243" i="10"/>
  <c r="AB48" i="10"/>
  <c r="L649" i="10"/>
  <c r="L652" i="10" s="1"/>
  <c r="K745" i="10"/>
  <c r="L746" i="10" s="1"/>
  <c r="J608" i="8"/>
  <c r="J611" i="8" s="1"/>
  <c r="I704" i="8"/>
  <c r="C188" i="7"/>
  <c r="C201" i="7" s="1"/>
  <c r="O561" i="7"/>
  <c r="O549" i="7"/>
  <c r="O551" i="7" s="1"/>
  <c r="Q561" i="7"/>
  <c r="Q549" i="7"/>
  <c r="Q551" i="7" s="1"/>
  <c r="S561" i="7"/>
  <c r="S549" i="7"/>
  <c r="S551" i="7" s="1"/>
  <c r="U561" i="7"/>
  <c r="U549" i="7"/>
  <c r="U551" i="7" s="1"/>
  <c r="P549" i="7"/>
  <c r="P551" i="7" s="1"/>
  <c r="P561" i="7"/>
  <c r="R561" i="7"/>
  <c r="R549" i="7"/>
  <c r="R551" i="7" s="1"/>
  <c r="T549" i="7"/>
  <c r="T551" i="7" s="1"/>
  <c r="T561" i="7"/>
  <c r="V561" i="7"/>
  <c r="V549" i="7"/>
  <c r="V551" i="7" s="1"/>
  <c r="C149" i="7"/>
  <c r="C162" i="7" s="1"/>
  <c r="M561" i="7"/>
  <c r="M549" i="7"/>
  <c r="M551" i="7" s="1"/>
  <c r="N561" i="7"/>
  <c r="N549" i="7"/>
  <c r="N551" i="7" s="1"/>
  <c r="T604" i="7"/>
  <c r="T607" i="7" s="1"/>
  <c r="D549" i="7"/>
  <c r="D551" i="7" s="1"/>
  <c r="D561" i="7"/>
  <c r="F549" i="7"/>
  <c r="F551" i="7" s="1"/>
  <c r="F561" i="7"/>
  <c r="H549" i="7"/>
  <c r="H551" i="7" s="1"/>
  <c r="H561" i="7"/>
  <c r="J561" i="7"/>
  <c r="J549" i="7"/>
  <c r="J551" i="7" s="1"/>
  <c r="L549" i="7"/>
  <c r="L551" i="7" s="1"/>
  <c r="L561" i="7"/>
  <c r="C561" i="7"/>
  <c r="C549" i="7"/>
  <c r="C551" i="7" s="1"/>
  <c r="E549" i="7"/>
  <c r="E551" i="7" s="1"/>
  <c r="E561" i="7"/>
  <c r="I561" i="7"/>
  <c r="I549" i="7"/>
  <c r="I551" i="7" s="1"/>
  <c r="K561" i="7"/>
  <c r="K549" i="7"/>
  <c r="K551" i="7" s="1"/>
  <c r="G549" i="7"/>
  <c r="G551" i="7" s="1"/>
  <c r="G561" i="7"/>
  <c r="N18" i="2"/>
  <c r="N20" i="2" s="1"/>
  <c r="N43" i="2" s="1"/>
  <c r="O15" i="2"/>
  <c r="O50" i="2"/>
  <c r="O232" i="2"/>
  <c r="O271" i="2"/>
  <c r="O17" i="2"/>
  <c r="O52" i="2"/>
  <c r="O234" i="2"/>
  <c r="O273" i="2"/>
  <c r="P71" i="2"/>
  <c r="Q759" i="2"/>
  <c r="Q744" i="2" s="1"/>
  <c r="Q70" i="2" s="1"/>
  <c r="R757" i="2"/>
  <c r="R399" i="2" s="1"/>
  <c r="R534" i="2" s="1"/>
  <c r="R755" i="2"/>
  <c r="R397" i="2" s="1"/>
  <c r="R532" i="2" s="1"/>
  <c r="R753" i="2"/>
  <c r="R395" i="2" s="1"/>
  <c r="R530" i="2" s="1"/>
  <c r="R751" i="2"/>
  <c r="R393" i="2" s="1"/>
  <c r="R528" i="2" s="1"/>
  <c r="R749" i="2"/>
  <c r="R391" i="2" s="1"/>
  <c r="R526" i="2" s="1"/>
  <c r="R725" i="2"/>
  <c r="R373" i="2" s="1"/>
  <c r="R508" i="2" s="1"/>
  <c r="R758" i="2"/>
  <c r="R400" i="2" s="1"/>
  <c r="R535" i="2" s="1"/>
  <c r="R756" i="2"/>
  <c r="R398" i="2" s="1"/>
  <c r="R533" i="2" s="1"/>
  <c r="R754" i="2"/>
  <c r="R396" i="2" s="1"/>
  <c r="R531" i="2" s="1"/>
  <c r="R752" i="2"/>
  <c r="R394" i="2" s="1"/>
  <c r="R529" i="2" s="1"/>
  <c r="R750" i="2"/>
  <c r="R392" i="2" s="1"/>
  <c r="R527" i="2" s="1"/>
  <c r="R726" i="2"/>
  <c r="R374" i="2" s="1"/>
  <c r="R509" i="2" s="1"/>
  <c r="R724" i="2"/>
  <c r="R372" i="2" s="1"/>
  <c r="R507" i="2" s="1"/>
  <c r="R723" i="2"/>
  <c r="R371" i="2" s="1"/>
  <c r="R506" i="2" s="1"/>
  <c r="R721" i="2"/>
  <c r="R369" i="2" s="1"/>
  <c r="R504" i="2" s="1"/>
  <c r="R719" i="2"/>
  <c r="R367" i="2" s="1"/>
  <c r="R502" i="2" s="1"/>
  <c r="R717" i="2"/>
  <c r="R365" i="2" s="1"/>
  <c r="R500" i="2" s="1"/>
  <c r="R693" i="2"/>
  <c r="R348" i="2" s="1"/>
  <c r="R482" i="2" s="1"/>
  <c r="R691" i="2"/>
  <c r="R346" i="2" s="1"/>
  <c r="R480" i="2" s="1"/>
  <c r="R689" i="2"/>
  <c r="R344" i="2" s="1"/>
  <c r="R478" i="2" s="1"/>
  <c r="R687" i="2"/>
  <c r="R342" i="2" s="1"/>
  <c r="R476" i="2" s="1"/>
  <c r="R685" i="2"/>
  <c r="R340" i="2" s="1"/>
  <c r="R474" i="2" s="1"/>
  <c r="R764" i="2"/>
  <c r="R765" i="2"/>
  <c r="R767" i="2"/>
  <c r="R769" i="2"/>
  <c r="R720" i="2"/>
  <c r="R368" i="2" s="1"/>
  <c r="R503" i="2" s="1"/>
  <c r="R692" i="2"/>
  <c r="R347" i="2" s="1"/>
  <c r="R481" i="2" s="1"/>
  <c r="R688" i="2"/>
  <c r="R343" i="2" s="1"/>
  <c r="R477" i="2" s="1"/>
  <c r="R722" i="2"/>
  <c r="R370" i="2" s="1"/>
  <c r="R505" i="2" s="1"/>
  <c r="R718" i="2"/>
  <c r="R366" i="2" s="1"/>
  <c r="R501" i="2" s="1"/>
  <c r="R694" i="2"/>
  <c r="R349" i="2" s="1"/>
  <c r="R483" i="2" s="1"/>
  <c r="R690" i="2"/>
  <c r="R345" i="2" s="1"/>
  <c r="R479" i="2" s="1"/>
  <c r="R686" i="2"/>
  <c r="R341" i="2" s="1"/>
  <c r="R475" i="2" s="1"/>
  <c r="R770" i="2"/>
  <c r="R768" i="2"/>
  <c r="R732" i="2"/>
  <c r="R734" i="2"/>
  <c r="R736" i="2"/>
  <c r="R738" i="2"/>
  <c r="R763" i="2"/>
  <c r="R729" i="2"/>
  <c r="R731" i="2"/>
  <c r="R733" i="2"/>
  <c r="R735" i="2"/>
  <c r="R737" i="2"/>
  <c r="Q727" i="2"/>
  <c r="Q712" i="2" s="1"/>
  <c r="Q69" i="2" s="1"/>
  <c r="R697" i="2"/>
  <c r="R33" i="2"/>
  <c r="R35" i="2" s="1"/>
  <c r="R37" i="2" s="1"/>
  <c r="R39" i="2" s="1"/>
  <c r="R552" i="2"/>
  <c r="R553" i="2" s="1"/>
  <c r="R558" i="2"/>
  <c r="R559" i="2" s="1"/>
  <c r="R667" i="2"/>
  <c r="R618" i="2"/>
  <c r="R625" i="2"/>
  <c r="R617" i="2"/>
  <c r="R634" i="2"/>
  <c r="R624" i="2"/>
  <c r="R635" i="2" s="1"/>
  <c r="M242" i="2"/>
  <c r="S11" i="2"/>
  <c r="R318" i="2"/>
  <c r="R320" i="2"/>
  <c r="R322" i="2"/>
  <c r="R451" i="2"/>
  <c r="R470" i="2" s="1"/>
  <c r="R452" i="2"/>
  <c r="R453" i="2"/>
  <c r="R454" i="2"/>
  <c r="R455" i="2"/>
  <c r="R456" i="2"/>
  <c r="R640" i="2"/>
  <c r="R319" i="2"/>
  <c r="R317" i="2"/>
  <c r="R321" i="2"/>
  <c r="C223" i="2"/>
  <c r="C236" i="2" s="1"/>
  <c r="P121" i="2"/>
  <c r="R19" i="2"/>
  <c r="O120" i="2"/>
  <c r="R700" i="2"/>
  <c r="R701" i="2"/>
  <c r="R702" i="2"/>
  <c r="R703" i="2"/>
  <c r="R704" i="2"/>
  <c r="R705" i="2"/>
  <c r="R706" i="2"/>
  <c r="O105" i="2"/>
  <c r="Q336" i="2"/>
  <c r="R469" i="2"/>
  <c r="R335" i="2"/>
  <c r="M206" i="2"/>
  <c r="M47" i="2"/>
  <c r="Q695" i="2"/>
  <c r="Q680" i="2" s="1"/>
  <c r="Q68" i="2" s="1"/>
  <c r="P554" i="2"/>
  <c r="P555" i="2" s="1"/>
  <c r="P103" i="2" s="1"/>
  <c r="P248" i="2" s="1"/>
  <c r="P560" i="2"/>
  <c r="P561" i="2" s="1"/>
  <c r="P104" i="2" s="1"/>
  <c r="R23" i="2"/>
  <c r="R26" i="2"/>
  <c r="R30" i="2"/>
  <c r="R40" i="2"/>
  <c r="D291" i="2"/>
  <c r="B313" i="2"/>
  <c r="D425" i="2"/>
  <c r="D418" i="2" s="1"/>
  <c r="B447" i="2"/>
  <c r="N274" i="2"/>
  <c r="N275" i="2" s="1"/>
  <c r="N235" i="2"/>
  <c r="N236" i="2" s="1"/>
  <c r="O270" i="2"/>
  <c r="O231" i="2"/>
  <c r="O272" i="2"/>
  <c r="O233" i="2"/>
  <c r="O601" i="2"/>
  <c r="P594" i="2"/>
  <c r="P595" i="2" s="1"/>
  <c r="P51" i="2" s="1"/>
  <c r="P598" i="2"/>
  <c r="P599" i="2" s="1"/>
  <c r="P590" i="2"/>
  <c r="P591" i="2" s="1"/>
  <c r="P586" i="2"/>
  <c r="P587" i="2" s="1"/>
  <c r="R668" i="2"/>
  <c r="S2" i="2"/>
  <c r="R25" i="2"/>
  <c r="P29" i="2"/>
  <c r="P31" i="2" s="1"/>
  <c r="P41" i="2" s="1"/>
  <c r="O675" i="2" s="1"/>
  <c r="P672" i="2" s="1"/>
  <c r="Q10" i="2"/>
  <c r="Q12" i="2" s="1"/>
  <c r="Q27" i="2"/>
  <c r="X638" i="10" l="1"/>
  <c r="X58" i="10" s="1"/>
  <c r="X63" i="10" s="1"/>
  <c r="X69" i="10" s="1"/>
  <c r="P638" i="10"/>
  <c r="P58" i="10" s="1"/>
  <c r="P63" i="10" s="1"/>
  <c r="P69" i="10" s="1"/>
  <c r="AD638" i="10"/>
  <c r="AD58" i="10" s="1"/>
  <c r="AD63" i="10" s="1"/>
  <c r="AD69" i="10" s="1"/>
  <c r="V638" i="10"/>
  <c r="V58" i="10" s="1"/>
  <c r="V63" i="10" s="1"/>
  <c r="V69" i="10" s="1"/>
  <c r="N638" i="10"/>
  <c r="N58" i="10" s="1"/>
  <c r="N63" i="10" s="1"/>
  <c r="N69" i="10" s="1"/>
  <c r="AB638" i="10"/>
  <c r="AB58" i="10" s="1"/>
  <c r="AB63" i="10" s="1"/>
  <c r="AB69" i="10" s="1"/>
  <c r="T638" i="10"/>
  <c r="T58" i="10" s="1"/>
  <c r="T63" i="10" s="1"/>
  <c r="T69" i="10" s="1"/>
  <c r="L638" i="10"/>
  <c r="L58" i="10" s="1"/>
  <c r="L63" i="10" s="1"/>
  <c r="L69" i="10" s="1"/>
  <c r="Z638" i="10"/>
  <c r="Z58" i="10" s="1"/>
  <c r="Z63" i="10" s="1"/>
  <c r="Z69" i="10" s="1"/>
  <c r="R638" i="10"/>
  <c r="R58" i="10" s="1"/>
  <c r="R63" i="10" s="1"/>
  <c r="R69" i="10" s="1"/>
  <c r="S660" i="2"/>
  <c r="S674" i="2"/>
  <c r="S669" i="2"/>
  <c r="AP58" i="10"/>
  <c r="AP180" i="10"/>
  <c r="AP197" i="10" s="1"/>
  <c r="B588" i="7"/>
  <c r="B564" i="7"/>
  <c r="B584" i="7"/>
  <c r="B587" i="7" s="1"/>
  <c r="B180" i="1"/>
  <c r="B182" i="1" s="1"/>
  <c r="B187" i="1" s="1"/>
  <c r="B188" i="1" s="1"/>
  <c r="B52" i="8" s="1"/>
  <c r="B54" i="8"/>
  <c r="E180" i="1"/>
  <c r="B62" i="7"/>
  <c r="AF639" i="10"/>
  <c r="AF180" i="10" s="1"/>
  <c r="AF197" i="10" s="1"/>
  <c r="AF638" i="10"/>
  <c r="H637" i="10"/>
  <c r="H638" i="10" s="1"/>
  <c r="H58" i="10" s="1"/>
  <c r="H63" i="10" s="1"/>
  <c r="H69" i="10" s="1"/>
  <c r="G745" i="10"/>
  <c r="H746" i="10" s="1"/>
  <c r="H49" i="10" s="1"/>
  <c r="H281" i="10" s="1"/>
  <c r="H297" i="10" s="1"/>
  <c r="D637" i="10"/>
  <c r="D638" i="10" s="1"/>
  <c r="D58" i="10" s="1"/>
  <c r="D63" i="10" s="1"/>
  <c r="D69" i="10" s="1"/>
  <c r="C745" i="10"/>
  <c r="D746" i="10" s="1"/>
  <c r="D49" i="10" s="1"/>
  <c r="D281" i="10" s="1"/>
  <c r="D297" i="10" s="1"/>
  <c r="I637" i="10"/>
  <c r="I638" i="10" s="1"/>
  <c r="I58" i="10" s="1"/>
  <c r="I63" i="10" s="1"/>
  <c r="I69" i="10" s="1"/>
  <c r="H745" i="10"/>
  <c r="I746" i="10" s="1"/>
  <c r="I49" i="10" s="1"/>
  <c r="I281" i="10" s="1"/>
  <c r="I297" i="10" s="1"/>
  <c r="E637" i="10"/>
  <c r="E638" i="10" s="1"/>
  <c r="E58" i="10" s="1"/>
  <c r="E63" i="10" s="1"/>
  <c r="E69" i="10" s="1"/>
  <c r="D745" i="10"/>
  <c r="E746" i="10" s="1"/>
  <c r="E49" i="10" s="1"/>
  <c r="E281" i="10" s="1"/>
  <c r="E297" i="10" s="1"/>
  <c r="AC638" i="10"/>
  <c r="AC58" i="10" s="1"/>
  <c r="AC63" i="10" s="1"/>
  <c r="AC69" i="10" s="1"/>
  <c r="Y638" i="10"/>
  <c r="Y58" i="10" s="1"/>
  <c r="Y63" i="10" s="1"/>
  <c r="Y69" i="10" s="1"/>
  <c r="U638" i="10"/>
  <c r="U58" i="10" s="1"/>
  <c r="U63" i="10" s="1"/>
  <c r="U69" i="10" s="1"/>
  <c r="Q638" i="10"/>
  <c r="Q58" i="10" s="1"/>
  <c r="Q63" i="10" s="1"/>
  <c r="Q69" i="10" s="1"/>
  <c r="M638" i="10"/>
  <c r="M58" i="10" s="1"/>
  <c r="M63" i="10" s="1"/>
  <c r="M69" i="10" s="1"/>
  <c r="O673" i="2"/>
  <c r="AF600" i="7"/>
  <c r="AF599" i="7"/>
  <c r="AF604" i="8"/>
  <c r="AF603" i="8"/>
  <c r="J637" i="10"/>
  <c r="J638" i="10" s="1"/>
  <c r="J58" i="10" s="1"/>
  <c r="J63" i="10" s="1"/>
  <c r="J69" i="10" s="1"/>
  <c r="I745" i="10"/>
  <c r="J746" i="10" s="1"/>
  <c r="J49" i="10" s="1"/>
  <c r="J281" i="10" s="1"/>
  <c r="J297" i="10" s="1"/>
  <c r="F637" i="10"/>
  <c r="F638" i="10" s="1"/>
  <c r="F58" i="10" s="1"/>
  <c r="F63" i="10" s="1"/>
  <c r="F69" i="10" s="1"/>
  <c r="E745" i="10"/>
  <c r="F746" i="10" s="1"/>
  <c r="F49" i="10" s="1"/>
  <c r="F281" i="10" s="1"/>
  <c r="F297" i="10" s="1"/>
  <c r="K637" i="10"/>
  <c r="K638" i="10" s="1"/>
  <c r="K58" i="10" s="1"/>
  <c r="K63" i="10" s="1"/>
  <c r="K69" i="10" s="1"/>
  <c r="J745" i="10"/>
  <c r="K746" i="10" s="1"/>
  <c r="K49" i="10" s="1"/>
  <c r="G637" i="10"/>
  <c r="G638" i="10" s="1"/>
  <c r="G58" i="10" s="1"/>
  <c r="G63" i="10" s="1"/>
  <c r="G69" i="10" s="1"/>
  <c r="F745" i="10"/>
  <c r="G746" i="10" s="1"/>
  <c r="G49" i="10" s="1"/>
  <c r="G281" i="10" s="1"/>
  <c r="G297" i="10" s="1"/>
  <c r="B638" i="10"/>
  <c r="C637" i="10"/>
  <c r="C638" i="10" s="1"/>
  <c r="C58" i="10" s="1"/>
  <c r="B745" i="10"/>
  <c r="G50" i="10"/>
  <c r="AE638" i="10"/>
  <c r="AE58" i="10" s="1"/>
  <c r="AE63" i="10" s="1"/>
  <c r="AE69" i="10" s="1"/>
  <c r="AA638" i="10"/>
  <c r="AA58" i="10" s="1"/>
  <c r="AA63" i="10" s="1"/>
  <c r="AA69" i="10" s="1"/>
  <c r="W638" i="10"/>
  <c r="W58" i="10" s="1"/>
  <c r="W63" i="10" s="1"/>
  <c r="W69" i="10" s="1"/>
  <c r="S638" i="10"/>
  <c r="S58" i="10" s="1"/>
  <c r="S63" i="10" s="1"/>
  <c r="S69" i="10" s="1"/>
  <c r="O638" i="10"/>
  <c r="O58" i="10" s="1"/>
  <c r="O63" i="10" s="1"/>
  <c r="O69" i="10" s="1"/>
  <c r="R622" i="2"/>
  <c r="R623" i="2" s="1"/>
  <c r="R612" i="2"/>
  <c r="R653" i="2"/>
  <c r="R650" i="2" s="1"/>
  <c r="R659" i="2"/>
  <c r="S655" i="2"/>
  <c r="S654" i="2"/>
  <c r="J648" i="2"/>
  <c r="J651" i="2" s="1"/>
  <c r="S5" i="2"/>
  <c r="S638" i="2"/>
  <c r="S658" i="2" s="1"/>
  <c r="N620" i="2"/>
  <c r="R639" i="2"/>
  <c r="S620" i="2"/>
  <c r="S621" i="2"/>
  <c r="S597" i="2"/>
  <c r="S593" i="2"/>
  <c r="S589" i="2"/>
  <c r="S585" i="2"/>
  <c r="B89" i="10"/>
  <c r="D255" i="1"/>
  <c r="D257" i="1"/>
  <c r="D259" i="1"/>
  <c r="D254" i="1"/>
  <c r="B84" i="10"/>
  <c r="D258" i="1"/>
  <c r="D260" i="1"/>
  <c r="B138" i="10"/>
  <c r="D256" i="1"/>
  <c r="B53" i="10"/>
  <c r="U48" i="10"/>
  <c r="E48" i="10"/>
  <c r="E50" i="10" s="1"/>
  <c r="P49" i="2"/>
  <c r="P14" i="2"/>
  <c r="R48" i="10"/>
  <c r="M48" i="10"/>
  <c r="Z48" i="10"/>
  <c r="J48" i="10"/>
  <c r="J50" i="10" s="1"/>
  <c r="J74" i="10" s="1"/>
  <c r="J76" i="10" s="1"/>
  <c r="J80" i="10" s="1"/>
  <c r="J81" i="10" s="1"/>
  <c r="J95" i="10" s="1"/>
  <c r="K50" i="10"/>
  <c r="K281" i="10"/>
  <c r="K297" i="10" s="1"/>
  <c r="K101" i="10"/>
  <c r="K109" i="10"/>
  <c r="M649" i="10"/>
  <c r="M652" i="10" s="1"/>
  <c r="L745" i="10"/>
  <c r="M746" i="10" s="1"/>
  <c r="L49" i="10"/>
  <c r="K608" i="8"/>
  <c r="K611" i="8" s="1"/>
  <c r="J704" i="8"/>
  <c r="O18" i="2"/>
  <c r="O20" i="2" s="1"/>
  <c r="O43" i="2" s="1"/>
  <c r="V565" i="7"/>
  <c r="V566" i="7" s="1"/>
  <c r="R565" i="7"/>
  <c r="R566" i="7" s="1"/>
  <c r="T700" i="7"/>
  <c r="U701" i="7" s="1"/>
  <c r="U565" i="7"/>
  <c r="U566" i="7" s="1"/>
  <c r="S565" i="7"/>
  <c r="S566" i="7" s="1"/>
  <c r="Q565" i="7"/>
  <c r="Q566" i="7" s="1"/>
  <c r="O565" i="7"/>
  <c r="O566" i="7" s="1"/>
  <c r="T565" i="7"/>
  <c r="T566" i="7" s="1"/>
  <c r="P565" i="7"/>
  <c r="P566" i="7" s="1"/>
  <c r="N565" i="7"/>
  <c r="N566" i="7" s="1"/>
  <c r="M565" i="7"/>
  <c r="M566" i="7" s="1"/>
  <c r="G565" i="7"/>
  <c r="G566" i="7" s="1"/>
  <c r="E565" i="7"/>
  <c r="E566" i="7" s="1"/>
  <c r="B549" i="7"/>
  <c r="B551" i="7"/>
  <c r="J565" i="7"/>
  <c r="J566" i="7" s="1"/>
  <c r="U604" i="7"/>
  <c r="U607" i="7" s="1"/>
  <c r="K565" i="7"/>
  <c r="K566" i="7" s="1"/>
  <c r="I565" i="7"/>
  <c r="I566" i="7" s="1"/>
  <c r="C565" i="7"/>
  <c r="C566" i="7" s="1"/>
  <c r="B561" i="7"/>
  <c r="L565" i="7"/>
  <c r="L566" i="7" s="1"/>
  <c r="H565" i="7"/>
  <c r="H566" i="7" s="1"/>
  <c r="F565" i="7"/>
  <c r="F566" i="7" s="1"/>
  <c r="D565" i="7"/>
  <c r="D566" i="7" s="1"/>
  <c r="B192" i="1"/>
  <c r="B259" i="1"/>
  <c r="B260" i="1"/>
  <c r="B257" i="1"/>
  <c r="B258" i="1"/>
  <c r="B255" i="1"/>
  <c r="B256" i="1"/>
  <c r="B189" i="1"/>
  <c r="B254" i="1"/>
  <c r="O53" i="2"/>
  <c r="P17" i="2"/>
  <c r="P52" i="2"/>
  <c r="P234" i="2"/>
  <c r="P273" i="2"/>
  <c r="P15" i="2"/>
  <c r="P50" i="2"/>
  <c r="P232" i="2"/>
  <c r="P271" i="2"/>
  <c r="Q71" i="2"/>
  <c r="R727" i="2"/>
  <c r="R712" i="2" s="1"/>
  <c r="R69" i="2" s="1"/>
  <c r="R759" i="2"/>
  <c r="R744" i="2" s="1"/>
  <c r="R70" i="2" s="1"/>
  <c r="S758" i="2"/>
  <c r="S400" i="2" s="1"/>
  <c r="S535" i="2" s="1"/>
  <c r="S756" i="2"/>
  <c r="S398" i="2" s="1"/>
  <c r="S533" i="2" s="1"/>
  <c r="S754" i="2"/>
  <c r="S396" i="2" s="1"/>
  <c r="S531" i="2" s="1"/>
  <c r="S752" i="2"/>
  <c r="S394" i="2" s="1"/>
  <c r="S529" i="2" s="1"/>
  <c r="S750" i="2"/>
  <c r="S392" i="2" s="1"/>
  <c r="S527" i="2" s="1"/>
  <c r="S726" i="2"/>
  <c r="S374" i="2" s="1"/>
  <c r="S509" i="2" s="1"/>
  <c r="S724" i="2"/>
  <c r="S372" i="2" s="1"/>
  <c r="S507" i="2" s="1"/>
  <c r="S757" i="2"/>
  <c r="S399" i="2" s="1"/>
  <c r="S534" i="2" s="1"/>
  <c r="S755" i="2"/>
  <c r="S397" i="2" s="1"/>
  <c r="S532" i="2" s="1"/>
  <c r="S753" i="2"/>
  <c r="S395" i="2" s="1"/>
  <c r="S530" i="2" s="1"/>
  <c r="S751" i="2"/>
  <c r="S393" i="2" s="1"/>
  <c r="S528" i="2" s="1"/>
  <c r="S749" i="2"/>
  <c r="S391" i="2" s="1"/>
  <c r="S526" i="2" s="1"/>
  <c r="S725" i="2"/>
  <c r="S373" i="2" s="1"/>
  <c r="S508" i="2" s="1"/>
  <c r="S722" i="2"/>
  <c r="S370" i="2" s="1"/>
  <c r="S505" i="2" s="1"/>
  <c r="S720" i="2"/>
  <c r="S368" i="2" s="1"/>
  <c r="S503" i="2" s="1"/>
  <c r="S718" i="2"/>
  <c r="S366" i="2" s="1"/>
  <c r="S501" i="2" s="1"/>
  <c r="S694" i="2"/>
  <c r="S349" i="2" s="1"/>
  <c r="S483" i="2" s="1"/>
  <c r="S692" i="2"/>
  <c r="S347" i="2" s="1"/>
  <c r="S481" i="2" s="1"/>
  <c r="S690" i="2"/>
  <c r="S345" i="2" s="1"/>
  <c r="S479" i="2" s="1"/>
  <c r="S688" i="2"/>
  <c r="S343" i="2" s="1"/>
  <c r="S477" i="2" s="1"/>
  <c r="S686" i="2"/>
  <c r="S341" i="2" s="1"/>
  <c r="S475" i="2" s="1"/>
  <c r="S763" i="2"/>
  <c r="S768" i="2"/>
  <c r="S770" i="2"/>
  <c r="S721" i="2"/>
  <c r="S369" i="2" s="1"/>
  <c r="S504" i="2" s="1"/>
  <c r="S717" i="2"/>
  <c r="S365" i="2" s="1"/>
  <c r="S500" i="2" s="1"/>
  <c r="S693" i="2"/>
  <c r="S348" i="2" s="1"/>
  <c r="S482" i="2" s="1"/>
  <c r="S689" i="2"/>
  <c r="S344" i="2" s="1"/>
  <c r="S478" i="2" s="1"/>
  <c r="S723" i="2"/>
  <c r="S371" i="2" s="1"/>
  <c r="S506" i="2" s="1"/>
  <c r="S719" i="2"/>
  <c r="S367" i="2" s="1"/>
  <c r="S502" i="2" s="1"/>
  <c r="S691" i="2"/>
  <c r="S346" i="2" s="1"/>
  <c r="S480" i="2" s="1"/>
  <c r="S687" i="2"/>
  <c r="S342" i="2" s="1"/>
  <c r="S476" i="2" s="1"/>
  <c r="S764" i="2"/>
  <c r="S767" i="2"/>
  <c r="S685" i="2"/>
  <c r="S340" i="2" s="1"/>
  <c r="S474" i="2" s="1"/>
  <c r="S769" i="2"/>
  <c r="S729" i="2"/>
  <c r="S731" i="2"/>
  <c r="S733" i="2"/>
  <c r="S735" i="2"/>
  <c r="S737" i="2"/>
  <c r="S765" i="2"/>
  <c r="S732" i="2"/>
  <c r="S734" i="2"/>
  <c r="S736" i="2"/>
  <c r="S738" i="2"/>
  <c r="R61" i="2"/>
  <c r="S697" i="2"/>
  <c r="S33" i="2"/>
  <c r="S35" i="2" s="1"/>
  <c r="S37" i="2" s="1"/>
  <c r="S39" i="2" s="1"/>
  <c r="S552" i="2"/>
  <c r="S553" i="2" s="1"/>
  <c r="S558" i="2"/>
  <c r="S559" i="2" s="1"/>
  <c r="S634" i="2"/>
  <c r="S624" i="2"/>
  <c r="S635" i="2" s="1"/>
  <c r="S639" i="2" s="1"/>
  <c r="S667" i="2"/>
  <c r="S618" i="2"/>
  <c r="S625" i="2"/>
  <c r="S617" i="2"/>
  <c r="T11" i="2"/>
  <c r="S317" i="2"/>
  <c r="S319" i="2"/>
  <c r="S321" i="2"/>
  <c r="S320" i="2"/>
  <c r="S452" i="2"/>
  <c r="S454" i="2"/>
  <c r="S456" i="2"/>
  <c r="S640" i="2"/>
  <c r="S318" i="2"/>
  <c r="S322" i="2"/>
  <c r="S451" i="2"/>
  <c r="S453" i="2"/>
  <c r="S455" i="2"/>
  <c r="S470" i="2" s="1"/>
  <c r="Q121" i="2"/>
  <c r="S19" i="2"/>
  <c r="N47" i="2"/>
  <c r="N242" i="2"/>
  <c r="N206" i="2"/>
  <c r="P120" i="2"/>
  <c r="R27" i="2"/>
  <c r="S700" i="2"/>
  <c r="S701" i="2"/>
  <c r="S702" i="2"/>
  <c r="S703" i="2"/>
  <c r="S704" i="2"/>
  <c r="S705" i="2"/>
  <c r="S706" i="2"/>
  <c r="P105" i="2"/>
  <c r="R336" i="2"/>
  <c r="S469" i="2"/>
  <c r="S335" i="2"/>
  <c r="R695" i="2"/>
  <c r="R680" i="2" s="1"/>
  <c r="R68" i="2" s="1"/>
  <c r="Q554" i="2"/>
  <c r="Q555" i="2" s="1"/>
  <c r="Q103" i="2" s="1"/>
  <c r="Q248" i="2" s="1"/>
  <c r="Q560" i="2"/>
  <c r="Q561" i="2" s="1"/>
  <c r="Q104" i="2" s="1"/>
  <c r="S23" i="2"/>
  <c r="S26" i="2"/>
  <c r="S30" i="2"/>
  <c r="S40" i="2"/>
  <c r="O274" i="2"/>
  <c r="O275" i="2" s="1"/>
  <c r="P270" i="2"/>
  <c r="P231" i="2"/>
  <c r="P272" i="2"/>
  <c r="P233" i="2"/>
  <c r="O235" i="2"/>
  <c r="O236" i="2" s="1"/>
  <c r="P601" i="2"/>
  <c r="Q598" i="2"/>
  <c r="Q599" i="2" s="1"/>
  <c r="Q590" i="2"/>
  <c r="Q591" i="2" s="1"/>
  <c r="Q586" i="2"/>
  <c r="Q587" i="2" s="1"/>
  <c r="Q594" i="2"/>
  <c r="Q595" i="2" s="1"/>
  <c r="Q51" i="2" s="1"/>
  <c r="S668" i="2"/>
  <c r="T2" i="2"/>
  <c r="S25" i="2"/>
  <c r="Q29" i="2"/>
  <c r="Q31" i="2" s="1"/>
  <c r="Q41" i="2" s="1"/>
  <c r="P675" i="2" s="1"/>
  <c r="Q672" i="2" s="1"/>
  <c r="R10" i="2"/>
  <c r="R12" i="2" s="1"/>
  <c r="D261" i="1" l="1"/>
  <c r="H50" i="10"/>
  <c r="I50" i="10"/>
  <c r="I74" i="10" s="1"/>
  <c r="I76" i="10" s="1"/>
  <c r="D50" i="10"/>
  <c r="D74" i="10" s="1"/>
  <c r="D76" i="10" s="1"/>
  <c r="AF62" i="7"/>
  <c r="AF66" i="7" s="1"/>
  <c r="AF72" i="7" s="1"/>
  <c r="T660" i="2"/>
  <c r="T669" i="2"/>
  <c r="T674" i="2"/>
  <c r="G74" i="10"/>
  <c r="G76" i="10" s="1"/>
  <c r="G284" i="10" s="1"/>
  <c r="G300" i="10" s="1"/>
  <c r="H74" i="10"/>
  <c r="H76" i="10" s="1"/>
  <c r="H142" i="10" s="1"/>
  <c r="H154" i="10" s="1"/>
  <c r="P673" i="2"/>
  <c r="D180" i="1"/>
  <c r="B58" i="10"/>
  <c r="AF54" i="8"/>
  <c r="AF58" i="8" s="1"/>
  <c r="AF64" i="8" s="1"/>
  <c r="F50" i="10"/>
  <c r="F74" i="10" s="1"/>
  <c r="F76" i="10" s="1"/>
  <c r="F142" i="10" s="1"/>
  <c r="F154" i="10" s="1"/>
  <c r="AF58" i="10"/>
  <c r="B555" i="7"/>
  <c r="B533" i="7" s="1"/>
  <c r="E146" i="1" s="1"/>
  <c r="E174" i="1" s="1"/>
  <c r="E175" i="1" s="1"/>
  <c r="E158" i="1"/>
  <c r="R55" i="2"/>
  <c r="R244" i="2"/>
  <c r="R208" i="2"/>
  <c r="S622" i="2"/>
  <c r="S623" i="2" s="1"/>
  <c r="S612" i="2"/>
  <c r="S653" i="2"/>
  <c r="S650" i="2" s="1"/>
  <c r="S659" i="2"/>
  <c r="T655" i="2"/>
  <c r="T654" i="2"/>
  <c r="K648" i="2"/>
  <c r="K654" i="2"/>
  <c r="K653" i="2" s="1"/>
  <c r="K650" i="2" s="1"/>
  <c r="T5" i="2"/>
  <c r="T638" i="2"/>
  <c r="T658" i="2" s="1"/>
  <c r="O620" i="2"/>
  <c r="T620" i="2"/>
  <c r="T621" i="2"/>
  <c r="T597" i="2"/>
  <c r="T593" i="2"/>
  <c r="T589" i="2"/>
  <c r="T585" i="2"/>
  <c r="I142" i="10"/>
  <c r="I154" i="10" s="1"/>
  <c r="I80" i="10"/>
  <c r="I81" i="10" s="1"/>
  <c r="I95" i="10" s="1"/>
  <c r="P53" i="2"/>
  <c r="I284" i="10"/>
  <c r="I300" i="10" s="1"/>
  <c r="I220" i="10"/>
  <c r="I248" i="10" s="1"/>
  <c r="K74" i="10"/>
  <c r="K76" i="10" s="1"/>
  <c r="E74" i="10"/>
  <c r="E76" i="10" s="1"/>
  <c r="P18" i="2"/>
  <c r="P20" i="2" s="1"/>
  <c r="P43" i="2" s="1"/>
  <c r="Q49" i="2"/>
  <c r="Q14" i="2"/>
  <c r="J284" i="10"/>
  <c r="J300" i="10" s="1"/>
  <c r="J142" i="10"/>
  <c r="J154" i="10" s="1"/>
  <c r="J220" i="10"/>
  <c r="J248" i="10" s="1"/>
  <c r="K110" i="10"/>
  <c r="L50" i="10"/>
  <c r="L281" i="10"/>
  <c r="L297" i="10" s="1"/>
  <c r="I101" i="10"/>
  <c r="I109" i="10"/>
  <c r="H109" i="10"/>
  <c r="H101" i="10"/>
  <c r="G109" i="10"/>
  <c r="G101" i="10"/>
  <c r="F109" i="10"/>
  <c r="F101" i="10"/>
  <c r="E101" i="10"/>
  <c r="E109" i="10"/>
  <c r="D109" i="10"/>
  <c r="D101" i="10"/>
  <c r="J101" i="10"/>
  <c r="J109" i="10"/>
  <c r="M49" i="10"/>
  <c r="N649" i="10"/>
  <c r="N652" i="10" s="1"/>
  <c r="M745" i="10"/>
  <c r="N746" i="10" s="1"/>
  <c r="B71" i="8"/>
  <c r="C415" i="8"/>
  <c r="C281" i="8"/>
  <c r="C417" i="8"/>
  <c r="C283" i="8"/>
  <c r="C419" i="8"/>
  <c r="C285" i="8"/>
  <c r="C416" i="8"/>
  <c r="C282" i="8"/>
  <c r="C418" i="8"/>
  <c r="C284" i="8"/>
  <c r="C420" i="8"/>
  <c r="C286" i="8"/>
  <c r="L608" i="8"/>
  <c r="L611" i="8" s="1"/>
  <c r="K704" i="8"/>
  <c r="L705" i="8" s="1"/>
  <c r="H705" i="8"/>
  <c r="C705" i="8"/>
  <c r="B58" i="8"/>
  <c r="B64" i="8" s="1"/>
  <c r="C58" i="8"/>
  <c r="C64" i="8" s="1"/>
  <c r="F705" i="8"/>
  <c r="F58" i="8"/>
  <c r="F64" i="8" s="1"/>
  <c r="I705" i="8"/>
  <c r="H58" i="8"/>
  <c r="H64" i="8" s="1"/>
  <c r="E705" i="8"/>
  <c r="E58" i="8"/>
  <c r="E64" i="8" s="1"/>
  <c r="L58" i="8"/>
  <c r="L64" i="8" s="1"/>
  <c r="G705" i="8"/>
  <c r="G58" i="8"/>
  <c r="G64" i="8" s="1"/>
  <c r="K705" i="8"/>
  <c r="K58" i="8"/>
  <c r="K64" i="8" s="1"/>
  <c r="D705" i="8"/>
  <c r="D58" i="8"/>
  <c r="D64" i="8" s="1"/>
  <c r="J705" i="8"/>
  <c r="J58" i="8"/>
  <c r="J64" i="8" s="1"/>
  <c r="I58" i="8"/>
  <c r="I64" i="8" s="1"/>
  <c r="B261" i="1"/>
  <c r="T592" i="7"/>
  <c r="T593" i="7" s="1"/>
  <c r="T61" i="7" s="1"/>
  <c r="T66" i="7" s="1"/>
  <c r="T72" i="7" s="1"/>
  <c r="S700" i="7"/>
  <c r="T701" i="7" s="1"/>
  <c r="P593" i="7"/>
  <c r="P61" i="7" s="1"/>
  <c r="P66" i="7" s="1"/>
  <c r="P72" i="7" s="1"/>
  <c r="Q592" i="7"/>
  <c r="P700" i="7"/>
  <c r="Q701" i="7" s="1"/>
  <c r="S592" i="7"/>
  <c r="S593" i="7" s="1"/>
  <c r="S61" i="7" s="1"/>
  <c r="S66" i="7" s="1"/>
  <c r="S72" i="7" s="1"/>
  <c r="R700" i="7"/>
  <c r="S701" i="7" s="1"/>
  <c r="U592" i="7"/>
  <c r="U593" i="7" s="1"/>
  <c r="U61" i="7" s="1"/>
  <c r="U66" i="7" s="1"/>
  <c r="U72" i="7" s="1"/>
  <c r="R592" i="7"/>
  <c r="R593" i="7" s="1"/>
  <c r="R61" i="7" s="1"/>
  <c r="R66" i="7" s="1"/>
  <c r="R72" i="7" s="1"/>
  <c r="Q700" i="7"/>
  <c r="R701" i="7" s="1"/>
  <c r="V592" i="7"/>
  <c r="V594" i="7" s="1"/>
  <c r="V61" i="7" s="1"/>
  <c r="V66" i="7" s="1"/>
  <c r="V72" i="7" s="1"/>
  <c r="B565" i="7"/>
  <c r="B567" i="7" s="1"/>
  <c r="E149" i="1" s="1"/>
  <c r="B568" i="7"/>
  <c r="E150" i="1" s="1"/>
  <c r="V604" i="7"/>
  <c r="V607" i="7" s="1"/>
  <c r="U700" i="7"/>
  <c r="V701" i="7" s="1"/>
  <c r="U169" i="7"/>
  <c r="U133" i="7"/>
  <c r="U54" i="7"/>
  <c r="B210" i="1"/>
  <c r="B197" i="1"/>
  <c r="B213" i="1"/>
  <c r="Q15" i="2"/>
  <c r="Q50" i="2"/>
  <c r="Q232" i="2"/>
  <c r="Q271" i="2"/>
  <c r="Q17" i="2"/>
  <c r="Q52" i="2"/>
  <c r="Q234" i="2"/>
  <c r="Q273" i="2"/>
  <c r="R71" i="2"/>
  <c r="S759" i="2"/>
  <c r="S744" i="2" s="1"/>
  <c r="S70" i="2" s="1"/>
  <c r="S727" i="2"/>
  <c r="S712" i="2" s="1"/>
  <c r="S69" i="2" s="1"/>
  <c r="T757" i="2"/>
  <c r="T399" i="2" s="1"/>
  <c r="T534" i="2" s="1"/>
  <c r="T755" i="2"/>
  <c r="T397" i="2" s="1"/>
  <c r="T532" i="2" s="1"/>
  <c r="T753" i="2"/>
  <c r="T395" i="2" s="1"/>
  <c r="T530" i="2" s="1"/>
  <c r="T751" i="2"/>
  <c r="T393" i="2" s="1"/>
  <c r="T528" i="2" s="1"/>
  <c r="T749" i="2"/>
  <c r="T391" i="2" s="1"/>
  <c r="T526" i="2" s="1"/>
  <c r="T725" i="2"/>
  <c r="T373" i="2" s="1"/>
  <c r="T508" i="2" s="1"/>
  <c r="T758" i="2"/>
  <c r="T400" i="2" s="1"/>
  <c r="T535" i="2" s="1"/>
  <c r="T756" i="2"/>
  <c r="T398" i="2" s="1"/>
  <c r="T533" i="2" s="1"/>
  <c r="T754" i="2"/>
  <c r="T396" i="2" s="1"/>
  <c r="T531" i="2" s="1"/>
  <c r="T752" i="2"/>
  <c r="T394" i="2" s="1"/>
  <c r="T529" i="2" s="1"/>
  <c r="T750" i="2"/>
  <c r="T392" i="2" s="1"/>
  <c r="T527" i="2" s="1"/>
  <c r="T726" i="2"/>
  <c r="T374" i="2" s="1"/>
  <c r="T509" i="2" s="1"/>
  <c r="T724" i="2"/>
  <c r="T372" i="2" s="1"/>
  <c r="T507" i="2" s="1"/>
  <c r="T723" i="2"/>
  <c r="T371" i="2" s="1"/>
  <c r="T506" i="2" s="1"/>
  <c r="T721" i="2"/>
  <c r="T369" i="2" s="1"/>
  <c r="T504" i="2" s="1"/>
  <c r="T719" i="2"/>
  <c r="T367" i="2" s="1"/>
  <c r="T502" i="2" s="1"/>
  <c r="T717" i="2"/>
  <c r="T365" i="2" s="1"/>
  <c r="T500" i="2" s="1"/>
  <c r="T693" i="2"/>
  <c r="T348" i="2" s="1"/>
  <c r="T482" i="2" s="1"/>
  <c r="T691" i="2"/>
  <c r="T346" i="2" s="1"/>
  <c r="T480" i="2" s="1"/>
  <c r="T689" i="2"/>
  <c r="T344" i="2" s="1"/>
  <c r="T478" i="2" s="1"/>
  <c r="T687" i="2"/>
  <c r="T342" i="2" s="1"/>
  <c r="T476" i="2" s="1"/>
  <c r="T685" i="2"/>
  <c r="T340" i="2" s="1"/>
  <c r="T474" i="2" s="1"/>
  <c r="T764" i="2"/>
  <c r="T765" i="2"/>
  <c r="T767" i="2"/>
  <c r="T769" i="2"/>
  <c r="T722" i="2"/>
  <c r="T370" i="2" s="1"/>
  <c r="T505" i="2" s="1"/>
  <c r="T718" i="2"/>
  <c r="T366" i="2" s="1"/>
  <c r="T501" i="2" s="1"/>
  <c r="T694" i="2"/>
  <c r="T349" i="2" s="1"/>
  <c r="T483" i="2" s="1"/>
  <c r="T690" i="2"/>
  <c r="T345" i="2" s="1"/>
  <c r="T479" i="2" s="1"/>
  <c r="T720" i="2"/>
  <c r="T368" i="2" s="1"/>
  <c r="T503" i="2" s="1"/>
  <c r="T692" i="2"/>
  <c r="T347" i="2" s="1"/>
  <c r="T481" i="2" s="1"/>
  <c r="T688" i="2"/>
  <c r="T343" i="2" s="1"/>
  <c r="T477" i="2" s="1"/>
  <c r="T763" i="2"/>
  <c r="T768" i="2"/>
  <c r="T686" i="2"/>
  <c r="T341" i="2" s="1"/>
  <c r="T475" i="2" s="1"/>
  <c r="T770" i="2"/>
  <c r="T732" i="2"/>
  <c r="T734" i="2"/>
  <c r="T736" i="2"/>
  <c r="T738" i="2"/>
  <c r="T729" i="2"/>
  <c r="T731" i="2"/>
  <c r="T733" i="2"/>
  <c r="T735" i="2"/>
  <c r="T737" i="2"/>
  <c r="S61" i="2"/>
  <c r="T697" i="2"/>
  <c r="T33" i="2"/>
  <c r="T35" i="2" s="1"/>
  <c r="T37" i="2" s="1"/>
  <c r="T39" i="2" s="1"/>
  <c r="T552" i="2"/>
  <c r="T553" i="2" s="1"/>
  <c r="T558" i="2"/>
  <c r="T559" i="2" s="1"/>
  <c r="T667" i="2"/>
  <c r="T618" i="2"/>
  <c r="T625" i="2"/>
  <c r="T617" i="2"/>
  <c r="T634" i="2"/>
  <c r="T624" i="2"/>
  <c r="T635" i="2" s="1"/>
  <c r="T639" i="2" s="1"/>
  <c r="U11" i="2"/>
  <c r="T318" i="2"/>
  <c r="T320" i="2"/>
  <c r="T322" i="2"/>
  <c r="T451" i="2"/>
  <c r="T452" i="2"/>
  <c r="T453" i="2"/>
  <c r="T454" i="2"/>
  <c r="T455" i="2"/>
  <c r="T470" i="2" s="1"/>
  <c r="T456" i="2"/>
  <c r="T640" i="2"/>
  <c r="T317" i="2"/>
  <c r="T321" i="2"/>
  <c r="T319" i="2"/>
  <c r="R121" i="2"/>
  <c r="T19" i="2"/>
  <c r="O47" i="2"/>
  <c r="O242" i="2"/>
  <c r="O206" i="2"/>
  <c r="Q120" i="2"/>
  <c r="T700" i="2"/>
  <c r="T701" i="2"/>
  <c r="T702" i="2"/>
  <c r="T703" i="2"/>
  <c r="T704" i="2"/>
  <c r="T705" i="2"/>
  <c r="T706" i="2"/>
  <c r="Q105" i="2"/>
  <c r="T469" i="2"/>
  <c r="S336" i="2"/>
  <c r="T335" i="2"/>
  <c r="S695" i="2"/>
  <c r="S680" i="2" s="1"/>
  <c r="S68" i="2" s="1"/>
  <c r="S27" i="2"/>
  <c r="R554" i="2"/>
  <c r="R555" i="2" s="1"/>
  <c r="R103" i="2" s="1"/>
  <c r="R248" i="2" s="1"/>
  <c r="R560" i="2"/>
  <c r="R561" i="2" s="1"/>
  <c r="R104" i="2" s="1"/>
  <c r="T23" i="2"/>
  <c r="T26" i="2"/>
  <c r="T30" i="2"/>
  <c r="T40" i="2"/>
  <c r="Q272" i="2"/>
  <c r="Q233" i="2"/>
  <c r="P274" i="2"/>
  <c r="P275" i="2" s="1"/>
  <c r="Q270" i="2"/>
  <c r="Q231" i="2"/>
  <c r="P235" i="2"/>
  <c r="P236" i="2" s="1"/>
  <c r="Q601" i="2"/>
  <c r="R594" i="2"/>
  <c r="R595" i="2" s="1"/>
  <c r="R51" i="2" s="1"/>
  <c r="R598" i="2"/>
  <c r="R599" i="2" s="1"/>
  <c r="R590" i="2"/>
  <c r="R591" i="2" s="1"/>
  <c r="R586" i="2"/>
  <c r="R587" i="2" s="1"/>
  <c r="T668" i="2"/>
  <c r="U2" i="2"/>
  <c r="T25" i="2"/>
  <c r="R29" i="2"/>
  <c r="R31" i="2" s="1"/>
  <c r="R41" i="2" s="1"/>
  <c r="Q675" i="2" s="1"/>
  <c r="R672" i="2" s="1"/>
  <c r="S10" i="2"/>
  <c r="S12" i="2" s="1"/>
  <c r="D284" i="10" l="1"/>
  <c r="D300" i="10" s="1"/>
  <c r="D142" i="10"/>
  <c r="D154" i="10" s="1"/>
  <c r="D220" i="10"/>
  <c r="D248" i="10" s="1"/>
  <c r="D80" i="10"/>
  <c r="D81" i="10" s="1"/>
  <c r="D95" i="10" s="1"/>
  <c r="H80" i="10"/>
  <c r="H81" i="10" s="1"/>
  <c r="H95" i="10" s="1"/>
  <c r="U660" i="2"/>
  <c r="U674" i="2"/>
  <c r="U669" i="2"/>
  <c r="B535" i="7"/>
  <c r="C532" i="7" s="1"/>
  <c r="B557" i="7"/>
  <c r="C554" i="7" s="1"/>
  <c r="F220" i="10"/>
  <c r="F248" i="10" s="1"/>
  <c r="G80" i="10"/>
  <c r="G81" i="10" s="1"/>
  <c r="G95" i="10" s="1"/>
  <c r="H220" i="10"/>
  <c r="H248" i="10" s="1"/>
  <c r="H284" i="10"/>
  <c r="H300" i="10" s="1"/>
  <c r="G220" i="10"/>
  <c r="G248" i="10" s="1"/>
  <c r="F80" i="10"/>
  <c r="F81" i="10" s="1"/>
  <c r="F95" i="10" s="1"/>
  <c r="G142" i="10"/>
  <c r="G154" i="10" s="1"/>
  <c r="F284" i="10"/>
  <c r="F300" i="10" s="1"/>
  <c r="Q673" i="2"/>
  <c r="O593" i="7"/>
  <c r="S55" i="2"/>
  <c r="S244" i="2"/>
  <c r="S208" i="2"/>
  <c r="T612" i="2"/>
  <c r="T622" i="2"/>
  <c r="T623" i="2" s="1"/>
  <c r="T653" i="2"/>
  <c r="T650" i="2" s="1"/>
  <c r="T659" i="2"/>
  <c r="U655" i="2"/>
  <c r="U659" i="2" s="1"/>
  <c r="U654" i="2"/>
  <c r="K651" i="2"/>
  <c r="L654" i="2" s="1"/>
  <c r="L653" i="2" s="1"/>
  <c r="L650" i="2" s="1"/>
  <c r="U5" i="2"/>
  <c r="U638" i="2"/>
  <c r="U658" i="2" s="1"/>
  <c r="P620" i="2"/>
  <c r="Q593" i="7"/>
  <c r="Q594" i="7"/>
  <c r="U620" i="2"/>
  <c r="U621" i="2"/>
  <c r="U597" i="2"/>
  <c r="U593" i="2"/>
  <c r="U589" i="2"/>
  <c r="U585" i="2"/>
  <c r="Q18" i="2"/>
  <c r="Q20" i="2" s="1"/>
  <c r="Q43" i="2" s="1"/>
  <c r="E142" i="10"/>
  <c r="E154" i="10" s="1"/>
  <c r="E80" i="10"/>
  <c r="E81" i="10" s="1"/>
  <c r="E95" i="10" s="1"/>
  <c r="K142" i="10"/>
  <c r="K154" i="10" s="1"/>
  <c r="K80" i="10"/>
  <c r="K81" i="10" s="1"/>
  <c r="K95" i="10" s="1"/>
  <c r="K284" i="10"/>
  <c r="K220" i="10"/>
  <c r="K248" i="10" s="1"/>
  <c r="L74" i="10"/>
  <c r="L76" i="10" s="1"/>
  <c r="E284" i="10"/>
  <c r="E220" i="10"/>
  <c r="E248" i="10" s="1"/>
  <c r="R49" i="2"/>
  <c r="R14" i="2"/>
  <c r="J110" i="10"/>
  <c r="E110" i="10"/>
  <c r="I110" i="10"/>
  <c r="D110" i="10"/>
  <c r="F110" i="10"/>
  <c r="G110" i="10"/>
  <c r="H110" i="10"/>
  <c r="M50" i="10"/>
  <c r="M281" i="10"/>
  <c r="M297" i="10" s="1"/>
  <c r="M101" i="10"/>
  <c r="N49" i="10"/>
  <c r="O649" i="10"/>
  <c r="O652" i="10" s="1"/>
  <c r="N745" i="10"/>
  <c r="O746" i="10" s="1"/>
  <c r="B129" i="8"/>
  <c r="L704" i="8"/>
  <c r="M705" i="8" s="1"/>
  <c r="M608" i="8"/>
  <c r="M611" i="8" s="1"/>
  <c r="D241" i="8"/>
  <c r="D206" i="8"/>
  <c r="D48" i="8"/>
  <c r="D49" i="8" s="1"/>
  <c r="K241" i="8"/>
  <c r="K206" i="8"/>
  <c r="K48" i="8"/>
  <c r="K49" i="8" s="1"/>
  <c r="G241" i="8"/>
  <c r="G206" i="8"/>
  <c r="G48" i="8"/>
  <c r="G49" i="8" s="1"/>
  <c r="E241" i="8"/>
  <c r="E206" i="8"/>
  <c r="E48" i="8"/>
  <c r="E49" i="8" s="1"/>
  <c r="F241" i="8"/>
  <c r="F206" i="8"/>
  <c r="F48" i="8"/>
  <c r="F49" i="8" s="1"/>
  <c r="H241" i="8"/>
  <c r="H206" i="8"/>
  <c r="H48" i="8"/>
  <c r="H49" i="8" s="1"/>
  <c r="J241" i="8"/>
  <c r="J206" i="8"/>
  <c r="J48" i="8"/>
  <c r="J49" i="8" s="1"/>
  <c r="L241" i="8"/>
  <c r="L206" i="8"/>
  <c r="L48" i="8"/>
  <c r="L49" i="8" s="1"/>
  <c r="I241" i="8"/>
  <c r="I206" i="8"/>
  <c r="I48" i="8"/>
  <c r="I49" i="8" s="1"/>
  <c r="C241" i="8"/>
  <c r="C206" i="8"/>
  <c r="C48" i="8"/>
  <c r="C49" i="8" s="1"/>
  <c r="R169" i="7"/>
  <c r="R54" i="7"/>
  <c r="R133" i="7"/>
  <c r="Q169" i="7"/>
  <c r="Q54" i="7"/>
  <c r="Q133" i="7"/>
  <c r="S133" i="7"/>
  <c r="S169" i="7"/>
  <c r="S54" i="7"/>
  <c r="T133" i="7"/>
  <c r="T169" i="7"/>
  <c r="T54" i="7"/>
  <c r="N594" i="7"/>
  <c r="C560" i="7"/>
  <c r="E193" i="1"/>
  <c r="B80" i="7" s="1"/>
  <c r="W604" i="7"/>
  <c r="W607" i="7" s="1"/>
  <c r="V700" i="7"/>
  <c r="W701" i="7" s="1"/>
  <c r="V169" i="7"/>
  <c r="V133" i="7"/>
  <c r="V54" i="7"/>
  <c r="B203" i="1"/>
  <c r="B201" i="1"/>
  <c r="B202" i="1"/>
  <c r="B199" i="1"/>
  <c r="Q53" i="2"/>
  <c r="R15" i="2"/>
  <c r="R50" i="2"/>
  <c r="R232" i="2"/>
  <c r="R271" i="2"/>
  <c r="R17" i="2"/>
  <c r="R52" i="2"/>
  <c r="R234" i="2"/>
  <c r="R273" i="2"/>
  <c r="S71" i="2"/>
  <c r="U758" i="2"/>
  <c r="U400" i="2" s="1"/>
  <c r="U535" i="2" s="1"/>
  <c r="U756" i="2"/>
  <c r="U398" i="2" s="1"/>
  <c r="U533" i="2" s="1"/>
  <c r="U754" i="2"/>
  <c r="U396" i="2" s="1"/>
  <c r="U531" i="2" s="1"/>
  <c r="U752" i="2"/>
  <c r="U394" i="2" s="1"/>
  <c r="U529" i="2" s="1"/>
  <c r="U750" i="2"/>
  <c r="U392" i="2" s="1"/>
  <c r="U527" i="2" s="1"/>
  <c r="U726" i="2"/>
  <c r="U374" i="2" s="1"/>
  <c r="U509" i="2" s="1"/>
  <c r="U724" i="2"/>
  <c r="U372" i="2" s="1"/>
  <c r="U507" i="2" s="1"/>
  <c r="U757" i="2"/>
  <c r="U399" i="2" s="1"/>
  <c r="U534" i="2" s="1"/>
  <c r="U755" i="2"/>
  <c r="U397" i="2" s="1"/>
  <c r="U532" i="2" s="1"/>
  <c r="U753" i="2"/>
  <c r="U395" i="2" s="1"/>
  <c r="U530" i="2" s="1"/>
  <c r="U751" i="2"/>
  <c r="U393" i="2" s="1"/>
  <c r="U528" i="2" s="1"/>
  <c r="U749" i="2"/>
  <c r="U391" i="2" s="1"/>
  <c r="U526" i="2" s="1"/>
  <c r="U725" i="2"/>
  <c r="U373" i="2" s="1"/>
  <c r="U508" i="2" s="1"/>
  <c r="U722" i="2"/>
  <c r="U370" i="2" s="1"/>
  <c r="U505" i="2" s="1"/>
  <c r="U720" i="2"/>
  <c r="U368" i="2" s="1"/>
  <c r="U503" i="2" s="1"/>
  <c r="U718" i="2"/>
  <c r="U366" i="2" s="1"/>
  <c r="U501" i="2" s="1"/>
  <c r="U694" i="2"/>
  <c r="U349" i="2" s="1"/>
  <c r="U483" i="2" s="1"/>
  <c r="U692" i="2"/>
  <c r="U347" i="2" s="1"/>
  <c r="U481" i="2" s="1"/>
  <c r="U690" i="2"/>
  <c r="U345" i="2" s="1"/>
  <c r="U479" i="2" s="1"/>
  <c r="U688" i="2"/>
  <c r="U343" i="2" s="1"/>
  <c r="U477" i="2" s="1"/>
  <c r="U686" i="2"/>
  <c r="U341" i="2" s="1"/>
  <c r="U475" i="2" s="1"/>
  <c r="U763" i="2"/>
  <c r="U766" i="2"/>
  <c r="U768" i="2"/>
  <c r="U770" i="2"/>
  <c r="U723" i="2"/>
  <c r="U371" i="2" s="1"/>
  <c r="U506" i="2" s="1"/>
  <c r="U719" i="2"/>
  <c r="U367" i="2" s="1"/>
  <c r="U502" i="2" s="1"/>
  <c r="U691" i="2"/>
  <c r="U346" i="2" s="1"/>
  <c r="U480" i="2" s="1"/>
  <c r="U687" i="2"/>
  <c r="U342" i="2" s="1"/>
  <c r="U476" i="2" s="1"/>
  <c r="U721" i="2"/>
  <c r="U369" i="2" s="1"/>
  <c r="U504" i="2" s="1"/>
  <c r="U717" i="2"/>
  <c r="U365" i="2" s="1"/>
  <c r="U500" i="2" s="1"/>
  <c r="U693" i="2"/>
  <c r="U348" i="2" s="1"/>
  <c r="U482" i="2" s="1"/>
  <c r="U689" i="2"/>
  <c r="U344" i="2" s="1"/>
  <c r="U478" i="2" s="1"/>
  <c r="U685" i="2"/>
  <c r="U340" i="2" s="1"/>
  <c r="U474" i="2" s="1"/>
  <c r="U765" i="2"/>
  <c r="U769" i="2"/>
  <c r="U764" i="2"/>
  <c r="U729" i="2"/>
  <c r="U731" i="2"/>
  <c r="U733" i="2"/>
  <c r="U735" i="2"/>
  <c r="U737" i="2"/>
  <c r="U732" i="2"/>
  <c r="U734" i="2"/>
  <c r="U736" i="2"/>
  <c r="U738" i="2"/>
  <c r="T727" i="2"/>
  <c r="T712" i="2" s="1"/>
  <c r="T69" i="2" s="1"/>
  <c r="T759" i="2"/>
  <c r="T744" i="2" s="1"/>
  <c r="T70" i="2" s="1"/>
  <c r="T61" i="2"/>
  <c r="U697" i="2"/>
  <c r="U33" i="2"/>
  <c r="U35" i="2" s="1"/>
  <c r="U37" i="2" s="1"/>
  <c r="U39" i="2" s="1"/>
  <c r="U552" i="2"/>
  <c r="U553" i="2" s="1"/>
  <c r="U558" i="2"/>
  <c r="U559" i="2" s="1"/>
  <c r="U634" i="2"/>
  <c r="U624" i="2"/>
  <c r="U635" i="2" s="1"/>
  <c r="U639" i="2" s="1"/>
  <c r="U667" i="2"/>
  <c r="U618" i="2"/>
  <c r="U625" i="2"/>
  <c r="U617" i="2"/>
  <c r="V11" i="2"/>
  <c r="U317" i="2"/>
  <c r="U319" i="2"/>
  <c r="U321" i="2"/>
  <c r="U318" i="2"/>
  <c r="U322" i="2"/>
  <c r="U451" i="2"/>
  <c r="U470" i="2" s="1"/>
  <c r="U453" i="2"/>
  <c r="U455" i="2"/>
  <c r="U320" i="2"/>
  <c r="U452" i="2"/>
  <c r="U454" i="2"/>
  <c r="U456" i="2"/>
  <c r="U640" i="2"/>
  <c r="S121" i="2"/>
  <c r="U19" i="2"/>
  <c r="P47" i="2"/>
  <c r="P206" i="2"/>
  <c r="P242" i="2"/>
  <c r="R120" i="2"/>
  <c r="U700" i="2"/>
  <c r="U701" i="2"/>
  <c r="U702" i="2"/>
  <c r="U703" i="2"/>
  <c r="U704" i="2"/>
  <c r="U705" i="2"/>
  <c r="U706" i="2"/>
  <c r="R105" i="2"/>
  <c r="U469" i="2"/>
  <c r="T336" i="2"/>
  <c r="U335" i="2"/>
  <c r="T695" i="2"/>
  <c r="T680" i="2" s="1"/>
  <c r="T68" i="2" s="1"/>
  <c r="S554" i="2"/>
  <c r="S555" i="2" s="1"/>
  <c r="S103" i="2" s="1"/>
  <c r="S248" i="2" s="1"/>
  <c r="S560" i="2"/>
  <c r="S561" i="2" s="1"/>
  <c r="S104" i="2" s="1"/>
  <c r="Q274" i="2"/>
  <c r="Q275" i="2" s="1"/>
  <c r="U23" i="2"/>
  <c r="U26" i="2"/>
  <c r="U30" i="2"/>
  <c r="U40" i="2"/>
  <c r="Q235" i="2"/>
  <c r="Q236" i="2" s="1"/>
  <c r="R272" i="2"/>
  <c r="R233" i="2"/>
  <c r="R270" i="2"/>
  <c r="R231" i="2"/>
  <c r="R601" i="2"/>
  <c r="S598" i="2"/>
  <c r="S599" i="2" s="1"/>
  <c r="S590" i="2"/>
  <c r="S591" i="2" s="1"/>
  <c r="S586" i="2"/>
  <c r="S587" i="2" s="1"/>
  <c r="S594" i="2"/>
  <c r="S595" i="2" s="1"/>
  <c r="S51" i="2" s="1"/>
  <c r="U668" i="2"/>
  <c r="V2" i="2"/>
  <c r="U25" i="2"/>
  <c r="S29" i="2"/>
  <c r="S31" i="2" s="1"/>
  <c r="S41" i="2" s="1"/>
  <c r="R675" i="2" s="1"/>
  <c r="S672" i="2" s="1"/>
  <c r="T27" i="2"/>
  <c r="T10" i="2"/>
  <c r="T12" i="2" s="1"/>
  <c r="V660" i="2" l="1"/>
  <c r="V674" i="2"/>
  <c r="V669" i="2"/>
  <c r="R673" i="2"/>
  <c r="C538" i="7"/>
  <c r="T55" i="2"/>
  <c r="T244" i="2"/>
  <c r="T208" i="2"/>
  <c r="U622" i="2"/>
  <c r="U623" i="2" s="1"/>
  <c r="U612" i="2"/>
  <c r="L648" i="2"/>
  <c r="V655" i="2"/>
  <c r="V659" i="2" s="1"/>
  <c r="V654" i="2"/>
  <c r="U653" i="2"/>
  <c r="U650" i="2" s="1"/>
  <c r="L651" i="2"/>
  <c r="M654" i="2" s="1"/>
  <c r="M653" i="2" s="1"/>
  <c r="M650" i="2" s="1"/>
  <c r="V5" i="2"/>
  <c r="V638" i="2"/>
  <c r="V658" i="2" s="1"/>
  <c r="Q47" i="2"/>
  <c r="Q620" i="2"/>
  <c r="Q61" i="7"/>
  <c r="Q66" i="7" s="1"/>
  <c r="Q72" i="7" s="1"/>
  <c r="V620" i="2"/>
  <c r="V621" i="2"/>
  <c r="V597" i="2"/>
  <c r="V593" i="2"/>
  <c r="V589" i="2"/>
  <c r="V585" i="2"/>
  <c r="R18" i="2"/>
  <c r="R20" i="2" s="1"/>
  <c r="R43" i="2" s="1"/>
  <c r="R53" i="2"/>
  <c r="L142" i="10"/>
  <c r="L154" i="10" s="1"/>
  <c r="L80" i="10"/>
  <c r="L81" i="10" s="1"/>
  <c r="L95" i="10" s="1"/>
  <c r="L220" i="10"/>
  <c r="L248" i="10" s="1"/>
  <c r="K300" i="10"/>
  <c r="L284" i="10"/>
  <c r="L300" i="10" s="1"/>
  <c r="M74" i="10"/>
  <c r="M76" i="10" s="1"/>
  <c r="E300" i="10"/>
  <c r="S49" i="2"/>
  <c r="S14" i="2"/>
  <c r="M109" i="10"/>
  <c r="M110" i="10" s="1"/>
  <c r="L109" i="10"/>
  <c r="L101" i="10"/>
  <c r="N50" i="10"/>
  <c r="N281" i="10"/>
  <c r="N297" i="10" s="1"/>
  <c r="N109" i="10"/>
  <c r="P649" i="10"/>
  <c r="P652" i="10" s="1"/>
  <c r="O745" i="10"/>
  <c r="P746" i="10" s="1"/>
  <c r="O49" i="10"/>
  <c r="M206" i="8"/>
  <c r="M241" i="8"/>
  <c r="M48" i="8"/>
  <c r="M704" i="8"/>
  <c r="N705" i="8" s="1"/>
  <c r="N608" i="8"/>
  <c r="N611" i="8" s="1"/>
  <c r="C422" i="8"/>
  <c r="B415" i="8" s="1"/>
  <c r="C72" i="8"/>
  <c r="C73" i="8" s="1"/>
  <c r="C78" i="8" s="1"/>
  <c r="C288" i="8"/>
  <c r="B284" i="8" s="1"/>
  <c r="C559" i="7"/>
  <c r="C556" i="7" s="1"/>
  <c r="C557" i="7" s="1"/>
  <c r="D560" i="7" s="1"/>
  <c r="D538" i="7" s="1"/>
  <c r="W169" i="7"/>
  <c r="W133" i="7"/>
  <c r="W54" i="7"/>
  <c r="W56" i="7" s="1"/>
  <c r="W82" i="7" s="1"/>
  <c r="W87" i="7" s="1"/>
  <c r="X604" i="7"/>
  <c r="X607" i="7" s="1"/>
  <c r="W700" i="7"/>
  <c r="X701" i="7" s="1"/>
  <c r="B204" i="1"/>
  <c r="S17" i="2"/>
  <c r="S52" i="2"/>
  <c r="S234" i="2"/>
  <c r="S273" i="2"/>
  <c r="S15" i="2"/>
  <c r="S50" i="2"/>
  <c r="S232" i="2"/>
  <c r="S271" i="2"/>
  <c r="T71" i="2"/>
  <c r="U759" i="2"/>
  <c r="U744" i="2" s="1"/>
  <c r="U70" i="2" s="1"/>
  <c r="V757" i="2"/>
  <c r="V399" i="2" s="1"/>
  <c r="V534" i="2" s="1"/>
  <c r="V755" i="2"/>
  <c r="V397" i="2" s="1"/>
  <c r="V532" i="2" s="1"/>
  <c r="V753" i="2"/>
  <c r="V395" i="2" s="1"/>
  <c r="V530" i="2" s="1"/>
  <c r="V751" i="2"/>
  <c r="V393" i="2" s="1"/>
  <c r="V528" i="2" s="1"/>
  <c r="V749" i="2"/>
  <c r="V391" i="2" s="1"/>
  <c r="V526" i="2" s="1"/>
  <c r="V725" i="2"/>
  <c r="V373" i="2" s="1"/>
  <c r="V508" i="2" s="1"/>
  <c r="V758" i="2"/>
  <c r="V400" i="2" s="1"/>
  <c r="V535" i="2" s="1"/>
  <c r="V756" i="2"/>
  <c r="V398" i="2" s="1"/>
  <c r="V533" i="2" s="1"/>
  <c r="V754" i="2"/>
  <c r="V396" i="2" s="1"/>
  <c r="V531" i="2" s="1"/>
  <c r="V752" i="2"/>
  <c r="V394" i="2" s="1"/>
  <c r="V529" i="2" s="1"/>
  <c r="V750" i="2"/>
  <c r="V392" i="2" s="1"/>
  <c r="V527" i="2" s="1"/>
  <c r="V726" i="2"/>
  <c r="V374" i="2" s="1"/>
  <c r="V509" i="2" s="1"/>
  <c r="V724" i="2"/>
  <c r="V372" i="2" s="1"/>
  <c r="V507" i="2" s="1"/>
  <c r="V723" i="2"/>
  <c r="V371" i="2" s="1"/>
  <c r="V506" i="2" s="1"/>
  <c r="V721" i="2"/>
  <c r="V369" i="2" s="1"/>
  <c r="V504" i="2" s="1"/>
  <c r="V719" i="2"/>
  <c r="V367" i="2" s="1"/>
  <c r="V502" i="2" s="1"/>
  <c r="V717" i="2"/>
  <c r="V365" i="2" s="1"/>
  <c r="V500" i="2" s="1"/>
  <c r="V693" i="2"/>
  <c r="V348" i="2" s="1"/>
  <c r="V482" i="2" s="1"/>
  <c r="V691" i="2"/>
  <c r="V346" i="2" s="1"/>
  <c r="V480" i="2" s="1"/>
  <c r="V689" i="2"/>
  <c r="V344" i="2" s="1"/>
  <c r="V478" i="2" s="1"/>
  <c r="V687" i="2"/>
  <c r="V342" i="2" s="1"/>
  <c r="V476" i="2" s="1"/>
  <c r="V685" i="2"/>
  <c r="V340" i="2" s="1"/>
  <c r="V474" i="2" s="1"/>
  <c r="V764" i="2"/>
  <c r="V765" i="2"/>
  <c r="V769" i="2"/>
  <c r="V720" i="2"/>
  <c r="V368" i="2" s="1"/>
  <c r="V503" i="2" s="1"/>
  <c r="V692" i="2"/>
  <c r="V347" i="2" s="1"/>
  <c r="V481" i="2" s="1"/>
  <c r="V688" i="2"/>
  <c r="V343" i="2" s="1"/>
  <c r="V477" i="2" s="1"/>
  <c r="V722" i="2"/>
  <c r="V370" i="2" s="1"/>
  <c r="V505" i="2" s="1"/>
  <c r="V718" i="2"/>
  <c r="V366" i="2" s="1"/>
  <c r="V501" i="2" s="1"/>
  <c r="V694" i="2"/>
  <c r="V349" i="2" s="1"/>
  <c r="V483" i="2" s="1"/>
  <c r="V690" i="2"/>
  <c r="V345" i="2" s="1"/>
  <c r="V479" i="2" s="1"/>
  <c r="V686" i="2"/>
  <c r="V341" i="2" s="1"/>
  <c r="V475" i="2" s="1"/>
  <c r="V766" i="2"/>
  <c r="V770" i="2"/>
  <c r="V763" i="2"/>
  <c r="V732" i="2"/>
  <c r="V734" i="2"/>
  <c r="V736" i="2"/>
  <c r="V768" i="2"/>
  <c r="V729" i="2"/>
  <c r="V731" i="2"/>
  <c r="V733" i="2"/>
  <c r="V735" i="2"/>
  <c r="V737" i="2"/>
  <c r="V738" i="2"/>
  <c r="U727" i="2"/>
  <c r="U712" i="2" s="1"/>
  <c r="U69" i="2" s="1"/>
  <c r="U61" i="2"/>
  <c r="V697" i="2"/>
  <c r="V33" i="2"/>
  <c r="V35" i="2" s="1"/>
  <c r="V37" i="2" s="1"/>
  <c r="V39" i="2" s="1"/>
  <c r="V552" i="2"/>
  <c r="V553" i="2" s="1"/>
  <c r="V558" i="2"/>
  <c r="V559" i="2" s="1"/>
  <c r="V667" i="2"/>
  <c r="V618" i="2"/>
  <c r="V625" i="2"/>
  <c r="V617" i="2"/>
  <c r="V634" i="2"/>
  <c r="V624" i="2"/>
  <c r="V635" i="2" s="1"/>
  <c r="V639" i="2" s="1"/>
  <c r="M668" i="2"/>
  <c r="W11" i="2"/>
  <c r="V318" i="2"/>
  <c r="V320" i="2"/>
  <c r="V322" i="2"/>
  <c r="V451" i="2"/>
  <c r="V452" i="2"/>
  <c r="V453" i="2"/>
  <c r="V454" i="2"/>
  <c r="V455" i="2"/>
  <c r="V470" i="2" s="1"/>
  <c r="V456" i="2"/>
  <c r="V640" i="2"/>
  <c r="V319" i="2"/>
  <c r="V317" i="2"/>
  <c r="V321" i="2"/>
  <c r="Q242" i="2"/>
  <c r="T121" i="2"/>
  <c r="V19" i="2"/>
  <c r="S120" i="2"/>
  <c r="Q206" i="2"/>
  <c r="R274" i="2"/>
  <c r="R275" i="2" s="1"/>
  <c r="V702" i="2"/>
  <c r="V704" i="2"/>
  <c r="V706" i="2"/>
  <c r="V700" i="2"/>
  <c r="V701" i="2"/>
  <c r="V703" i="2"/>
  <c r="V705" i="2"/>
  <c r="R235" i="2"/>
  <c r="R236" i="2" s="1"/>
  <c r="S105" i="2"/>
  <c r="V469" i="2"/>
  <c r="U336" i="2"/>
  <c r="V335" i="2"/>
  <c r="U695" i="2"/>
  <c r="U680" i="2" s="1"/>
  <c r="U68" i="2" s="1"/>
  <c r="S666" i="2"/>
  <c r="T554" i="2"/>
  <c r="T555" i="2" s="1"/>
  <c r="T103" i="2" s="1"/>
  <c r="T248" i="2" s="1"/>
  <c r="T560" i="2"/>
  <c r="T561" i="2" s="1"/>
  <c r="T104" i="2" s="1"/>
  <c r="U27" i="2"/>
  <c r="V23" i="2"/>
  <c r="V26" i="2"/>
  <c r="V30" i="2"/>
  <c r="V40" i="2"/>
  <c r="S270" i="2"/>
  <c r="S231" i="2"/>
  <c r="S272" i="2"/>
  <c r="S233" i="2"/>
  <c r="S601" i="2"/>
  <c r="T594" i="2"/>
  <c r="T595" i="2" s="1"/>
  <c r="T51" i="2" s="1"/>
  <c r="T598" i="2"/>
  <c r="T599" i="2" s="1"/>
  <c r="T590" i="2"/>
  <c r="T591" i="2" s="1"/>
  <c r="T586" i="2"/>
  <c r="T587" i="2" s="1"/>
  <c r="V668" i="2"/>
  <c r="T29" i="2"/>
  <c r="T31" i="2" s="1"/>
  <c r="T41" i="2" s="1"/>
  <c r="S675" i="2" s="1"/>
  <c r="T672" i="2" s="1"/>
  <c r="W2" i="2"/>
  <c r="V25" i="2"/>
  <c r="U10" i="2"/>
  <c r="U12" i="2" s="1"/>
  <c r="W660" i="2" l="1"/>
  <c r="W674" i="2"/>
  <c r="W669" i="2"/>
  <c r="S673" i="2"/>
  <c r="C170" i="7"/>
  <c r="C134" i="7"/>
  <c r="C55" i="7"/>
  <c r="D170" i="7"/>
  <c r="D134" i="7"/>
  <c r="D55" i="7"/>
  <c r="C537" i="7"/>
  <c r="C80" i="7" s="1"/>
  <c r="C81" i="7" s="1"/>
  <c r="V622" i="2"/>
  <c r="V623" i="2" s="1"/>
  <c r="U55" i="2"/>
  <c r="U244" i="2"/>
  <c r="U208" i="2"/>
  <c r="V612" i="2"/>
  <c r="V653" i="2"/>
  <c r="V650" i="2" s="1"/>
  <c r="W655" i="2"/>
  <c r="W659" i="2" s="1"/>
  <c r="W654" i="2"/>
  <c r="M648" i="2"/>
  <c r="M651" i="2" s="1"/>
  <c r="W5" i="2"/>
  <c r="W638" i="2"/>
  <c r="W658" i="2" s="1"/>
  <c r="S53" i="2"/>
  <c r="W620" i="2"/>
  <c r="W621" i="2"/>
  <c r="W597" i="2"/>
  <c r="W593" i="2"/>
  <c r="W589" i="2"/>
  <c r="W585" i="2"/>
  <c r="E284" i="8"/>
  <c r="D284" i="8"/>
  <c r="D415" i="8"/>
  <c r="E415" i="8"/>
  <c r="B418" i="8"/>
  <c r="S18" i="2"/>
  <c r="S20" i="2" s="1"/>
  <c r="S43" i="2" s="1"/>
  <c r="S47" i="2" s="1"/>
  <c r="M142" i="10"/>
  <c r="M154" i="10" s="1"/>
  <c r="M80" i="10"/>
  <c r="M81" i="10" s="1"/>
  <c r="M95" i="10" s="1"/>
  <c r="M284" i="10"/>
  <c r="M300" i="10" s="1"/>
  <c r="M220" i="10"/>
  <c r="M248" i="10" s="1"/>
  <c r="N74" i="10"/>
  <c r="N76" i="10" s="1"/>
  <c r="T49" i="2"/>
  <c r="T14" i="2"/>
  <c r="N101" i="10"/>
  <c r="N110" i="10"/>
  <c r="L110" i="10"/>
  <c r="O50" i="10"/>
  <c r="O74" i="10" s="1"/>
  <c r="O76" i="10" s="1"/>
  <c r="O80" i="10" s="1"/>
  <c r="O81" i="10" s="1"/>
  <c r="O95" i="10" s="1"/>
  <c r="O281" i="10"/>
  <c r="O297" i="10" s="1"/>
  <c r="Q649" i="10"/>
  <c r="Q652" i="10" s="1"/>
  <c r="P745" i="10"/>
  <c r="Q746" i="10" s="1"/>
  <c r="M49" i="8"/>
  <c r="M73" i="8" s="1"/>
  <c r="M78" i="8" s="1"/>
  <c r="P49" i="10"/>
  <c r="B420" i="8"/>
  <c r="B417" i="8"/>
  <c r="B416" i="8"/>
  <c r="B419" i="8"/>
  <c r="N704" i="8"/>
  <c r="O705" i="8" s="1"/>
  <c r="O608" i="8"/>
  <c r="O611" i="8" s="1"/>
  <c r="N206" i="8"/>
  <c r="N241" i="8"/>
  <c r="N48" i="8"/>
  <c r="B285" i="8"/>
  <c r="B281" i="8"/>
  <c r="C87" i="8"/>
  <c r="C79" i="8"/>
  <c r="B286" i="8"/>
  <c r="B283" i="8"/>
  <c r="B282" i="8"/>
  <c r="X169" i="7"/>
  <c r="X133" i="7"/>
  <c r="X54" i="7"/>
  <c r="X56" i="7" s="1"/>
  <c r="X82" i="7" s="1"/>
  <c r="X87" i="7" s="1"/>
  <c r="W96" i="7"/>
  <c r="W88" i="7"/>
  <c r="D554" i="7"/>
  <c r="Y604" i="7"/>
  <c r="Y607" i="7" s="1"/>
  <c r="X700" i="7"/>
  <c r="Y701" i="7" s="1"/>
  <c r="T17" i="2"/>
  <c r="T52" i="2"/>
  <c r="T234" i="2"/>
  <c r="T273" i="2"/>
  <c r="T15" i="2"/>
  <c r="T50" i="2"/>
  <c r="T232" i="2"/>
  <c r="T271" i="2"/>
  <c r="U71" i="2"/>
  <c r="W758" i="2"/>
  <c r="W400" i="2" s="1"/>
  <c r="W535" i="2" s="1"/>
  <c r="W756" i="2"/>
  <c r="W398" i="2" s="1"/>
  <c r="W533" i="2" s="1"/>
  <c r="W754" i="2"/>
  <c r="W396" i="2" s="1"/>
  <c r="W531" i="2" s="1"/>
  <c r="W752" i="2"/>
  <c r="W394" i="2" s="1"/>
  <c r="W529" i="2" s="1"/>
  <c r="W750" i="2"/>
  <c r="W392" i="2" s="1"/>
  <c r="W527" i="2" s="1"/>
  <c r="W726" i="2"/>
  <c r="W374" i="2" s="1"/>
  <c r="W509" i="2" s="1"/>
  <c r="W724" i="2"/>
  <c r="W372" i="2" s="1"/>
  <c r="W507" i="2" s="1"/>
  <c r="W757" i="2"/>
  <c r="W399" i="2" s="1"/>
  <c r="W534" i="2" s="1"/>
  <c r="W755" i="2"/>
  <c r="W397" i="2" s="1"/>
  <c r="W532" i="2" s="1"/>
  <c r="W753" i="2"/>
  <c r="W395" i="2" s="1"/>
  <c r="W530" i="2" s="1"/>
  <c r="W751" i="2"/>
  <c r="W393" i="2" s="1"/>
  <c r="W528" i="2" s="1"/>
  <c r="W749" i="2"/>
  <c r="W391" i="2" s="1"/>
  <c r="W526" i="2" s="1"/>
  <c r="W725" i="2"/>
  <c r="W373" i="2" s="1"/>
  <c r="W508" i="2" s="1"/>
  <c r="W722" i="2"/>
  <c r="W370" i="2" s="1"/>
  <c r="W505" i="2" s="1"/>
  <c r="W720" i="2"/>
  <c r="W368" i="2" s="1"/>
  <c r="W503" i="2" s="1"/>
  <c r="W718" i="2"/>
  <c r="W366" i="2" s="1"/>
  <c r="W501" i="2" s="1"/>
  <c r="W694" i="2"/>
  <c r="W349" i="2" s="1"/>
  <c r="W483" i="2" s="1"/>
  <c r="W692" i="2"/>
  <c r="W347" i="2" s="1"/>
  <c r="W481" i="2" s="1"/>
  <c r="W690" i="2"/>
  <c r="W345" i="2" s="1"/>
  <c r="W479" i="2" s="1"/>
  <c r="W688" i="2"/>
  <c r="W343" i="2" s="1"/>
  <c r="W477" i="2" s="1"/>
  <c r="W686" i="2"/>
  <c r="W341" i="2" s="1"/>
  <c r="W475" i="2" s="1"/>
  <c r="W763" i="2"/>
  <c r="W766" i="2"/>
  <c r="W768" i="2"/>
  <c r="W770" i="2"/>
  <c r="W721" i="2"/>
  <c r="W369" i="2" s="1"/>
  <c r="W504" i="2" s="1"/>
  <c r="W717" i="2"/>
  <c r="W365" i="2" s="1"/>
  <c r="W500" i="2" s="1"/>
  <c r="W693" i="2"/>
  <c r="W348" i="2" s="1"/>
  <c r="W482" i="2" s="1"/>
  <c r="W689" i="2"/>
  <c r="W344" i="2" s="1"/>
  <c r="W478" i="2" s="1"/>
  <c r="W723" i="2"/>
  <c r="W371" i="2" s="1"/>
  <c r="W506" i="2" s="1"/>
  <c r="W719" i="2"/>
  <c r="W367" i="2" s="1"/>
  <c r="W502" i="2" s="1"/>
  <c r="W691" i="2"/>
  <c r="W346" i="2" s="1"/>
  <c r="W480" i="2" s="1"/>
  <c r="W687" i="2"/>
  <c r="W342" i="2" s="1"/>
  <c r="W476" i="2" s="1"/>
  <c r="W764" i="2"/>
  <c r="W765" i="2"/>
  <c r="W729" i="2"/>
  <c r="W733" i="2"/>
  <c r="W735" i="2"/>
  <c r="W737" i="2"/>
  <c r="W685" i="2"/>
  <c r="W340" i="2" s="1"/>
  <c r="W474" i="2" s="1"/>
  <c r="W761" i="2"/>
  <c r="W769" i="2"/>
  <c r="W732" i="2"/>
  <c r="W734" i="2"/>
  <c r="W736" i="2"/>
  <c r="W738" i="2"/>
  <c r="V727" i="2"/>
  <c r="V712" i="2" s="1"/>
  <c r="V69" i="2" s="1"/>
  <c r="V759" i="2"/>
  <c r="V744" i="2" s="1"/>
  <c r="V70" i="2" s="1"/>
  <c r="V61" i="2"/>
  <c r="W697" i="2"/>
  <c r="W33" i="2"/>
  <c r="W35" i="2" s="1"/>
  <c r="W37" i="2" s="1"/>
  <c r="W39" i="2" s="1"/>
  <c r="W552" i="2"/>
  <c r="W553" i="2" s="1"/>
  <c r="W558" i="2"/>
  <c r="W559" i="2" s="1"/>
  <c r="W634" i="2"/>
  <c r="W624" i="2"/>
  <c r="W635" i="2" s="1"/>
  <c r="W639" i="2" s="1"/>
  <c r="W667" i="2"/>
  <c r="W618" i="2"/>
  <c r="W625" i="2"/>
  <c r="W617" i="2"/>
  <c r="X11" i="2"/>
  <c r="W317" i="2"/>
  <c r="W319" i="2"/>
  <c r="W321" i="2"/>
  <c r="W320" i="2"/>
  <c r="W452" i="2"/>
  <c r="W454" i="2"/>
  <c r="W456" i="2"/>
  <c r="W640" i="2"/>
  <c r="W318" i="2"/>
  <c r="W322" i="2"/>
  <c r="W451" i="2"/>
  <c r="W453" i="2"/>
  <c r="W455" i="2"/>
  <c r="U121" i="2"/>
  <c r="W19" i="2"/>
  <c r="R47" i="2"/>
  <c r="R242" i="2"/>
  <c r="R206" i="2"/>
  <c r="T120" i="2"/>
  <c r="W700" i="2"/>
  <c r="W701" i="2"/>
  <c r="W703" i="2"/>
  <c r="W705" i="2"/>
  <c r="W702" i="2"/>
  <c r="W704" i="2"/>
  <c r="W706" i="2"/>
  <c r="T105" i="2"/>
  <c r="V336" i="2"/>
  <c r="W469" i="2"/>
  <c r="W335" i="2"/>
  <c r="V695" i="2"/>
  <c r="V680" i="2" s="1"/>
  <c r="V68" i="2" s="1"/>
  <c r="T666" i="2"/>
  <c r="U554" i="2"/>
  <c r="U555" i="2" s="1"/>
  <c r="U103" i="2" s="1"/>
  <c r="U248" i="2" s="1"/>
  <c r="U560" i="2"/>
  <c r="U561" i="2" s="1"/>
  <c r="U104" i="2" s="1"/>
  <c r="V27" i="2"/>
  <c r="W23" i="2"/>
  <c r="W26" i="2"/>
  <c r="W30" i="2"/>
  <c r="W40" i="2"/>
  <c r="T272" i="2"/>
  <c r="T233" i="2"/>
  <c r="S274" i="2"/>
  <c r="S275" i="2" s="1"/>
  <c r="T270" i="2"/>
  <c r="T231" i="2"/>
  <c r="S235" i="2"/>
  <c r="S236" i="2" s="1"/>
  <c r="T601" i="2"/>
  <c r="U598" i="2"/>
  <c r="U599" i="2" s="1"/>
  <c r="U590" i="2"/>
  <c r="U591" i="2" s="1"/>
  <c r="U586" i="2"/>
  <c r="U587" i="2" s="1"/>
  <c r="U594" i="2"/>
  <c r="U595" i="2" s="1"/>
  <c r="U51" i="2" s="1"/>
  <c r="W668" i="2"/>
  <c r="X2" i="2"/>
  <c r="W25" i="2"/>
  <c r="U29" i="2"/>
  <c r="U31" i="2" s="1"/>
  <c r="U41" i="2" s="1"/>
  <c r="T675" i="2" s="1"/>
  <c r="U672" i="2" s="1"/>
  <c r="V10" i="2"/>
  <c r="V12" i="2" s="1"/>
  <c r="W470" i="2" l="1"/>
  <c r="X660" i="2"/>
  <c r="X669" i="2"/>
  <c r="X674" i="2"/>
  <c r="T18" i="2"/>
  <c r="T20" i="2" s="1"/>
  <c r="T673" i="2"/>
  <c r="C534" i="7"/>
  <c r="C535" i="7" s="1"/>
  <c r="D532" i="7" s="1"/>
  <c r="C539" i="7"/>
  <c r="B595" i="7" s="1"/>
  <c r="V55" i="2"/>
  <c r="V244" i="2"/>
  <c r="V208" i="2"/>
  <c r="W612" i="2"/>
  <c r="W622" i="2"/>
  <c r="W653" i="2"/>
  <c r="W650" i="2" s="1"/>
  <c r="X655" i="2"/>
  <c r="X659" i="2" s="1"/>
  <c r="X654" i="2"/>
  <c r="N654" i="2"/>
  <c r="N653" i="2" s="1"/>
  <c r="N650" i="2" s="1"/>
  <c r="N648" i="2"/>
  <c r="X5" i="2"/>
  <c r="X638" i="2"/>
  <c r="X658" i="2" s="1"/>
  <c r="X620" i="2"/>
  <c r="X621" i="2"/>
  <c r="X597" i="2"/>
  <c r="X593" i="2"/>
  <c r="X589" i="2"/>
  <c r="X585" i="2"/>
  <c r="W623" i="2"/>
  <c r="E283" i="8"/>
  <c r="D283" i="8"/>
  <c r="E285" i="8"/>
  <c r="D285" i="8"/>
  <c r="D282" i="8"/>
  <c r="E282" i="8"/>
  <c r="E286" i="8"/>
  <c r="D286" i="8"/>
  <c r="E281" i="8"/>
  <c r="D281" i="8"/>
  <c r="E416" i="8"/>
  <c r="D416" i="8"/>
  <c r="E420" i="8"/>
  <c r="D420" i="8"/>
  <c r="E418" i="8"/>
  <c r="D418" i="8"/>
  <c r="E419" i="8"/>
  <c r="D419" i="8"/>
  <c r="E417" i="8"/>
  <c r="D417" i="8"/>
  <c r="T53" i="2"/>
  <c r="N142" i="10"/>
  <c r="N154" i="10" s="1"/>
  <c r="N80" i="10"/>
  <c r="N81" i="10" s="1"/>
  <c r="N95" i="10" s="1"/>
  <c r="N284" i="10"/>
  <c r="N300" i="10" s="1"/>
  <c r="N220" i="10"/>
  <c r="N248" i="10" s="1"/>
  <c r="U49" i="2"/>
  <c r="U14" i="2"/>
  <c r="O109" i="10"/>
  <c r="O110" i="10" s="1"/>
  <c r="O142" i="10"/>
  <c r="O154" i="10" s="1"/>
  <c r="O101" i="10"/>
  <c r="O284" i="10"/>
  <c r="O220" i="10"/>
  <c r="O248" i="10" s="1"/>
  <c r="P50" i="10"/>
  <c r="P281" i="10"/>
  <c r="P297" i="10" s="1"/>
  <c r="P101" i="10"/>
  <c r="M87" i="8"/>
  <c r="M88" i="8" s="1"/>
  <c r="M79" i="8"/>
  <c r="P109" i="10"/>
  <c r="Q49" i="10"/>
  <c r="N49" i="8"/>
  <c r="N73" i="8" s="1"/>
  <c r="N78" i="8" s="1"/>
  <c r="R649" i="10"/>
  <c r="R652" i="10" s="1"/>
  <c r="Q745" i="10"/>
  <c r="R746" i="10" s="1"/>
  <c r="B422" i="8"/>
  <c r="O206" i="8"/>
  <c r="O241" i="8"/>
  <c r="O48" i="8"/>
  <c r="O704" i="8"/>
  <c r="P705" i="8" s="1"/>
  <c r="P608" i="8"/>
  <c r="P611" i="8" s="1"/>
  <c r="C88" i="8"/>
  <c r="F415" i="8"/>
  <c r="G415" i="8" s="1"/>
  <c r="G422" i="8" s="1"/>
  <c r="B288" i="8"/>
  <c r="F284" i="8"/>
  <c r="Y169" i="7"/>
  <c r="Y133" i="7"/>
  <c r="Y54" i="7"/>
  <c r="Y56" i="7" s="1"/>
  <c r="Y82" i="7" s="1"/>
  <c r="Y87" i="7" s="1"/>
  <c r="W97" i="7"/>
  <c r="X96" i="7"/>
  <c r="X88" i="7"/>
  <c r="Z604" i="7"/>
  <c r="Z607" i="7" s="1"/>
  <c r="Y700" i="7"/>
  <c r="Z701" i="7" s="1"/>
  <c r="D559" i="7"/>
  <c r="D537" i="7" s="1"/>
  <c r="D80" i="7" s="1"/>
  <c r="U15" i="2"/>
  <c r="U50" i="2"/>
  <c r="U232" i="2"/>
  <c r="U271" i="2"/>
  <c r="U17" i="2"/>
  <c r="U52" i="2"/>
  <c r="U234" i="2"/>
  <c r="U273" i="2"/>
  <c r="V71" i="2"/>
  <c r="W759" i="2"/>
  <c r="W744" i="2" s="1"/>
  <c r="W70" i="2" s="1"/>
  <c r="X757" i="2"/>
  <c r="X399" i="2" s="1"/>
  <c r="X534" i="2" s="1"/>
  <c r="X755" i="2"/>
  <c r="X397" i="2" s="1"/>
  <c r="X532" i="2" s="1"/>
  <c r="X753" i="2"/>
  <c r="X395" i="2" s="1"/>
  <c r="X530" i="2" s="1"/>
  <c r="X751" i="2"/>
  <c r="X393" i="2" s="1"/>
  <c r="X528" i="2" s="1"/>
  <c r="X749" i="2"/>
  <c r="X391" i="2" s="1"/>
  <c r="X526" i="2" s="1"/>
  <c r="X725" i="2"/>
  <c r="X373" i="2" s="1"/>
  <c r="X508" i="2" s="1"/>
  <c r="X758" i="2"/>
  <c r="X400" i="2" s="1"/>
  <c r="X535" i="2" s="1"/>
  <c r="X756" i="2"/>
  <c r="X398" i="2" s="1"/>
  <c r="X533" i="2" s="1"/>
  <c r="X754" i="2"/>
  <c r="X396" i="2" s="1"/>
  <c r="X531" i="2" s="1"/>
  <c r="X752" i="2"/>
  <c r="X394" i="2" s="1"/>
  <c r="X529" i="2" s="1"/>
  <c r="X750" i="2"/>
  <c r="X392" i="2" s="1"/>
  <c r="X527" i="2" s="1"/>
  <c r="X726" i="2"/>
  <c r="X374" i="2" s="1"/>
  <c r="X509" i="2" s="1"/>
  <c r="X724" i="2"/>
  <c r="X372" i="2" s="1"/>
  <c r="X507" i="2" s="1"/>
  <c r="X723" i="2"/>
  <c r="X371" i="2" s="1"/>
  <c r="X506" i="2" s="1"/>
  <c r="X721" i="2"/>
  <c r="X369" i="2" s="1"/>
  <c r="X504" i="2" s="1"/>
  <c r="X719" i="2"/>
  <c r="X367" i="2" s="1"/>
  <c r="X502" i="2" s="1"/>
  <c r="X717" i="2"/>
  <c r="X365" i="2" s="1"/>
  <c r="X500" i="2" s="1"/>
  <c r="X693" i="2"/>
  <c r="X348" i="2" s="1"/>
  <c r="X482" i="2" s="1"/>
  <c r="X691" i="2"/>
  <c r="X346" i="2" s="1"/>
  <c r="X480" i="2" s="1"/>
  <c r="X689" i="2"/>
  <c r="X344" i="2" s="1"/>
  <c r="X478" i="2" s="1"/>
  <c r="X687" i="2"/>
  <c r="X342" i="2" s="1"/>
  <c r="X476" i="2" s="1"/>
  <c r="X685" i="2"/>
  <c r="X340" i="2" s="1"/>
  <c r="X474" i="2" s="1"/>
  <c r="X761" i="2"/>
  <c r="X764" i="2"/>
  <c r="X765" i="2"/>
  <c r="X767" i="2"/>
  <c r="X769" i="2"/>
  <c r="X722" i="2"/>
  <c r="X370" i="2" s="1"/>
  <c r="X505" i="2" s="1"/>
  <c r="X718" i="2"/>
  <c r="X366" i="2" s="1"/>
  <c r="X501" i="2" s="1"/>
  <c r="X694" i="2"/>
  <c r="X349" i="2" s="1"/>
  <c r="X483" i="2" s="1"/>
  <c r="X690" i="2"/>
  <c r="X345" i="2" s="1"/>
  <c r="X479" i="2" s="1"/>
  <c r="X720" i="2"/>
  <c r="X368" i="2" s="1"/>
  <c r="X503" i="2" s="1"/>
  <c r="X692" i="2"/>
  <c r="X347" i="2" s="1"/>
  <c r="X481" i="2" s="1"/>
  <c r="X688" i="2"/>
  <c r="X343" i="2" s="1"/>
  <c r="X477" i="2" s="1"/>
  <c r="X763" i="2"/>
  <c r="X766" i="2"/>
  <c r="X732" i="2"/>
  <c r="X734" i="2"/>
  <c r="X736" i="2"/>
  <c r="X738" i="2"/>
  <c r="X686" i="2"/>
  <c r="X341" i="2" s="1"/>
  <c r="X475" i="2" s="1"/>
  <c r="X770" i="2"/>
  <c r="X729" i="2"/>
  <c r="X733" i="2"/>
  <c r="X735" i="2"/>
  <c r="X737" i="2"/>
  <c r="W727" i="2"/>
  <c r="W712" i="2" s="1"/>
  <c r="W69" i="2" s="1"/>
  <c r="W61" i="2"/>
  <c r="X697" i="2"/>
  <c r="X33" i="2"/>
  <c r="X35" i="2" s="1"/>
  <c r="X37" i="2" s="1"/>
  <c r="X39" i="2" s="1"/>
  <c r="X552" i="2"/>
  <c r="X553" i="2" s="1"/>
  <c r="X558" i="2"/>
  <c r="X559" i="2" s="1"/>
  <c r="X667" i="2"/>
  <c r="X618" i="2"/>
  <c r="X625" i="2"/>
  <c r="X617" i="2"/>
  <c r="X634" i="2"/>
  <c r="X624" i="2"/>
  <c r="X635" i="2" s="1"/>
  <c r="X639" i="2" s="1"/>
  <c r="O668" i="2"/>
  <c r="Y11" i="2"/>
  <c r="X318" i="2"/>
  <c r="X320" i="2"/>
  <c r="X322" i="2"/>
  <c r="X451" i="2"/>
  <c r="X452" i="2"/>
  <c r="X453" i="2"/>
  <c r="X454" i="2"/>
  <c r="X455" i="2"/>
  <c r="X470" i="2" s="1"/>
  <c r="X456" i="2"/>
  <c r="X640" i="2"/>
  <c r="X317" i="2"/>
  <c r="X321" i="2"/>
  <c r="X319" i="2"/>
  <c r="V121" i="2"/>
  <c r="X19" i="2"/>
  <c r="S242" i="2"/>
  <c r="U120" i="2"/>
  <c r="S206" i="2"/>
  <c r="T43" i="2"/>
  <c r="X702" i="2"/>
  <c r="X704" i="2"/>
  <c r="X706" i="2"/>
  <c r="X701" i="2"/>
  <c r="X703" i="2"/>
  <c r="X705" i="2"/>
  <c r="U105" i="2"/>
  <c r="X469" i="2"/>
  <c r="W336" i="2"/>
  <c r="X335" i="2"/>
  <c r="W695" i="2"/>
  <c r="W680" i="2" s="1"/>
  <c r="W68" i="2" s="1"/>
  <c r="U666" i="2"/>
  <c r="V554" i="2"/>
  <c r="V555" i="2" s="1"/>
  <c r="V103" i="2" s="1"/>
  <c r="V248" i="2" s="1"/>
  <c r="V560" i="2"/>
  <c r="V561" i="2" s="1"/>
  <c r="V104" i="2" s="1"/>
  <c r="W27" i="2"/>
  <c r="X23" i="2"/>
  <c r="X26" i="2"/>
  <c r="X30" i="2"/>
  <c r="X40" i="2"/>
  <c r="T274" i="2"/>
  <c r="T275" i="2" s="1"/>
  <c r="T235" i="2"/>
  <c r="T236" i="2" s="1"/>
  <c r="U270" i="2"/>
  <c r="U231" i="2"/>
  <c r="U272" i="2"/>
  <c r="U233" i="2"/>
  <c r="U601" i="2"/>
  <c r="V594" i="2"/>
  <c r="V595" i="2" s="1"/>
  <c r="V51" i="2" s="1"/>
  <c r="V598" i="2"/>
  <c r="V599" i="2" s="1"/>
  <c r="V590" i="2"/>
  <c r="V591" i="2" s="1"/>
  <c r="V586" i="2"/>
  <c r="V587" i="2" s="1"/>
  <c r="X668" i="2"/>
  <c r="Y2" i="2"/>
  <c r="X25" i="2"/>
  <c r="V29" i="2"/>
  <c r="V31" i="2" s="1"/>
  <c r="V41" i="2" s="1"/>
  <c r="U675" i="2" s="1"/>
  <c r="V672" i="2" s="1"/>
  <c r="W10" i="2"/>
  <c r="W12" i="2" s="1"/>
  <c r="Y660" i="2" l="1"/>
  <c r="Y674" i="2"/>
  <c r="Y669" i="2"/>
  <c r="U673" i="2"/>
  <c r="B593" i="7"/>
  <c r="B700" i="7"/>
  <c r="C701" i="7" s="1"/>
  <c r="C592" i="7"/>
  <c r="D539" i="7"/>
  <c r="C595" i="7" s="1"/>
  <c r="D534" i="7"/>
  <c r="D535" i="7" s="1"/>
  <c r="E532" i="7" s="1"/>
  <c r="W55" i="2"/>
  <c r="W244" i="2"/>
  <c r="W208" i="2"/>
  <c r="X622" i="2"/>
  <c r="X623" i="2" s="1"/>
  <c r="X612" i="2"/>
  <c r="N651" i="2"/>
  <c r="O654" i="2" s="1"/>
  <c r="O653" i="2" s="1"/>
  <c r="O650" i="2" s="1"/>
  <c r="X653" i="2"/>
  <c r="X650" i="2" s="1"/>
  <c r="Y655" i="2"/>
  <c r="Y654" i="2"/>
  <c r="O648" i="2"/>
  <c r="Y5" i="2"/>
  <c r="Y638" i="2"/>
  <c r="Y658" i="2" s="1"/>
  <c r="H417" i="8"/>
  <c r="H419" i="8"/>
  <c r="K419" i="8" s="1"/>
  <c r="L419" i="8" s="1"/>
  <c r="H415" i="8"/>
  <c r="H416" i="8"/>
  <c r="K416" i="8" s="1"/>
  <c r="L416" i="8" s="1"/>
  <c r="H418" i="8"/>
  <c r="K418" i="8" s="1"/>
  <c r="L418" i="8" s="1"/>
  <c r="H420" i="8"/>
  <c r="K420" i="8" s="1"/>
  <c r="L420" i="8" s="1"/>
  <c r="F285" i="8"/>
  <c r="F418" i="8"/>
  <c r="F416" i="8"/>
  <c r="Y620" i="2"/>
  <c r="Y621" i="2"/>
  <c r="Y597" i="2"/>
  <c r="Y593" i="2"/>
  <c r="Y589" i="2"/>
  <c r="Y585" i="2"/>
  <c r="F281" i="8"/>
  <c r="G281" i="8" s="1"/>
  <c r="G288" i="8" s="1"/>
  <c r="F417" i="8"/>
  <c r="F419" i="8"/>
  <c r="F420" i="8"/>
  <c r="I422" i="8"/>
  <c r="K417" i="8"/>
  <c r="L417" i="8" s="1"/>
  <c r="P74" i="10"/>
  <c r="P76" i="10" s="1"/>
  <c r="V49" i="2"/>
  <c r="V14" i="2"/>
  <c r="O300" i="10"/>
  <c r="P110" i="10"/>
  <c r="Q50" i="10"/>
  <c r="Q74" i="10" s="1"/>
  <c r="Q76" i="10" s="1"/>
  <c r="Q80" i="10" s="1"/>
  <c r="Q81" i="10" s="1"/>
  <c r="Q95" i="10" s="1"/>
  <c r="Q281" i="10"/>
  <c r="Q297" i="10" s="1"/>
  <c r="N87" i="8"/>
  <c r="N88" i="8" s="1"/>
  <c r="N79" i="8"/>
  <c r="S649" i="10"/>
  <c r="S652" i="10" s="1"/>
  <c r="R745" i="10"/>
  <c r="S746" i="10" s="1"/>
  <c r="C163" i="10"/>
  <c r="O49" i="8"/>
  <c r="O73" i="8" s="1"/>
  <c r="O78" i="8" s="1"/>
  <c r="R49" i="10"/>
  <c r="P704" i="8"/>
  <c r="Q705" i="8" s="1"/>
  <c r="Q608" i="8"/>
  <c r="Q611" i="8" s="1"/>
  <c r="P206" i="8"/>
  <c r="P241" i="8"/>
  <c r="P48" i="8"/>
  <c r="F283" i="8"/>
  <c r="D72" i="8"/>
  <c r="D73" i="8" s="1"/>
  <c r="D78" i="8" s="1"/>
  <c r="F286" i="8"/>
  <c r="F282" i="8"/>
  <c r="AA604" i="7"/>
  <c r="AA607" i="7" s="1"/>
  <c r="Z700" i="7"/>
  <c r="AA701" i="7" s="1"/>
  <c r="X97" i="7"/>
  <c r="Y96" i="7"/>
  <c r="Y88" i="7"/>
  <c r="D556" i="7"/>
  <c r="D557" i="7" s="1"/>
  <c r="E560" i="7" s="1"/>
  <c r="E538" i="7" s="1"/>
  <c r="D81" i="7"/>
  <c r="Z169" i="7"/>
  <c r="Z133" i="7"/>
  <c r="Z54" i="7"/>
  <c r="Z56" i="7" s="1"/>
  <c r="Z82" i="7" s="1"/>
  <c r="Z87" i="7" s="1"/>
  <c r="U53" i="2"/>
  <c r="U18" i="2"/>
  <c r="U20" i="2" s="1"/>
  <c r="U43" i="2" s="1"/>
  <c r="U47" i="2" s="1"/>
  <c r="W71" i="2"/>
  <c r="V15" i="2"/>
  <c r="V50" i="2"/>
  <c r="V232" i="2"/>
  <c r="V271" i="2"/>
  <c r="V17" i="2"/>
  <c r="V52" i="2"/>
  <c r="V234" i="2"/>
  <c r="V273" i="2"/>
  <c r="X727" i="2"/>
  <c r="X712" i="2" s="1"/>
  <c r="X69" i="2" s="1"/>
  <c r="X759" i="2"/>
  <c r="X744" i="2" s="1"/>
  <c r="X70" i="2" s="1"/>
  <c r="Y758" i="2"/>
  <c r="Y400" i="2" s="1"/>
  <c r="Y535" i="2" s="1"/>
  <c r="Y756" i="2"/>
  <c r="Y398" i="2" s="1"/>
  <c r="Y533" i="2" s="1"/>
  <c r="Y754" i="2"/>
  <c r="Y396" i="2" s="1"/>
  <c r="Y531" i="2" s="1"/>
  <c r="Y752" i="2"/>
  <c r="Y394" i="2" s="1"/>
  <c r="Y529" i="2" s="1"/>
  <c r="Y750" i="2"/>
  <c r="Y392" i="2" s="1"/>
  <c r="Y527" i="2" s="1"/>
  <c r="Y726" i="2"/>
  <c r="Y374" i="2" s="1"/>
  <c r="Y509" i="2" s="1"/>
  <c r="Y724" i="2"/>
  <c r="Y372" i="2" s="1"/>
  <c r="Y507" i="2" s="1"/>
  <c r="Y757" i="2"/>
  <c r="Y399" i="2" s="1"/>
  <c r="Y534" i="2" s="1"/>
  <c r="Y755" i="2"/>
  <c r="Y397" i="2" s="1"/>
  <c r="Y532" i="2" s="1"/>
  <c r="Y753" i="2"/>
  <c r="Y395" i="2" s="1"/>
  <c r="Y530" i="2" s="1"/>
  <c r="Y751" i="2"/>
  <c r="Y393" i="2" s="1"/>
  <c r="Y528" i="2" s="1"/>
  <c r="Y749" i="2"/>
  <c r="Y391" i="2" s="1"/>
  <c r="Y526" i="2" s="1"/>
  <c r="Y725" i="2"/>
  <c r="Y373" i="2" s="1"/>
  <c r="Y508" i="2" s="1"/>
  <c r="Y722" i="2"/>
  <c r="Y370" i="2" s="1"/>
  <c r="Y505" i="2" s="1"/>
  <c r="Y720" i="2"/>
  <c r="Y368" i="2" s="1"/>
  <c r="Y503" i="2" s="1"/>
  <c r="Y718" i="2"/>
  <c r="Y366" i="2" s="1"/>
  <c r="Y501" i="2" s="1"/>
  <c r="Y694" i="2"/>
  <c r="Y349" i="2" s="1"/>
  <c r="Y483" i="2" s="1"/>
  <c r="Y692" i="2"/>
  <c r="Y347" i="2" s="1"/>
  <c r="Y481" i="2" s="1"/>
  <c r="Y690" i="2"/>
  <c r="Y345" i="2" s="1"/>
  <c r="Y479" i="2" s="1"/>
  <c r="Y688" i="2"/>
  <c r="Y343" i="2" s="1"/>
  <c r="Y477" i="2" s="1"/>
  <c r="Y686" i="2"/>
  <c r="Y341" i="2" s="1"/>
  <c r="Y475" i="2" s="1"/>
  <c r="Y763" i="2"/>
  <c r="Y766" i="2"/>
  <c r="Y770" i="2"/>
  <c r="Y723" i="2"/>
  <c r="Y371" i="2" s="1"/>
  <c r="Y506" i="2" s="1"/>
  <c r="Y719" i="2"/>
  <c r="Y367" i="2" s="1"/>
  <c r="Y502" i="2" s="1"/>
  <c r="Y691" i="2"/>
  <c r="Y346" i="2" s="1"/>
  <c r="Y480" i="2" s="1"/>
  <c r="Y687" i="2"/>
  <c r="Y342" i="2" s="1"/>
  <c r="Y476" i="2" s="1"/>
  <c r="Y721" i="2"/>
  <c r="Y369" i="2" s="1"/>
  <c r="Y504" i="2" s="1"/>
  <c r="Y717" i="2"/>
  <c r="Y365" i="2" s="1"/>
  <c r="Y500" i="2" s="1"/>
  <c r="Y693" i="2"/>
  <c r="Y348" i="2" s="1"/>
  <c r="Y482" i="2" s="1"/>
  <c r="Y689" i="2"/>
  <c r="Y344" i="2" s="1"/>
  <c r="Y478" i="2" s="1"/>
  <c r="Y685" i="2"/>
  <c r="Y340" i="2" s="1"/>
  <c r="Y474" i="2" s="1"/>
  <c r="Y761" i="2"/>
  <c r="Y765" i="2"/>
  <c r="Y769" i="2"/>
  <c r="Y767" i="2"/>
  <c r="Y729" i="2"/>
  <c r="Y733" i="2"/>
  <c r="Y735" i="2"/>
  <c r="Y737" i="2"/>
  <c r="Y764" i="2"/>
  <c r="Y732" i="2"/>
  <c r="Y734" i="2"/>
  <c r="Y736" i="2"/>
  <c r="Y738" i="2"/>
  <c r="X61" i="2"/>
  <c r="Y697" i="2"/>
  <c r="Y33" i="2"/>
  <c r="Y35" i="2" s="1"/>
  <c r="Y37" i="2" s="1"/>
  <c r="Y39" i="2" s="1"/>
  <c r="Y552" i="2"/>
  <c r="Y553" i="2" s="1"/>
  <c r="Y558" i="2"/>
  <c r="Y559" i="2" s="1"/>
  <c r="Y634" i="2"/>
  <c r="Y624" i="2"/>
  <c r="Y635" i="2" s="1"/>
  <c r="Y639" i="2" s="1"/>
  <c r="Y667" i="2"/>
  <c r="Y618" i="2"/>
  <c r="Y625" i="2"/>
  <c r="Y617" i="2"/>
  <c r="Z11" i="2"/>
  <c r="Y317" i="2"/>
  <c r="Y319" i="2"/>
  <c r="Y321" i="2"/>
  <c r="Y318" i="2"/>
  <c r="Y322" i="2"/>
  <c r="Y451" i="2"/>
  <c r="Y453" i="2"/>
  <c r="Y455" i="2"/>
  <c r="Y320" i="2"/>
  <c r="Y452" i="2"/>
  <c r="Y454" i="2"/>
  <c r="Y456" i="2"/>
  <c r="Y640" i="2"/>
  <c r="Y19" i="2"/>
  <c r="W121" i="2"/>
  <c r="T47" i="2"/>
  <c r="T206" i="2"/>
  <c r="T242" i="2"/>
  <c r="V120" i="2"/>
  <c r="Y701" i="2"/>
  <c r="Y703" i="2"/>
  <c r="Y705" i="2"/>
  <c r="Y702" i="2"/>
  <c r="Y704" i="2"/>
  <c r="Y706" i="2"/>
  <c r="V105" i="2"/>
  <c r="X336" i="2"/>
  <c r="Y469" i="2"/>
  <c r="Y335" i="2"/>
  <c r="X695" i="2"/>
  <c r="X680" i="2" s="1"/>
  <c r="X68" i="2" s="1"/>
  <c r="V666" i="2"/>
  <c r="W554" i="2"/>
  <c r="W555" i="2" s="1"/>
  <c r="W103" i="2" s="1"/>
  <c r="W248" i="2" s="1"/>
  <c r="W560" i="2"/>
  <c r="W561" i="2" s="1"/>
  <c r="W104" i="2" s="1"/>
  <c r="Y23" i="2"/>
  <c r="Y26" i="2"/>
  <c r="Y30" i="2"/>
  <c r="Y40" i="2"/>
  <c r="U274" i="2"/>
  <c r="U275" i="2" s="1"/>
  <c r="V270" i="2"/>
  <c r="V231" i="2"/>
  <c r="V272" i="2"/>
  <c r="V233" i="2"/>
  <c r="U235" i="2"/>
  <c r="U236" i="2" s="1"/>
  <c r="V601" i="2"/>
  <c r="W598" i="2"/>
  <c r="W599" i="2" s="1"/>
  <c r="W590" i="2"/>
  <c r="W591" i="2" s="1"/>
  <c r="W586" i="2"/>
  <c r="W587" i="2" s="1"/>
  <c r="W594" i="2"/>
  <c r="W595" i="2" s="1"/>
  <c r="W51" i="2" s="1"/>
  <c r="Y668" i="2"/>
  <c r="Z2" i="2"/>
  <c r="Y25" i="2"/>
  <c r="W29" i="2"/>
  <c r="W31" i="2" s="1"/>
  <c r="W41" i="2" s="1"/>
  <c r="V675" i="2" s="1"/>
  <c r="W672" i="2" s="1"/>
  <c r="X27" i="2"/>
  <c r="X10" i="2"/>
  <c r="X12" i="2" s="1"/>
  <c r="Y470" i="2" l="1"/>
  <c r="Z660" i="2"/>
  <c r="Z674" i="2"/>
  <c r="Z669" i="2"/>
  <c r="V673" i="2"/>
  <c r="E170" i="7"/>
  <c r="E134" i="7"/>
  <c r="E55" i="7"/>
  <c r="E177" i="1"/>
  <c r="B61" i="7"/>
  <c r="B66" i="7" s="1"/>
  <c r="C700" i="7"/>
  <c r="D701" i="7" s="1"/>
  <c r="D592" i="7"/>
  <c r="C593" i="7"/>
  <c r="C61" i="7" s="1"/>
  <c r="C66" i="7" s="1"/>
  <c r="C72" i="7" s="1"/>
  <c r="C133" i="7"/>
  <c r="C169" i="7"/>
  <c r="C54" i="7"/>
  <c r="C56" i="7" s="1"/>
  <c r="X55" i="2"/>
  <c r="X244" i="2"/>
  <c r="X208" i="2"/>
  <c r="Y622" i="2"/>
  <c r="Y623" i="2" s="1"/>
  <c r="Y612" i="2"/>
  <c r="Y653" i="2"/>
  <c r="Y650" i="2" s="1"/>
  <c r="Y659" i="2"/>
  <c r="Z655" i="2"/>
  <c r="Z659" i="2" s="1"/>
  <c r="Z654" i="2"/>
  <c r="O651" i="2"/>
  <c r="P654" i="2" s="1"/>
  <c r="P653" i="2" s="1"/>
  <c r="P650" i="2" s="1"/>
  <c r="Z5" i="2"/>
  <c r="Z638" i="2"/>
  <c r="Z658" i="2" s="1"/>
  <c r="H283" i="8"/>
  <c r="K283" i="8" s="1"/>
  <c r="L283" i="8" s="1"/>
  <c r="H285" i="8"/>
  <c r="K285" i="8" s="1"/>
  <c r="L285" i="8" s="1"/>
  <c r="H281" i="8"/>
  <c r="K281" i="8" s="1"/>
  <c r="L281" i="8" s="1"/>
  <c r="H282" i="8"/>
  <c r="K282" i="8" s="1"/>
  <c r="L282" i="8" s="1"/>
  <c r="H284" i="8"/>
  <c r="K284" i="8" s="1"/>
  <c r="L284" i="8" s="1"/>
  <c r="H286" i="8"/>
  <c r="K286" i="8" s="1"/>
  <c r="L286" i="8" s="1"/>
  <c r="I288" i="8"/>
  <c r="D214" i="7"/>
  <c r="E214" i="7"/>
  <c r="D210" i="7"/>
  <c r="E210" i="7"/>
  <c r="D215" i="7"/>
  <c r="E215" i="7"/>
  <c r="D211" i="7"/>
  <c r="E211" i="7"/>
  <c r="D213" i="7"/>
  <c r="E213" i="7"/>
  <c r="D212" i="7"/>
  <c r="E212" i="7"/>
  <c r="H422" i="8"/>
  <c r="F422" i="8"/>
  <c r="V18" i="2"/>
  <c r="V20" i="2" s="1"/>
  <c r="V43" i="2" s="1"/>
  <c r="Z620" i="2"/>
  <c r="Z621" i="2"/>
  <c r="Z597" i="2"/>
  <c r="Z593" i="2"/>
  <c r="Z589" i="2"/>
  <c r="Z585" i="2"/>
  <c r="K415" i="8"/>
  <c r="L415" i="8" s="1"/>
  <c r="L422" i="8" s="1"/>
  <c r="V53" i="2"/>
  <c r="P142" i="10"/>
  <c r="P154" i="10" s="1"/>
  <c r="P80" i="10"/>
  <c r="P81" i="10" s="1"/>
  <c r="P95" i="10" s="1"/>
  <c r="P220" i="10"/>
  <c r="P248" i="10" s="1"/>
  <c r="P284" i="10"/>
  <c r="P300" i="10" s="1"/>
  <c r="W49" i="2"/>
  <c r="W14" i="2"/>
  <c r="Q109" i="10"/>
  <c r="Q110" i="10" s="1"/>
  <c r="Q142" i="10"/>
  <c r="Q154" i="10" s="1"/>
  <c r="Q101" i="10"/>
  <c r="Q284" i="10"/>
  <c r="Q220" i="10"/>
  <c r="Q248" i="10" s="1"/>
  <c r="R50" i="10"/>
  <c r="R74" i="10" s="1"/>
  <c r="R76" i="10" s="1"/>
  <c r="R80" i="10" s="1"/>
  <c r="R81" i="10" s="1"/>
  <c r="R95" i="10" s="1"/>
  <c r="R281" i="10"/>
  <c r="R297" i="10" s="1"/>
  <c r="O79" i="8"/>
  <c r="O87" i="8"/>
  <c r="O88" i="8" s="1"/>
  <c r="T649" i="10"/>
  <c r="T652" i="10" s="1"/>
  <c r="S745" i="10"/>
  <c r="T746" i="10" s="1"/>
  <c r="P49" i="8"/>
  <c r="P73" i="8" s="1"/>
  <c r="P78" i="8" s="1"/>
  <c r="S49" i="10"/>
  <c r="Q206" i="8"/>
  <c r="Q241" i="8"/>
  <c r="Q48" i="8"/>
  <c r="Q704" i="8"/>
  <c r="R705" i="8" s="1"/>
  <c r="R608" i="8"/>
  <c r="R611" i="8" s="1"/>
  <c r="D87" i="8"/>
  <c r="D79" i="8"/>
  <c r="F288" i="8"/>
  <c r="Z96" i="7"/>
  <c r="Z88" i="7"/>
  <c r="AB604" i="7"/>
  <c r="AB607" i="7" s="1"/>
  <c r="AA700" i="7"/>
  <c r="AB701" i="7" s="1"/>
  <c r="E554" i="7"/>
  <c r="Y97" i="7"/>
  <c r="AA169" i="7"/>
  <c r="AA133" i="7"/>
  <c r="AA54" i="7"/>
  <c r="AA56" i="7" s="1"/>
  <c r="AA82" i="7" s="1"/>
  <c r="AA87" i="7" s="1"/>
  <c r="W15" i="2"/>
  <c r="W50" i="2"/>
  <c r="W232" i="2"/>
  <c r="W271" i="2"/>
  <c r="W17" i="2"/>
  <c r="W52" i="2"/>
  <c r="W234" i="2"/>
  <c r="W273" i="2"/>
  <c r="X71" i="2"/>
  <c r="Y727" i="2"/>
  <c r="Y712" i="2" s="1"/>
  <c r="Y69" i="2" s="1"/>
  <c r="Y759" i="2"/>
  <c r="Y744" i="2" s="1"/>
  <c r="Y70" i="2" s="1"/>
  <c r="Z757" i="2"/>
  <c r="Z399" i="2" s="1"/>
  <c r="Z534" i="2" s="1"/>
  <c r="Z755" i="2"/>
  <c r="Z397" i="2" s="1"/>
  <c r="Z532" i="2" s="1"/>
  <c r="Z753" i="2"/>
  <c r="Z395" i="2" s="1"/>
  <c r="Z530" i="2" s="1"/>
  <c r="Z751" i="2"/>
  <c r="Z393" i="2" s="1"/>
  <c r="Z528" i="2" s="1"/>
  <c r="Z749" i="2"/>
  <c r="Z391" i="2" s="1"/>
  <c r="Z526" i="2" s="1"/>
  <c r="Z725" i="2"/>
  <c r="Z373" i="2" s="1"/>
  <c r="Z508" i="2" s="1"/>
  <c r="Z758" i="2"/>
  <c r="Z400" i="2" s="1"/>
  <c r="Z535" i="2" s="1"/>
  <c r="Z756" i="2"/>
  <c r="Z398" i="2" s="1"/>
  <c r="Z533" i="2" s="1"/>
  <c r="Z754" i="2"/>
  <c r="Z396" i="2" s="1"/>
  <c r="Z531" i="2" s="1"/>
  <c r="Z752" i="2"/>
  <c r="Z394" i="2" s="1"/>
  <c r="Z529" i="2" s="1"/>
  <c r="Z750" i="2"/>
  <c r="Z392" i="2" s="1"/>
  <c r="Z527" i="2" s="1"/>
  <c r="Z726" i="2"/>
  <c r="Z374" i="2" s="1"/>
  <c r="Z509" i="2" s="1"/>
  <c r="Z724" i="2"/>
  <c r="Z372" i="2" s="1"/>
  <c r="Z507" i="2" s="1"/>
  <c r="Z723" i="2"/>
  <c r="Z371" i="2" s="1"/>
  <c r="Z506" i="2" s="1"/>
  <c r="Z721" i="2"/>
  <c r="Z369" i="2" s="1"/>
  <c r="Z504" i="2" s="1"/>
  <c r="Z719" i="2"/>
  <c r="Z367" i="2" s="1"/>
  <c r="Z502" i="2" s="1"/>
  <c r="Z717" i="2"/>
  <c r="Z365" i="2" s="1"/>
  <c r="Z500" i="2" s="1"/>
  <c r="Z693" i="2"/>
  <c r="Z348" i="2" s="1"/>
  <c r="Z482" i="2" s="1"/>
  <c r="Z691" i="2"/>
  <c r="Z346" i="2" s="1"/>
  <c r="Z480" i="2" s="1"/>
  <c r="Z689" i="2"/>
  <c r="Z344" i="2" s="1"/>
  <c r="Z478" i="2" s="1"/>
  <c r="Z687" i="2"/>
  <c r="Z342" i="2" s="1"/>
  <c r="Z476" i="2" s="1"/>
  <c r="Z685" i="2"/>
  <c r="Z340" i="2" s="1"/>
  <c r="Z474" i="2" s="1"/>
  <c r="Z761" i="2"/>
  <c r="Z764" i="2"/>
  <c r="Z765" i="2"/>
  <c r="Z767" i="2"/>
  <c r="Z769" i="2"/>
  <c r="Z720" i="2"/>
  <c r="Z368" i="2" s="1"/>
  <c r="Z503" i="2" s="1"/>
  <c r="Z692" i="2"/>
  <c r="Z347" i="2" s="1"/>
  <c r="Z481" i="2" s="1"/>
  <c r="Z688" i="2"/>
  <c r="Z343" i="2" s="1"/>
  <c r="Z477" i="2" s="1"/>
  <c r="Z722" i="2"/>
  <c r="Z370" i="2" s="1"/>
  <c r="Z505" i="2" s="1"/>
  <c r="Z718" i="2"/>
  <c r="Z366" i="2" s="1"/>
  <c r="Z501" i="2" s="1"/>
  <c r="Z694" i="2"/>
  <c r="Z690" i="2"/>
  <c r="Z345" i="2" s="1"/>
  <c r="Z479" i="2" s="1"/>
  <c r="Z686" i="2"/>
  <c r="Z341" i="2" s="1"/>
  <c r="Z475" i="2" s="1"/>
  <c r="Z766" i="2"/>
  <c r="Z770" i="2"/>
  <c r="Z732" i="2"/>
  <c r="Z734" i="2"/>
  <c r="Z736" i="2"/>
  <c r="Z763" i="2"/>
  <c r="Z729" i="2"/>
  <c r="Z733" i="2"/>
  <c r="Z735" i="2"/>
  <c r="Z737" i="2"/>
  <c r="Z738" i="2"/>
  <c r="Y61" i="2"/>
  <c r="Z697" i="2"/>
  <c r="Z33" i="2"/>
  <c r="Z35" i="2" s="1"/>
  <c r="Z37" i="2" s="1"/>
  <c r="Z39" i="2" s="1"/>
  <c r="Z552" i="2"/>
  <c r="Z553" i="2" s="1"/>
  <c r="Z558" i="2"/>
  <c r="Z559" i="2" s="1"/>
  <c r="Z667" i="2"/>
  <c r="Z618" i="2"/>
  <c r="Z625" i="2"/>
  <c r="Z617" i="2"/>
  <c r="Z634" i="2"/>
  <c r="Z624" i="2"/>
  <c r="Z635" i="2" s="1"/>
  <c r="Z639" i="2" s="1"/>
  <c r="AA11" i="2"/>
  <c r="Z318" i="2"/>
  <c r="Z320" i="2"/>
  <c r="Z322" i="2"/>
  <c r="Z451" i="2"/>
  <c r="Z452" i="2"/>
  <c r="Z453" i="2"/>
  <c r="Z454" i="2"/>
  <c r="Z455" i="2"/>
  <c r="Z470" i="2" s="1"/>
  <c r="Z456" i="2"/>
  <c r="Z640" i="2"/>
  <c r="Z319" i="2"/>
  <c r="Z317" i="2"/>
  <c r="Z321" i="2"/>
  <c r="X121" i="2"/>
  <c r="Z19" i="2"/>
  <c r="U206" i="2"/>
  <c r="W120" i="2"/>
  <c r="U242" i="2"/>
  <c r="Z702" i="2"/>
  <c r="Z704" i="2"/>
  <c r="Z706" i="2"/>
  <c r="Z701" i="2"/>
  <c r="Z703" i="2"/>
  <c r="Z705" i="2"/>
  <c r="Y336" i="2"/>
  <c r="W105" i="2"/>
  <c r="Z469" i="2"/>
  <c r="Z335" i="2"/>
  <c r="Z349" i="2"/>
  <c r="Z483" i="2" s="1"/>
  <c r="Y695" i="2"/>
  <c r="Y680" i="2" s="1"/>
  <c r="Y68" i="2" s="1"/>
  <c r="W666" i="2"/>
  <c r="Y27" i="2"/>
  <c r="X554" i="2"/>
  <c r="X555" i="2" s="1"/>
  <c r="X103" i="2" s="1"/>
  <c r="X248" i="2" s="1"/>
  <c r="X560" i="2"/>
  <c r="X561" i="2" s="1"/>
  <c r="X104" i="2" s="1"/>
  <c r="Z23" i="2"/>
  <c r="Z26" i="2"/>
  <c r="Z30" i="2"/>
  <c r="Z40" i="2"/>
  <c r="W272" i="2"/>
  <c r="W233" i="2"/>
  <c r="V274" i="2"/>
  <c r="V275" i="2" s="1"/>
  <c r="W270" i="2"/>
  <c r="W231" i="2"/>
  <c r="V235" i="2"/>
  <c r="V236" i="2" s="1"/>
  <c r="W601" i="2"/>
  <c r="X594" i="2"/>
  <c r="X595" i="2" s="1"/>
  <c r="X51" i="2" s="1"/>
  <c r="X598" i="2"/>
  <c r="X599" i="2" s="1"/>
  <c r="X590" i="2"/>
  <c r="X591" i="2" s="1"/>
  <c r="X586" i="2"/>
  <c r="X587" i="2" s="1"/>
  <c r="Z668" i="2"/>
  <c r="X29" i="2"/>
  <c r="X31" i="2" s="1"/>
  <c r="X41" i="2" s="1"/>
  <c r="W675" i="2" s="1"/>
  <c r="X672" i="2" s="1"/>
  <c r="AA2" i="2"/>
  <c r="Z25" i="2"/>
  <c r="Y10" i="2"/>
  <c r="Y12" i="2" s="1"/>
  <c r="AA660" i="2" l="1"/>
  <c r="AA674" i="2"/>
  <c r="AA669" i="2"/>
  <c r="W673" i="2"/>
  <c r="E182" i="1"/>
  <c r="E187" i="1" s="1"/>
  <c r="E188" i="1" s="1"/>
  <c r="C82" i="7"/>
  <c r="C87" i="7" s="1"/>
  <c r="D133" i="7"/>
  <c r="D169" i="7"/>
  <c r="D54" i="7"/>
  <c r="D56" i="7" s="1"/>
  <c r="Y55" i="2"/>
  <c r="Y244" i="2"/>
  <c r="Y208" i="2"/>
  <c r="W18" i="2"/>
  <c r="W20" i="2" s="1"/>
  <c r="W43" i="2" s="1"/>
  <c r="W47" i="2" s="1"/>
  <c r="Z612" i="2"/>
  <c r="Z622" i="2"/>
  <c r="Z623" i="2" s="1"/>
  <c r="Z653" i="2"/>
  <c r="Z650" i="2" s="1"/>
  <c r="AA655" i="2"/>
  <c r="AA654" i="2"/>
  <c r="P648" i="2"/>
  <c r="P651" i="2" s="1"/>
  <c r="Q654" i="2" s="1"/>
  <c r="AA5" i="2"/>
  <c r="AA638" i="2"/>
  <c r="AA658" i="2" s="1"/>
  <c r="W53" i="2"/>
  <c r="L288" i="8"/>
  <c r="AA620" i="2"/>
  <c r="AA621" i="2"/>
  <c r="AA597" i="2"/>
  <c r="AA593" i="2"/>
  <c r="AA589" i="2"/>
  <c r="AA585" i="2"/>
  <c r="H288" i="8"/>
  <c r="X49" i="2"/>
  <c r="X14" i="2"/>
  <c r="P87" i="8"/>
  <c r="P88" i="8" s="1"/>
  <c r="P79" i="8"/>
  <c r="R101" i="10"/>
  <c r="R142" i="10"/>
  <c r="R154" i="10" s="1"/>
  <c r="R109" i="10"/>
  <c r="R110" i="10" s="1"/>
  <c r="Q300" i="10"/>
  <c r="R284" i="10"/>
  <c r="R220" i="10"/>
  <c r="R248" i="10" s="1"/>
  <c r="S50" i="10"/>
  <c r="S74" i="10" s="1"/>
  <c r="S76" i="10" s="1"/>
  <c r="S80" i="10" s="1"/>
  <c r="S81" i="10" s="1"/>
  <c r="S95" i="10" s="1"/>
  <c r="S281" i="10"/>
  <c r="S297" i="10" s="1"/>
  <c r="Q49" i="8"/>
  <c r="Q73" i="8" s="1"/>
  <c r="Q78" i="8" s="1"/>
  <c r="T49" i="10"/>
  <c r="U649" i="10"/>
  <c r="U652" i="10" s="1"/>
  <c r="T745" i="10"/>
  <c r="U746" i="10" s="1"/>
  <c r="R704" i="8"/>
  <c r="S705" i="8" s="1"/>
  <c r="S608" i="8"/>
  <c r="S611" i="8" s="1"/>
  <c r="R241" i="8"/>
  <c r="R48" i="8"/>
  <c r="R206" i="8"/>
  <c r="I420" i="8"/>
  <c r="J420" i="8" s="1"/>
  <c r="I286" i="8"/>
  <c r="J286" i="8" s="1"/>
  <c r="D88" i="8"/>
  <c r="AA96" i="7"/>
  <c r="AA88" i="7"/>
  <c r="E559" i="7"/>
  <c r="E537" i="7" s="1"/>
  <c r="E80" i="7" s="1"/>
  <c r="AC604" i="7"/>
  <c r="AC607" i="7" s="1"/>
  <c r="AB700" i="7"/>
  <c r="AC701" i="7" s="1"/>
  <c r="Z97" i="7"/>
  <c r="AB169" i="7"/>
  <c r="AB133" i="7"/>
  <c r="AB54" i="7"/>
  <c r="AB56" i="7" s="1"/>
  <c r="AB82" i="7" s="1"/>
  <c r="AB87" i="7" s="1"/>
  <c r="Y71" i="2"/>
  <c r="X17" i="2"/>
  <c r="X52" i="2"/>
  <c r="X234" i="2"/>
  <c r="X273" i="2"/>
  <c r="X15" i="2"/>
  <c r="X50" i="2"/>
  <c r="X232" i="2"/>
  <c r="X271" i="2"/>
  <c r="AA758" i="2"/>
  <c r="AA400" i="2" s="1"/>
  <c r="AA535" i="2" s="1"/>
  <c r="AA756" i="2"/>
  <c r="AA398" i="2" s="1"/>
  <c r="AA533" i="2" s="1"/>
  <c r="AA754" i="2"/>
  <c r="AA396" i="2" s="1"/>
  <c r="AA531" i="2" s="1"/>
  <c r="AA752" i="2"/>
  <c r="AA394" i="2" s="1"/>
  <c r="AA529" i="2" s="1"/>
  <c r="AA750" i="2"/>
  <c r="AA392" i="2" s="1"/>
  <c r="AA527" i="2" s="1"/>
  <c r="AA726" i="2"/>
  <c r="AA374" i="2" s="1"/>
  <c r="AA509" i="2" s="1"/>
  <c r="AA724" i="2"/>
  <c r="AA372" i="2" s="1"/>
  <c r="AA507" i="2" s="1"/>
  <c r="AA757" i="2"/>
  <c r="AA399" i="2" s="1"/>
  <c r="AA534" i="2" s="1"/>
  <c r="AA755" i="2"/>
  <c r="AA397" i="2" s="1"/>
  <c r="AA532" i="2" s="1"/>
  <c r="AA753" i="2"/>
  <c r="AA395" i="2" s="1"/>
  <c r="AA530" i="2" s="1"/>
  <c r="AA751" i="2"/>
  <c r="AA393" i="2" s="1"/>
  <c r="AA528" i="2" s="1"/>
  <c r="AA749" i="2"/>
  <c r="AA391" i="2" s="1"/>
  <c r="AA526" i="2" s="1"/>
  <c r="AA725" i="2"/>
  <c r="AA373" i="2" s="1"/>
  <c r="AA508" i="2" s="1"/>
  <c r="AA722" i="2"/>
  <c r="AA370" i="2" s="1"/>
  <c r="AA505" i="2" s="1"/>
  <c r="AA720" i="2"/>
  <c r="AA368" i="2" s="1"/>
  <c r="AA503" i="2" s="1"/>
  <c r="AA718" i="2"/>
  <c r="AA366" i="2" s="1"/>
  <c r="AA501" i="2" s="1"/>
  <c r="AA694" i="2"/>
  <c r="AA349" i="2" s="1"/>
  <c r="AA483" i="2" s="1"/>
  <c r="AA692" i="2"/>
  <c r="AA347" i="2" s="1"/>
  <c r="AA481" i="2" s="1"/>
  <c r="AA690" i="2"/>
  <c r="AA345" i="2" s="1"/>
  <c r="AA479" i="2" s="1"/>
  <c r="AA688" i="2"/>
  <c r="AA343" i="2" s="1"/>
  <c r="AA477" i="2" s="1"/>
  <c r="AA686" i="2"/>
  <c r="AA341" i="2" s="1"/>
  <c r="AA475" i="2" s="1"/>
  <c r="AA763" i="2"/>
  <c r="AA766" i="2"/>
  <c r="AA768" i="2"/>
  <c r="AA770" i="2"/>
  <c r="AA721" i="2"/>
  <c r="AA369" i="2" s="1"/>
  <c r="AA504" i="2" s="1"/>
  <c r="AA717" i="2"/>
  <c r="AA365" i="2" s="1"/>
  <c r="AA500" i="2" s="1"/>
  <c r="AA693" i="2"/>
  <c r="AA348" i="2" s="1"/>
  <c r="AA482" i="2" s="1"/>
  <c r="AA689" i="2"/>
  <c r="AA344" i="2" s="1"/>
  <c r="AA478" i="2" s="1"/>
  <c r="AA723" i="2"/>
  <c r="AA371" i="2" s="1"/>
  <c r="AA506" i="2" s="1"/>
  <c r="AA719" i="2"/>
  <c r="AA367" i="2" s="1"/>
  <c r="AA502" i="2" s="1"/>
  <c r="AA691" i="2"/>
  <c r="AA346" i="2" s="1"/>
  <c r="AA480" i="2" s="1"/>
  <c r="AA687" i="2"/>
  <c r="AA342" i="2" s="1"/>
  <c r="AA476" i="2" s="1"/>
  <c r="AA764" i="2"/>
  <c r="AA767" i="2"/>
  <c r="AA685" i="2"/>
  <c r="AA340" i="2" s="1"/>
  <c r="AA474" i="2" s="1"/>
  <c r="AA761" i="2"/>
  <c r="AA729" i="2"/>
  <c r="AA733" i="2"/>
  <c r="AA735" i="2"/>
  <c r="AA737" i="2"/>
  <c r="AA765" i="2"/>
  <c r="AA732" i="2"/>
  <c r="AA734" i="2"/>
  <c r="AA736" i="2"/>
  <c r="AA738" i="2"/>
  <c r="Z61" i="2"/>
  <c r="Z727" i="2"/>
  <c r="Z712" i="2" s="1"/>
  <c r="Z69" i="2" s="1"/>
  <c r="Z759" i="2"/>
  <c r="Z744" i="2" s="1"/>
  <c r="Z70" i="2" s="1"/>
  <c r="AA697" i="2"/>
  <c r="AA33" i="2"/>
  <c r="AA35" i="2" s="1"/>
  <c r="AA37" i="2" s="1"/>
  <c r="AA39" i="2" s="1"/>
  <c r="AA552" i="2"/>
  <c r="AA553" i="2" s="1"/>
  <c r="AA558" i="2"/>
  <c r="AA559" i="2" s="1"/>
  <c r="AA634" i="2"/>
  <c r="AA624" i="2"/>
  <c r="AA635" i="2" s="1"/>
  <c r="AA639" i="2" s="1"/>
  <c r="AA667" i="2"/>
  <c r="AA618" i="2"/>
  <c r="AA625" i="2"/>
  <c r="AA617" i="2"/>
  <c r="AB11" i="2"/>
  <c r="AA317" i="2"/>
  <c r="AA319" i="2"/>
  <c r="AA321" i="2"/>
  <c r="AA320" i="2"/>
  <c r="AA452" i="2"/>
  <c r="AA454" i="2"/>
  <c r="AA456" i="2"/>
  <c r="AA640" i="2"/>
  <c r="AA318" i="2"/>
  <c r="AA322" i="2"/>
  <c r="AA451" i="2"/>
  <c r="AA453" i="2"/>
  <c r="AA455" i="2"/>
  <c r="AA19" i="2"/>
  <c r="Y121" i="2"/>
  <c r="V47" i="2"/>
  <c r="V206" i="2"/>
  <c r="V242" i="2"/>
  <c r="X120" i="2"/>
  <c r="AA698" i="2"/>
  <c r="AA701" i="2"/>
  <c r="AA703" i="2"/>
  <c r="AA705" i="2"/>
  <c r="AA702" i="2"/>
  <c r="AA704" i="2"/>
  <c r="AA706" i="2"/>
  <c r="X105" i="2"/>
  <c r="Z336" i="2"/>
  <c r="AA469" i="2"/>
  <c r="AA335" i="2"/>
  <c r="Z695" i="2"/>
  <c r="Z680" i="2" s="1"/>
  <c r="Z68" i="2" s="1"/>
  <c r="X666" i="2"/>
  <c r="Z27" i="2"/>
  <c r="Y554" i="2"/>
  <c r="Y555" i="2" s="1"/>
  <c r="Y103" i="2" s="1"/>
  <c r="Y248" i="2" s="1"/>
  <c r="Y560" i="2"/>
  <c r="Y561" i="2" s="1"/>
  <c r="Y104" i="2" s="1"/>
  <c r="AA23" i="2"/>
  <c r="AA26" i="2"/>
  <c r="AA30" i="2"/>
  <c r="AA40" i="2"/>
  <c r="W274" i="2"/>
  <c r="W275" i="2" s="1"/>
  <c r="W235" i="2"/>
  <c r="W236" i="2" s="1"/>
  <c r="X272" i="2"/>
  <c r="X233" i="2"/>
  <c r="X270" i="2"/>
  <c r="X231" i="2"/>
  <c r="X601" i="2"/>
  <c r="Y598" i="2"/>
  <c r="Y599" i="2" s="1"/>
  <c r="Y590" i="2"/>
  <c r="Y591" i="2" s="1"/>
  <c r="Y586" i="2"/>
  <c r="Y587" i="2" s="1"/>
  <c r="Y594" i="2"/>
  <c r="Y595" i="2" s="1"/>
  <c r="Y51" i="2" s="1"/>
  <c r="AA668" i="2"/>
  <c r="AB2" i="2"/>
  <c r="AA25" i="2"/>
  <c r="Y29" i="2"/>
  <c r="Y31" i="2" s="1"/>
  <c r="Y41" i="2" s="1"/>
  <c r="X675" i="2" s="1"/>
  <c r="Y672" i="2" s="1"/>
  <c r="Z10" i="2"/>
  <c r="Z12" i="2" s="1"/>
  <c r="AB660" i="2" l="1"/>
  <c r="AB669" i="2"/>
  <c r="AB674" i="2"/>
  <c r="AA470" i="2"/>
  <c r="X673" i="2"/>
  <c r="E155" i="1"/>
  <c r="E260" i="1"/>
  <c r="E189" i="1"/>
  <c r="E254" i="1"/>
  <c r="C210" i="7" s="1"/>
  <c r="E256" i="1"/>
  <c r="C346" i="7" s="1"/>
  <c r="E259" i="1"/>
  <c r="C215" i="7" s="1"/>
  <c r="E192" i="1"/>
  <c r="E213" i="1" s="1"/>
  <c r="E147" i="1"/>
  <c r="E258" i="1"/>
  <c r="C348" i="7" s="1"/>
  <c r="F348" i="7" s="1"/>
  <c r="E257" i="1"/>
  <c r="C213" i="7" s="1"/>
  <c r="B59" i="7"/>
  <c r="B72" i="7" s="1"/>
  <c r="E261" i="1"/>
  <c r="E255" i="1"/>
  <c r="C211" i="7" s="1"/>
  <c r="X53" i="2"/>
  <c r="C96" i="7"/>
  <c r="C97" i="7" s="1"/>
  <c r="C88" i="7"/>
  <c r="E534" i="7"/>
  <c r="E535" i="7" s="1"/>
  <c r="F532" i="7" s="1"/>
  <c r="E539" i="7"/>
  <c r="D595" i="7" s="1"/>
  <c r="Z55" i="2"/>
  <c r="Z244" i="2"/>
  <c r="Z208" i="2"/>
  <c r="AA622" i="2"/>
  <c r="AA612" i="2"/>
  <c r="AA653" i="2"/>
  <c r="AA650" i="2" s="1"/>
  <c r="AA659" i="2"/>
  <c r="AB655" i="2"/>
  <c r="AB659" i="2" s="1"/>
  <c r="AB654" i="2"/>
  <c r="Q648" i="2"/>
  <c r="Q653" i="2"/>
  <c r="AB5" i="2"/>
  <c r="AB638" i="2"/>
  <c r="AB658" i="2" s="1"/>
  <c r="AB620" i="2"/>
  <c r="AB621" i="2"/>
  <c r="AB597" i="2"/>
  <c r="AB593" i="2"/>
  <c r="AB589" i="2"/>
  <c r="AB585" i="2"/>
  <c r="AA623" i="2"/>
  <c r="M286" i="8"/>
  <c r="M420" i="8"/>
  <c r="N420" i="8"/>
  <c r="N286" i="8"/>
  <c r="X18" i="2"/>
  <c r="X20" i="2" s="1"/>
  <c r="X43" i="2" s="1"/>
  <c r="Y49" i="2"/>
  <c r="Y14" i="2"/>
  <c r="I419" i="8"/>
  <c r="J419" i="8" s="1"/>
  <c r="S101" i="10"/>
  <c r="S142" i="10"/>
  <c r="S154" i="10" s="1"/>
  <c r="C114" i="10"/>
  <c r="S109" i="10"/>
  <c r="S110" i="10" s="1"/>
  <c r="R300" i="10"/>
  <c r="S284" i="10"/>
  <c r="S220" i="10"/>
  <c r="S248" i="10" s="1"/>
  <c r="T50" i="10"/>
  <c r="T281" i="10"/>
  <c r="T297" i="10" s="1"/>
  <c r="Q87" i="8"/>
  <c r="Q88" i="8" s="1"/>
  <c r="Q79" i="8"/>
  <c r="V649" i="10"/>
  <c r="V652" i="10" s="1"/>
  <c r="U745" i="10"/>
  <c r="V746" i="10" s="1"/>
  <c r="R49" i="8"/>
  <c r="R73" i="8" s="1"/>
  <c r="R78" i="8" s="1"/>
  <c r="U49" i="10"/>
  <c r="S206" i="8"/>
  <c r="S241" i="8"/>
  <c r="S48" i="8"/>
  <c r="S704" i="8"/>
  <c r="T705" i="8" s="1"/>
  <c r="T608" i="8"/>
  <c r="T611" i="8" s="1"/>
  <c r="I285" i="8"/>
  <c r="J285" i="8" s="1"/>
  <c r="I415" i="8"/>
  <c r="J415" i="8" s="1"/>
  <c r="I418" i="8"/>
  <c r="J418" i="8" s="1"/>
  <c r="C91" i="8"/>
  <c r="I417" i="8"/>
  <c r="J417" i="8" s="1"/>
  <c r="I416" i="8"/>
  <c r="J416" i="8" s="1"/>
  <c r="I281" i="8"/>
  <c r="J281" i="8" s="1"/>
  <c r="I284" i="8"/>
  <c r="J284" i="8" s="1"/>
  <c r="C90" i="8"/>
  <c r="C244" i="8" s="1"/>
  <c r="I283" i="8"/>
  <c r="J283" i="8" s="1"/>
  <c r="I282" i="8"/>
  <c r="J282" i="8" s="1"/>
  <c r="E72" i="8"/>
  <c r="E73" i="8" s="1"/>
  <c r="E78" i="8" s="1"/>
  <c r="AC169" i="7"/>
  <c r="AC133" i="7"/>
  <c r="AC54" i="7"/>
  <c r="AC56" i="7" s="1"/>
  <c r="AC82" i="7" s="1"/>
  <c r="AC87" i="7" s="1"/>
  <c r="AA97" i="7"/>
  <c r="AB96" i="7"/>
  <c r="AB88" i="7"/>
  <c r="AD604" i="7"/>
  <c r="AD607" i="7" s="1"/>
  <c r="AC700" i="7"/>
  <c r="AD701" i="7" s="1"/>
  <c r="E556" i="7"/>
  <c r="E557" i="7" s="1"/>
  <c r="F560" i="7" s="1"/>
  <c r="F538" i="7" s="1"/>
  <c r="E81" i="7"/>
  <c r="Y15" i="2"/>
  <c r="Y50" i="2"/>
  <c r="Y232" i="2"/>
  <c r="Y271" i="2"/>
  <c r="Y17" i="2"/>
  <c r="Y52" i="2"/>
  <c r="Y234" i="2"/>
  <c r="Y273" i="2"/>
  <c r="Z71" i="2"/>
  <c r="AA759" i="2"/>
  <c r="AA744" i="2" s="1"/>
  <c r="AA70" i="2" s="1"/>
  <c r="AB757" i="2"/>
  <c r="AB399" i="2" s="1"/>
  <c r="AB534" i="2" s="1"/>
  <c r="AB755" i="2"/>
  <c r="AB397" i="2" s="1"/>
  <c r="AB532" i="2" s="1"/>
  <c r="AB753" i="2"/>
  <c r="AB395" i="2" s="1"/>
  <c r="AB530" i="2" s="1"/>
  <c r="AB751" i="2"/>
  <c r="AB393" i="2" s="1"/>
  <c r="AB528" i="2" s="1"/>
  <c r="AB749" i="2"/>
  <c r="AB391" i="2" s="1"/>
  <c r="AB526" i="2" s="1"/>
  <c r="AB725" i="2"/>
  <c r="AB373" i="2" s="1"/>
  <c r="AB508" i="2" s="1"/>
  <c r="AB758" i="2"/>
  <c r="AB400" i="2" s="1"/>
  <c r="AB535" i="2" s="1"/>
  <c r="AB756" i="2"/>
  <c r="AB398" i="2" s="1"/>
  <c r="AB533" i="2" s="1"/>
  <c r="AB754" i="2"/>
  <c r="AB396" i="2" s="1"/>
  <c r="AB531" i="2" s="1"/>
  <c r="AB752" i="2"/>
  <c r="AB394" i="2" s="1"/>
  <c r="AB529" i="2" s="1"/>
  <c r="AB750" i="2"/>
  <c r="AB392" i="2" s="1"/>
  <c r="AB527" i="2" s="1"/>
  <c r="AB726" i="2"/>
  <c r="AB374" i="2" s="1"/>
  <c r="AB509" i="2" s="1"/>
  <c r="AB724" i="2"/>
  <c r="AB372" i="2" s="1"/>
  <c r="AB507" i="2" s="1"/>
  <c r="AB723" i="2"/>
  <c r="AB371" i="2" s="1"/>
  <c r="AB506" i="2" s="1"/>
  <c r="AB721" i="2"/>
  <c r="AB369" i="2" s="1"/>
  <c r="AB504" i="2" s="1"/>
  <c r="AB719" i="2"/>
  <c r="AB367" i="2" s="1"/>
  <c r="AB502" i="2" s="1"/>
  <c r="AB717" i="2"/>
  <c r="AB365" i="2" s="1"/>
  <c r="AB500" i="2" s="1"/>
  <c r="AB693" i="2"/>
  <c r="AB348" i="2" s="1"/>
  <c r="AB482" i="2" s="1"/>
  <c r="AB691" i="2"/>
  <c r="AB346" i="2" s="1"/>
  <c r="AB480" i="2" s="1"/>
  <c r="AB689" i="2"/>
  <c r="AB344" i="2" s="1"/>
  <c r="AB478" i="2" s="1"/>
  <c r="AB687" i="2"/>
  <c r="AB342" i="2" s="1"/>
  <c r="AB476" i="2" s="1"/>
  <c r="AB685" i="2"/>
  <c r="AB340" i="2" s="1"/>
  <c r="AB474" i="2" s="1"/>
  <c r="AB761" i="2"/>
  <c r="AB764" i="2"/>
  <c r="AB765" i="2"/>
  <c r="AB767" i="2"/>
  <c r="AB722" i="2"/>
  <c r="AB370" i="2" s="1"/>
  <c r="AB505" i="2" s="1"/>
  <c r="AB718" i="2"/>
  <c r="AB366" i="2" s="1"/>
  <c r="AB501" i="2" s="1"/>
  <c r="AB694" i="2"/>
  <c r="AB349" i="2" s="1"/>
  <c r="AB483" i="2" s="1"/>
  <c r="AB690" i="2"/>
  <c r="AB345" i="2" s="1"/>
  <c r="AB479" i="2" s="1"/>
  <c r="AB720" i="2"/>
  <c r="AB368" i="2" s="1"/>
  <c r="AB503" i="2" s="1"/>
  <c r="AB692" i="2"/>
  <c r="AB347" i="2" s="1"/>
  <c r="AB481" i="2" s="1"/>
  <c r="AB688" i="2"/>
  <c r="AB343" i="2" s="1"/>
  <c r="AB477" i="2" s="1"/>
  <c r="AB763" i="2"/>
  <c r="AB768" i="2"/>
  <c r="AB686" i="2"/>
  <c r="AB341" i="2" s="1"/>
  <c r="AB475" i="2" s="1"/>
  <c r="AB770" i="2"/>
  <c r="AB732" i="2"/>
  <c r="AB734" i="2"/>
  <c r="AB736" i="2"/>
  <c r="AB738" i="2"/>
  <c r="AB766" i="2"/>
  <c r="AB729" i="2"/>
  <c r="AB733" i="2"/>
  <c r="AB735" i="2"/>
  <c r="AB737" i="2"/>
  <c r="AA727" i="2"/>
  <c r="AA712" i="2" s="1"/>
  <c r="AA69" i="2" s="1"/>
  <c r="AA61" i="2"/>
  <c r="AB697" i="2"/>
  <c r="AB33" i="2"/>
  <c r="AB35" i="2" s="1"/>
  <c r="AB37" i="2" s="1"/>
  <c r="AB39" i="2" s="1"/>
  <c r="AB552" i="2"/>
  <c r="AB553" i="2" s="1"/>
  <c r="AB558" i="2"/>
  <c r="AB559" i="2" s="1"/>
  <c r="AB667" i="2"/>
  <c r="AB618" i="2"/>
  <c r="AB625" i="2"/>
  <c r="AB617" i="2"/>
  <c r="AB634" i="2"/>
  <c r="AB624" i="2"/>
  <c r="AB635" i="2" s="1"/>
  <c r="AB639" i="2" s="1"/>
  <c r="AC11" i="2"/>
  <c r="AB318" i="2"/>
  <c r="AB320" i="2"/>
  <c r="AB322" i="2"/>
  <c r="AB451" i="2"/>
  <c r="AB452" i="2"/>
  <c r="AB453" i="2"/>
  <c r="AB454" i="2"/>
  <c r="AB455" i="2"/>
  <c r="AB456" i="2"/>
  <c r="AB640" i="2"/>
  <c r="AB317" i="2"/>
  <c r="AB321" i="2"/>
  <c r="AB319" i="2"/>
  <c r="AB19" i="2"/>
  <c r="Z121" i="2"/>
  <c r="W206" i="2"/>
  <c r="Y120" i="2"/>
  <c r="W242" i="2"/>
  <c r="AB702" i="2"/>
  <c r="AB704" i="2"/>
  <c r="AB706" i="2"/>
  <c r="AB698" i="2"/>
  <c r="AB701" i="2"/>
  <c r="AB703" i="2"/>
  <c r="AB705" i="2"/>
  <c r="Y105" i="2"/>
  <c r="AA336" i="2"/>
  <c r="AB469" i="2"/>
  <c r="AB335" i="2"/>
  <c r="AA695" i="2"/>
  <c r="AA680" i="2" s="1"/>
  <c r="AA68" i="2" s="1"/>
  <c r="Y666" i="2"/>
  <c r="Z554" i="2"/>
  <c r="Z555" i="2" s="1"/>
  <c r="Z103" i="2" s="1"/>
  <c r="Z248" i="2" s="1"/>
  <c r="Z560" i="2"/>
  <c r="Z561" i="2" s="1"/>
  <c r="Z104" i="2" s="1"/>
  <c r="AB23" i="2"/>
  <c r="AB26" i="2"/>
  <c r="AB30" i="2"/>
  <c r="AB40" i="2"/>
  <c r="AA27" i="2"/>
  <c r="X235" i="2"/>
  <c r="X236" i="2" s="1"/>
  <c r="X274" i="2"/>
  <c r="X275" i="2" s="1"/>
  <c r="Y272" i="2"/>
  <c r="Y233" i="2"/>
  <c r="Y270" i="2"/>
  <c r="Y231" i="2"/>
  <c r="Y601" i="2"/>
  <c r="Z594" i="2"/>
  <c r="Z595" i="2" s="1"/>
  <c r="Z51" i="2" s="1"/>
  <c r="Z598" i="2"/>
  <c r="Z599" i="2" s="1"/>
  <c r="Z590" i="2"/>
  <c r="Z591" i="2" s="1"/>
  <c r="Z586" i="2"/>
  <c r="Z587" i="2" s="1"/>
  <c r="AB668" i="2"/>
  <c r="AC2" i="2"/>
  <c r="AB25" i="2"/>
  <c r="Z29" i="2"/>
  <c r="Z31" i="2" s="1"/>
  <c r="Z41" i="2" s="1"/>
  <c r="Y675" i="2" s="1"/>
  <c r="Z672" i="2" s="1"/>
  <c r="AA10" i="2"/>
  <c r="AA12" i="2" s="1"/>
  <c r="C345" i="7" l="1"/>
  <c r="F345" i="7" s="1"/>
  <c r="C214" i="7"/>
  <c r="F214" i="7" s="1"/>
  <c r="AC660" i="2"/>
  <c r="AC674" i="2"/>
  <c r="AC669" i="2"/>
  <c r="C347" i="7"/>
  <c r="C212" i="7"/>
  <c r="E197" i="1"/>
  <c r="E202" i="1" s="1"/>
  <c r="C344" i="7"/>
  <c r="F344" i="7" s="1"/>
  <c r="C349" i="7"/>
  <c r="F349" i="7" s="1"/>
  <c r="B79" i="7"/>
  <c r="Y673" i="2"/>
  <c r="F170" i="7"/>
  <c r="F134" i="7"/>
  <c r="F55" i="7"/>
  <c r="F210" i="7"/>
  <c r="F215" i="7"/>
  <c r="F347" i="7"/>
  <c r="D700" i="7"/>
  <c r="E701" i="7" s="1"/>
  <c r="E592" i="7"/>
  <c r="D593" i="7"/>
  <c r="D61" i="7" s="1"/>
  <c r="D66" i="7" s="1"/>
  <c r="D72" i="7" s="1"/>
  <c r="D82" i="7" s="1"/>
  <c r="D87" i="7" s="1"/>
  <c r="F346" i="7"/>
  <c r="F213" i="7"/>
  <c r="F211" i="7"/>
  <c r="AA55" i="2"/>
  <c r="AA244" i="2"/>
  <c r="AA208" i="2"/>
  <c r="AB612" i="2"/>
  <c r="AB622" i="2"/>
  <c r="AB623" i="2" s="1"/>
  <c r="AB653" i="2"/>
  <c r="AB650" i="2" s="1"/>
  <c r="AC655" i="2"/>
  <c r="AC654" i="2"/>
  <c r="Q650" i="2"/>
  <c r="Q651" i="2" s="1"/>
  <c r="R648" i="2" s="1"/>
  <c r="R651" i="2" s="1"/>
  <c r="S648" i="2" s="1"/>
  <c r="S651" i="2" s="1"/>
  <c r="T648" i="2" s="1"/>
  <c r="T651" i="2" s="1"/>
  <c r="U648" i="2" s="1"/>
  <c r="U651" i="2" s="1"/>
  <c r="V648" i="2" s="1"/>
  <c r="V651" i="2" s="1"/>
  <c r="W648" i="2" s="1"/>
  <c r="W651" i="2" s="1"/>
  <c r="X648" i="2" s="1"/>
  <c r="X651" i="2" s="1"/>
  <c r="Y648" i="2" s="1"/>
  <c r="Y651" i="2" s="1"/>
  <c r="Z648" i="2" s="1"/>
  <c r="Z651" i="2" s="1"/>
  <c r="AA648" i="2" s="1"/>
  <c r="AA651" i="2" s="1"/>
  <c r="AB648" i="2" s="1"/>
  <c r="AC5" i="2"/>
  <c r="AC638" i="2"/>
  <c r="AC658" i="2" s="1"/>
  <c r="O286" i="8"/>
  <c r="Q286" i="8" s="1"/>
  <c r="C326" i="8" s="1"/>
  <c r="Y18" i="2"/>
  <c r="Y20" i="2" s="1"/>
  <c r="Y43" i="2" s="1"/>
  <c r="AC620" i="2"/>
  <c r="AC621" i="2"/>
  <c r="AC597" i="2"/>
  <c r="AC593" i="2"/>
  <c r="AC589" i="2"/>
  <c r="AC585" i="2"/>
  <c r="M283" i="8"/>
  <c r="M417" i="8"/>
  <c r="M284" i="8"/>
  <c r="M418" i="8"/>
  <c r="M282" i="8"/>
  <c r="M416" i="8"/>
  <c r="M281" i="8"/>
  <c r="M415" i="8"/>
  <c r="M285" i="8"/>
  <c r="M419" i="8"/>
  <c r="O420" i="8"/>
  <c r="Q420" i="8" s="1"/>
  <c r="AI460" i="8" s="1"/>
  <c r="AO326" i="8"/>
  <c r="R326" i="8"/>
  <c r="AH326" i="8"/>
  <c r="N416" i="8"/>
  <c r="N282" i="8"/>
  <c r="N415" i="8"/>
  <c r="N281" i="8"/>
  <c r="N419" i="8"/>
  <c r="N285" i="8"/>
  <c r="N417" i="8"/>
  <c r="N283" i="8"/>
  <c r="N418" i="8"/>
  <c r="N284" i="8"/>
  <c r="Y53" i="2"/>
  <c r="T74" i="10"/>
  <c r="T76" i="10" s="1"/>
  <c r="T284" i="10" s="1"/>
  <c r="T300" i="10" s="1"/>
  <c r="Z49" i="2"/>
  <c r="Z14" i="2"/>
  <c r="S300" i="10"/>
  <c r="U50" i="10"/>
  <c r="U281" i="10"/>
  <c r="U297" i="10" s="1"/>
  <c r="U109" i="10"/>
  <c r="R79" i="8"/>
  <c r="R87" i="8"/>
  <c r="R88" i="8" s="1"/>
  <c r="U101" i="10"/>
  <c r="V49" i="10"/>
  <c r="S49" i="8"/>
  <c r="S73" i="8" s="1"/>
  <c r="S78" i="8" s="1"/>
  <c r="W649" i="10"/>
  <c r="W652" i="10" s="1"/>
  <c r="V745" i="10"/>
  <c r="W746" i="10" s="1"/>
  <c r="AA71" i="2"/>
  <c r="J288" i="8"/>
  <c r="T704" i="8"/>
  <c r="U705" i="8" s="1"/>
  <c r="U608" i="8"/>
  <c r="U611" i="8" s="1"/>
  <c r="C92" i="8"/>
  <c r="J422" i="8"/>
  <c r="T241" i="8"/>
  <c r="T48" i="8"/>
  <c r="T206" i="8"/>
  <c r="E87" i="8"/>
  <c r="E79" i="8"/>
  <c r="F554" i="7"/>
  <c r="AE604" i="7"/>
  <c r="AE607" i="7" s="1"/>
  <c r="AD700" i="7"/>
  <c r="AE701" i="7" s="1"/>
  <c r="AB97" i="7"/>
  <c r="AC96" i="7"/>
  <c r="AC88" i="7"/>
  <c r="AD169" i="7"/>
  <c r="AD133" i="7"/>
  <c r="AD54" i="7"/>
  <c r="AD56" i="7" s="1"/>
  <c r="AD82" i="7" s="1"/>
  <c r="AD87" i="7" s="1"/>
  <c r="Z17" i="2"/>
  <c r="Z52" i="2"/>
  <c r="Z234" i="2"/>
  <c r="Z273" i="2"/>
  <c r="Z15" i="2"/>
  <c r="Z50" i="2"/>
  <c r="Z232" i="2"/>
  <c r="Z271" i="2"/>
  <c r="AC758" i="2"/>
  <c r="AC400" i="2" s="1"/>
  <c r="AC535" i="2" s="1"/>
  <c r="AC756" i="2"/>
  <c r="AC398" i="2" s="1"/>
  <c r="AC533" i="2" s="1"/>
  <c r="AC754" i="2"/>
  <c r="AC396" i="2" s="1"/>
  <c r="AC531" i="2" s="1"/>
  <c r="AC752" i="2"/>
  <c r="AC394" i="2" s="1"/>
  <c r="AC529" i="2" s="1"/>
  <c r="AC750" i="2"/>
  <c r="AC392" i="2" s="1"/>
  <c r="AC527" i="2" s="1"/>
  <c r="AC726" i="2"/>
  <c r="AC374" i="2" s="1"/>
  <c r="AC509" i="2" s="1"/>
  <c r="AC724" i="2"/>
  <c r="AC372" i="2" s="1"/>
  <c r="AC507" i="2" s="1"/>
  <c r="AC757" i="2"/>
  <c r="AC399" i="2" s="1"/>
  <c r="AC534" i="2" s="1"/>
  <c r="AC755" i="2"/>
  <c r="AC397" i="2" s="1"/>
  <c r="AC532" i="2" s="1"/>
  <c r="AC753" i="2"/>
  <c r="AC395" i="2" s="1"/>
  <c r="AC530" i="2" s="1"/>
  <c r="AC751" i="2"/>
  <c r="AC393" i="2" s="1"/>
  <c r="AC528" i="2" s="1"/>
  <c r="AC749" i="2"/>
  <c r="AC391" i="2" s="1"/>
  <c r="AC526" i="2" s="1"/>
  <c r="AC725" i="2"/>
  <c r="AC373" i="2" s="1"/>
  <c r="AC508" i="2" s="1"/>
  <c r="AC722" i="2"/>
  <c r="AC370" i="2" s="1"/>
  <c r="AC505" i="2" s="1"/>
  <c r="AC720" i="2"/>
  <c r="AC368" i="2" s="1"/>
  <c r="AC503" i="2" s="1"/>
  <c r="AC718" i="2"/>
  <c r="AC366" i="2" s="1"/>
  <c r="AC501" i="2" s="1"/>
  <c r="AC694" i="2"/>
  <c r="AC349" i="2" s="1"/>
  <c r="AC483" i="2" s="1"/>
  <c r="AC692" i="2"/>
  <c r="AC347" i="2" s="1"/>
  <c r="AC481" i="2" s="1"/>
  <c r="AC690" i="2"/>
  <c r="AC345" i="2" s="1"/>
  <c r="AC479" i="2" s="1"/>
  <c r="AC688" i="2"/>
  <c r="AC343" i="2" s="1"/>
  <c r="AC477" i="2" s="1"/>
  <c r="AC686" i="2"/>
  <c r="AC341" i="2" s="1"/>
  <c r="AC475" i="2" s="1"/>
  <c r="AC766" i="2"/>
  <c r="AC768" i="2"/>
  <c r="AC770" i="2"/>
  <c r="AC723" i="2"/>
  <c r="AC371" i="2" s="1"/>
  <c r="AC506" i="2" s="1"/>
  <c r="AC719" i="2"/>
  <c r="AC367" i="2" s="1"/>
  <c r="AC502" i="2" s="1"/>
  <c r="AC691" i="2"/>
  <c r="AC346" i="2" s="1"/>
  <c r="AC480" i="2" s="1"/>
  <c r="AC687" i="2"/>
  <c r="AC342" i="2" s="1"/>
  <c r="AC476" i="2" s="1"/>
  <c r="AC721" i="2"/>
  <c r="AC369" i="2" s="1"/>
  <c r="AC504" i="2" s="1"/>
  <c r="AC717" i="2"/>
  <c r="AC365" i="2" s="1"/>
  <c r="AC500" i="2" s="1"/>
  <c r="AC693" i="2"/>
  <c r="AC348" i="2" s="1"/>
  <c r="AC482" i="2" s="1"/>
  <c r="AC689" i="2"/>
  <c r="AC344" i="2" s="1"/>
  <c r="AC478" i="2" s="1"/>
  <c r="AC685" i="2"/>
  <c r="AC340" i="2" s="1"/>
  <c r="AC474" i="2" s="1"/>
  <c r="AC761" i="2"/>
  <c r="AC765" i="2"/>
  <c r="AC764" i="2"/>
  <c r="AC729" i="2"/>
  <c r="AC733" i="2"/>
  <c r="AC735" i="2"/>
  <c r="AC737" i="2"/>
  <c r="AC767" i="2"/>
  <c r="AC732" i="2"/>
  <c r="AC734" i="2"/>
  <c r="AC736" i="2"/>
  <c r="AC738" i="2"/>
  <c r="AC763" i="2"/>
  <c r="AB727" i="2"/>
  <c r="AB712" i="2" s="1"/>
  <c r="AB69" i="2" s="1"/>
  <c r="AB759" i="2"/>
  <c r="AB744" i="2" s="1"/>
  <c r="AB70" i="2" s="1"/>
  <c r="AB61" i="2"/>
  <c r="AC697" i="2"/>
  <c r="AC33" i="2"/>
  <c r="AC35" i="2" s="1"/>
  <c r="AC37" i="2" s="1"/>
  <c r="AC39" i="2" s="1"/>
  <c r="AC552" i="2"/>
  <c r="AC553" i="2" s="1"/>
  <c r="AC558" i="2"/>
  <c r="AC559" i="2" s="1"/>
  <c r="AC634" i="2"/>
  <c r="AC624" i="2"/>
  <c r="AC635" i="2" s="1"/>
  <c r="AC639" i="2" s="1"/>
  <c r="AC667" i="2"/>
  <c r="AC618" i="2"/>
  <c r="AC625" i="2"/>
  <c r="AC617" i="2"/>
  <c r="AD11" i="2"/>
  <c r="AC317" i="2"/>
  <c r="AC319" i="2"/>
  <c r="AC321" i="2"/>
  <c r="AC318" i="2"/>
  <c r="AC322" i="2"/>
  <c r="AC451" i="2"/>
  <c r="AC453" i="2"/>
  <c r="AC455" i="2"/>
  <c r="AC320" i="2"/>
  <c r="AC452" i="2"/>
  <c r="AC454" i="2"/>
  <c r="AC456" i="2"/>
  <c r="AC640" i="2"/>
  <c r="AC19" i="2"/>
  <c r="AA121" i="2"/>
  <c r="X47" i="2"/>
  <c r="X206" i="2"/>
  <c r="X242" i="2"/>
  <c r="Z120" i="2"/>
  <c r="Y235" i="2"/>
  <c r="Y236" i="2" s="1"/>
  <c r="AC698" i="2"/>
  <c r="AC701" i="2"/>
  <c r="AC703" i="2"/>
  <c r="AC705" i="2"/>
  <c r="AC702" i="2"/>
  <c r="AC704" i="2"/>
  <c r="AC706" i="2"/>
  <c r="Y274" i="2"/>
  <c r="Y275" i="2" s="1"/>
  <c r="Z105" i="2"/>
  <c r="AB336" i="2"/>
  <c r="AB470" i="2"/>
  <c r="AC469" i="2"/>
  <c r="AC335" i="2"/>
  <c r="AB695" i="2"/>
  <c r="AB680" i="2" s="1"/>
  <c r="AB68" i="2" s="1"/>
  <c r="Z666" i="2"/>
  <c r="AA554" i="2"/>
  <c r="AA555" i="2" s="1"/>
  <c r="AA103" i="2" s="1"/>
  <c r="AA248" i="2" s="1"/>
  <c r="AA560" i="2"/>
  <c r="AA561" i="2" s="1"/>
  <c r="AA104" i="2" s="1"/>
  <c r="AC23" i="2"/>
  <c r="AC26" i="2"/>
  <c r="AC30" i="2"/>
  <c r="AC40" i="2"/>
  <c r="Z270" i="2"/>
  <c r="Z231" i="2"/>
  <c r="Z272" i="2"/>
  <c r="Z233" i="2"/>
  <c r="Z601" i="2"/>
  <c r="AA598" i="2"/>
  <c r="AA599" i="2" s="1"/>
  <c r="AA590" i="2"/>
  <c r="AA591" i="2" s="1"/>
  <c r="AA586" i="2"/>
  <c r="AA587" i="2" s="1"/>
  <c r="AA594" i="2"/>
  <c r="AA595" i="2" s="1"/>
  <c r="AA51" i="2" s="1"/>
  <c r="AC668" i="2"/>
  <c r="R633" i="2"/>
  <c r="R611" i="2" s="1"/>
  <c r="AD2" i="2"/>
  <c r="AC25" i="2"/>
  <c r="AA29" i="2"/>
  <c r="AA31" i="2" s="1"/>
  <c r="AA41" i="2" s="1"/>
  <c r="Z675" i="2" s="1"/>
  <c r="AA672" i="2" s="1"/>
  <c r="AB27" i="2"/>
  <c r="AB10" i="2"/>
  <c r="AB12" i="2" s="1"/>
  <c r="F212" i="7" l="1"/>
  <c r="F217" i="7" s="1"/>
  <c r="C217" i="7"/>
  <c r="B213" i="7" s="1"/>
  <c r="AD660" i="2"/>
  <c r="AD674" i="2"/>
  <c r="AD669" i="2"/>
  <c r="E200" i="1"/>
  <c r="E203" i="1"/>
  <c r="E199" i="1"/>
  <c r="E201" i="1"/>
  <c r="C351" i="7"/>
  <c r="B348" i="7" s="1"/>
  <c r="Z673" i="2"/>
  <c r="AP326" i="8"/>
  <c r="Z326" i="8"/>
  <c r="J326" i="8"/>
  <c r="AG326" i="8"/>
  <c r="D96" i="7"/>
  <c r="D97" i="7" s="1"/>
  <c r="D88" i="7"/>
  <c r="E169" i="7"/>
  <c r="E54" i="7"/>
  <c r="E56" i="7" s="1"/>
  <c r="E133" i="7"/>
  <c r="G344" i="7"/>
  <c r="G351" i="7" s="1"/>
  <c r="F351" i="7"/>
  <c r="G210" i="7"/>
  <c r="G217" i="7" s="1"/>
  <c r="AB55" i="2"/>
  <c r="AB244" i="2"/>
  <c r="AB208" i="2"/>
  <c r="R613" i="2"/>
  <c r="Q669" i="2" s="1"/>
  <c r="R666" i="2" s="1"/>
  <c r="R608" i="2"/>
  <c r="R80" i="2" s="1"/>
  <c r="R81" i="2" s="1"/>
  <c r="AC612" i="2"/>
  <c r="AC622" i="2"/>
  <c r="AC623" i="2" s="1"/>
  <c r="AB651" i="2"/>
  <c r="AC648" i="2" s="1"/>
  <c r="AC653" i="2"/>
  <c r="AC650" i="2" s="1"/>
  <c r="AC659" i="2"/>
  <c r="AD655" i="2"/>
  <c r="AD659" i="2" s="1"/>
  <c r="AD654" i="2"/>
  <c r="AD5" i="2"/>
  <c r="AD638" i="2"/>
  <c r="AD658" i="2" s="1"/>
  <c r="O418" i="8"/>
  <c r="Q418" i="8" s="1"/>
  <c r="AO458" i="8" s="1"/>
  <c r="O417" i="8"/>
  <c r="Q417" i="8" s="1"/>
  <c r="AL457" i="8" s="1"/>
  <c r="O419" i="8"/>
  <c r="Q419" i="8" s="1"/>
  <c r="C459" i="8" s="1"/>
  <c r="O415" i="8"/>
  <c r="P415" i="8" s="1"/>
  <c r="O416" i="8"/>
  <c r="O284" i="8"/>
  <c r="Q284" i="8" s="1"/>
  <c r="Q324" i="8" s="1"/>
  <c r="O283" i="8"/>
  <c r="Q283" i="8" s="1"/>
  <c r="P323" i="8" s="1"/>
  <c r="O281" i="8"/>
  <c r="P281" i="8" s="1"/>
  <c r="O282" i="8"/>
  <c r="P282" i="8" s="1"/>
  <c r="Q282" i="8" s="1"/>
  <c r="O285" i="8"/>
  <c r="Q285" i="8" s="1"/>
  <c r="AP325" i="8" s="1"/>
  <c r="M288" i="8"/>
  <c r="Y326" i="8"/>
  <c r="Q326" i="8"/>
  <c r="I326" i="8"/>
  <c r="P416" i="8"/>
  <c r="Q416" i="8" s="1"/>
  <c r="AL326" i="8"/>
  <c r="AD326" i="8"/>
  <c r="V326" i="8"/>
  <c r="N326" i="8"/>
  <c r="F326" i="8"/>
  <c r="AK326" i="8"/>
  <c r="AC326" i="8"/>
  <c r="U326" i="8"/>
  <c r="M326" i="8"/>
  <c r="E326" i="8"/>
  <c r="AN326" i="8"/>
  <c r="AJ326" i="8"/>
  <c r="AF326" i="8"/>
  <c r="AB326" i="8"/>
  <c r="X326" i="8"/>
  <c r="T326" i="8"/>
  <c r="P326" i="8"/>
  <c r="L326" i="8"/>
  <c r="H326" i="8"/>
  <c r="D326" i="8"/>
  <c r="AM326" i="8"/>
  <c r="AI326" i="8"/>
  <c r="AE326" i="8"/>
  <c r="AA326" i="8"/>
  <c r="W326" i="8"/>
  <c r="S326" i="8"/>
  <c r="O326" i="8"/>
  <c r="K326" i="8"/>
  <c r="G326" i="8"/>
  <c r="N460" i="8"/>
  <c r="AL460" i="8"/>
  <c r="F460" i="8"/>
  <c r="V460" i="8"/>
  <c r="Y460" i="8"/>
  <c r="J460" i="8"/>
  <c r="R460" i="8"/>
  <c r="AD460" i="8"/>
  <c r="I460" i="8"/>
  <c r="O460" i="8"/>
  <c r="Z18" i="2"/>
  <c r="Z20" i="2" s="1"/>
  <c r="Z43" i="2" s="1"/>
  <c r="Z47" i="2" s="1"/>
  <c r="Z53" i="2"/>
  <c r="Z460" i="8"/>
  <c r="AH460" i="8"/>
  <c r="AP460" i="8"/>
  <c r="Q460" i="8"/>
  <c r="AG460" i="8"/>
  <c r="K460" i="8"/>
  <c r="AO460" i="8"/>
  <c r="AE460" i="8"/>
  <c r="S460" i="8"/>
  <c r="H460" i="8"/>
  <c r="L460" i="8"/>
  <c r="P460" i="8"/>
  <c r="T460" i="8"/>
  <c r="X460" i="8"/>
  <c r="AB460" i="8"/>
  <c r="AF460" i="8"/>
  <c r="AJ460" i="8"/>
  <c r="AN460" i="8"/>
  <c r="E460" i="8"/>
  <c r="M460" i="8"/>
  <c r="U460" i="8"/>
  <c r="AC460" i="8"/>
  <c r="AK460" i="8"/>
  <c r="G460" i="8"/>
  <c r="W460" i="8"/>
  <c r="AM460" i="8"/>
  <c r="AA460" i="8"/>
  <c r="AD620" i="2"/>
  <c r="AD621" i="2"/>
  <c r="AD597" i="2"/>
  <c r="AD593" i="2"/>
  <c r="AD589" i="2"/>
  <c r="AD585" i="2"/>
  <c r="D460" i="8"/>
  <c r="C460" i="8"/>
  <c r="M422" i="8"/>
  <c r="N422" i="8"/>
  <c r="Y325" i="8"/>
  <c r="H458" i="8"/>
  <c r="I458" i="8"/>
  <c r="J458" i="8"/>
  <c r="Z458" i="8"/>
  <c r="AP458" i="8"/>
  <c r="E458" i="8"/>
  <c r="AG458" i="8"/>
  <c r="H324" i="8"/>
  <c r="AN323" i="8"/>
  <c r="C323" i="8"/>
  <c r="N323" i="8"/>
  <c r="AE323" i="8"/>
  <c r="O323" i="8"/>
  <c r="X323" i="8"/>
  <c r="AH323" i="8"/>
  <c r="AO323" i="8"/>
  <c r="Y323" i="8"/>
  <c r="I323" i="8"/>
  <c r="K458" i="8"/>
  <c r="G458" i="8"/>
  <c r="AM458" i="8"/>
  <c r="C457" i="8"/>
  <c r="I459" i="8"/>
  <c r="Q459" i="8"/>
  <c r="Y459" i="8"/>
  <c r="AG459" i="8"/>
  <c r="AO459" i="8"/>
  <c r="J459" i="8"/>
  <c r="R459" i="8"/>
  <c r="Z459" i="8"/>
  <c r="AH459" i="8"/>
  <c r="AP459" i="8"/>
  <c r="N288" i="8"/>
  <c r="T142" i="10"/>
  <c r="T154" i="10" s="1"/>
  <c r="T80" i="10"/>
  <c r="T81" i="10" s="1"/>
  <c r="T95" i="10" s="1"/>
  <c r="T220" i="10"/>
  <c r="T248" i="10" s="1"/>
  <c r="U74" i="10"/>
  <c r="U76" i="10" s="1"/>
  <c r="U284" i="10" s="1"/>
  <c r="AA49" i="2"/>
  <c r="AA14" i="2"/>
  <c r="U110" i="10"/>
  <c r="T101" i="10"/>
  <c r="T109" i="10"/>
  <c r="V50" i="10"/>
  <c r="V281" i="10"/>
  <c r="V297" i="10" s="1"/>
  <c r="V101" i="10"/>
  <c r="S87" i="8"/>
  <c r="S88" i="8" s="1"/>
  <c r="S79" i="8"/>
  <c r="T49" i="8"/>
  <c r="T73" i="8" s="1"/>
  <c r="T78" i="8" s="1"/>
  <c r="W49" i="10"/>
  <c r="X649" i="10"/>
  <c r="X652" i="10" s="1"/>
  <c r="W745" i="10"/>
  <c r="X746" i="10" s="1"/>
  <c r="V109" i="10"/>
  <c r="U206" i="8"/>
  <c r="U241" i="8"/>
  <c r="U48" i="8"/>
  <c r="U704" i="8"/>
  <c r="V705" i="8" s="1"/>
  <c r="V608" i="8"/>
  <c r="V611" i="8" s="1"/>
  <c r="E88" i="8"/>
  <c r="AD96" i="7"/>
  <c r="AD88" i="7"/>
  <c r="AF604" i="7"/>
  <c r="AF607" i="7" s="1"/>
  <c r="AE700" i="7"/>
  <c r="AF701" i="7" s="1"/>
  <c r="AC97" i="7"/>
  <c r="AE169" i="7"/>
  <c r="AE133" i="7"/>
  <c r="AE54" i="7"/>
  <c r="AE56" i="7" s="1"/>
  <c r="AE82" i="7" s="1"/>
  <c r="AE87" i="7" s="1"/>
  <c r="F559" i="7"/>
  <c r="F537" i="7" s="1"/>
  <c r="F80" i="7" s="1"/>
  <c r="AA17" i="2"/>
  <c r="AA52" i="2"/>
  <c r="AA234" i="2"/>
  <c r="AA273" i="2"/>
  <c r="AA15" i="2"/>
  <c r="AA50" i="2"/>
  <c r="AA232" i="2"/>
  <c r="AA271" i="2"/>
  <c r="AB71" i="2"/>
  <c r="AD757" i="2"/>
  <c r="AD399" i="2" s="1"/>
  <c r="AD534" i="2" s="1"/>
  <c r="AD755" i="2"/>
  <c r="AD397" i="2" s="1"/>
  <c r="AD532" i="2" s="1"/>
  <c r="AD753" i="2"/>
  <c r="AD395" i="2" s="1"/>
  <c r="AD530" i="2" s="1"/>
  <c r="AD751" i="2"/>
  <c r="AD393" i="2" s="1"/>
  <c r="AD528" i="2" s="1"/>
  <c r="AD749" i="2"/>
  <c r="AD391" i="2" s="1"/>
  <c r="AD526" i="2" s="1"/>
  <c r="AD725" i="2"/>
  <c r="AD373" i="2" s="1"/>
  <c r="AD508" i="2" s="1"/>
  <c r="AD758" i="2"/>
  <c r="AD400" i="2" s="1"/>
  <c r="AD535" i="2" s="1"/>
  <c r="AD756" i="2"/>
  <c r="AD398" i="2" s="1"/>
  <c r="AD533" i="2" s="1"/>
  <c r="AD754" i="2"/>
  <c r="AD396" i="2" s="1"/>
  <c r="AD531" i="2" s="1"/>
  <c r="AD752" i="2"/>
  <c r="AD394" i="2" s="1"/>
  <c r="AD529" i="2" s="1"/>
  <c r="AD750" i="2"/>
  <c r="AD392" i="2" s="1"/>
  <c r="AD527" i="2" s="1"/>
  <c r="AD726" i="2"/>
  <c r="AD374" i="2" s="1"/>
  <c r="AD509" i="2" s="1"/>
  <c r="AD724" i="2"/>
  <c r="AD372" i="2" s="1"/>
  <c r="AD507" i="2" s="1"/>
  <c r="AD723" i="2"/>
  <c r="AD371" i="2" s="1"/>
  <c r="AD506" i="2" s="1"/>
  <c r="AD721" i="2"/>
  <c r="AD369" i="2" s="1"/>
  <c r="AD504" i="2" s="1"/>
  <c r="AD719" i="2"/>
  <c r="AD367" i="2" s="1"/>
  <c r="AD502" i="2" s="1"/>
  <c r="AD717" i="2"/>
  <c r="AD365" i="2" s="1"/>
  <c r="AD500" i="2" s="1"/>
  <c r="AD693" i="2"/>
  <c r="AD348" i="2" s="1"/>
  <c r="AD482" i="2" s="1"/>
  <c r="AD691" i="2"/>
  <c r="AD346" i="2" s="1"/>
  <c r="AD480" i="2" s="1"/>
  <c r="AD689" i="2"/>
  <c r="AD344" i="2" s="1"/>
  <c r="AD478" i="2" s="1"/>
  <c r="AD687" i="2"/>
  <c r="AD342" i="2" s="1"/>
  <c r="AD476" i="2" s="1"/>
  <c r="AD685" i="2"/>
  <c r="AD340" i="2" s="1"/>
  <c r="AD474" i="2" s="1"/>
  <c r="AD761" i="2"/>
  <c r="AD764" i="2"/>
  <c r="AD765" i="2"/>
  <c r="AD767" i="2"/>
  <c r="AD769" i="2"/>
  <c r="AD720" i="2"/>
  <c r="AD368" i="2" s="1"/>
  <c r="AD503" i="2" s="1"/>
  <c r="AD692" i="2"/>
  <c r="AD347" i="2" s="1"/>
  <c r="AD481" i="2" s="1"/>
  <c r="AD688" i="2"/>
  <c r="AD343" i="2" s="1"/>
  <c r="AD477" i="2" s="1"/>
  <c r="AD722" i="2"/>
  <c r="AD370" i="2" s="1"/>
  <c r="AD505" i="2" s="1"/>
  <c r="AD718" i="2"/>
  <c r="AD366" i="2" s="1"/>
  <c r="AD501" i="2" s="1"/>
  <c r="AD694" i="2"/>
  <c r="AD349" i="2" s="1"/>
  <c r="AD483" i="2" s="1"/>
  <c r="AD690" i="2"/>
  <c r="AD345" i="2" s="1"/>
  <c r="AD479" i="2" s="1"/>
  <c r="AD686" i="2"/>
  <c r="AD341" i="2" s="1"/>
  <c r="AD475" i="2" s="1"/>
  <c r="AD766" i="2"/>
  <c r="AD732" i="2"/>
  <c r="AD734" i="2"/>
  <c r="AD736" i="2"/>
  <c r="AD768" i="2"/>
  <c r="AD729" i="2"/>
  <c r="AD733" i="2"/>
  <c r="AD735" i="2"/>
  <c r="AD737" i="2"/>
  <c r="AD738" i="2"/>
  <c r="AD763" i="2"/>
  <c r="AC727" i="2"/>
  <c r="AC712" i="2" s="1"/>
  <c r="AC69" i="2" s="1"/>
  <c r="AC759" i="2"/>
  <c r="AC744" i="2" s="1"/>
  <c r="AC70" i="2" s="1"/>
  <c r="AC61" i="2"/>
  <c r="AD697" i="2"/>
  <c r="AD33" i="2"/>
  <c r="AD35" i="2" s="1"/>
  <c r="AD37" i="2" s="1"/>
  <c r="AD39" i="2" s="1"/>
  <c r="AD552" i="2"/>
  <c r="AD553" i="2" s="1"/>
  <c r="AD558" i="2"/>
  <c r="AD559" i="2" s="1"/>
  <c r="AD667" i="2"/>
  <c r="AD618" i="2"/>
  <c r="AD625" i="2"/>
  <c r="AD617" i="2"/>
  <c r="AD634" i="2"/>
  <c r="AD624" i="2"/>
  <c r="AD635" i="2" s="1"/>
  <c r="AD639" i="2" s="1"/>
  <c r="AE11" i="2"/>
  <c r="AD318" i="2"/>
  <c r="AD320" i="2"/>
  <c r="AD322" i="2"/>
  <c r="AD451" i="2"/>
  <c r="AD452" i="2"/>
  <c r="AD453" i="2"/>
  <c r="AD454" i="2"/>
  <c r="AD455" i="2"/>
  <c r="AD456" i="2"/>
  <c r="AD640" i="2"/>
  <c r="AD319" i="2"/>
  <c r="AD317" i="2"/>
  <c r="AD321" i="2"/>
  <c r="AB121" i="2"/>
  <c r="AD19" i="2"/>
  <c r="Y47" i="2"/>
  <c r="Y206" i="2"/>
  <c r="Y242" i="2"/>
  <c r="AA120" i="2"/>
  <c r="R630" i="2"/>
  <c r="AA105" i="2"/>
  <c r="AD702" i="2"/>
  <c r="AD704" i="2"/>
  <c r="AD706" i="2"/>
  <c r="AD698" i="2"/>
  <c r="AD701" i="2"/>
  <c r="AD703" i="2"/>
  <c r="AD705" i="2"/>
  <c r="Z274" i="2"/>
  <c r="Z275" i="2" s="1"/>
  <c r="AC470" i="2"/>
  <c r="AD469" i="2"/>
  <c r="AD335" i="2"/>
  <c r="AC27" i="2"/>
  <c r="AC336" i="2"/>
  <c r="AC695" i="2"/>
  <c r="AC680" i="2" s="1"/>
  <c r="AC68" i="2" s="1"/>
  <c r="AA666" i="2"/>
  <c r="AB554" i="2"/>
  <c r="AB555" i="2" s="1"/>
  <c r="AB103" i="2" s="1"/>
  <c r="AB248" i="2" s="1"/>
  <c r="AB560" i="2"/>
  <c r="AB561" i="2" s="1"/>
  <c r="AB104" i="2" s="1"/>
  <c r="AD23" i="2"/>
  <c r="AD26" i="2"/>
  <c r="AD30" i="2"/>
  <c r="AD40" i="2"/>
  <c r="AA272" i="2"/>
  <c r="AA233" i="2"/>
  <c r="AA270" i="2"/>
  <c r="AA231" i="2"/>
  <c r="Z235" i="2"/>
  <c r="Z236" i="2" s="1"/>
  <c r="AA601" i="2"/>
  <c r="AB594" i="2"/>
  <c r="AB595" i="2" s="1"/>
  <c r="AB51" i="2" s="1"/>
  <c r="AB598" i="2"/>
  <c r="AB599" i="2" s="1"/>
  <c r="AB590" i="2"/>
  <c r="AB591" i="2" s="1"/>
  <c r="AB586" i="2"/>
  <c r="AB587" i="2" s="1"/>
  <c r="AD668" i="2"/>
  <c r="S633" i="2"/>
  <c r="S611" i="2" s="1"/>
  <c r="AB29" i="2"/>
  <c r="AB31" i="2" s="1"/>
  <c r="AB41" i="2" s="1"/>
  <c r="AA675" i="2" s="1"/>
  <c r="AB672" i="2" s="1"/>
  <c r="AE2" i="2"/>
  <c r="AD25" i="2"/>
  <c r="AC10" i="2"/>
  <c r="AC12" i="2" s="1"/>
  <c r="AE457" i="8" l="1"/>
  <c r="B210" i="7"/>
  <c r="B215" i="7"/>
  <c r="B214" i="7"/>
  <c r="B345" i="7"/>
  <c r="B211" i="7"/>
  <c r="B349" i="7"/>
  <c r="B212" i="7"/>
  <c r="AE660" i="2"/>
  <c r="AE674" i="2"/>
  <c r="AE669" i="2"/>
  <c r="R324" i="8"/>
  <c r="AK324" i="8"/>
  <c r="W325" i="8"/>
  <c r="AG457" i="8"/>
  <c r="E204" i="1"/>
  <c r="B347" i="7"/>
  <c r="B344" i="7"/>
  <c r="B346" i="7"/>
  <c r="AA673" i="2"/>
  <c r="C325" i="8"/>
  <c r="O324" i="8"/>
  <c r="AN324" i="8"/>
  <c r="AB325" i="8"/>
  <c r="N325" i="8"/>
  <c r="Z457" i="8"/>
  <c r="AH324" i="8"/>
  <c r="M324" i="8"/>
  <c r="X324" i="8"/>
  <c r="AA324" i="8"/>
  <c r="D324" i="8"/>
  <c r="AM325" i="8"/>
  <c r="G325" i="8"/>
  <c r="N457" i="8"/>
  <c r="AF457" i="8"/>
  <c r="M325" i="8"/>
  <c r="O457" i="8"/>
  <c r="AG325" i="8"/>
  <c r="T457" i="8"/>
  <c r="AC457" i="8"/>
  <c r="I217" i="7"/>
  <c r="H214" i="7"/>
  <c r="K214" i="7" s="1"/>
  <c r="L214" i="7" s="1"/>
  <c r="H211" i="7"/>
  <c r="K211" i="7" s="1"/>
  <c r="L211" i="7" s="1"/>
  <c r="H215" i="7"/>
  <c r="K215" i="7" s="1"/>
  <c r="L215" i="7" s="1"/>
  <c r="H212" i="7"/>
  <c r="K212" i="7" s="1"/>
  <c r="L212" i="7" s="1"/>
  <c r="H210" i="7"/>
  <c r="H213" i="7"/>
  <c r="K213" i="7" s="1"/>
  <c r="L213" i="7" s="1"/>
  <c r="I351" i="7"/>
  <c r="H348" i="7"/>
  <c r="K348" i="7" s="1"/>
  <c r="L348" i="7" s="1"/>
  <c r="H345" i="7"/>
  <c r="K345" i="7" s="1"/>
  <c r="L345" i="7" s="1"/>
  <c r="H349" i="7"/>
  <c r="K349" i="7" s="1"/>
  <c r="L349" i="7" s="1"/>
  <c r="H346" i="7"/>
  <c r="K346" i="7" s="1"/>
  <c r="L346" i="7" s="1"/>
  <c r="H344" i="7"/>
  <c r="H347" i="7"/>
  <c r="K347" i="7" s="1"/>
  <c r="L347" i="7" s="1"/>
  <c r="F539" i="7"/>
  <c r="E595" i="7" s="1"/>
  <c r="F534" i="7"/>
  <c r="F535" i="7" s="1"/>
  <c r="G532" i="7" s="1"/>
  <c r="AL459" i="8"/>
  <c r="AD459" i="8"/>
  <c r="V459" i="8"/>
  <c r="N459" i="8"/>
  <c r="F459" i="8"/>
  <c r="AK459" i="8"/>
  <c r="AC459" i="8"/>
  <c r="U459" i="8"/>
  <c r="M459" i="8"/>
  <c r="E459" i="8"/>
  <c r="W458" i="8"/>
  <c r="AA458" i="8"/>
  <c r="D458" i="8"/>
  <c r="Q323" i="8"/>
  <c r="AG323" i="8"/>
  <c r="R323" i="8"/>
  <c r="L323" i="8"/>
  <c r="G323" i="8"/>
  <c r="W323" i="8"/>
  <c r="AM323" i="8"/>
  <c r="AD323" i="8"/>
  <c r="AJ323" i="8"/>
  <c r="D323" i="8"/>
  <c r="AC458" i="8"/>
  <c r="U458" i="8"/>
  <c r="AH458" i="8"/>
  <c r="R458" i="8"/>
  <c r="Q458" i="8"/>
  <c r="AJ458" i="8"/>
  <c r="AC55" i="2"/>
  <c r="AC244" i="2"/>
  <c r="AC208" i="2"/>
  <c r="P422" i="8"/>
  <c r="C461" i="8" s="1"/>
  <c r="B461" i="8" s="1"/>
  <c r="V325" i="8"/>
  <c r="J325" i="8"/>
  <c r="AH457" i="8"/>
  <c r="J324" i="8"/>
  <c r="Z324" i="8"/>
  <c r="AP324" i="8"/>
  <c r="AE324" i="8"/>
  <c r="Y324" i="8"/>
  <c r="P324" i="8"/>
  <c r="AF324" i="8"/>
  <c r="K324" i="8"/>
  <c r="E324" i="8"/>
  <c r="AO324" i="8"/>
  <c r="R325" i="8"/>
  <c r="L325" i="8"/>
  <c r="AE325" i="8"/>
  <c r="O325" i="8"/>
  <c r="F457" i="8"/>
  <c r="P325" i="8"/>
  <c r="P457" i="8"/>
  <c r="AC325" i="8"/>
  <c r="AM457" i="8"/>
  <c r="W457" i="8"/>
  <c r="G457" i="8"/>
  <c r="X325" i="8"/>
  <c r="H325" i="8"/>
  <c r="AJ457" i="8"/>
  <c r="Q325" i="8"/>
  <c r="Q457" i="8"/>
  <c r="U457" i="8"/>
  <c r="I325" i="8"/>
  <c r="S613" i="2"/>
  <c r="S608" i="2"/>
  <c r="S80" i="2" s="1"/>
  <c r="S81" i="2" s="1"/>
  <c r="AD622" i="2"/>
  <c r="AD623" i="2" s="1"/>
  <c r="AC651" i="2"/>
  <c r="AD648" i="2" s="1"/>
  <c r="AD612" i="2"/>
  <c r="AD653" i="2"/>
  <c r="AD650" i="2" s="1"/>
  <c r="AA18" i="2"/>
  <c r="AA20" i="2" s="1"/>
  <c r="AA43" i="2" s="1"/>
  <c r="AA47" i="2" s="1"/>
  <c r="AE655" i="2"/>
  <c r="AE659" i="2" s="1"/>
  <c r="AE654" i="2"/>
  <c r="AD325" i="8"/>
  <c r="AL325" i="8"/>
  <c r="F325" i="8"/>
  <c r="Z325" i="8"/>
  <c r="AP457" i="8"/>
  <c r="J457" i="8"/>
  <c r="R457" i="8"/>
  <c r="F324" i="8"/>
  <c r="N324" i="8"/>
  <c r="V324" i="8"/>
  <c r="AD324" i="8"/>
  <c r="AL324" i="8"/>
  <c r="G324" i="8"/>
  <c r="W324" i="8"/>
  <c r="AM324" i="8"/>
  <c r="AC324" i="8"/>
  <c r="AG324" i="8"/>
  <c r="L324" i="8"/>
  <c r="T324" i="8"/>
  <c r="AB324" i="8"/>
  <c r="AJ324" i="8"/>
  <c r="C324" i="8"/>
  <c r="S324" i="8"/>
  <c r="AI324" i="8"/>
  <c r="U324" i="8"/>
  <c r="I324" i="8"/>
  <c r="AH325" i="8"/>
  <c r="AJ325" i="8"/>
  <c r="T325" i="8"/>
  <c r="D325" i="8"/>
  <c r="AI325" i="8"/>
  <c r="AA325" i="8"/>
  <c r="S325" i="8"/>
  <c r="K325" i="8"/>
  <c r="V457" i="8"/>
  <c r="AD457" i="8"/>
  <c r="AF325" i="8"/>
  <c r="AN457" i="8"/>
  <c r="X457" i="8"/>
  <c r="H457" i="8"/>
  <c r="AK325" i="8"/>
  <c r="U325" i="8"/>
  <c r="E325" i="8"/>
  <c r="AI457" i="8"/>
  <c r="AA457" i="8"/>
  <c r="S457" i="8"/>
  <c r="K457" i="8"/>
  <c r="AB457" i="8"/>
  <c r="AN325" i="8"/>
  <c r="L457" i="8"/>
  <c r="AO325" i="8"/>
  <c r="AO457" i="8"/>
  <c r="Y457" i="8"/>
  <c r="I457" i="8"/>
  <c r="D457" i="8"/>
  <c r="E457" i="8"/>
  <c r="AK457" i="8"/>
  <c r="M457" i="8"/>
  <c r="AE5" i="2"/>
  <c r="AE638" i="2"/>
  <c r="AE658" i="2" s="1"/>
  <c r="O422" i="8"/>
  <c r="O288" i="8"/>
  <c r="AN459" i="8"/>
  <c r="AJ459" i="8"/>
  <c r="AF459" i="8"/>
  <c r="AB459" i="8"/>
  <c r="X459" i="8"/>
  <c r="T459" i="8"/>
  <c r="P459" i="8"/>
  <c r="L459" i="8"/>
  <c r="H459" i="8"/>
  <c r="D459" i="8"/>
  <c r="AM459" i="8"/>
  <c r="AI459" i="8"/>
  <c r="AE459" i="8"/>
  <c r="AA459" i="8"/>
  <c r="W459" i="8"/>
  <c r="S459" i="8"/>
  <c r="O459" i="8"/>
  <c r="K459" i="8"/>
  <c r="G459" i="8"/>
  <c r="AE458" i="8"/>
  <c r="O458" i="8"/>
  <c r="AI458" i="8"/>
  <c r="S458" i="8"/>
  <c r="C458" i="8"/>
  <c r="E323" i="8"/>
  <c r="M323" i="8"/>
  <c r="U323" i="8"/>
  <c r="AC323" i="8"/>
  <c r="AK323" i="8"/>
  <c r="J323" i="8"/>
  <c r="Z323" i="8"/>
  <c r="AP323" i="8"/>
  <c r="AB323" i="8"/>
  <c r="AF323" i="8"/>
  <c r="K323" i="8"/>
  <c r="S323" i="8"/>
  <c r="AA323" i="8"/>
  <c r="AI323" i="8"/>
  <c r="F323" i="8"/>
  <c r="V323" i="8"/>
  <c r="AL323" i="8"/>
  <c r="T323" i="8"/>
  <c r="H323" i="8"/>
  <c r="Y458" i="8"/>
  <c r="M458" i="8"/>
  <c r="AL458" i="8"/>
  <c r="AD458" i="8"/>
  <c r="V458" i="8"/>
  <c r="N458" i="8"/>
  <c r="F458" i="8"/>
  <c r="AF458" i="8"/>
  <c r="L458" i="8"/>
  <c r="P288" i="8"/>
  <c r="C327" i="8" s="1"/>
  <c r="B327" i="8" s="1"/>
  <c r="AK458" i="8"/>
  <c r="AN458" i="8"/>
  <c r="X458" i="8"/>
  <c r="T458" i="8"/>
  <c r="AB458" i="8"/>
  <c r="P458" i="8"/>
  <c r="M456" i="8"/>
  <c r="V456" i="8"/>
  <c r="AL456" i="8"/>
  <c r="N456" i="8"/>
  <c r="AA456" i="8"/>
  <c r="U456" i="8"/>
  <c r="R456" i="8"/>
  <c r="AH456" i="8"/>
  <c r="C456" i="8"/>
  <c r="AI456" i="8"/>
  <c r="L456" i="8"/>
  <c r="T456" i="8"/>
  <c r="AB456" i="8"/>
  <c r="AJ456" i="8"/>
  <c r="G456" i="8"/>
  <c r="W456" i="8"/>
  <c r="AM456" i="8"/>
  <c r="Y456" i="8"/>
  <c r="E456" i="8"/>
  <c r="D456" i="8"/>
  <c r="F456" i="8"/>
  <c r="K456" i="8"/>
  <c r="AD456" i="8"/>
  <c r="AG456" i="8"/>
  <c r="J456" i="8"/>
  <c r="Z456" i="8"/>
  <c r="AP456" i="8"/>
  <c r="S456" i="8"/>
  <c r="Q456" i="8"/>
  <c r="H456" i="8"/>
  <c r="P456" i="8"/>
  <c r="X456" i="8"/>
  <c r="AF456" i="8"/>
  <c r="AN456" i="8"/>
  <c r="O456" i="8"/>
  <c r="AE456" i="8"/>
  <c r="I456" i="8"/>
  <c r="AO456" i="8"/>
  <c r="AK456" i="8"/>
  <c r="AC456" i="8"/>
  <c r="Z322" i="8"/>
  <c r="AD322" i="8"/>
  <c r="AJ322" i="8"/>
  <c r="T322" i="8"/>
  <c r="AO322" i="8"/>
  <c r="AG322" i="8"/>
  <c r="Y322" i="8"/>
  <c r="Q322" i="8"/>
  <c r="I322" i="8"/>
  <c r="AP322" i="8"/>
  <c r="V322" i="8"/>
  <c r="AN322" i="8"/>
  <c r="P322" i="8"/>
  <c r="AI322" i="8"/>
  <c r="AA322" i="8"/>
  <c r="O322" i="8"/>
  <c r="E322" i="8"/>
  <c r="AF322" i="8"/>
  <c r="S322" i="8"/>
  <c r="C322" i="8"/>
  <c r="R322" i="8"/>
  <c r="N322" i="8"/>
  <c r="AB322" i="8"/>
  <c r="L322" i="8"/>
  <c r="AK322" i="8"/>
  <c r="AC322" i="8"/>
  <c r="U322" i="8"/>
  <c r="M322" i="8"/>
  <c r="D322" i="8"/>
  <c r="AL322" i="8"/>
  <c r="J322" i="8"/>
  <c r="X322" i="8"/>
  <c r="AM322" i="8"/>
  <c r="AE322" i="8"/>
  <c r="W322" i="8"/>
  <c r="K322" i="8"/>
  <c r="AH322" i="8"/>
  <c r="H322" i="8"/>
  <c r="G322" i="8"/>
  <c r="F322" i="8"/>
  <c r="B460" i="8"/>
  <c r="B326" i="8"/>
  <c r="I212" i="7"/>
  <c r="J212" i="7" s="1"/>
  <c r="AE620" i="2"/>
  <c r="AE621" i="2"/>
  <c r="AE597" i="2"/>
  <c r="AE593" i="2"/>
  <c r="AE589" i="2"/>
  <c r="AE585" i="2"/>
  <c r="B457" i="8"/>
  <c r="AA53" i="2"/>
  <c r="U142" i="10"/>
  <c r="U154" i="10" s="1"/>
  <c r="U80" i="10"/>
  <c r="U81" i="10" s="1"/>
  <c r="U95" i="10" s="1"/>
  <c r="U220" i="10"/>
  <c r="U248" i="10" s="1"/>
  <c r="V74" i="10"/>
  <c r="V76" i="10" s="1"/>
  <c r="AB49" i="2"/>
  <c r="AB14" i="2"/>
  <c r="U300" i="10"/>
  <c r="V110" i="10"/>
  <c r="T110" i="10"/>
  <c r="W50" i="10"/>
  <c r="W281" i="10"/>
  <c r="W297" i="10" s="1"/>
  <c r="T87" i="8"/>
  <c r="T88" i="8" s="1"/>
  <c r="T79" i="8"/>
  <c r="U49" i="8"/>
  <c r="U73" i="8" s="1"/>
  <c r="U78" i="8" s="1"/>
  <c r="X49" i="10"/>
  <c r="Y649" i="10"/>
  <c r="Y652" i="10" s="1"/>
  <c r="X745" i="10"/>
  <c r="Y746" i="10" s="1"/>
  <c r="V704" i="8"/>
  <c r="W705" i="8" s="1"/>
  <c r="W608" i="8"/>
  <c r="W611" i="8" s="1"/>
  <c r="V206" i="8"/>
  <c r="V241" i="8"/>
  <c r="V48" i="8"/>
  <c r="Q415" i="8"/>
  <c r="F72" i="8"/>
  <c r="F73" i="8" s="1"/>
  <c r="F78" i="8" s="1"/>
  <c r="Q281" i="8"/>
  <c r="AG604" i="7"/>
  <c r="AG607" i="7" s="1"/>
  <c r="AF700" i="7"/>
  <c r="AG701" i="7" s="1"/>
  <c r="AD97" i="7"/>
  <c r="F556" i="7"/>
  <c r="F557" i="7" s="1"/>
  <c r="G560" i="7" s="1"/>
  <c r="G538" i="7" s="1"/>
  <c r="F81" i="7"/>
  <c r="AE96" i="7"/>
  <c r="AE88" i="7"/>
  <c r="AF169" i="7"/>
  <c r="AF133" i="7"/>
  <c r="AF54" i="7"/>
  <c r="AF56" i="7" s="1"/>
  <c r="AF82" i="7" s="1"/>
  <c r="AF87" i="7" s="1"/>
  <c r="AB17" i="2"/>
  <c r="AB52" i="2"/>
  <c r="AB234" i="2"/>
  <c r="AB273" i="2"/>
  <c r="AB15" i="2"/>
  <c r="AB18" i="2" s="1"/>
  <c r="AB20" i="2" s="1"/>
  <c r="AB50" i="2"/>
  <c r="AB232" i="2"/>
  <c r="AB271" i="2"/>
  <c r="AC71" i="2"/>
  <c r="AE758" i="2"/>
  <c r="AE400" i="2" s="1"/>
  <c r="AE535" i="2" s="1"/>
  <c r="AE756" i="2"/>
  <c r="AE398" i="2" s="1"/>
  <c r="AE533" i="2" s="1"/>
  <c r="AE754" i="2"/>
  <c r="AE396" i="2" s="1"/>
  <c r="AE531" i="2" s="1"/>
  <c r="AE752" i="2"/>
  <c r="AE394" i="2" s="1"/>
  <c r="AE529" i="2" s="1"/>
  <c r="AE750" i="2"/>
  <c r="AE392" i="2" s="1"/>
  <c r="AE527" i="2" s="1"/>
  <c r="AE726" i="2"/>
  <c r="AE374" i="2" s="1"/>
  <c r="AE509" i="2" s="1"/>
  <c r="AE724" i="2"/>
  <c r="AE372" i="2" s="1"/>
  <c r="AE507" i="2" s="1"/>
  <c r="AE757" i="2"/>
  <c r="AE399" i="2" s="1"/>
  <c r="AE534" i="2" s="1"/>
  <c r="AE755" i="2"/>
  <c r="AE397" i="2" s="1"/>
  <c r="AE532" i="2" s="1"/>
  <c r="AE753" i="2"/>
  <c r="AE395" i="2" s="1"/>
  <c r="AE530" i="2" s="1"/>
  <c r="AE751" i="2"/>
  <c r="AE393" i="2" s="1"/>
  <c r="AE528" i="2" s="1"/>
  <c r="AE749" i="2"/>
  <c r="AE391" i="2" s="1"/>
  <c r="AE526" i="2" s="1"/>
  <c r="AE725" i="2"/>
  <c r="AE373" i="2" s="1"/>
  <c r="AE508" i="2" s="1"/>
  <c r="AE722" i="2"/>
  <c r="AE370" i="2" s="1"/>
  <c r="AE505" i="2" s="1"/>
  <c r="AE720" i="2"/>
  <c r="AE368" i="2" s="1"/>
  <c r="AE503" i="2" s="1"/>
  <c r="AE718" i="2"/>
  <c r="AE366" i="2" s="1"/>
  <c r="AE501" i="2" s="1"/>
  <c r="AE694" i="2"/>
  <c r="AE349" i="2" s="1"/>
  <c r="AE483" i="2" s="1"/>
  <c r="AE692" i="2"/>
  <c r="AE347" i="2" s="1"/>
  <c r="AE481" i="2" s="1"/>
  <c r="AE690" i="2"/>
  <c r="AE345" i="2" s="1"/>
  <c r="AE479" i="2" s="1"/>
  <c r="AE688" i="2"/>
  <c r="AE343" i="2" s="1"/>
  <c r="AE477" i="2" s="1"/>
  <c r="AE686" i="2"/>
  <c r="AE341" i="2" s="1"/>
  <c r="AE475" i="2" s="1"/>
  <c r="AE766" i="2"/>
  <c r="AE768" i="2"/>
  <c r="AE721" i="2"/>
  <c r="AE369" i="2" s="1"/>
  <c r="AE504" i="2" s="1"/>
  <c r="AE717" i="2"/>
  <c r="AE365" i="2" s="1"/>
  <c r="AE500" i="2" s="1"/>
  <c r="AE693" i="2"/>
  <c r="AE348" i="2" s="1"/>
  <c r="AE482" i="2" s="1"/>
  <c r="AE689" i="2"/>
  <c r="AE344" i="2" s="1"/>
  <c r="AE478" i="2" s="1"/>
  <c r="AE723" i="2"/>
  <c r="AE371" i="2" s="1"/>
  <c r="AE506" i="2" s="1"/>
  <c r="AE719" i="2"/>
  <c r="AE367" i="2" s="1"/>
  <c r="AE502" i="2" s="1"/>
  <c r="AE691" i="2"/>
  <c r="AE346" i="2" s="1"/>
  <c r="AE480" i="2" s="1"/>
  <c r="AE687" i="2"/>
  <c r="AE342" i="2" s="1"/>
  <c r="AE476" i="2" s="1"/>
  <c r="AE764" i="2"/>
  <c r="AE767" i="2"/>
  <c r="AE765" i="2"/>
  <c r="AE729" i="2"/>
  <c r="AE733" i="2"/>
  <c r="AE735" i="2"/>
  <c r="AE737" i="2"/>
  <c r="AE685" i="2"/>
  <c r="AE340" i="2" s="1"/>
  <c r="AE474" i="2" s="1"/>
  <c r="AE761" i="2"/>
  <c r="AE769" i="2"/>
  <c r="AE732" i="2"/>
  <c r="AE734" i="2"/>
  <c r="AE736" i="2"/>
  <c r="AE738" i="2"/>
  <c r="AE763" i="2"/>
  <c r="AD727" i="2"/>
  <c r="AD712" i="2" s="1"/>
  <c r="AD69" i="2" s="1"/>
  <c r="AD759" i="2"/>
  <c r="AD744" i="2" s="1"/>
  <c r="AD70" i="2" s="1"/>
  <c r="AD61" i="2"/>
  <c r="AE697" i="2"/>
  <c r="AE33" i="2"/>
  <c r="AE35" i="2" s="1"/>
  <c r="AE37" i="2" s="1"/>
  <c r="AE39" i="2" s="1"/>
  <c r="AE552" i="2"/>
  <c r="AE553" i="2" s="1"/>
  <c r="AE558" i="2"/>
  <c r="AE559" i="2" s="1"/>
  <c r="AE634" i="2"/>
  <c r="AE624" i="2"/>
  <c r="AE635" i="2" s="1"/>
  <c r="AE639" i="2" s="1"/>
  <c r="AE667" i="2"/>
  <c r="AE618" i="2"/>
  <c r="AE625" i="2"/>
  <c r="AE617" i="2"/>
  <c r="AF11" i="2"/>
  <c r="AE317" i="2"/>
  <c r="AE319" i="2"/>
  <c r="AE321" i="2"/>
  <c r="AE320" i="2"/>
  <c r="AE452" i="2"/>
  <c r="AE454" i="2"/>
  <c r="AE456" i="2"/>
  <c r="AE640" i="2"/>
  <c r="AE318" i="2"/>
  <c r="AE322" i="2"/>
  <c r="AE451" i="2"/>
  <c r="AE453" i="2"/>
  <c r="AE455" i="2"/>
  <c r="AC121" i="2"/>
  <c r="AE19" i="2"/>
  <c r="Z242" i="2"/>
  <c r="Z206" i="2"/>
  <c r="AB120" i="2"/>
  <c r="S630" i="2"/>
  <c r="AE698" i="2"/>
  <c r="AE703" i="2"/>
  <c r="AE704" i="2"/>
  <c r="AE705" i="2"/>
  <c r="AE706" i="2"/>
  <c r="AE702" i="2"/>
  <c r="AB105" i="2"/>
  <c r="AE469" i="2"/>
  <c r="AD470" i="2"/>
  <c r="AE335" i="2"/>
  <c r="AD336" i="2"/>
  <c r="AD695" i="2"/>
  <c r="AD680" i="2" s="1"/>
  <c r="AD68" i="2" s="1"/>
  <c r="AB666" i="2"/>
  <c r="AD27" i="2"/>
  <c r="AC554" i="2"/>
  <c r="AC555" i="2" s="1"/>
  <c r="AC103" i="2" s="1"/>
  <c r="AC248" i="2" s="1"/>
  <c r="AC560" i="2"/>
  <c r="AC561" i="2" s="1"/>
  <c r="AC104" i="2" s="1"/>
  <c r="AE23" i="2"/>
  <c r="AE26" i="2"/>
  <c r="AE30" i="2"/>
  <c r="AE40" i="2"/>
  <c r="AA274" i="2"/>
  <c r="AA275" i="2" s="1"/>
  <c r="AA235" i="2"/>
  <c r="AA236" i="2" s="1"/>
  <c r="AB270" i="2"/>
  <c r="AB231" i="2"/>
  <c r="AB272" i="2"/>
  <c r="AB233" i="2"/>
  <c r="AB601" i="2"/>
  <c r="AC598" i="2"/>
  <c r="AC599" i="2" s="1"/>
  <c r="AC590" i="2"/>
  <c r="AC591" i="2" s="1"/>
  <c r="AC586" i="2"/>
  <c r="AC587" i="2" s="1"/>
  <c r="AC594" i="2"/>
  <c r="AC595" i="2" s="1"/>
  <c r="AC51" i="2" s="1"/>
  <c r="AE668" i="2"/>
  <c r="T633" i="2"/>
  <c r="T611" i="2" s="1"/>
  <c r="AE25" i="2"/>
  <c r="AF2" i="2"/>
  <c r="AC29" i="2"/>
  <c r="AC31" i="2" s="1"/>
  <c r="AC41" i="2" s="1"/>
  <c r="AB675" i="2" s="1"/>
  <c r="AC672" i="2" s="1"/>
  <c r="AD10" i="2"/>
  <c r="AD12" i="2" s="1"/>
  <c r="B217" i="7" l="1"/>
  <c r="AF660" i="2"/>
  <c r="AF669" i="2"/>
  <c r="B351" i="7"/>
  <c r="AG133" i="7"/>
  <c r="AG169" i="7"/>
  <c r="AG54" i="7"/>
  <c r="AG56" i="7" s="1"/>
  <c r="AG82" i="7" s="1"/>
  <c r="AG87" i="7" s="1"/>
  <c r="AB673" i="2"/>
  <c r="B324" i="8"/>
  <c r="I214" i="7"/>
  <c r="J214" i="7" s="1"/>
  <c r="K344" i="7"/>
  <c r="L344" i="7" s="1"/>
  <c r="L351" i="7" s="1"/>
  <c r="H351" i="7"/>
  <c r="G170" i="7"/>
  <c r="G134" i="7"/>
  <c r="G55" i="7"/>
  <c r="E700" i="7"/>
  <c r="F701" i="7" s="1"/>
  <c r="F592" i="7"/>
  <c r="E593" i="7"/>
  <c r="E61" i="7" s="1"/>
  <c r="E66" i="7" s="1"/>
  <c r="E72" i="7" s="1"/>
  <c r="E82" i="7" s="1"/>
  <c r="E87" i="7" s="1"/>
  <c r="K210" i="7"/>
  <c r="L210" i="7" s="1"/>
  <c r="L217" i="7" s="1"/>
  <c r="H217" i="7"/>
  <c r="AD55" i="2"/>
  <c r="AD244" i="2"/>
  <c r="AD208" i="2"/>
  <c r="B458" i="8"/>
  <c r="B459" i="8"/>
  <c r="B325" i="8"/>
  <c r="AE622" i="2"/>
  <c r="AE623" i="2" s="1"/>
  <c r="AD651" i="2"/>
  <c r="AE648" i="2" s="1"/>
  <c r="T613" i="2"/>
  <c r="T608" i="2"/>
  <c r="T80" i="2" s="1"/>
  <c r="T81" i="2" s="1"/>
  <c r="AE612" i="2"/>
  <c r="AF655" i="2"/>
  <c r="AF659" i="2" s="1"/>
  <c r="AF654" i="2"/>
  <c r="AE653" i="2"/>
  <c r="AF5" i="2"/>
  <c r="AF638" i="2"/>
  <c r="AF658" i="2" s="1"/>
  <c r="B323" i="8"/>
  <c r="B456" i="8"/>
  <c r="B322" i="8"/>
  <c r="I346" i="7"/>
  <c r="J346" i="7" s="1"/>
  <c r="I348" i="7"/>
  <c r="J348" i="7" s="1"/>
  <c r="I347" i="7"/>
  <c r="J347" i="7" s="1"/>
  <c r="I349" i="7"/>
  <c r="J349" i="7" s="1"/>
  <c r="I213" i="7"/>
  <c r="J213" i="7" s="1"/>
  <c r="M347" i="7" s="1"/>
  <c r="I215" i="7"/>
  <c r="J215" i="7" s="1"/>
  <c r="M215" i="7" s="1"/>
  <c r="C99" i="7"/>
  <c r="C173" i="7" s="1"/>
  <c r="I210" i="7"/>
  <c r="J210" i="7" s="1"/>
  <c r="M210" i="7" s="1"/>
  <c r="I211" i="7"/>
  <c r="J211" i="7" s="1"/>
  <c r="M211" i="7" s="1"/>
  <c r="M344" i="7"/>
  <c r="M346" i="7"/>
  <c r="M212" i="7"/>
  <c r="M214" i="7"/>
  <c r="M348" i="7"/>
  <c r="M349" i="7"/>
  <c r="AF620" i="2"/>
  <c r="AF621" i="2"/>
  <c r="AF597" i="2"/>
  <c r="AF593" i="2"/>
  <c r="AF589" i="2"/>
  <c r="AF585" i="2"/>
  <c r="AB53" i="2"/>
  <c r="V142" i="10"/>
  <c r="V154" i="10" s="1"/>
  <c r="V80" i="10"/>
  <c r="V81" i="10" s="1"/>
  <c r="V95" i="10" s="1"/>
  <c r="V220" i="10"/>
  <c r="V248" i="10" s="1"/>
  <c r="V284" i="10"/>
  <c r="V300" i="10" s="1"/>
  <c r="W74" i="10"/>
  <c r="W76" i="10" s="1"/>
  <c r="AC49" i="2"/>
  <c r="AC14" i="2"/>
  <c r="X50" i="10"/>
  <c r="X281" i="10"/>
  <c r="X297" i="10" s="1"/>
  <c r="U79" i="8"/>
  <c r="U87" i="8"/>
  <c r="U88" i="8" s="1"/>
  <c r="Z649" i="10"/>
  <c r="Z652" i="10" s="1"/>
  <c r="Y745" i="10"/>
  <c r="Z746" i="10" s="1"/>
  <c r="V49" i="8"/>
  <c r="V73" i="8" s="1"/>
  <c r="V78" i="8" s="1"/>
  <c r="Y49" i="10"/>
  <c r="W241" i="8"/>
  <c r="W48" i="8"/>
  <c r="W206" i="8"/>
  <c r="W704" i="8"/>
  <c r="X705" i="8" s="1"/>
  <c r="X608" i="8"/>
  <c r="X611" i="8" s="1"/>
  <c r="F87" i="8"/>
  <c r="F79" i="8"/>
  <c r="Q288" i="8"/>
  <c r="C321" i="8"/>
  <c r="D321" i="8"/>
  <c r="D328" i="8" s="1"/>
  <c r="D207" i="8" s="1"/>
  <c r="D208" i="8" s="1"/>
  <c r="D236" i="8" s="1"/>
  <c r="D237" i="8" s="1"/>
  <c r="E321" i="8"/>
  <c r="E328" i="8" s="1"/>
  <c r="E207" i="8" s="1"/>
  <c r="E208" i="8" s="1"/>
  <c r="E236" i="8" s="1"/>
  <c r="E237" i="8" s="1"/>
  <c r="F321" i="8"/>
  <c r="F328" i="8" s="1"/>
  <c r="F207" i="8" s="1"/>
  <c r="F208" i="8" s="1"/>
  <c r="F236" i="8" s="1"/>
  <c r="F237" i="8" s="1"/>
  <c r="G321" i="8"/>
  <c r="G328" i="8" s="1"/>
  <c r="G207" i="8" s="1"/>
  <c r="H321" i="8"/>
  <c r="H328" i="8" s="1"/>
  <c r="H207" i="8" s="1"/>
  <c r="I321" i="8"/>
  <c r="I328" i="8" s="1"/>
  <c r="I207" i="8" s="1"/>
  <c r="J321" i="8"/>
  <c r="J328" i="8" s="1"/>
  <c r="J207" i="8" s="1"/>
  <c r="K321" i="8"/>
  <c r="K328" i="8" s="1"/>
  <c r="K207" i="8" s="1"/>
  <c r="L321" i="8"/>
  <c r="L328" i="8" s="1"/>
  <c r="L207" i="8" s="1"/>
  <c r="M321" i="8"/>
  <c r="M328" i="8" s="1"/>
  <c r="M207" i="8" s="1"/>
  <c r="M208" i="8" s="1"/>
  <c r="M236" i="8" s="1"/>
  <c r="M237" i="8" s="1"/>
  <c r="N321" i="8"/>
  <c r="N328" i="8" s="1"/>
  <c r="N207" i="8" s="1"/>
  <c r="N208" i="8" s="1"/>
  <c r="N236" i="8" s="1"/>
  <c r="N237" i="8" s="1"/>
  <c r="O321" i="8"/>
  <c r="O328" i="8" s="1"/>
  <c r="O207" i="8" s="1"/>
  <c r="O208" i="8" s="1"/>
  <c r="O236" i="8" s="1"/>
  <c r="O237" i="8" s="1"/>
  <c r="P321" i="8"/>
  <c r="P328" i="8" s="1"/>
  <c r="P207" i="8" s="1"/>
  <c r="P208" i="8" s="1"/>
  <c r="P236" i="8" s="1"/>
  <c r="P237" i="8" s="1"/>
  <c r="Q321" i="8"/>
  <c r="Q328" i="8" s="1"/>
  <c r="Q207" i="8" s="1"/>
  <c r="Q208" i="8" s="1"/>
  <c r="Q236" i="8" s="1"/>
  <c r="Q237" i="8" s="1"/>
  <c r="R321" i="8"/>
  <c r="R328" i="8" s="1"/>
  <c r="R207" i="8" s="1"/>
  <c r="R208" i="8" s="1"/>
  <c r="R236" i="8" s="1"/>
  <c r="R237" i="8" s="1"/>
  <c r="S321" i="8"/>
  <c r="S328" i="8" s="1"/>
  <c r="S207" i="8" s="1"/>
  <c r="S208" i="8" s="1"/>
  <c r="S236" i="8" s="1"/>
  <c r="S237" i="8" s="1"/>
  <c r="T321" i="8"/>
  <c r="T328" i="8" s="1"/>
  <c r="T207" i="8" s="1"/>
  <c r="T208" i="8" s="1"/>
  <c r="T236" i="8" s="1"/>
  <c r="T237" i="8" s="1"/>
  <c r="U321" i="8"/>
  <c r="U328" i="8" s="1"/>
  <c r="U207" i="8" s="1"/>
  <c r="U208" i="8" s="1"/>
  <c r="U236" i="8" s="1"/>
  <c r="U237" i="8" s="1"/>
  <c r="V321" i="8"/>
  <c r="V328" i="8" s="1"/>
  <c r="V207" i="8" s="1"/>
  <c r="V208" i="8" s="1"/>
  <c r="V236" i="8" s="1"/>
  <c r="V237" i="8" s="1"/>
  <c r="W321" i="8"/>
  <c r="W328" i="8" s="1"/>
  <c r="W207" i="8" s="1"/>
  <c r="X321" i="8"/>
  <c r="X328" i="8" s="1"/>
  <c r="X207" i="8" s="1"/>
  <c r="Y321" i="8"/>
  <c r="Y328" i="8" s="1"/>
  <c r="Y207" i="8" s="1"/>
  <c r="Z321" i="8"/>
  <c r="Z328" i="8" s="1"/>
  <c r="Z207" i="8" s="1"/>
  <c r="AA321" i="8"/>
  <c r="AA328" i="8" s="1"/>
  <c r="AA207" i="8" s="1"/>
  <c r="AB321" i="8"/>
  <c r="AB328" i="8" s="1"/>
  <c r="AB207" i="8" s="1"/>
  <c r="AC321" i="8"/>
  <c r="AC328" i="8" s="1"/>
  <c r="AC207" i="8" s="1"/>
  <c r="AD321" i="8"/>
  <c r="AD328" i="8" s="1"/>
  <c r="AD207" i="8" s="1"/>
  <c r="AE321" i="8"/>
  <c r="AE328" i="8" s="1"/>
  <c r="AE207" i="8" s="1"/>
  <c r="AF321" i="8"/>
  <c r="AF328" i="8" s="1"/>
  <c r="AF207" i="8" s="1"/>
  <c r="AG321" i="8"/>
  <c r="AG328" i="8" s="1"/>
  <c r="AG207" i="8" s="1"/>
  <c r="AH321" i="8"/>
  <c r="AH328" i="8" s="1"/>
  <c r="AH207" i="8" s="1"/>
  <c r="AI321" i="8"/>
  <c r="AI328" i="8" s="1"/>
  <c r="AI207" i="8" s="1"/>
  <c r="AJ321" i="8"/>
  <c r="AJ328" i="8" s="1"/>
  <c r="AJ207" i="8" s="1"/>
  <c r="AK321" i="8"/>
  <c r="AK328" i="8" s="1"/>
  <c r="AK207" i="8" s="1"/>
  <c r="AL321" i="8"/>
  <c r="AL328" i="8" s="1"/>
  <c r="AL207" i="8" s="1"/>
  <c r="AM321" i="8"/>
  <c r="AM328" i="8" s="1"/>
  <c r="AM207" i="8" s="1"/>
  <c r="AN321" i="8"/>
  <c r="AN328" i="8" s="1"/>
  <c r="AN207" i="8" s="1"/>
  <c r="AO321" i="8"/>
  <c r="AO328" i="8" s="1"/>
  <c r="AO207" i="8" s="1"/>
  <c r="AP321" i="8"/>
  <c r="AP328" i="8" s="1"/>
  <c r="AP207" i="8" s="1"/>
  <c r="Q422" i="8"/>
  <c r="C455" i="8"/>
  <c r="D455" i="8"/>
  <c r="D462" i="8" s="1"/>
  <c r="D242" i="8" s="1"/>
  <c r="E455" i="8"/>
  <c r="E462" i="8" s="1"/>
  <c r="E242" i="8" s="1"/>
  <c r="F455" i="8"/>
  <c r="F462" i="8" s="1"/>
  <c r="F242" i="8" s="1"/>
  <c r="G455" i="8"/>
  <c r="G462" i="8" s="1"/>
  <c r="G242" i="8" s="1"/>
  <c r="H455" i="8"/>
  <c r="H462" i="8" s="1"/>
  <c r="H242" i="8" s="1"/>
  <c r="I455" i="8"/>
  <c r="I462" i="8" s="1"/>
  <c r="I242" i="8" s="1"/>
  <c r="J455" i="8"/>
  <c r="J462" i="8" s="1"/>
  <c r="J242" i="8" s="1"/>
  <c r="K455" i="8"/>
  <c r="K462" i="8" s="1"/>
  <c r="K242" i="8" s="1"/>
  <c r="L455" i="8"/>
  <c r="L462" i="8" s="1"/>
  <c r="L242" i="8" s="1"/>
  <c r="M455" i="8"/>
  <c r="M462" i="8" s="1"/>
  <c r="M242" i="8" s="1"/>
  <c r="N455" i="8"/>
  <c r="N462" i="8" s="1"/>
  <c r="N242" i="8" s="1"/>
  <c r="O455" i="8"/>
  <c r="O462" i="8" s="1"/>
  <c r="O242" i="8" s="1"/>
  <c r="P455" i="8"/>
  <c r="P462" i="8" s="1"/>
  <c r="P242" i="8" s="1"/>
  <c r="Q455" i="8"/>
  <c r="Q462" i="8" s="1"/>
  <c r="Q242" i="8" s="1"/>
  <c r="R455" i="8"/>
  <c r="R462" i="8" s="1"/>
  <c r="R242" i="8" s="1"/>
  <c r="S455" i="8"/>
  <c r="S462" i="8" s="1"/>
  <c r="S242" i="8" s="1"/>
  <c r="T455" i="8"/>
  <c r="T462" i="8" s="1"/>
  <c r="T242" i="8" s="1"/>
  <c r="U455" i="8"/>
  <c r="U462" i="8" s="1"/>
  <c r="U242" i="8" s="1"/>
  <c r="V455" i="8"/>
  <c r="V462" i="8" s="1"/>
  <c r="V242" i="8" s="1"/>
  <c r="W455" i="8"/>
  <c r="W462" i="8" s="1"/>
  <c r="W242" i="8" s="1"/>
  <c r="X455" i="8"/>
  <c r="X462" i="8" s="1"/>
  <c r="X242" i="8" s="1"/>
  <c r="Y455" i="8"/>
  <c r="Y462" i="8" s="1"/>
  <c r="Y242" i="8" s="1"/>
  <c r="Z455" i="8"/>
  <c r="Z462" i="8" s="1"/>
  <c r="Z242" i="8" s="1"/>
  <c r="AA455" i="8"/>
  <c r="AA462" i="8" s="1"/>
  <c r="AA242" i="8" s="1"/>
  <c r="AB455" i="8"/>
  <c r="AB462" i="8" s="1"/>
  <c r="AB242" i="8" s="1"/>
  <c r="AC455" i="8"/>
  <c r="AC462" i="8" s="1"/>
  <c r="AC242" i="8" s="1"/>
  <c r="AD455" i="8"/>
  <c r="AD462" i="8" s="1"/>
  <c r="AD242" i="8" s="1"/>
  <c r="AE455" i="8"/>
  <c r="AE462" i="8" s="1"/>
  <c r="AE242" i="8" s="1"/>
  <c r="AF455" i="8"/>
  <c r="AF462" i="8" s="1"/>
  <c r="AF242" i="8" s="1"/>
  <c r="AG455" i="8"/>
  <c r="AG462" i="8" s="1"/>
  <c r="AG242" i="8" s="1"/>
  <c r="AH455" i="8"/>
  <c r="AH462" i="8" s="1"/>
  <c r="AH242" i="8" s="1"/>
  <c r="AI455" i="8"/>
  <c r="AI462" i="8" s="1"/>
  <c r="AI242" i="8" s="1"/>
  <c r="AJ455" i="8"/>
  <c r="AJ462" i="8" s="1"/>
  <c r="AJ242" i="8" s="1"/>
  <c r="AK455" i="8"/>
  <c r="AK462" i="8" s="1"/>
  <c r="AK242" i="8" s="1"/>
  <c r="AL455" i="8"/>
  <c r="AL462" i="8" s="1"/>
  <c r="AL242" i="8" s="1"/>
  <c r="AM455" i="8"/>
  <c r="AM462" i="8" s="1"/>
  <c r="AM242" i="8" s="1"/>
  <c r="AN455" i="8"/>
  <c r="AN462" i="8" s="1"/>
  <c r="AN242" i="8" s="1"/>
  <c r="AO455" i="8"/>
  <c r="AO462" i="8" s="1"/>
  <c r="AO242" i="8" s="1"/>
  <c r="AP455" i="8"/>
  <c r="AP462" i="8" s="1"/>
  <c r="AP242" i="8" s="1"/>
  <c r="G554" i="7"/>
  <c r="AH604" i="7"/>
  <c r="AH607" i="7" s="1"/>
  <c r="AG700" i="7"/>
  <c r="AH701" i="7" s="1"/>
  <c r="AF96" i="7"/>
  <c r="AF88" i="7"/>
  <c r="AE97" i="7"/>
  <c r="AC15" i="2"/>
  <c r="AC50" i="2"/>
  <c r="AC232" i="2"/>
  <c r="AC271" i="2"/>
  <c r="AC17" i="2"/>
  <c r="AC52" i="2"/>
  <c r="AC234" i="2"/>
  <c r="AC273" i="2"/>
  <c r="AD71" i="2"/>
  <c r="AF757" i="2"/>
  <c r="AF399" i="2" s="1"/>
  <c r="AF534" i="2" s="1"/>
  <c r="AF755" i="2"/>
  <c r="AF397" i="2" s="1"/>
  <c r="AF532" i="2" s="1"/>
  <c r="AF753" i="2"/>
  <c r="AF395" i="2" s="1"/>
  <c r="AF530" i="2" s="1"/>
  <c r="AF751" i="2"/>
  <c r="AF393" i="2" s="1"/>
  <c r="AF528" i="2" s="1"/>
  <c r="AF749" i="2"/>
  <c r="AF391" i="2" s="1"/>
  <c r="AF526" i="2" s="1"/>
  <c r="AF725" i="2"/>
  <c r="AF373" i="2" s="1"/>
  <c r="AF508" i="2" s="1"/>
  <c r="AF758" i="2"/>
  <c r="AF400" i="2" s="1"/>
  <c r="AF535" i="2" s="1"/>
  <c r="AF756" i="2"/>
  <c r="AF398" i="2" s="1"/>
  <c r="AF533" i="2" s="1"/>
  <c r="AF754" i="2"/>
  <c r="AF396" i="2" s="1"/>
  <c r="AF531" i="2" s="1"/>
  <c r="AF752" i="2"/>
  <c r="AF394" i="2" s="1"/>
  <c r="AF529" i="2" s="1"/>
  <c r="AF750" i="2"/>
  <c r="AF392" i="2" s="1"/>
  <c r="AF527" i="2" s="1"/>
  <c r="AF726" i="2"/>
  <c r="AF374" i="2" s="1"/>
  <c r="AF509" i="2" s="1"/>
  <c r="AF724" i="2"/>
  <c r="AF372" i="2" s="1"/>
  <c r="AF507" i="2" s="1"/>
  <c r="AF723" i="2"/>
  <c r="AF371" i="2" s="1"/>
  <c r="AF506" i="2" s="1"/>
  <c r="AF721" i="2"/>
  <c r="AF369" i="2" s="1"/>
  <c r="AF504" i="2" s="1"/>
  <c r="AF719" i="2"/>
  <c r="AF367" i="2" s="1"/>
  <c r="AF502" i="2" s="1"/>
  <c r="AF717" i="2"/>
  <c r="AF365" i="2" s="1"/>
  <c r="AF500" i="2" s="1"/>
  <c r="AF693" i="2"/>
  <c r="AF348" i="2" s="1"/>
  <c r="AF482" i="2" s="1"/>
  <c r="AF691" i="2"/>
  <c r="AF346" i="2" s="1"/>
  <c r="AF480" i="2" s="1"/>
  <c r="AF689" i="2"/>
  <c r="AF344" i="2" s="1"/>
  <c r="AF478" i="2" s="1"/>
  <c r="AF687" i="2"/>
  <c r="AF342" i="2" s="1"/>
  <c r="AF476" i="2" s="1"/>
  <c r="AF685" i="2"/>
  <c r="AF340" i="2" s="1"/>
  <c r="AF474" i="2" s="1"/>
  <c r="AF761" i="2"/>
  <c r="AF764" i="2"/>
  <c r="AF765" i="2"/>
  <c r="AF767" i="2"/>
  <c r="AF769" i="2"/>
  <c r="AF722" i="2"/>
  <c r="AF370" i="2" s="1"/>
  <c r="AF505" i="2" s="1"/>
  <c r="AF718" i="2"/>
  <c r="AF366" i="2" s="1"/>
  <c r="AF501" i="2" s="1"/>
  <c r="AF694" i="2"/>
  <c r="AF349" i="2" s="1"/>
  <c r="AF483" i="2" s="1"/>
  <c r="AF690" i="2"/>
  <c r="AF345" i="2" s="1"/>
  <c r="AF479" i="2" s="1"/>
  <c r="AF720" i="2"/>
  <c r="AF368" i="2" s="1"/>
  <c r="AF503" i="2" s="1"/>
  <c r="AF692" i="2"/>
  <c r="AF347" i="2" s="1"/>
  <c r="AF481" i="2" s="1"/>
  <c r="AF688" i="2"/>
  <c r="AF343" i="2" s="1"/>
  <c r="AF477" i="2" s="1"/>
  <c r="AF768" i="2"/>
  <c r="AF766" i="2"/>
  <c r="AF732" i="2"/>
  <c r="AF734" i="2"/>
  <c r="AF736" i="2"/>
  <c r="AF686" i="2"/>
  <c r="AF341" i="2" s="1"/>
  <c r="AF475" i="2" s="1"/>
  <c r="AF729" i="2"/>
  <c r="AF733" i="2"/>
  <c r="AF735" i="2"/>
  <c r="AF737" i="2"/>
  <c r="AF738" i="2"/>
  <c r="AF763" i="2"/>
  <c r="AE727" i="2"/>
  <c r="AE712" i="2" s="1"/>
  <c r="AE69" i="2" s="1"/>
  <c r="AE759" i="2"/>
  <c r="AE744" i="2" s="1"/>
  <c r="AE70" i="2" s="1"/>
  <c r="AE61" i="2"/>
  <c r="AF697" i="2"/>
  <c r="AF33" i="2"/>
  <c r="AF35" i="2" s="1"/>
  <c r="AF37" i="2" s="1"/>
  <c r="AF39" i="2" s="1"/>
  <c r="AF552" i="2"/>
  <c r="AF553" i="2" s="1"/>
  <c r="AF558" i="2"/>
  <c r="AF559" i="2" s="1"/>
  <c r="AF667" i="2"/>
  <c r="AF618" i="2"/>
  <c r="AF625" i="2"/>
  <c r="AF617" i="2"/>
  <c r="AF634" i="2"/>
  <c r="AF624" i="2"/>
  <c r="AF635" i="2" s="1"/>
  <c r="AF639" i="2" s="1"/>
  <c r="AG11" i="2"/>
  <c r="AF318" i="2"/>
  <c r="AF320" i="2"/>
  <c r="AF322" i="2"/>
  <c r="AF451" i="2"/>
  <c r="AF452" i="2"/>
  <c r="AF453" i="2"/>
  <c r="AF454" i="2"/>
  <c r="AF455" i="2"/>
  <c r="AF456" i="2"/>
  <c r="AF640" i="2"/>
  <c r="AF317" i="2"/>
  <c r="AF321" i="2"/>
  <c r="AF319" i="2"/>
  <c r="AD121" i="2"/>
  <c r="AF19" i="2"/>
  <c r="AA242" i="2"/>
  <c r="AC120" i="2"/>
  <c r="AA206" i="2"/>
  <c r="AB43" i="2"/>
  <c r="T630" i="2"/>
  <c r="AF702" i="2"/>
  <c r="AF698" i="2"/>
  <c r="AF703" i="2"/>
  <c r="AF704" i="2"/>
  <c r="AF705" i="2"/>
  <c r="AF706" i="2"/>
  <c r="AC105" i="2"/>
  <c r="AF469" i="2"/>
  <c r="AE470" i="2"/>
  <c r="AF335" i="2"/>
  <c r="AE336" i="2"/>
  <c r="AE695" i="2"/>
  <c r="AE680" i="2" s="1"/>
  <c r="AE68" i="2" s="1"/>
  <c r="AC666" i="2"/>
  <c r="AE27" i="2"/>
  <c r="AD554" i="2"/>
  <c r="AD555" i="2" s="1"/>
  <c r="AD103" i="2" s="1"/>
  <c r="AD248" i="2" s="1"/>
  <c r="AD560" i="2"/>
  <c r="AD561" i="2" s="1"/>
  <c r="AD104" i="2" s="1"/>
  <c r="AF23" i="2"/>
  <c r="AF26" i="2"/>
  <c r="AF30" i="2"/>
  <c r="AF40" i="2"/>
  <c r="AC272" i="2"/>
  <c r="AC233" i="2"/>
  <c r="AB274" i="2"/>
  <c r="AB275" i="2" s="1"/>
  <c r="AC270" i="2"/>
  <c r="AC231" i="2"/>
  <c r="AB235" i="2"/>
  <c r="AB236" i="2" s="1"/>
  <c r="AC601" i="2"/>
  <c r="AD594" i="2"/>
  <c r="AD595" i="2" s="1"/>
  <c r="AD51" i="2" s="1"/>
  <c r="AD598" i="2"/>
  <c r="AD599" i="2" s="1"/>
  <c r="AD590" i="2"/>
  <c r="AD591" i="2" s="1"/>
  <c r="AD586" i="2"/>
  <c r="AD587" i="2" s="1"/>
  <c r="AF668" i="2"/>
  <c r="U633" i="2"/>
  <c r="U611" i="2" s="1"/>
  <c r="AE10" i="2"/>
  <c r="AE12" i="2" s="1"/>
  <c r="AD29" i="2"/>
  <c r="AD31" i="2" s="1"/>
  <c r="AD41" i="2" s="1"/>
  <c r="AC675" i="2" s="1"/>
  <c r="AD672" i="2" s="1"/>
  <c r="AG2" i="2"/>
  <c r="AF25" i="2"/>
  <c r="W208" i="8" l="1"/>
  <c r="W236" i="8" s="1"/>
  <c r="W237" i="8" s="1"/>
  <c r="W243" i="8" s="1"/>
  <c r="AG660" i="2"/>
  <c r="AG669" i="2"/>
  <c r="AG674" i="2"/>
  <c r="AH169" i="7"/>
  <c r="AH54" i="7"/>
  <c r="AH56" i="7" s="1"/>
  <c r="AH82" i="7" s="1"/>
  <c r="AH87" i="7" s="1"/>
  <c r="AH133" i="7"/>
  <c r="AG88" i="7"/>
  <c r="AG96" i="7"/>
  <c r="AG97" i="7" s="1"/>
  <c r="AC673" i="2"/>
  <c r="E88" i="7"/>
  <c r="E96" i="7"/>
  <c r="E97" i="7" s="1"/>
  <c r="F169" i="7"/>
  <c r="F54" i="7"/>
  <c r="F56" i="7" s="1"/>
  <c r="F133" i="7"/>
  <c r="AE55" i="2"/>
  <c r="AE244" i="2"/>
  <c r="AE208" i="2"/>
  <c r="U613" i="2"/>
  <c r="U608" i="2"/>
  <c r="U80" i="2" s="1"/>
  <c r="U81" i="2" s="1"/>
  <c r="AF622" i="2"/>
  <c r="AF623" i="2" s="1"/>
  <c r="AF612" i="2"/>
  <c r="AF653" i="2"/>
  <c r="AF650" i="2" s="1"/>
  <c r="AG655" i="2"/>
  <c r="AG659" i="2" s="1"/>
  <c r="AG654" i="2"/>
  <c r="AE650" i="2"/>
  <c r="AE651" i="2" s="1"/>
  <c r="AF648" i="2" s="1"/>
  <c r="AG5" i="2"/>
  <c r="AG638" i="2"/>
  <c r="AG658" i="2" s="1"/>
  <c r="AC18" i="2"/>
  <c r="AC20" i="2" s="1"/>
  <c r="AC43" i="2" s="1"/>
  <c r="M213" i="7"/>
  <c r="C100" i="7"/>
  <c r="C101" i="7" s="1"/>
  <c r="I344" i="7"/>
  <c r="J344" i="7" s="1"/>
  <c r="N210" i="7" s="1"/>
  <c r="O210" i="7" s="1"/>
  <c r="I345" i="7"/>
  <c r="J345" i="7" s="1"/>
  <c r="N345" i="7" s="1"/>
  <c r="N212" i="7"/>
  <c r="O212" i="7" s="1"/>
  <c r="Q212" i="7" s="1"/>
  <c r="N346" i="7"/>
  <c r="O346" i="7" s="1"/>
  <c r="Q346" i="7" s="1"/>
  <c r="N215" i="7"/>
  <c r="O215" i="7" s="1"/>
  <c r="Q215" i="7" s="1"/>
  <c r="N349" i="7"/>
  <c r="O349" i="7" s="1"/>
  <c r="Q349" i="7" s="1"/>
  <c r="N213" i="7"/>
  <c r="O213" i="7" s="1"/>
  <c r="Q213" i="7" s="1"/>
  <c r="N347" i="7"/>
  <c r="O347" i="7" s="1"/>
  <c r="Q347" i="7" s="1"/>
  <c r="N348" i="7"/>
  <c r="O348" i="7" s="1"/>
  <c r="Q348" i="7" s="1"/>
  <c r="N214" i="7"/>
  <c r="O214" i="7" s="1"/>
  <c r="Q214" i="7" s="1"/>
  <c r="M345" i="7"/>
  <c r="M351" i="7" s="1"/>
  <c r="J217" i="7"/>
  <c r="M217" i="7"/>
  <c r="AG620" i="2"/>
  <c r="AG621" i="2"/>
  <c r="AG597" i="2"/>
  <c r="AG593" i="2"/>
  <c r="AG589" i="2"/>
  <c r="AG585" i="2"/>
  <c r="W142" i="10"/>
  <c r="W154" i="10" s="1"/>
  <c r="W80" i="10"/>
  <c r="W81" i="10" s="1"/>
  <c r="W95" i="10" s="1"/>
  <c r="W284" i="10"/>
  <c r="W300" i="10" s="1"/>
  <c r="X74" i="10"/>
  <c r="X76" i="10" s="1"/>
  <c r="W220" i="10"/>
  <c r="W248" i="10" s="1"/>
  <c r="AD49" i="2"/>
  <c r="AD14" i="2"/>
  <c r="D122" i="10"/>
  <c r="T122" i="10"/>
  <c r="M122" i="10"/>
  <c r="I122" i="10"/>
  <c r="Q122" i="10"/>
  <c r="F122" i="10"/>
  <c r="J122" i="10"/>
  <c r="N122" i="10"/>
  <c r="R122" i="10"/>
  <c r="W109" i="10"/>
  <c r="W101" i="10"/>
  <c r="Y50" i="10"/>
  <c r="Y281" i="10"/>
  <c r="Y297" i="10" s="1"/>
  <c r="Y109" i="10"/>
  <c r="V87" i="8"/>
  <c r="V88" i="8" s="1"/>
  <c r="V79" i="8"/>
  <c r="W49" i="8"/>
  <c r="W73" i="8" s="1"/>
  <c r="W78" i="8" s="1"/>
  <c r="H122" i="10"/>
  <c r="L122" i="10"/>
  <c r="P122" i="10"/>
  <c r="V122" i="10"/>
  <c r="E122" i="10"/>
  <c r="G122" i="10"/>
  <c r="K122" i="10"/>
  <c r="O122" i="10"/>
  <c r="S122" i="10"/>
  <c r="U122" i="10"/>
  <c r="Z49" i="10"/>
  <c r="W122" i="10"/>
  <c r="Y101" i="10"/>
  <c r="AA649" i="10"/>
  <c r="AA652" i="10" s="1"/>
  <c r="Z745" i="10"/>
  <c r="AA746" i="10" s="1"/>
  <c r="X704" i="8"/>
  <c r="Y705" i="8" s="1"/>
  <c r="Y608" i="8"/>
  <c r="Y611" i="8" s="1"/>
  <c r="X241" i="8"/>
  <c r="X48" i="8"/>
  <c r="X206" i="8"/>
  <c r="X208" i="8" s="1"/>
  <c r="X236" i="8" s="1"/>
  <c r="X237" i="8" s="1"/>
  <c r="C462" i="8"/>
  <c r="B455" i="8"/>
  <c r="G208" i="8"/>
  <c r="G236" i="8" s="1"/>
  <c r="G237" i="8" s="1"/>
  <c r="V243" i="8"/>
  <c r="V98" i="8"/>
  <c r="T243" i="8"/>
  <c r="T98" i="8"/>
  <c r="R243" i="8"/>
  <c r="R98" i="8"/>
  <c r="P243" i="8"/>
  <c r="P98" i="8"/>
  <c r="N243" i="8"/>
  <c r="N98" i="8"/>
  <c r="F243" i="8"/>
  <c r="F98" i="8"/>
  <c r="D243" i="8"/>
  <c r="D98" i="8"/>
  <c r="F88" i="8"/>
  <c r="AC53" i="2"/>
  <c r="U243" i="8"/>
  <c r="U98" i="8"/>
  <c r="S243" i="8"/>
  <c r="S98" i="8"/>
  <c r="Q243" i="8"/>
  <c r="Q98" i="8"/>
  <c r="O243" i="8"/>
  <c r="O98" i="8"/>
  <c r="M243" i="8"/>
  <c r="M98" i="8"/>
  <c r="E243" i="8"/>
  <c r="E98" i="8"/>
  <c r="C328" i="8"/>
  <c r="B321" i="8"/>
  <c r="AI604" i="7"/>
  <c r="AI607" i="7" s="1"/>
  <c r="AH700" i="7"/>
  <c r="AI701" i="7" s="1"/>
  <c r="AF97" i="7"/>
  <c r="G559" i="7"/>
  <c r="G537" i="7" s="1"/>
  <c r="G80" i="7" s="1"/>
  <c r="AD15" i="2"/>
  <c r="AD50" i="2"/>
  <c r="AD232" i="2"/>
  <c r="AD271" i="2"/>
  <c r="AD17" i="2"/>
  <c r="AD52" i="2"/>
  <c r="AD234" i="2"/>
  <c r="AD273" i="2"/>
  <c r="AE71" i="2"/>
  <c r="AG758" i="2"/>
  <c r="AG400" i="2" s="1"/>
  <c r="AG535" i="2" s="1"/>
  <c r="AG756" i="2"/>
  <c r="AG398" i="2" s="1"/>
  <c r="AG533" i="2" s="1"/>
  <c r="AG754" i="2"/>
  <c r="AG396" i="2" s="1"/>
  <c r="AG531" i="2" s="1"/>
  <c r="AG752" i="2"/>
  <c r="AG394" i="2" s="1"/>
  <c r="AG529" i="2" s="1"/>
  <c r="AG750" i="2"/>
  <c r="AG392" i="2" s="1"/>
  <c r="AG527" i="2" s="1"/>
  <c r="AG726" i="2"/>
  <c r="AG374" i="2" s="1"/>
  <c r="AG509" i="2" s="1"/>
  <c r="AG724" i="2"/>
  <c r="AG372" i="2" s="1"/>
  <c r="AG507" i="2" s="1"/>
  <c r="AG757" i="2"/>
  <c r="AG399" i="2" s="1"/>
  <c r="AG534" i="2" s="1"/>
  <c r="AG755" i="2"/>
  <c r="AG397" i="2" s="1"/>
  <c r="AG532" i="2" s="1"/>
  <c r="AG753" i="2"/>
  <c r="AG395" i="2" s="1"/>
  <c r="AG530" i="2" s="1"/>
  <c r="AG751" i="2"/>
  <c r="AG393" i="2" s="1"/>
  <c r="AG528" i="2" s="1"/>
  <c r="AG749" i="2"/>
  <c r="AG391" i="2" s="1"/>
  <c r="AG526" i="2" s="1"/>
  <c r="AG725" i="2"/>
  <c r="AG373" i="2" s="1"/>
  <c r="AG508" i="2" s="1"/>
  <c r="AG722" i="2"/>
  <c r="AG370" i="2" s="1"/>
  <c r="AG505" i="2" s="1"/>
  <c r="AG720" i="2"/>
  <c r="AG368" i="2" s="1"/>
  <c r="AG503" i="2" s="1"/>
  <c r="AG718" i="2"/>
  <c r="AG366" i="2" s="1"/>
  <c r="AG501" i="2" s="1"/>
  <c r="AG694" i="2"/>
  <c r="AG692" i="2"/>
  <c r="AG690" i="2"/>
  <c r="AG345" i="2" s="1"/>
  <c r="AG479" i="2" s="1"/>
  <c r="AG688" i="2"/>
  <c r="AG686" i="2"/>
  <c r="AG766" i="2"/>
  <c r="AG768" i="2"/>
  <c r="AG723" i="2"/>
  <c r="AG371" i="2" s="1"/>
  <c r="AG506" i="2" s="1"/>
  <c r="AG719" i="2"/>
  <c r="AG367" i="2" s="1"/>
  <c r="AG502" i="2" s="1"/>
  <c r="AG691" i="2"/>
  <c r="AG687" i="2"/>
  <c r="AG342" i="2" s="1"/>
  <c r="AG476" i="2" s="1"/>
  <c r="AG721" i="2"/>
  <c r="AG369" i="2" s="1"/>
  <c r="AG504" i="2" s="1"/>
  <c r="AG717" i="2"/>
  <c r="AG365" i="2" s="1"/>
  <c r="AG500" i="2" s="1"/>
  <c r="AG693" i="2"/>
  <c r="AG689" i="2"/>
  <c r="AG685" i="2"/>
  <c r="AG761" i="2"/>
  <c r="AG765" i="2"/>
  <c r="AG769" i="2"/>
  <c r="AG767" i="2"/>
  <c r="AG770" i="2"/>
  <c r="AG729" i="2"/>
  <c r="AG733" i="2"/>
  <c r="AG735" i="2"/>
  <c r="AG737" i="2"/>
  <c r="AG764" i="2"/>
  <c r="AG730" i="2"/>
  <c r="AG734" i="2"/>
  <c r="AG736" i="2"/>
  <c r="AG738" i="2"/>
  <c r="AF727" i="2"/>
  <c r="AF712" i="2" s="1"/>
  <c r="AF69" i="2" s="1"/>
  <c r="AF759" i="2"/>
  <c r="AF744" i="2" s="1"/>
  <c r="AF70" i="2" s="1"/>
  <c r="AF61" i="2"/>
  <c r="AG697" i="2"/>
  <c r="AG33" i="2"/>
  <c r="AG35" i="2" s="1"/>
  <c r="AG37" i="2" s="1"/>
  <c r="AG39" i="2" s="1"/>
  <c r="AG552" i="2"/>
  <c r="AG553" i="2" s="1"/>
  <c r="AG558" i="2"/>
  <c r="AG559" i="2" s="1"/>
  <c r="AG634" i="2"/>
  <c r="AG624" i="2"/>
  <c r="AG635" i="2" s="1"/>
  <c r="AG639" i="2" s="1"/>
  <c r="AG667" i="2"/>
  <c r="AG618" i="2"/>
  <c r="AG625" i="2"/>
  <c r="AG617" i="2"/>
  <c r="AH11" i="2"/>
  <c r="AG317" i="2"/>
  <c r="AG319" i="2"/>
  <c r="AG321" i="2"/>
  <c r="AG318" i="2"/>
  <c r="AG322" i="2"/>
  <c r="AG451" i="2"/>
  <c r="AG453" i="2"/>
  <c r="AG455" i="2"/>
  <c r="AG320" i="2"/>
  <c r="AG452" i="2"/>
  <c r="AG454" i="2"/>
  <c r="AG456" i="2"/>
  <c r="AG640" i="2"/>
  <c r="AG19" i="2"/>
  <c r="AE121" i="2"/>
  <c r="AB47" i="2"/>
  <c r="AB242" i="2"/>
  <c r="AB206" i="2"/>
  <c r="AD120" i="2"/>
  <c r="U630" i="2"/>
  <c r="AG698" i="2"/>
  <c r="AG703" i="2"/>
  <c r="AG704" i="2"/>
  <c r="AG705" i="2"/>
  <c r="AG706" i="2"/>
  <c r="AG702" i="2"/>
  <c r="AD105" i="2"/>
  <c r="AG469" i="2"/>
  <c r="AF470" i="2"/>
  <c r="AG335" i="2"/>
  <c r="AG340" i="2"/>
  <c r="AG474" i="2" s="1"/>
  <c r="AG341" i="2"/>
  <c r="AG475" i="2" s="1"/>
  <c r="AG343" i="2"/>
  <c r="AG477" i="2" s="1"/>
  <c r="AG344" i="2"/>
  <c r="AG478" i="2" s="1"/>
  <c r="AG346" i="2"/>
  <c r="AG480" i="2" s="1"/>
  <c r="AG347" i="2"/>
  <c r="AG481" i="2" s="1"/>
  <c r="AG348" i="2"/>
  <c r="AG482" i="2" s="1"/>
  <c r="AG349" i="2"/>
  <c r="AG483" i="2" s="1"/>
  <c r="AF336" i="2"/>
  <c r="AF695" i="2"/>
  <c r="AF680" i="2" s="1"/>
  <c r="AF68" i="2" s="1"/>
  <c r="AD666" i="2"/>
  <c r="AF27" i="2"/>
  <c r="AE554" i="2"/>
  <c r="AE555" i="2" s="1"/>
  <c r="AE103" i="2" s="1"/>
  <c r="AE248" i="2" s="1"/>
  <c r="AE560" i="2"/>
  <c r="AE561" i="2" s="1"/>
  <c r="AE104" i="2" s="1"/>
  <c r="AC274" i="2"/>
  <c r="AC275" i="2" s="1"/>
  <c r="AG23" i="2"/>
  <c r="AG26" i="2"/>
  <c r="AG30" i="2"/>
  <c r="AG40" i="2"/>
  <c r="AC235" i="2"/>
  <c r="AC236" i="2" s="1"/>
  <c r="AD270" i="2"/>
  <c r="AD231" i="2"/>
  <c r="AD272" i="2"/>
  <c r="AD233" i="2"/>
  <c r="AD601" i="2"/>
  <c r="AE598" i="2"/>
  <c r="AE599" i="2" s="1"/>
  <c r="AE590" i="2"/>
  <c r="AE591" i="2" s="1"/>
  <c r="AE586" i="2"/>
  <c r="AE587" i="2" s="1"/>
  <c r="AE594" i="2"/>
  <c r="AE595" i="2" s="1"/>
  <c r="AE51" i="2" s="1"/>
  <c r="AG668" i="2"/>
  <c r="V633" i="2"/>
  <c r="V611" i="2" s="1"/>
  <c r="AE29" i="2"/>
  <c r="AE31" i="2" s="1"/>
  <c r="AE41" i="2" s="1"/>
  <c r="AD675" i="2" s="1"/>
  <c r="AE672" i="2" s="1"/>
  <c r="AH2" i="2"/>
  <c r="AG25" i="2"/>
  <c r="AF10" i="2"/>
  <c r="AF12" i="2" s="1"/>
  <c r="W98" i="8" l="1"/>
  <c r="N211" i="7"/>
  <c r="O211" i="7" s="1"/>
  <c r="AH660" i="2"/>
  <c r="AH674" i="2"/>
  <c r="AH669" i="2"/>
  <c r="AD673" i="2"/>
  <c r="AI133" i="7"/>
  <c r="AI169" i="7"/>
  <c r="AI54" i="7"/>
  <c r="AI56" i="7" s="1"/>
  <c r="AI82" i="7" s="1"/>
  <c r="AI87" i="7" s="1"/>
  <c r="AH88" i="7"/>
  <c r="AH96" i="7"/>
  <c r="AH97" i="7" s="1"/>
  <c r="G534" i="7"/>
  <c r="G535" i="7" s="1"/>
  <c r="H532" i="7" s="1"/>
  <c r="G539" i="7"/>
  <c r="F595" i="7" s="1"/>
  <c r="AF55" i="2"/>
  <c r="AF244" i="2"/>
  <c r="AF208" i="2"/>
  <c r="AG622" i="2"/>
  <c r="AG623" i="2" s="1"/>
  <c r="AF651" i="2"/>
  <c r="AG648" i="2" s="1"/>
  <c r="V613" i="2"/>
  <c r="V608" i="2"/>
  <c r="V80" i="2" s="1"/>
  <c r="V81" i="2" s="1"/>
  <c r="AG612" i="2"/>
  <c r="AH655" i="2"/>
  <c r="AH659" i="2" s="1"/>
  <c r="AH654" i="2"/>
  <c r="AG653" i="2"/>
  <c r="AH5" i="2"/>
  <c r="AH638" i="2"/>
  <c r="AH658" i="2" s="1"/>
  <c r="E246" i="8"/>
  <c r="E274" i="8" s="1"/>
  <c r="E275" i="8" s="1"/>
  <c r="E99" i="8" s="1"/>
  <c r="E100" i="8" s="1"/>
  <c r="E101" i="8" s="1"/>
  <c r="M246" i="8"/>
  <c r="M274" i="8" s="1"/>
  <c r="M275" i="8" s="1"/>
  <c r="M99" i="8" s="1"/>
  <c r="M100" i="8" s="1"/>
  <c r="M101" i="8" s="1"/>
  <c r="Q246" i="8"/>
  <c r="Q274" i="8" s="1"/>
  <c r="Q275" i="8" s="1"/>
  <c r="Q99" i="8" s="1"/>
  <c r="Q100" i="8" s="1"/>
  <c r="Q101" i="8" s="1"/>
  <c r="U246" i="8"/>
  <c r="U274" i="8" s="1"/>
  <c r="U275" i="8" s="1"/>
  <c r="U99" i="8" s="1"/>
  <c r="U100" i="8" s="1"/>
  <c r="U101" i="8" s="1"/>
  <c r="D246" i="8"/>
  <c r="D274" i="8" s="1"/>
  <c r="D275" i="8" s="1"/>
  <c r="D99" i="8" s="1"/>
  <c r="D100" i="8" s="1"/>
  <c r="D101" i="8" s="1"/>
  <c r="E108" i="8" s="1"/>
  <c r="P246" i="8"/>
  <c r="P274" i="8" s="1"/>
  <c r="P275" i="8" s="1"/>
  <c r="P99" i="8" s="1"/>
  <c r="P100" i="8" s="1"/>
  <c r="P101" i="8" s="1"/>
  <c r="T246" i="8"/>
  <c r="T274" i="8" s="1"/>
  <c r="T275" i="8" s="1"/>
  <c r="T99" i="8" s="1"/>
  <c r="T100" i="8" s="1"/>
  <c r="T101" i="8" s="1"/>
  <c r="O246" i="8"/>
  <c r="O274" i="8" s="1"/>
  <c r="O275" i="8" s="1"/>
  <c r="O99" i="8" s="1"/>
  <c r="O100" i="8" s="1"/>
  <c r="O101" i="8" s="1"/>
  <c r="S246" i="8"/>
  <c r="S274" i="8" s="1"/>
  <c r="S275" i="8" s="1"/>
  <c r="S99" i="8" s="1"/>
  <c r="S100" i="8" s="1"/>
  <c r="S101" i="8" s="1"/>
  <c r="W246" i="8"/>
  <c r="W274" i="8" s="1"/>
  <c r="W275" i="8" s="1"/>
  <c r="W99" i="8" s="1"/>
  <c r="W100" i="8" s="1"/>
  <c r="F246" i="8"/>
  <c r="F274" i="8" s="1"/>
  <c r="F275" i="8" s="1"/>
  <c r="F99" i="8" s="1"/>
  <c r="F100" i="8" s="1"/>
  <c r="F101" i="8" s="1"/>
  <c r="N246" i="8"/>
  <c r="N274" i="8" s="1"/>
  <c r="N275" i="8" s="1"/>
  <c r="N99" i="8" s="1"/>
  <c r="N100" i="8" s="1"/>
  <c r="N101" i="8" s="1"/>
  <c r="O108" i="8" s="1"/>
  <c r="R246" i="8"/>
  <c r="R274" i="8" s="1"/>
  <c r="R275" i="8" s="1"/>
  <c r="R99" i="8" s="1"/>
  <c r="R100" i="8" s="1"/>
  <c r="R101" i="8" s="1"/>
  <c r="S108" i="8" s="1"/>
  <c r="V246" i="8"/>
  <c r="V274" i="8" s="1"/>
  <c r="V275" i="8" s="1"/>
  <c r="V99" i="8" s="1"/>
  <c r="V100" i="8" s="1"/>
  <c r="V101" i="8" s="1"/>
  <c r="P211" i="7"/>
  <c r="Q211" i="7" s="1"/>
  <c r="O345" i="7"/>
  <c r="J351" i="7"/>
  <c r="N344" i="7"/>
  <c r="O344" i="7" s="1"/>
  <c r="AE386" i="7"/>
  <c r="O386" i="7"/>
  <c r="AP386" i="7"/>
  <c r="AH386" i="7"/>
  <c r="Z386" i="7"/>
  <c r="R386" i="7"/>
  <c r="J386" i="7"/>
  <c r="AI386" i="7"/>
  <c r="S386" i="7"/>
  <c r="D386" i="7"/>
  <c r="AJ386" i="7"/>
  <c r="AB386" i="7"/>
  <c r="T386" i="7"/>
  <c r="L386" i="7"/>
  <c r="I386" i="7"/>
  <c r="AO386" i="7"/>
  <c r="AC386" i="7"/>
  <c r="Q386" i="7"/>
  <c r="E386" i="7"/>
  <c r="AK386" i="7"/>
  <c r="AM386" i="7"/>
  <c r="W386" i="7"/>
  <c r="G386" i="7"/>
  <c r="AL386" i="7"/>
  <c r="AD386" i="7"/>
  <c r="V386" i="7"/>
  <c r="N386" i="7"/>
  <c r="F386" i="7"/>
  <c r="AA386" i="7"/>
  <c r="K386" i="7"/>
  <c r="AN386" i="7"/>
  <c r="AF386" i="7"/>
  <c r="X386" i="7"/>
  <c r="P386" i="7"/>
  <c r="H386" i="7"/>
  <c r="Y386" i="7"/>
  <c r="M386" i="7"/>
  <c r="C386" i="7"/>
  <c r="AG386" i="7"/>
  <c r="U386" i="7"/>
  <c r="D252" i="7"/>
  <c r="L252" i="7"/>
  <c r="T252" i="7"/>
  <c r="AB252" i="7"/>
  <c r="AJ252" i="7"/>
  <c r="C252" i="7"/>
  <c r="K252" i="7"/>
  <c r="S252" i="7"/>
  <c r="AA252" i="7"/>
  <c r="AI252" i="7"/>
  <c r="F252" i="7"/>
  <c r="N252" i="7"/>
  <c r="V252" i="7"/>
  <c r="AD252" i="7"/>
  <c r="AL252" i="7"/>
  <c r="E252" i="7"/>
  <c r="M252" i="7"/>
  <c r="U252" i="7"/>
  <c r="AC252" i="7"/>
  <c r="AK252" i="7"/>
  <c r="H252" i="7"/>
  <c r="P252" i="7"/>
  <c r="X252" i="7"/>
  <c r="AF252" i="7"/>
  <c r="AN252" i="7"/>
  <c r="G252" i="7"/>
  <c r="O252" i="7"/>
  <c r="W252" i="7"/>
  <c r="AE252" i="7"/>
  <c r="AM252" i="7"/>
  <c r="J252" i="7"/>
  <c r="R252" i="7"/>
  <c r="Z252" i="7"/>
  <c r="AH252" i="7"/>
  <c r="AP252" i="7"/>
  <c r="I252" i="7"/>
  <c r="Q252" i="7"/>
  <c r="Y252" i="7"/>
  <c r="AG252" i="7"/>
  <c r="AO252" i="7"/>
  <c r="R388" i="7"/>
  <c r="AA388" i="7"/>
  <c r="K388" i="7"/>
  <c r="Z388" i="7"/>
  <c r="AM388" i="7"/>
  <c r="W388" i="7"/>
  <c r="G388" i="7"/>
  <c r="L388" i="7"/>
  <c r="H388" i="7"/>
  <c r="AN388" i="7"/>
  <c r="M388" i="7"/>
  <c r="AC388" i="7"/>
  <c r="F388" i="7"/>
  <c r="AL388" i="7"/>
  <c r="T388" i="7"/>
  <c r="P388" i="7"/>
  <c r="I388" i="7"/>
  <c r="Y388" i="7"/>
  <c r="AO388" i="7"/>
  <c r="AD388" i="7"/>
  <c r="AH388" i="7"/>
  <c r="AI388" i="7"/>
  <c r="S388" i="7"/>
  <c r="AP388" i="7"/>
  <c r="J388" i="7"/>
  <c r="AE388" i="7"/>
  <c r="O388" i="7"/>
  <c r="C388" i="7"/>
  <c r="AB388" i="7"/>
  <c r="X388" i="7"/>
  <c r="E388" i="7"/>
  <c r="U388" i="7"/>
  <c r="AK388" i="7"/>
  <c r="V388" i="7"/>
  <c r="D388" i="7"/>
  <c r="AJ388" i="7"/>
  <c r="AF388" i="7"/>
  <c r="Q388" i="7"/>
  <c r="AG388" i="7"/>
  <c r="N388" i="7"/>
  <c r="G254" i="7"/>
  <c r="O254" i="7"/>
  <c r="W254" i="7"/>
  <c r="AE254" i="7"/>
  <c r="AM254" i="7"/>
  <c r="H254" i="7"/>
  <c r="P254" i="7"/>
  <c r="X254" i="7"/>
  <c r="AF254" i="7"/>
  <c r="AN254" i="7"/>
  <c r="I254" i="7"/>
  <c r="Q254" i="7"/>
  <c r="Y254" i="7"/>
  <c r="AG254" i="7"/>
  <c r="AO254" i="7"/>
  <c r="J254" i="7"/>
  <c r="R254" i="7"/>
  <c r="Z254" i="7"/>
  <c r="AH254" i="7"/>
  <c r="AP254" i="7"/>
  <c r="C254" i="7"/>
  <c r="K254" i="7"/>
  <c r="S254" i="7"/>
  <c r="AA254" i="7"/>
  <c r="AI254" i="7"/>
  <c r="D254" i="7"/>
  <c r="L254" i="7"/>
  <c r="T254" i="7"/>
  <c r="AB254" i="7"/>
  <c r="AJ254" i="7"/>
  <c r="E254" i="7"/>
  <c r="M254" i="7"/>
  <c r="U254" i="7"/>
  <c r="AC254" i="7"/>
  <c r="AK254" i="7"/>
  <c r="F254" i="7"/>
  <c r="N254" i="7"/>
  <c r="V254" i="7"/>
  <c r="AD254" i="7"/>
  <c r="AL254" i="7"/>
  <c r="AO387" i="7"/>
  <c r="AI387" i="7"/>
  <c r="K387" i="7"/>
  <c r="AN387" i="7"/>
  <c r="AF387" i="7"/>
  <c r="X387" i="7"/>
  <c r="P387" i="7"/>
  <c r="H387" i="7"/>
  <c r="AC387" i="7"/>
  <c r="AA387" i="7"/>
  <c r="G387" i="7"/>
  <c r="AL387" i="7"/>
  <c r="AD387" i="7"/>
  <c r="V387" i="7"/>
  <c r="N387" i="7"/>
  <c r="F387" i="7"/>
  <c r="AG387" i="7"/>
  <c r="W387" i="7"/>
  <c r="Q387" i="7"/>
  <c r="C387" i="7"/>
  <c r="U387" i="7"/>
  <c r="I387" i="7"/>
  <c r="S387" i="7"/>
  <c r="D387" i="7"/>
  <c r="AJ387" i="7"/>
  <c r="AB387" i="7"/>
  <c r="T387" i="7"/>
  <c r="L387" i="7"/>
  <c r="AK387" i="7"/>
  <c r="Y387" i="7"/>
  <c r="O387" i="7"/>
  <c r="AP387" i="7"/>
  <c r="AH387" i="7"/>
  <c r="Z387" i="7"/>
  <c r="R387" i="7"/>
  <c r="J387" i="7"/>
  <c r="AE387" i="7"/>
  <c r="E387" i="7"/>
  <c r="AM387" i="7"/>
  <c r="M387" i="7"/>
  <c r="C389" i="7"/>
  <c r="X389" i="7"/>
  <c r="AD389" i="7"/>
  <c r="N389" i="7"/>
  <c r="AO389" i="7"/>
  <c r="AG389" i="7"/>
  <c r="Y389" i="7"/>
  <c r="Q389" i="7"/>
  <c r="I389" i="7"/>
  <c r="AN389" i="7"/>
  <c r="AP389" i="7"/>
  <c r="Z389" i="7"/>
  <c r="AI389" i="7"/>
  <c r="AA389" i="7"/>
  <c r="K389" i="7"/>
  <c r="AM389" i="7"/>
  <c r="O389" i="7"/>
  <c r="P389" i="7"/>
  <c r="AJ389" i="7"/>
  <c r="T389" i="7"/>
  <c r="D389" i="7"/>
  <c r="AB389" i="7"/>
  <c r="AL389" i="7"/>
  <c r="V389" i="7"/>
  <c r="F389" i="7"/>
  <c r="AK389" i="7"/>
  <c r="AC389" i="7"/>
  <c r="U389" i="7"/>
  <c r="M389" i="7"/>
  <c r="E389" i="7"/>
  <c r="H389" i="7"/>
  <c r="AH389" i="7"/>
  <c r="R389" i="7"/>
  <c r="AE389" i="7"/>
  <c r="S389" i="7"/>
  <c r="J389" i="7"/>
  <c r="W389" i="7"/>
  <c r="G389" i="7"/>
  <c r="L389" i="7"/>
  <c r="AF389" i="7"/>
  <c r="I253" i="7"/>
  <c r="Q253" i="7"/>
  <c r="Y253" i="7"/>
  <c r="AG253" i="7"/>
  <c r="AO253" i="7"/>
  <c r="J253" i="7"/>
  <c r="R253" i="7"/>
  <c r="Z253" i="7"/>
  <c r="AH253" i="7"/>
  <c r="AP253" i="7"/>
  <c r="G253" i="7"/>
  <c r="O253" i="7"/>
  <c r="W253" i="7"/>
  <c r="AE253" i="7"/>
  <c r="AM253" i="7"/>
  <c r="H253" i="7"/>
  <c r="P253" i="7"/>
  <c r="X253" i="7"/>
  <c r="AF253" i="7"/>
  <c r="AN253" i="7"/>
  <c r="E253" i="7"/>
  <c r="M253" i="7"/>
  <c r="U253" i="7"/>
  <c r="AC253" i="7"/>
  <c r="AK253" i="7"/>
  <c r="F253" i="7"/>
  <c r="N253" i="7"/>
  <c r="V253" i="7"/>
  <c r="AD253" i="7"/>
  <c r="AL253" i="7"/>
  <c r="D253" i="7"/>
  <c r="K253" i="7"/>
  <c r="S253" i="7"/>
  <c r="AA253" i="7"/>
  <c r="AI253" i="7"/>
  <c r="C253" i="7"/>
  <c r="L253" i="7"/>
  <c r="T253" i="7"/>
  <c r="AB253" i="7"/>
  <c r="AJ253" i="7"/>
  <c r="I255" i="7"/>
  <c r="Q255" i="7"/>
  <c r="Y255" i="7"/>
  <c r="AG255" i="7"/>
  <c r="AO255" i="7"/>
  <c r="J255" i="7"/>
  <c r="R255" i="7"/>
  <c r="Z255" i="7"/>
  <c r="AH255" i="7"/>
  <c r="AP255" i="7"/>
  <c r="G255" i="7"/>
  <c r="O255" i="7"/>
  <c r="W255" i="7"/>
  <c r="AE255" i="7"/>
  <c r="AM255" i="7"/>
  <c r="H255" i="7"/>
  <c r="P255" i="7"/>
  <c r="X255" i="7"/>
  <c r="AF255" i="7"/>
  <c r="AN255" i="7"/>
  <c r="E255" i="7"/>
  <c r="M255" i="7"/>
  <c r="U255" i="7"/>
  <c r="AC255" i="7"/>
  <c r="AK255" i="7"/>
  <c r="F255" i="7"/>
  <c r="N255" i="7"/>
  <c r="V255" i="7"/>
  <c r="AD255" i="7"/>
  <c r="AL255" i="7"/>
  <c r="D255" i="7"/>
  <c r="K255" i="7"/>
  <c r="S255" i="7"/>
  <c r="AA255" i="7"/>
  <c r="AI255" i="7"/>
  <c r="C255" i="7"/>
  <c r="L255" i="7"/>
  <c r="T255" i="7"/>
  <c r="AB255" i="7"/>
  <c r="AJ255" i="7"/>
  <c r="N217" i="7"/>
  <c r="P210" i="7"/>
  <c r="O217" i="7"/>
  <c r="AH620" i="2"/>
  <c r="AH621" i="2"/>
  <c r="AH597" i="2"/>
  <c r="AH593" i="2"/>
  <c r="AH589" i="2"/>
  <c r="AH585" i="2"/>
  <c r="X142" i="10"/>
  <c r="X154" i="10" s="1"/>
  <c r="X80" i="10"/>
  <c r="X81" i="10" s="1"/>
  <c r="X95" i="10" s="1"/>
  <c r="X284" i="10"/>
  <c r="Y74" i="10"/>
  <c r="Y76" i="10" s="1"/>
  <c r="X220" i="10"/>
  <c r="X248" i="10" s="1"/>
  <c r="AE49" i="2"/>
  <c r="AE14" i="2"/>
  <c r="U123" i="10"/>
  <c r="O123" i="10"/>
  <c r="G123" i="10"/>
  <c r="V123" i="10"/>
  <c r="R123" i="10"/>
  <c r="N123" i="10"/>
  <c r="J123" i="10"/>
  <c r="F123" i="10"/>
  <c r="I123" i="10"/>
  <c r="M123" i="10"/>
  <c r="S123" i="10"/>
  <c r="K123" i="10"/>
  <c r="E123" i="10"/>
  <c r="T123" i="10"/>
  <c r="P123" i="10"/>
  <c r="L123" i="10"/>
  <c r="H123" i="10"/>
  <c r="D123" i="10"/>
  <c r="Q123" i="10"/>
  <c r="Y110" i="10"/>
  <c r="W110" i="10"/>
  <c r="W123" i="10" s="1"/>
  <c r="X109" i="10"/>
  <c r="X101" i="10"/>
  <c r="Z50" i="10"/>
  <c r="Z281" i="10"/>
  <c r="Z297" i="10" s="1"/>
  <c r="W79" i="8"/>
  <c r="W87" i="8"/>
  <c r="W88" i="8" s="1"/>
  <c r="AA49" i="10"/>
  <c r="X122" i="10"/>
  <c r="AD18" i="2"/>
  <c r="AD20" i="2" s="1"/>
  <c r="AD43" i="2" s="1"/>
  <c r="AD47" i="2" s="1"/>
  <c r="X49" i="8"/>
  <c r="X73" i="8" s="1"/>
  <c r="X78" i="8" s="1"/>
  <c r="AB649" i="10"/>
  <c r="AB652" i="10" s="1"/>
  <c r="AA745" i="10"/>
  <c r="AB746" i="10" s="1"/>
  <c r="Y122" i="10"/>
  <c r="X98" i="8"/>
  <c r="X243" i="8"/>
  <c r="Y206" i="8"/>
  <c r="Y208" i="8" s="1"/>
  <c r="Y236" i="8" s="1"/>
  <c r="Y237" i="8" s="1"/>
  <c r="Y241" i="8"/>
  <c r="Y48" i="8"/>
  <c r="Y704" i="8"/>
  <c r="Z705" i="8" s="1"/>
  <c r="Z608" i="8"/>
  <c r="Z611" i="8" s="1"/>
  <c r="G72" i="8"/>
  <c r="G73" i="8" s="1"/>
  <c r="G78" i="8" s="1"/>
  <c r="G243" i="8"/>
  <c r="G98" i="8"/>
  <c r="B328" i="8"/>
  <c r="C207" i="8"/>
  <c r="C208" i="8" s="1"/>
  <c r="C236" i="8" s="1"/>
  <c r="C237" i="8" s="1"/>
  <c r="C243" i="8" s="1"/>
  <c r="B462" i="8"/>
  <c r="C242" i="8"/>
  <c r="AD53" i="2"/>
  <c r="G556" i="7"/>
  <c r="G557" i="7" s="1"/>
  <c r="H560" i="7" s="1"/>
  <c r="H538" i="7" s="1"/>
  <c r="G81" i="7"/>
  <c r="AJ604" i="7"/>
  <c r="AJ607" i="7" s="1"/>
  <c r="AI700" i="7"/>
  <c r="AJ701" i="7" s="1"/>
  <c r="AE15" i="2"/>
  <c r="AE50" i="2"/>
  <c r="AE232" i="2"/>
  <c r="AE271" i="2"/>
  <c r="AE17" i="2"/>
  <c r="AE52" i="2"/>
  <c r="AE234" i="2"/>
  <c r="AE273" i="2"/>
  <c r="AF71" i="2"/>
  <c r="AG727" i="2"/>
  <c r="AG712" i="2" s="1"/>
  <c r="AG69" i="2" s="1"/>
  <c r="AH757" i="2"/>
  <c r="AH399" i="2" s="1"/>
  <c r="AH534" i="2" s="1"/>
  <c r="AH755" i="2"/>
  <c r="AH397" i="2" s="1"/>
  <c r="AH532" i="2" s="1"/>
  <c r="AH753" i="2"/>
  <c r="AH395" i="2" s="1"/>
  <c r="AH530" i="2" s="1"/>
  <c r="AH751" i="2"/>
  <c r="AH393" i="2" s="1"/>
  <c r="AH528" i="2" s="1"/>
  <c r="AH749" i="2"/>
  <c r="AH391" i="2" s="1"/>
  <c r="AH526" i="2" s="1"/>
  <c r="AH725" i="2"/>
  <c r="AH373" i="2" s="1"/>
  <c r="AH508" i="2" s="1"/>
  <c r="AH758" i="2"/>
  <c r="AH400" i="2" s="1"/>
  <c r="AH535" i="2" s="1"/>
  <c r="AH756" i="2"/>
  <c r="AH398" i="2" s="1"/>
  <c r="AH533" i="2" s="1"/>
  <c r="AH754" i="2"/>
  <c r="AH396" i="2" s="1"/>
  <c r="AH531" i="2" s="1"/>
  <c r="AH752" i="2"/>
  <c r="AH394" i="2" s="1"/>
  <c r="AH529" i="2" s="1"/>
  <c r="AH750" i="2"/>
  <c r="AH392" i="2" s="1"/>
  <c r="AH527" i="2" s="1"/>
  <c r="AH726" i="2"/>
  <c r="AH374" i="2" s="1"/>
  <c r="AH509" i="2" s="1"/>
  <c r="AH724" i="2"/>
  <c r="AH372" i="2" s="1"/>
  <c r="AH507" i="2" s="1"/>
  <c r="AH723" i="2"/>
  <c r="AH371" i="2" s="1"/>
  <c r="AH506" i="2" s="1"/>
  <c r="AH721" i="2"/>
  <c r="AH369" i="2" s="1"/>
  <c r="AH504" i="2" s="1"/>
  <c r="AH719" i="2"/>
  <c r="AH367" i="2" s="1"/>
  <c r="AH502" i="2" s="1"/>
  <c r="AH717" i="2"/>
  <c r="AH365" i="2" s="1"/>
  <c r="AH500" i="2" s="1"/>
  <c r="AH693" i="2"/>
  <c r="AH691" i="2"/>
  <c r="AH689" i="2"/>
  <c r="AH687" i="2"/>
  <c r="AH685" i="2"/>
  <c r="AH761" i="2"/>
  <c r="AH764" i="2"/>
  <c r="AH765" i="2"/>
  <c r="AH767" i="2"/>
  <c r="AH769" i="2"/>
  <c r="AH720" i="2"/>
  <c r="AH368" i="2" s="1"/>
  <c r="AH503" i="2" s="1"/>
  <c r="AH692" i="2"/>
  <c r="AH688" i="2"/>
  <c r="AH722" i="2"/>
  <c r="AH370" i="2" s="1"/>
  <c r="AH505" i="2" s="1"/>
  <c r="AH718" i="2"/>
  <c r="AH366" i="2" s="1"/>
  <c r="AH501" i="2" s="1"/>
  <c r="AH694" i="2"/>
  <c r="AH690" i="2"/>
  <c r="AH686" i="2"/>
  <c r="AH766" i="2"/>
  <c r="AH770" i="2"/>
  <c r="AH768" i="2"/>
  <c r="AH730" i="2"/>
  <c r="AH734" i="2"/>
  <c r="AH736" i="2"/>
  <c r="AH738" i="2"/>
  <c r="AH729" i="2"/>
  <c r="AH733" i="2"/>
  <c r="AH735" i="2"/>
  <c r="AH737" i="2"/>
  <c r="AG759" i="2"/>
  <c r="AG744" i="2" s="1"/>
  <c r="AG70" i="2" s="1"/>
  <c r="AG61" i="2"/>
  <c r="AH697" i="2"/>
  <c r="AH33" i="2"/>
  <c r="AH35" i="2" s="1"/>
  <c r="AH37" i="2" s="1"/>
  <c r="AH39" i="2" s="1"/>
  <c r="AH552" i="2"/>
  <c r="AH553" i="2" s="1"/>
  <c r="AH558" i="2"/>
  <c r="AH559" i="2" s="1"/>
  <c r="AH667" i="2"/>
  <c r="AH618" i="2"/>
  <c r="AH625" i="2"/>
  <c r="AH617" i="2"/>
  <c r="AH634" i="2"/>
  <c r="AH624" i="2"/>
  <c r="AH635" i="2" s="1"/>
  <c r="AH639" i="2" s="1"/>
  <c r="AI11" i="2"/>
  <c r="AH318" i="2"/>
  <c r="AH320" i="2"/>
  <c r="AH322" i="2"/>
  <c r="AH451" i="2"/>
  <c r="AH452" i="2"/>
  <c r="AH453" i="2"/>
  <c r="AH454" i="2"/>
  <c r="AH455" i="2"/>
  <c r="AH456" i="2"/>
  <c r="AH640" i="2"/>
  <c r="AH319" i="2"/>
  <c r="AH317" i="2"/>
  <c r="AH321" i="2"/>
  <c r="AF121" i="2"/>
  <c r="AH19" i="2"/>
  <c r="AC47" i="2"/>
  <c r="AC242" i="2"/>
  <c r="AC206" i="2"/>
  <c r="AE120" i="2"/>
  <c r="V630" i="2"/>
  <c r="AH702" i="2"/>
  <c r="AH698" i="2"/>
  <c r="AH703" i="2"/>
  <c r="AH704" i="2"/>
  <c r="AH705" i="2"/>
  <c r="AH706" i="2"/>
  <c r="AE105" i="2"/>
  <c r="AG470" i="2"/>
  <c r="AH469" i="2"/>
  <c r="AH335" i="2"/>
  <c r="AH340" i="2"/>
  <c r="AH474" i="2" s="1"/>
  <c r="AH341" i="2"/>
  <c r="AH475" i="2" s="1"/>
  <c r="AH342" i="2"/>
  <c r="AH476" i="2" s="1"/>
  <c r="AH343" i="2"/>
  <c r="AH477" i="2" s="1"/>
  <c r="AH344" i="2"/>
  <c r="AH478" i="2" s="1"/>
  <c r="AH345" i="2"/>
  <c r="AH479" i="2" s="1"/>
  <c r="AH346" i="2"/>
  <c r="AH480" i="2" s="1"/>
  <c r="AH347" i="2"/>
  <c r="AH481" i="2" s="1"/>
  <c r="AH348" i="2"/>
  <c r="AH482" i="2" s="1"/>
  <c r="AH349" i="2"/>
  <c r="AH483" i="2" s="1"/>
  <c r="AG336" i="2"/>
  <c r="AG695" i="2"/>
  <c r="AG680" i="2" s="1"/>
  <c r="AG68" i="2" s="1"/>
  <c r="AE666" i="2"/>
  <c r="AF554" i="2"/>
  <c r="AF555" i="2" s="1"/>
  <c r="AF103" i="2" s="1"/>
  <c r="AF248" i="2" s="1"/>
  <c r="AF560" i="2"/>
  <c r="AF561" i="2" s="1"/>
  <c r="AF104" i="2" s="1"/>
  <c r="AH40" i="2"/>
  <c r="AH23" i="2"/>
  <c r="AH26" i="2"/>
  <c r="AH30" i="2"/>
  <c r="AE270" i="2"/>
  <c r="AE231" i="2"/>
  <c r="AD274" i="2"/>
  <c r="AD275" i="2" s="1"/>
  <c r="AE272" i="2"/>
  <c r="AE233" i="2"/>
  <c r="AD235" i="2"/>
  <c r="AD236" i="2" s="1"/>
  <c r="AE601" i="2"/>
  <c r="AF594" i="2"/>
  <c r="AF595" i="2" s="1"/>
  <c r="AF51" i="2" s="1"/>
  <c r="AF598" i="2"/>
  <c r="AF599" i="2" s="1"/>
  <c r="AF590" i="2"/>
  <c r="AF591" i="2" s="1"/>
  <c r="AF586" i="2"/>
  <c r="AF587" i="2" s="1"/>
  <c r="AH668" i="2"/>
  <c r="W633" i="2"/>
  <c r="W611" i="2" s="1"/>
  <c r="AG10" i="2"/>
  <c r="AG12" i="2" s="1"/>
  <c r="AG27" i="2"/>
  <c r="AI2" i="2"/>
  <c r="AH25" i="2"/>
  <c r="AF29" i="2"/>
  <c r="AF31" i="2" s="1"/>
  <c r="AF41" i="2" s="1"/>
  <c r="AE675" i="2" s="1"/>
  <c r="AF672" i="2" s="1"/>
  <c r="AF674" i="2" s="1"/>
  <c r="O351" i="7" l="1"/>
  <c r="T108" i="8"/>
  <c r="AI660" i="2"/>
  <c r="AI669" i="2"/>
  <c r="AI674" i="2"/>
  <c r="P108" i="8"/>
  <c r="AI88" i="7"/>
  <c r="AI96" i="7"/>
  <c r="AI97" i="7" s="1"/>
  <c r="AJ169" i="7"/>
  <c r="AJ133" i="7"/>
  <c r="AJ54" i="7"/>
  <c r="AJ56" i="7" s="1"/>
  <c r="AJ82" i="7" s="1"/>
  <c r="AJ87" i="7" s="1"/>
  <c r="AE673" i="2"/>
  <c r="P217" i="7"/>
  <c r="C256" i="7" s="1"/>
  <c r="B256" i="7" s="1"/>
  <c r="Q108" i="8"/>
  <c r="U108" i="8"/>
  <c r="V108" i="8"/>
  <c r="N108" i="8"/>
  <c r="R108" i="8"/>
  <c r="F108" i="8"/>
  <c r="V107" i="8"/>
  <c r="N107" i="8"/>
  <c r="O107" i="8"/>
  <c r="P107" i="8"/>
  <c r="U107" i="8"/>
  <c r="M107" i="8"/>
  <c r="R107" i="8"/>
  <c r="F107" i="8"/>
  <c r="S107" i="8"/>
  <c r="T107" i="8"/>
  <c r="D107" i="8"/>
  <c r="Q107" i="8"/>
  <c r="E107" i="8"/>
  <c r="H170" i="7"/>
  <c r="H134" i="7"/>
  <c r="H55" i="7"/>
  <c r="G592" i="7"/>
  <c r="F700" i="7"/>
  <c r="G701" i="7" s="1"/>
  <c r="F593" i="7"/>
  <c r="F61" i="7" s="1"/>
  <c r="F66" i="7" s="1"/>
  <c r="F72" i="7" s="1"/>
  <c r="F82" i="7" s="1"/>
  <c r="F87" i="7" s="1"/>
  <c r="AG55" i="2"/>
  <c r="AG244" i="2"/>
  <c r="AG208" i="2"/>
  <c r="AE53" i="2"/>
  <c r="W613" i="2"/>
  <c r="W608" i="2"/>
  <c r="W80" i="2" s="1"/>
  <c r="W81" i="2" s="1"/>
  <c r="AH612" i="2"/>
  <c r="AH622" i="2"/>
  <c r="AH653" i="2"/>
  <c r="AH650" i="2" s="1"/>
  <c r="AI655" i="2"/>
  <c r="AI659" i="2" s="1"/>
  <c r="AI654" i="2"/>
  <c r="AG650" i="2"/>
  <c r="AG651" i="2" s="1"/>
  <c r="AH648" i="2" s="1"/>
  <c r="AI5" i="2"/>
  <c r="AI638" i="2"/>
  <c r="AI658" i="2" s="1"/>
  <c r="P344" i="7"/>
  <c r="Q344" i="7" s="1"/>
  <c r="C384" i="7" s="1"/>
  <c r="N351" i="7"/>
  <c r="G246" i="8"/>
  <c r="G274" i="8" s="1"/>
  <c r="G275" i="8" s="1"/>
  <c r="G99" i="8" s="1"/>
  <c r="G100" i="8" s="1"/>
  <c r="X246" i="8"/>
  <c r="X274" i="8" s="1"/>
  <c r="X275" i="8" s="1"/>
  <c r="X99" i="8" s="1"/>
  <c r="X100" i="8" s="1"/>
  <c r="C246" i="8"/>
  <c r="C274" i="8" s="1"/>
  <c r="C275" i="8" s="1"/>
  <c r="C99" i="8" s="1"/>
  <c r="P345" i="7"/>
  <c r="Q345" i="7" s="1"/>
  <c r="E251" i="7"/>
  <c r="AJ251" i="7"/>
  <c r="C251" i="7"/>
  <c r="T251" i="7"/>
  <c r="AL251" i="7"/>
  <c r="AB251" i="7"/>
  <c r="AI251" i="7"/>
  <c r="D251" i="7"/>
  <c r="J251" i="7"/>
  <c r="AF251" i="7"/>
  <c r="P251" i="7"/>
  <c r="AM251" i="7"/>
  <c r="W251" i="7"/>
  <c r="G251" i="7"/>
  <c r="AH251" i="7"/>
  <c r="R251" i="7"/>
  <c r="Y251" i="7"/>
  <c r="N251" i="7"/>
  <c r="AK251" i="7"/>
  <c r="U251" i="7"/>
  <c r="K251" i="7"/>
  <c r="V251" i="7"/>
  <c r="AA251" i="7"/>
  <c r="AG251" i="7"/>
  <c r="L251" i="7"/>
  <c r="S251" i="7"/>
  <c r="AD251" i="7"/>
  <c r="Q251" i="7"/>
  <c r="AN251" i="7"/>
  <c r="X251" i="7"/>
  <c r="H251" i="7"/>
  <c r="AE251" i="7"/>
  <c r="O251" i="7"/>
  <c r="AP251" i="7"/>
  <c r="Z251" i="7"/>
  <c r="AO251" i="7"/>
  <c r="I251" i="7"/>
  <c r="F251" i="7"/>
  <c r="AC251" i="7"/>
  <c r="M251" i="7"/>
  <c r="B254" i="7"/>
  <c r="B389" i="7"/>
  <c r="B252" i="7"/>
  <c r="B386" i="7"/>
  <c r="B253" i="7"/>
  <c r="B387" i="7"/>
  <c r="B388" i="7"/>
  <c r="Q210" i="7"/>
  <c r="D250" i="7" s="1"/>
  <c r="B255" i="7"/>
  <c r="AH623" i="2"/>
  <c r="AI620" i="2"/>
  <c r="AI621" i="2"/>
  <c r="AI597" i="2"/>
  <c r="AI593" i="2"/>
  <c r="AI589" i="2"/>
  <c r="AI585" i="2"/>
  <c r="Y142" i="10"/>
  <c r="Y154" i="10" s="1"/>
  <c r="Y80" i="10"/>
  <c r="Y81" i="10" s="1"/>
  <c r="Y95" i="10" s="1"/>
  <c r="X300" i="10"/>
  <c r="W101" i="8"/>
  <c r="Y284" i="10"/>
  <c r="Z74" i="10"/>
  <c r="Z76" i="10" s="1"/>
  <c r="Y220" i="10"/>
  <c r="Y248" i="10" s="1"/>
  <c r="AF49" i="2"/>
  <c r="AF14" i="2"/>
  <c r="Y123" i="10"/>
  <c r="X110" i="10"/>
  <c r="X123" i="10" s="1"/>
  <c r="AA50" i="10"/>
  <c r="AA281" i="10"/>
  <c r="AA297" i="10" s="1"/>
  <c r="AA109" i="10"/>
  <c r="X87" i="8"/>
  <c r="X88" i="8" s="1"/>
  <c r="X79" i="8"/>
  <c r="Y49" i="8"/>
  <c r="Y73" i="8" s="1"/>
  <c r="Y78" i="8" s="1"/>
  <c r="Z122" i="10"/>
  <c r="AC649" i="10"/>
  <c r="AC652" i="10" s="1"/>
  <c r="AB745" i="10"/>
  <c r="AC746" i="10" s="1"/>
  <c r="C122" i="10"/>
  <c r="AB49" i="10"/>
  <c r="Z704" i="8"/>
  <c r="AA705" i="8" s="1"/>
  <c r="AA608" i="8"/>
  <c r="AA611" i="8" s="1"/>
  <c r="Y98" i="8"/>
  <c r="Y243" i="8"/>
  <c r="Z241" i="8"/>
  <c r="Z48" i="8"/>
  <c r="Z206" i="8"/>
  <c r="Z208" i="8" s="1"/>
  <c r="Z236" i="8" s="1"/>
  <c r="Z237" i="8" s="1"/>
  <c r="G87" i="8"/>
  <c r="G79" i="8"/>
  <c r="C98" i="8"/>
  <c r="AE18" i="2"/>
  <c r="AE20" i="2" s="1"/>
  <c r="AE43" i="2" s="1"/>
  <c r="AE47" i="2" s="1"/>
  <c r="H554" i="7"/>
  <c r="AK604" i="7"/>
  <c r="AK607" i="7" s="1"/>
  <c r="AJ700" i="7"/>
  <c r="AK701" i="7" s="1"/>
  <c r="AF15" i="2"/>
  <c r="AF50" i="2"/>
  <c r="AF232" i="2"/>
  <c r="AF271" i="2"/>
  <c r="AF17" i="2"/>
  <c r="AF52" i="2"/>
  <c r="AF234" i="2"/>
  <c r="AF273" i="2"/>
  <c r="AG71" i="2"/>
  <c r="AI758" i="2"/>
  <c r="AI400" i="2" s="1"/>
  <c r="AI535" i="2" s="1"/>
  <c r="AI756" i="2"/>
  <c r="AI398" i="2" s="1"/>
  <c r="AI533" i="2" s="1"/>
  <c r="AI754" i="2"/>
  <c r="AI396" i="2" s="1"/>
  <c r="AI531" i="2" s="1"/>
  <c r="AI752" i="2"/>
  <c r="AI394" i="2" s="1"/>
  <c r="AI529" i="2" s="1"/>
  <c r="AI750" i="2"/>
  <c r="AI392" i="2" s="1"/>
  <c r="AI527" i="2" s="1"/>
  <c r="AI726" i="2"/>
  <c r="AI374" i="2" s="1"/>
  <c r="AI509" i="2" s="1"/>
  <c r="AI724" i="2"/>
  <c r="AI372" i="2" s="1"/>
  <c r="AI507" i="2" s="1"/>
  <c r="AI757" i="2"/>
  <c r="AI399" i="2" s="1"/>
  <c r="AI534" i="2" s="1"/>
  <c r="AI755" i="2"/>
  <c r="AI397" i="2" s="1"/>
  <c r="AI532" i="2" s="1"/>
  <c r="AI753" i="2"/>
  <c r="AI395" i="2" s="1"/>
  <c r="AI530" i="2" s="1"/>
  <c r="AI751" i="2"/>
  <c r="AI393" i="2" s="1"/>
  <c r="AI528" i="2" s="1"/>
  <c r="AI749" i="2"/>
  <c r="AI391" i="2" s="1"/>
  <c r="AI526" i="2" s="1"/>
  <c r="AI725" i="2"/>
  <c r="AI373" i="2" s="1"/>
  <c r="AI508" i="2" s="1"/>
  <c r="AI722" i="2"/>
  <c r="AI370" i="2" s="1"/>
  <c r="AI505" i="2" s="1"/>
  <c r="AI720" i="2"/>
  <c r="AI368" i="2" s="1"/>
  <c r="AI503" i="2" s="1"/>
  <c r="AI718" i="2"/>
  <c r="AI366" i="2" s="1"/>
  <c r="AI501" i="2" s="1"/>
  <c r="AI694" i="2"/>
  <c r="AI692" i="2"/>
  <c r="AI690" i="2"/>
  <c r="AI688" i="2"/>
  <c r="AI686" i="2"/>
  <c r="AI766" i="2"/>
  <c r="AI768" i="2"/>
  <c r="AI721" i="2"/>
  <c r="AI369" i="2" s="1"/>
  <c r="AI504" i="2" s="1"/>
  <c r="AI717" i="2"/>
  <c r="AI365" i="2" s="1"/>
  <c r="AI500" i="2" s="1"/>
  <c r="AI693" i="2"/>
  <c r="AI689" i="2"/>
  <c r="AI344" i="2" s="1"/>
  <c r="AI478" i="2" s="1"/>
  <c r="AI723" i="2"/>
  <c r="AI371" i="2" s="1"/>
  <c r="AI506" i="2" s="1"/>
  <c r="AI719" i="2"/>
  <c r="AI367" i="2" s="1"/>
  <c r="AI502" i="2" s="1"/>
  <c r="AI691" i="2"/>
  <c r="AI687" i="2"/>
  <c r="AI342" i="2" s="1"/>
  <c r="AI476" i="2" s="1"/>
  <c r="AI764" i="2"/>
  <c r="AI767" i="2"/>
  <c r="AI685" i="2"/>
  <c r="AI761" i="2"/>
  <c r="AI769" i="2"/>
  <c r="AI729" i="2"/>
  <c r="AI733" i="2"/>
  <c r="AI735" i="2"/>
  <c r="AI737" i="2"/>
  <c r="AI765" i="2"/>
  <c r="AI770" i="2"/>
  <c r="AI730" i="2"/>
  <c r="AI734" i="2"/>
  <c r="AI736" i="2"/>
  <c r="AI738" i="2"/>
  <c r="AH727" i="2"/>
  <c r="AH712" i="2" s="1"/>
  <c r="AH69" i="2" s="1"/>
  <c r="AH759" i="2"/>
  <c r="AH744" i="2" s="1"/>
  <c r="AH70" i="2" s="1"/>
  <c r="AH61" i="2"/>
  <c r="AI697" i="2"/>
  <c r="AI33" i="2"/>
  <c r="AI35" i="2" s="1"/>
  <c r="AI37" i="2" s="1"/>
  <c r="AI39" i="2" s="1"/>
  <c r="AI552" i="2"/>
  <c r="AI553" i="2" s="1"/>
  <c r="AI558" i="2"/>
  <c r="AI559" i="2" s="1"/>
  <c r="AI634" i="2"/>
  <c r="AI624" i="2"/>
  <c r="AI635" i="2" s="1"/>
  <c r="AI639" i="2" s="1"/>
  <c r="AI667" i="2"/>
  <c r="AI618" i="2"/>
  <c r="AI625" i="2"/>
  <c r="AI617" i="2"/>
  <c r="AJ11" i="2"/>
  <c r="AI317" i="2"/>
  <c r="AI319" i="2"/>
  <c r="AI321" i="2"/>
  <c r="AI320" i="2"/>
  <c r="AI452" i="2"/>
  <c r="AI454" i="2"/>
  <c r="AI456" i="2"/>
  <c r="AI640" i="2"/>
  <c r="AI318" i="2"/>
  <c r="AI322" i="2"/>
  <c r="AI451" i="2"/>
  <c r="AI453" i="2"/>
  <c r="AI455" i="2"/>
  <c r="AI19" i="2"/>
  <c r="AG121" i="2"/>
  <c r="AD242" i="2"/>
  <c r="AD206" i="2"/>
  <c r="AF120" i="2"/>
  <c r="W630" i="2"/>
  <c r="AI698" i="2"/>
  <c r="AI700" i="2"/>
  <c r="AI703" i="2"/>
  <c r="AI704" i="2"/>
  <c r="AI705" i="2"/>
  <c r="AI706" i="2"/>
  <c r="AI702" i="2"/>
  <c r="AF105" i="2"/>
  <c r="AF53" i="2"/>
  <c r="AI469" i="2"/>
  <c r="AH470" i="2"/>
  <c r="AI335" i="2"/>
  <c r="AI340" i="2"/>
  <c r="AI474" i="2" s="1"/>
  <c r="AI341" i="2"/>
  <c r="AI475" i="2" s="1"/>
  <c r="AI343" i="2"/>
  <c r="AI477" i="2" s="1"/>
  <c r="AI345" i="2"/>
  <c r="AI479" i="2" s="1"/>
  <c r="AI346" i="2"/>
  <c r="AI480" i="2" s="1"/>
  <c r="AI347" i="2"/>
  <c r="AI481" i="2" s="1"/>
  <c r="AI348" i="2"/>
  <c r="AI482" i="2" s="1"/>
  <c r="AI349" i="2"/>
  <c r="AI483" i="2" s="1"/>
  <c r="AH336" i="2"/>
  <c r="AH695" i="2"/>
  <c r="AH680" i="2" s="1"/>
  <c r="AH68" i="2" s="1"/>
  <c r="AF666" i="2"/>
  <c r="AG554" i="2"/>
  <c r="AG555" i="2" s="1"/>
  <c r="AG103" i="2" s="1"/>
  <c r="AG248" i="2" s="1"/>
  <c r="AG560" i="2"/>
  <c r="AG561" i="2" s="1"/>
  <c r="AG104" i="2" s="1"/>
  <c r="AI23" i="2"/>
  <c r="AI26" i="2"/>
  <c r="AI30" i="2"/>
  <c r="AI40" i="2"/>
  <c r="AF270" i="2"/>
  <c r="AF231" i="2"/>
  <c r="AF272" i="2"/>
  <c r="AF233" i="2"/>
  <c r="AE274" i="2"/>
  <c r="AE275" i="2" s="1"/>
  <c r="AE235" i="2"/>
  <c r="AE236" i="2" s="1"/>
  <c r="AF601" i="2"/>
  <c r="AG598" i="2"/>
  <c r="AG599" i="2" s="1"/>
  <c r="AG590" i="2"/>
  <c r="AG591" i="2" s="1"/>
  <c r="AG586" i="2"/>
  <c r="AG587" i="2" s="1"/>
  <c r="AG594" i="2"/>
  <c r="AG595" i="2" s="1"/>
  <c r="AG51" i="2" s="1"/>
  <c r="AI668" i="2"/>
  <c r="AH27" i="2"/>
  <c r="X633" i="2"/>
  <c r="X611" i="2" s="1"/>
  <c r="AG29" i="2"/>
  <c r="AG31" i="2" s="1"/>
  <c r="AG41" i="2" s="1"/>
  <c r="AF675" i="2" s="1"/>
  <c r="AJ2" i="2"/>
  <c r="AI25" i="2"/>
  <c r="AH10" i="2"/>
  <c r="AH12" i="2" s="1"/>
  <c r="Q217" i="7" l="1"/>
  <c r="AJ660" i="2"/>
  <c r="AJ674" i="2"/>
  <c r="AJ669" i="2"/>
  <c r="AF673" i="2"/>
  <c r="AG672" i="2"/>
  <c r="AK169" i="7"/>
  <c r="AK133" i="7"/>
  <c r="AK54" i="7"/>
  <c r="AK56" i="7" s="1"/>
  <c r="AK82" i="7" s="1"/>
  <c r="AK87" i="7" s="1"/>
  <c r="AJ88" i="7"/>
  <c r="AJ96" i="7"/>
  <c r="AJ97" i="7" s="1"/>
  <c r="W108" i="8"/>
  <c r="W107" i="8"/>
  <c r="G133" i="7"/>
  <c r="G169" i="7"/>
  <c r="G54" i="7"/>
  <c r="G56" i="7" s="1"/>
  <c r="F96" i="7"/>
  <c r="F97" i="7" s="1"/>
  <c r="F88" i="7"/>
  <c r="AH55" i="2"/>
  <c r="AH244" i="2"/>
  <c r="AH208" i="2"/>
  <c r="X613" i="2"/>
  <c r="X608" i="2"/>
  <c r="X80" i="2" s="1"/>
  <c r="X81" i="2" s="1"/>
  <c r="AI612" i="2"/>
  <c r="AI622" i="2"/>
  <c r="AH651" i="2"/>
  <c r="AI648" i="2" s="1"/>
  <c r="AI653" i="2"/>
  <c r="AJ655" i="2"/>
  <c r="AJ659" i="2" s="1"/>
  <c r="AJ654" i="2"/>
  <c r="AJ5" i="2"/>
  <c r="AJ638" i="2"/>
  <c r="AJ658" i="2" s="1"/>
  <c r="D257" i="7"/>
  <c r="D135" i="7" s="1"/>
  <c r="D136" i="7" s="1"/>
  <c r="D164" i="7" s="1"/>
  <c r="D165" i="7" s="1"/>
  <c r="D107" i="7" s="1"/>
  <c r="AF384" i="7"/>
  <c r="AO384" i="7"/>
  <c r="P384" i="7"/>
  <c r="Y384" i="7"/>
  <c r="AN384" i="7"/>
  <c r="X384" i="7"/>
  <c r="H384" i="7"/>
  <c r="AG384" i="7"/>
  <c r="Q384" i="7"/>
  <c r="B251" i="7"/>
  <c r="X101" i="8"/>
  <c r="Y246" i="8"/>
  <c r="Y274" i="8" s="1"/>
  <c r="Y275" i="8" s="1"/>
  <c r="Y99" i="8" s="1"/>
  <c r="Y100" i="8" s="1"/>
  <c r="W385" i="7"/>
  <c r="D385" i="7"/>
  <c r="M385" i="7"/>
  <c r="AF385" i="7"/>
  <c r="P385" i="7"/>
  <c r="AE385" i="7"/>
  <c r="AP385" i="7"/>
  <c r="R385" i="7"/>
  <c r="AG385" i="7"/>
  <c r="N385" i="7"/>
  <c r="AK385" i="7"/>
  <c r="E385" i="7"/>
  <c r="AB385" i="7"/>
  <c r="L385" i="7"/>
  <c r="AO385" i="7"/>
  <c r="AL385" i="7"/>
  <c r="J385" i="7"/>
  <c r="I385" i="7"/>
  <c r="F385" i="7"/>
  <c r="AM385" i="7"/>
  <c r="AA385" i="7"/>
  <c r="AC385" i="7"/>
  <c r="AN385" i="7"/>
  <c r="X385" i="7"/>
  <c r="H385" i="7"/>
  <c r="Y385" i="7"/>
  <c r="AD385" i="7"/>
  <c r="S385" i="7"/>
  <c r="AH385" i="7"/>
  <c r="C385" i="7"/>
  <c r="U385" i="7"/>
  <c r="AJ385" i="7"/>
  <c r="T385" i="7"/>
  <c r="K385" i="7"/>
  <c r="Q385" i="7"/>
  <c r="V385" i="7"/>
  <c r="O385" i="7"/>
  <c r="Z385" i="7"/>
  <c r="AI385" i="7"/>
  <c r="G385" i="7"/>
  <c r="P351" i="7"/>
  <c r="C390" i="7" s="1"/>
  <c r="B390" i="7" s="1"/>
  <c r="I384" i="7"/>
  <c r="I391" i="7" s="1"/>
  <c r="I171" i="7" s="1"/>
  <c r="AJ384" i="7"/>
  <c r="AB384" i="7"/>
  <c r="T384" i="7"/>
  <c r="L384" i="7"/>
  <c r="L391" i="7" s="1"/>
  <c r="L171" i="7" s="1"/>
  <c r="D384" i="7"/>
  <c r="AK384" i="7"/>
  <c r="AC384" i="7"/>
  <c r="U384" i="7"/>
  <c r="M384" i="7"/>
  <c r="M391" i="7" s="1"/>
  <c r="M171" i="7" s="1"/>
  <c r="E384" i="7"/>
  <c r="E391" i="7" s="1"/>
  <c r="E171" i="7" s="1"/>
  <c r="AO250" i="7"/>
  <c r="AO257" i="7" s="1"/>
  <c r="AO135" i="7" s="1"/>
  <c r="AG250" i="7"/>
  <c r="AG257" i="7" s="1"/>
  <c r="AG135" i="7" s="1"/>
  <c r="AG136" i="7" s="1"/>
  <c r="AG164" i="7" s="1"/>
  <c r="AG165" i="7" s="1"/>
  <c r="AK250" i="7"/>
  <c r="AK257" i="7" s="1"/>
  <c r="AK135" i="7" s="1"/>
  <c r="AC250" i="7"/>
  <c r="AC257" i="7" s="1"/>
  <c r="AC135" i="7" s="1"/>
  <c r="AC136" i="7" s="1"/>
  <c r="AC164" i="7" s="1"/>
  <c r="AC165" i="7" s="1"/>
  <c r="AC107" i="7" s="1"/>
  <c r="AP384" i="7"/>
  <c r="AL384" i="7"/>
  <c r="AH384" i="7"/>
  <c r="AD384" i="7"/>
  <c r="Z384" i="7"/>
  <c r="V384" i="7"/>
  <c r="R384" i="7"/>
  <c r="N384" i="7"/>
  <c r="N391" i="7" s="1"/>
  <c r="N171" i="7" s="1"/>
  <c r="J384" i="7"/>
  <c r="J391" i="7" s="1"/>
  <c r="J171" i="7" s="1"/>
  <c r="F384" i="7"/>
  <c r="Q351" i="7"/>
  <c r="AM384" i="7"/>
  <c r="AM391" i="7" s="1"/>
  <c r="AM171" i="7" s="1"/>
  <c r="AI384" i="7"/>
  <c r="AE384" i="7"/>
  <c r="AE391" i="7" s="1"/>
  <c r="AE171" i="7" s="1"/>
  <c r="AA384" i="7"/>
  <c r="AA391" i="7" s="1"/>
  <c r="AA171" i="7" s="1"/>
  <c r="W384" i="7"/>
  <c r="S384" i="7"/>
  <c r="O384" i="7"/>
  <c r="K384" i="7"/>
  <c r="G384" i="7"/>
  <c r="AM250" i="7"/>
  <c r="AM257" i="7" s="1"/>
  <c r="AM135" i="7" s="1"/>
  <c r="AI250" i="7"/>
  <c r="AI257" i="7" s="1"/>
  <c r="AI135" i="7" s="1"/>
  <c r="AI136" i="7" s="1"/>
  <c r="AI164" i="7" s="1"/>
  <c r="AI165" i="7" s="1"/>
  <c r="AE250" i="7"/>
  <c r="AE257" i="7" s="1"/>
  <c r="AE135" i="7" s="1"/>
  <c r="AE136" i="7" s="1"/>
  <c r="AE164" i="7" s="1"/>
  <c r="AE165" i="7" s="1"/>
  <c r="AE107" i="7" s="1"/>
  <c r="Y250" i="7"/>
  <c r="Y257" i="7" s="1"/>
  <c r="Y135" i="7" s="1"/>
  <c r="Y136" i="7" s="1"/>
  <c r="Y164" i="7" s="1"/>
  <c r="Y165" i="7" s="1"/>
  <c r="Y107" i="7" s="1"/>
  <c r="AA250" i="7"/>
  <c r="AA257" i="7" s="1"/>
  <c r="AA135" i="7" s="1"/>
  <c r="AA136" i="7" s="1"/>
  <c r="AA164" i="7" s="1"/>
  <c r="AA165" i="7" s="1"/>
  <c r="AA107" i="7" s="1"/>
  <c r="Q250" i="7"/>
  <c r="Q257" i="7" s="1"/>
  <c r="Q135" i="7" s="1"/>
  <c r="H391" i="7"/>
  <c r="H171" i="7" s="1"/>
  <c r="U250" i="7"/>
  <c r="U257" i="7" s="1"/>
  <c r="U135" i="7" s="1"/>
  <c r="K250" i="7"/>
  <c r="K257" i="7" s="1"/>
  <c r="K135" i="7" s="1"/>
  <c r="W250" i="7"/>
  <c r="W257" i="7" s="1"/>
  <c r="W135" i="7" s="1"/>
  <c r="W136" i="7" s="1"/>
  <c r="W164" i="7" s="1"/>
  <c r="W165" i="7" s="1"/>
  <c r="W172" i="7" s="1"/>
  <c r="S250" i="7"/>
  <c r="S257" i="7" s="1"/>
  <c r="S135" i="7" s="1"/>
  <c r="O250" i="7"/>
  <c r="O257" i="7" s="1"/>
  <c r="O135" i="7" s="1"/>
  <c r="E250" i="7"/>
  <c r="E257" i="7" s="1"/>
  <c r="E135" i="7" s="1"/>
  <c r="E136" i="7" s="1"/>
  <c r="E164" i="7" s="1"/>
  <c r="E165" i="7" s="1"/>
  <c r="E172" i="7" s="1"/>
  <c r="M250" i="7"/>
  <c r="M257" i="7" s="1"/>
  <c r="M135" i="7" s="1"/>
  <c r="I250" i="7"/>
  <c r="I257" i="7" s="1"/>
  <c r="I135" i="7" s="1"/>
  <c r="AL250" i="7"/>
  <c r="AL257" i="7" s="1"/>
  <c r="AL135" i="7" s="1"/>
  <c r="G250" i="7"/>
  <c r="G257" i="7" s="1"/>
  <c r="G135" i="7" s="1"/>
  <c r="AP250" i="7"/>
  <c r="AP257" i="7" s="1"/>
  <c r="AP135" i="7" s="1"/>
  <c r="AF250" i="7"/>
  <c r="AF257" i="7" s="1"/>
  <c r="AF135" i="7" s="1"/>
  <c r="AF136" i="7" s="1"/>
  <c r="AF164" i="7" s="1"/>
  <c r="AF165" i="7" s="1"/>
  <c r="AF172" i="7" s="1"/>
  <c r="C250" i="7"/>
  <c r="C257" i="7" s="1"/>
  <c r="AN250" i="7"/>
  <c r="AN257" i="7" s="1"/>
  <c r="AN135" i="7" s="1"/>
  <c r="AJ250" i="7"/>
  <c r="AJ257" i="7" s="1"/>
  <c r="AJ135" i="7" s="1"/>
  <c r="AJ136" i="7" s="1"/>
  <c r="AJ164" i="7" s="1"/>
  <c r="AJ165" i="7" s="1"/>
  <c r="X250" i="7"/>
  <c r="X257" i="7" s="1"/>
  <c r="X135" i="7" s="1"/>
  <c r="X136" i="7" s="1"/>
  <c r="X164" i="7" s="1"/>
  <c r="X165" i="7" s="1"/>
  <c r="X172" i="7" s="1"/>
  <c r="AH250" i="7"/>
  <c r="AH257" i="7" s="1"/>
  <c r="AH135" i="7" s="1"/>
  <c r="AH136" i="7" s="1"/>
  <c r="AH164" i="7" s="1"/>
  <c r="AH165" i="7" s="1"/>
  <c r="AB250" i="7"/>
  <c r="AB257" i="7" s="1"/>
  <c r="AB135" i="7" s="1"/>
  <c r="AB136" i="7" s="1"/>
  <c r="AB164" i="7" s="1"/>
  <c r="AB165" i="7" s="1"/>
  <c r="AB172" i="7" s="1"/>
  <c r="T250" i="7"/>
  <c r="T257" i="7" s="1"/>
  <c r="T135" i="7" s="1"/>
  <c r="AH391" i="7"/>
  <c r="AH171" i="7" s="1"/>
  <c r="AD250" i="7"/>
  <c r="AD257" i="7" s="1"/>
  <c r="AD135" i="7" s="1"/>
  <c r="AD136" i="7" s="1"/>
  <c r="AD164" i="7" s="1"/>
  <c r="AD165" i="7" s="1"/>
  <c r="AD172" i="7" s="1"/>
  <c r="Z250" i="7"/>
  <c r="Z257" i="7" s="1"/>
  <c r="Z135" i="7" s="1"/>
  <c r="Z136" i="7" s="1"/>
  <c r="Z164" i="7" s="1"/>
  <c r="Z165" i="7" s="1"/>
  <c r="Z107" i="7" s="1"/>
  <c r="V250" i="7"/>
  <c r="V257" i="7" s="1"/>
  <c r="V135" i="7" s="1"/>
  <c r="R250" i="7"/>
  <c r="R257" i="7" s="1"/>
  <c r="R135" i="7" s="1"/>
  <c r="P250" i="7"/>
  <c r="P257" i="7" s="1"/>
  <c r="P135" i="7" s="1"/>
  <c r="N250" i="7"/>
  <c r="N257" i="7" s="1"/>
  <c r="N135" i="7" s="1"/>
  <c r="L250" i="7"/>
  <c r="L257" i="7" s="1"/>
  <c r="L135" i="7" s="1"/>
  <c r="J250" i="7"/>
  <c r="J257" i="7" s="1"/>
  <c r="J135" i="7" s="1"/>
  <c r="H250" i="7"/>
  <c r="H257" i="7" s="1"/>
  <c r="H135" i="7" s="1"/>
  <c r="F250" i="7"/>
  <c r="F257" i="7" s="1"/>
  <c r="F135" i="7" s="1"/>
  <c r="F136" i="7" s="1"/>
  <c r="F164" i="7" s="1"/>
  <c r="F165" i="7" s="1"/>
  <c r="F107" i="7" s="1"/>
  <c r="D172" i="7"/>
  <c r="AJ620" i="2"/>
  <c r="AJ621" i="2"/>
  <c r="AJ597" i="2"/>
  <c r="AJ593" i="2"/>
  <c r="AJ589" i="2"/>
  <c r="AJ585" i="2"/>
  <c r="AI623" i="2"/>
  <c r="Z142" i="10"/>
  <c r="Z154" i="10" s="1"/>
  <c r="Z80" i="10"/>
  <c r="Z81" i="10" s="1"/>
  <c r="Z95" i="10" s="1"/>
  <c r="Y300" i="10"/>
  <c r="Z284" i="10"/>
  <c r="Z300" i="10" s="1"/>
  <c r="AA74" i="10"/>
  <c r="AA76" i="10" s="1"/>
  <c r="Z220" i="10"/>
  <c r="Z248" i="10" s="1"/>
  <c r="AG49" i="2"/>
  <c r="AG14" i="2"/>
  <c r="AA101" i="10"/>
  <c r="AA110" i="10"/>
  <c r="Z109" i="10"/>
  <c r="Z101" i="10"/>
  <c r="AB50" i="10"/>
  <c r="AB281" i="10"/>
  <c r="AB297" i="10" s="1"/>
  <c r="Y79" i="8"/>
  <c r="Y87" i="8"/>
  <c r="Y88" i="8" s="1"/>
  <c r="Z49" i="8"/>
  <c r="Z73" i="8" s="1"/>
  <c r="Z78" i="8" s="1"/>
  <c r="AA122" i="10"/>
  <c r="AC49" i="10"/>
  <c r="AA123" i="10"/>
  <c r="AD649" i="10"/>
  <c r="AD652" i="10" s="1"/>
  <c r="AC745" i="10"/>
  <c r="AD746" i="10" s="1"/>
  <c r="AA704" i="8"/>
  <c r="AB705" i="8" s="1"/>
  <c r="AB608" i="8"/>
  <c r="AB611" i="8" s="1"/>
  <c r="Z98" i="8"/>
  <c r="Z243" i="8"/>
  <c r="AA241" i="8"/>
  <c r="AA48" i="8"/>
  <c r="AA206" i="8"/>
  <c r="AA208" i="8" s="1"/>
  <c r="AA236" i="8" s="1"/>
  <c r="AA237" i="8" s="1"/>
  <c r="G88" i="8"/>
  <c r="G101" i="8" s="1"/>
  <c r="H208" i="8"/>
  <c r="H236" i="8" s="1"/>
  <c r="H237" i="8" s="1"/>
  <c r="C100" i="8"/>
  <c r="C101" i="8" s="1"/>
  <c r="AL604" i="7"/>
  <c r="AL607" i="7" s="1"/>
  <c r="AK700" i="7"/>
  <c r="AL701" i="7" s="1"/>
  <c r="H559" i="7"/>
  <c r="H537" i="7" s="1"/>
  <c r="H80" i="7" s="1"/>
  <c r="AF18" i="2"/>
  <c r="AF20" i="2" s="1"/>
  <c r="AF43" i="2" s="1"/>
  <c r="AG17" i="2"/>
  <c r="AG52" i="2"/>
  <c r="AG234" i="2"/>
  <c r="AG273" i="2"/>
  <c r="AG15" i="2"/>
  <c r="AG50" i="2"/>
  <c r="AG232" i="2"/>
  <c r="AG271" i="2"/>
  <c r="AH71" i="2"/>
  <c r="AJ757" i="2"/>
  <c r="AJ399" i="2" s="1"/>
  <c r="AJ534" i="2" s="1"/>
  <c r="AJ755" i="2"/>
  <c r="AJ397" i="2" s="1"/>
  <c r="AJ532" i="2" s="1"/>
  <c r="AJ753" i="2"/>
  <c r="AJ395" i="2" s="1"/>
  <c r="AJ530" i="2" s="1"/>
  <c r="AJ751" i="2"/>
  <c r="AJ393" i="2" s="1"/>
  <c r="AJ528" i="2" s="1"/>
  <c r="AJ749" i="2"/>
  <c r="AJ391" i="2" s="1"/>
  <c r="AJ526" i="2" s="1"/>
  <c r="AJ725" i="2"/>
  <c r="AJ373" i="2" s="1"/>
  <c r="AJ508" i="2" s="1"/>
  <c r="AJ758" i="2"/>
  <c r="AJ400" i="2" s="1"/>
  <c r="AJ535" i="2" s="1"/>
  <c r="AJ756" i="2"/>
  <c r="AJ398" i="2" s="1"/>
  <c r="AJ533" i="2" s="1"/>
  <c r="AJ754" i="2"/>
  <c r="AJ396" i="2" s="1"/>
  <c r="AJ531" i="2" s="1"/>
  <c r="AJ752" i="2"/>
  <c r="AJ394" i="2" s="1"/>
  <c r="AJ529" i="2" s="1"/>
  <c r="AJ750" i="2"/>
  <c r="AJ392" i="2" s="1"/>
  <c r="AJ527" i="2" s="1"/>
  <c r="AJ726" i="2"/>
  <c r="AJ374" i="2" s="1"/>
  <c r="AJ509" i="2" s="1"/>
  <c r="AJ724" i="2"/>
  <c r="AJ372" i="2" s="1"/>
  <c r="AJ507" i="2" s="1"/>
  <c r="AJ723" i="2"/>
  <c r="AJ371" i="2" s="1"/>
  <c r="AJ506" i="2" s="1"/>
  <c r="AJ721" i="2"/>
  <c r="AJ369" i="2" s="1"/>
  <c r="AJ504" i="2" s="1"/>
  <c r="AJ719" i="2"/>
  <c r="AJ367" i="2" s="1"/>
  <c r="AJ502" i="2" s="1"/>
  <c r="AJ717" i="2"/>
  <c r="AJ365" i="2" s="1"/>
  <c r="AJ500" i="2" s="1"/>
  <c r="AJ693" i="2"/>
  <c r="AJ691" i="2"/>
  <c r="AJ689" i="2"/>
  <c r="AJ344" i="2" s="1"/>
  <c r="AJ478" i="2" s="1"/>
  <c r="AJ687" i="2"/>
  <c r="AJ685" i="2"/>
  <c r="AJ761" i="2"/>
  <c r="AJ764" i="2"/>
  <c r="AJ765" i="2"/>
  <c r="AJ767" i="2"/>
  <c r="AJ769" i="2"/>
  <c r="AJ722" i="2"/>
  <c r="AJ370" i="2" s="1"/>
  <c r="AJ505" i="2" s="1"/>
  <c r="AJ718" i="2"/>
  <c r="AJ366" i="2" s="1"/>
  <c r="AJ501" i="2" s="1"/>
  <c r="AJ694" i="2"/>
  <c r="AJ690" i="2"/>
  <c r="AJ720" i="2"/>
  <c r="AJ368" i="2" s="1"/>
  <c r="AJ503" i="2" s="1"/>
  <c r="AJ692" i="2"/>
  <c r="AJ688" i="2"/>
  <c r="AJ768" i="2"/>
  <c r="AJ686" i="2"/>
  <c r="AJ770" i="2"/>
  <c r="AJ730" i="2"/>
  <c r="AJ734" i="2"/>
  <c r="AJ736" i="2"/>
  <c r="AJ766" i="2"/>
  <c r="AJ729" i="2"/>
  <c r="AJ733" i="2"/>
  <c r="AJ735" i="2"/>
  <c r="AJ737" i="2"/>
  <c r="AJ738" i="2"/>
  <c r="AI727" i="2"/>
  <c r="AI712" i="2" s="1"/>
  <c r="AI69" i="2" s="1"/>
  <c r="AI759" i="2"/>
  <c r="AI744" i="2" s="1"/>
  <c r="AI70" i="2" s="1"/>
  <c r="AI61" i="2"/>
  <c r="AJ697" i="2"/>
  <c r="AJ33" i="2"/>
  <c r="AJ35" i="2" s="1"/>
  <c r="AJ37" i="2" s="1"/>
  <c r="AJ39" i="2" s="1"/>
  <c r="AJ552" i="2"/>
  <c r="AJ553" i="2" s="1"/>
  <c r="AJ558" i="2"/>
  <c r="AJ559" i="2" s="1"/>
  <c r="AJ667" i="2"/>
  <c r="AJ618" i="2"/>
  <c r="AJ625" i="2"/>
  <c r="AJ617" i="2"/>
  <c r="AJ634" i="2"/>
  <c r="AJ624" i="2"/>
  <c r="AJ635" i="2" s="1"/>
  <c r="AJ639" i="2" s="1"/>
  <c r="AK11" i="2"/>
  <c r="AJ318" i="2"/>
  <c r="AJ320" i="2"/>
  <c r="AJ322" i="2"/>
  <c r="AJ451" i="2"/>
  <c r="AJ452" i="2"/>
  <c r="AJ453" i="2"/>
  <c r="AJ454" i="2"/>
  <c r="AJ455" i="2"/>
  <c r="AJ456" i="2"/>
  <c r="AJ640" i="2"/>
  <c r="AJ317" i="2"/>
  <c r="AJ321" i="2"/>
  <c r="AJ319" i="2"/>
  <c r="AH121" i="2"/>
  <c r="AJ19" i="2"/>
  <c r="AE206" i="2"/>
  <c r="AG120" i="2"/>
  <c r="AE242" i="2"/>
  <c r="X630" i="2"/>
  <c r="AJ702" i="2"/>
  <c r="AJ698" i="2"/>
  <c r="AJ700" i="2"/>
  <c r="AJ703" i="2"/>
  <c r="AJ704" i="2"/>
  <c r="AJ705" i="2"/>
  <c r="AJ706" i="2"/>
  <c r="AG105" i="2"/>
  <c r="AJ469" i="2"/>
  <c r="AI470" i="2"/>
  <c r="AJ335" i="2"/>
  <c r="AJ340" i="2"/>
  <c r="AJ474" i="2" s="1"/>
  <c r="AJ341" i="2"/>
  <c r="AJ475" i="2" s="1"/>
  <c r="AJ342" i="2"/>
  <c r="AJ476" i="2" s="1"/>
  <c r="AJ343" i="2"/>
  <c r="AJ477" i="2" s="1"/>
  <c r="AJ345" i="2"/>
  <c r="AJ479" i="2" s="1"/>
  <c r="AJ346" i="2"/>
  <c r="AJ480" i="2" s="1"/>
  <c r="AJ347" i="2"/>
  <c r="AJ481" i="2" s="1"/>
  <c r="AJ348" i="2"/>
  <c r="AJ482" i="2" s="1"/>
  <c r="AJ349" i="2"/>
  <c r="AJ483" i="2" s="1"/>
  <c r="AI336" i="2"/>
  <c r="AI695" i="2"/>
  <c r="AI680" i="2" s="1"/>
  <c r="AI68" i="2" s="1"/>
  <c r="AG666" i="2"/>
  <c r="AH554" i="2"/>
  <c r="AH555" i="2" s="1"/>
  <c r="AH103" i="2" s="1"/>
  <c r="AH248" i="2" s="1"/>
  <c r="AH560" i="2"/>
  <c r="AH561" i="2" s="1"/>
  <c r="AH104" i="2" s="1"/>
  <c r="AJ40" i="2"/>
  <c r="AJ23" i="2"/>
  <c r="AJ26" i="2"/>
  <c r="AJ30" i="2"/>
  <c r="AG270" i="2"/>
  <c r="AG231" i="2"/>
  <c r="AF274" i="2"/>
  <c r="AF275" i="2" s="1"/>
  <c r="AG272" i="2"/>
  <c r="AG233" i="2"/>
  <c r="AF235" i="2"/>
  <c r="AF236" i="2" s="1"/>
  <c r="AG601" i="2"/>
  <c r="AH594" i="2"/>
  <c r="AH595" i="2" s="1"/>
  <c r="AH51" i="2" s="1"/>
  <c r="AH598" i="2"/>
  <c r="AH599" i="2" s="1"/>
  <c r="AH590" i="2"/>
  <c r="AH591" i="2" s="1"/>
  <c r="AH586" i="2"/>
  <c r="AH587" i="2" s="1"/>
  <c r="AJ668" i="2"/>
  <c r="AI10" i="2"/>
  <c r="AI12" i="2" s="1"/>
  <c r="AI27" i="2"/>
  <c r="AK2" i="2"/>
  <c r="AJ25" i="2"/>
  <c r="AH29" i="2"/>
  <c r="AH31" i="2" s="1"/>
  <c r="AH41" i="2" s="1"/>
  <c r="AG675" i="2" s="1"/>
  <c r="AP391" i="7" l="1"/>
  <c r="AP171" i="7" s="1"/>
  <c r="AK660" i="2"/>
  <c r="AK669" i="2"/>
  <c r="AK674" i="2"/>
  <c r="V391" i="7"/>
  <c r="V171" i="7" s="1"/>
  <c r="AL391" i="7"/>
  <c r="AL171" i="7" s="1"/>
  <c r="AJ172" i="7"/>
  <c r="AJ107" i="7"/>
  <c r="AG673" i="2"/>
  <c r="AH672" i="2"/>
  <c r="AH107" i="7"/>
  <c r="AH172" i="7"/>
  <c r="AH175" i="7" s="1"/>
  <c r="AH203" i="7" s="1"/>
  <c r="AH204" i="7" s="1"/>
  <c r="AH108" i="7" s="1"/>
  <c r="AI107" i="7"/>
  <c r="AI172" i="7"/>
  <c r="AG172" i="7"/>
  <c r="AG107" i="7"/>
  <c r="AK88" i="7"/>
  <c r="AK96" i="7"/>
  <c r="AK97" i="7" s="1"/>
  <c r="AL133" i="7"/>
  <c r="AL136" i="7" s="1"/>
  <c r="AL164" i="7" s="1"/>
  <c r="AL165" i="7" s="1"/>
  <c r="AL169" i="7"/>
  <c r="AL54" i="7"/>
  <c r="AL56" i="7" s="1"/>
  <c r="AL82" i="7" s="1"/>
  <c r="AL87" i="7" s="1"/>
  <c r="AK136" i="7"/>
  <c r="AK164" i="7" s="1"/>
  <c r="AK165" i="7" s="1"/>
  <c r="D108" i="8"/>
  <c r="G108" i="8"/>
  <c r="X108" i="8"/>
  <c r="C107" i="8"/>
  <c r="G107" i="8"/>
  <c r="X107" i="8"/>
  <c r="G136" i="7"/>
  <c r="G164" i="7" s="1"/>
  <c r="G165" i="7" s="1"/>
  <c r="G107" i="7" s="1"/>
  <c r="H539" i="7"/>
  <c r="G595" i="7" s="1"/>
  <c r="H534" i="7"/>
  <c r="H535" i="7" s="1"/>
  <c r="I532" i="7" s="1"/>
  <c r="AI55" i="2"/>
  <c r="AI244" i="2"/>
  <c r="AI208" i="2"/>
  <c r="AG18" i="2"/>
  <c r="AG20" i="2" s="1"/>
  <c r="AG43" i="2" s="1"/>
  <c r="AJ622" i="2"/>
  <c r="AJ623" i="2" s="1"/>
  <c r="AJ612" i="2"/>
  <c r="AK655" i="2"/>
  <c r="AK659" i="2" s="1"/>
  <c r="AK654" i="2"/>
  <c r="AJ653" i="2"/>
  <c r="AJ650" i="2" s="1"/>
  <c r="AI650" i="2"/>
  <c r="AI651" i="2" s="1"/>
  <c r="AJ648" i="2" s="1"/>
  <c r="AK5" i="2"/>
  <c r="AK638" i="2"/>
  <c r="AK658" i="2" s="1"/>
  <c r="AG53" i="2"/>
  <c r="AE172" i="7"/>
  <c r="AE175" i="7" s="1"/>
  <c r="AE203" i="7" s="1"/>
  <c r="AE204" i="7" s="1"/>
  <c r="AE108" i="7" s="1"/>
  <c r="AE109" i="7" s="1"/>
  <c r="AE110" i="7" s="1"/>
  <c r="G391" i="7"/>
  <c r="G171" i="7" s="1"/>
  <c r="Q391" i="7"/>
  <c r="Q171" i="7" s="1"/>
  <c r="AN391" i="7"/>
  <c r="AN171" i="7" s="1"/>
  <c r="P391" i="7"/>
  <c r="P171" i="7" s="1"/>
  <c r="AF391" i="7"/>
  <c r="AF171" i="7" s="1"/>
  <c r="AF175" i="7" s="1"/>
  <c r="AF203" i="7" s="1"/>
  <c r="AF204" i="7" s="1"/>
  <c r="AF108" i="7" s="1"/>
  <c r="X391" i="7"/>
  <c r="X171" i="7" s="1"/>
  <c r="X175" i="7" s="1"/>
  <c r="X203" i="7" s="1"/>
  <c r="X204" i="7" s="1"/>
  <c r="X108" i="7" s="1"/>
  <c r="Y391" i="7"/>
  <c r="Y171" i="7" s="1"/>
  <c r="AO391" i="7"/>
  <c r="AO171" i="7" s="1"/>
  <c r="AI391" i="7"/>
  <c r="AI171" i="7" s="1"/>
  <c r="AG391" i="7"/>
  <c r="AG171" i="7" s="1"/>
  <c r="AC172" i="7"/>
  <c r="Z391" i="7"/>
  <c r="Z171" i="7" s="1"/>
  <c r="T391" i="7"/>
  <c r="T171" i="7" s="1"/>
  <c r="B385" i="7"/>
  <c r="O391" i="7"/>
  <c r="O171" i="7" s="1"/>
  <c r="W391" i="7"/>
  <c r="W171" i="7" s="1"/>
  <c r="W175" i="7" s="1"/>
  <c r="W203" i="7" s="1"/>
  <c r="W204" i="7" s="1"/>
  <c r="W108" i="7" s="1"/>
  <c r="F391" i="7"/>
  <c r="F171" i="7" s="1"/>
  <c r="AD391" i="7"/>
  <c r="AD171" i="7" s="1"/>
  <c r="AD175" i="7" s="1"/>
  <c r="AD203" i="7" s="1"/>
  <c r="AD204" i="7" s="1"/>
  <c r="AD108" i="7" s="1"/>
  <c r="U391" i="7"/>
  <c r="U171" i="7" s="1"/>
  <c r="AK391" i="7"/>
  <c r="AK171" i="7" s="1"/>
  <c r="AB391" i="7"/>
  <c r="AB171" i="7" s="1"/>
  <c r="AB175" i="7" s="1"/>
  <c r="AB203" i="7" s="1"/>
  <c r="AB204" i="7" s="1"/>
  <c r="AB108" i="7" s="1"/>
  <c r="C391" i="7"/>
  <c r="C171" i="7" s="1"/>
  <c r="E175" i="7"/>
  <c r="E203" i="7" s="1"/>
  <c r="E204" i="7" s="1"/>
  <c r="E108" i="7" s="1"/>
  <c r="Z246" i="8"/>
  <c r="Z274" i="8" s="1"/>
  <c r="Z275" i="8" s="1"/>
  <c r="Z99" i="8" s="1"/>
  <c r="Z100" i="8" s="1"/>
  <c r="W107" i="7"/>
  <c r="K391" i="7"/>
  <c r="K171" i="7" s="1"/>
  <c r="S391" i="7"/>
  <c r="S171" i="7" s="1"/>
  <c r="R391" i="7"/>
  <c r="R171" i="7" s="1"/>
  <c r="AC391" i="7"/>
  <c r="AC171" i="7" s="1"/>
  <c r="D391" i="7"/>
  <c r="D171" i="7" s="1"/>
  <c r="AJ391" i="7"/>
  <c r="AJ171" i="7" s="1"/>
  <c r="Y172" i="7"/>
  <c r="AD107" i="7"/>
  <c r="Y101" i="8"/>
  <c r="Y108" i="8" s="1"/>
  <c r="AA172" i="7"/>
  <c r="AA175" i="7" s="1"/>
  <c r="AA203" i="7" s="1"/>
  <c r="AA204" i="7" s="1"/>
  <c r="AA108" i="7" s="1"/>
  <c r="AA109" i="7" s="1"/>
  <c r="AA110" i="7" s="1"/>
  <c r="Z172" i="7"/>
  <c r="AB107" i="7"/>
  <c r="B384" i="7"/>
  <c r="E107" i="7"/>
  <c r="X107" i="7"/>
  <c r="AF107" i="7"/>
  <c r="F172" i="7"/>
  <c r="B250" i="7"/>
  <c r="B257" i="7"/>
  <c r="C135" i="7"/>
  <c r="C136" i="7" s="1"/>
  <c r="C164" i="7" s="1"/>
  <c r="C165" i="7" s="1"/>
  <c r="AK620" i="2"/>
  <c r="AK621" i="2"/>
  <c r="AK597" i="2"/>
  <c r="AK593" i="2"/>
  <c r="AK589" i="2"/>
  <c r="AK585" i="2"/>
  <c r="AA142" i="10"/>
  <c r="AA154" i="10" s="1"/>
  <c r="AA80" i="10"/>
  <c r="AA81" i="10" s="1"/>
  <c r="AA95" i="10" s="1"/>
  <c r="AA284" i="10"/>
  <c r="AB74" i="10"/>
  <c r="AB76" i="10" s="1"/>
  <c r="AA220" i="10"/>
  <c r="AA248" i="10" s="1"/>
  <c r="AH49" i="2"/>
  <c r="AH14" i="2"/>
  <c r="Z110" i="10"/>
  <c r="Z123" i="10" s="1"/>
  <c r="AB101" i="10"/>
  <c r="AC50" i="10"/>
  <c r="AC74" i="10" s="1"/>
  <c r="AC76" i="10" s="1"/>
  <c r="AC80" i="10" s="1"/>
  <c r="AC81" i="10" s="1"/>
  <c r="AC95" i="10" s="1"/>
  <c r="AC281" i="10"/>
  <c r="AC297" i="10" s="1"/>
  <c r="Z87" i="8"/>
  <c r="Z88" i="8" s="1"/>
  <c r="Z79" i="8"/>
  <c r="AA49" i="8"/>
  <c r="AA73" i="8" s="1"/>
  <c r="AA78" i="8" s="1"/>
  <c r="AE649" i="10"/>
  <c r="AE652" i="10" s="1"/>
  <c r="AD745" i="10"/>
  <c r="AE746" i="10" s="1"/>
  <c r="AB122" i="10"/>
  <c r="AD49" i="10"/>
  <c r="AB704" i="8"/>
  <c r="AC705" i="8" s="1"/>
  <c r="AC608" i="8"/>
  <c r="AC611" i="8" s="1"/>
  <c r="AA98" i="8"/>
  <c r="AA243" i="8"/>
  <c r="AB206" i="8"/>
  <c r="AB208" i="8" s="1"/>
  <c r="AB236" i="8" s="1"/>
  <c r="AB237" i="8" s="1"/>
  <c r="AB241" i="8"/>
  <c r="AB48" i="8"/>
  <c r="H72" i="8"/>
  <c r="H73" i="8" s="1"/>
  <c r="H78" i="8" s="1"/>
  <c r="H243" i="8"/>
  <c r="H98" i="8"/>
  <c r="H556" i="7"/>
  <c r="H557" i="7" s="1"/>
  <c r="I560" i="7" s="1"/>
  <c r="I538" i="7" s="1"/>
  <c r="H81" i="7"/>
  <c r="AM604" i="7"/>
  <c r="AM607" i="7" s="1"/>
  <c r="AL700" i="7"/>
  <c r="AM701" i="7" s="1"/>
  <c r="AH17" i="2"/>
  <c r="AH52" i="2"/>
  <c r="AH234" i="2"/>
  <c r="AH273" i="2"/>
  <c r="AH15" i="2"/>
  <c r="AH50" i="2"/>
  <c r="AH232" i="2"/>
  <c r="AH271" i="2"/>
  <c r="AI71" i="2"/>
  <c r="AK758" i="2"/>
  <c r="AK400" i="2" s="1"/>
  <c r="AK535" i="2" s="1"/>
  <c r="AK756" i="2"/>
  <c r="AK398" i="2" s="1"/>
  <c r="AK533" i="2" s="1"/>
  <c r="AK754" i="2"/>
  <c r="AK396" i="2" s="1"/>
  <c r="AK531" i="2" s="1"/>
  <c r="AK752" i="2"/>
  <c r="AK394" i="2" s="1"/>
  <c r="AK529" i="2" s="1"/>
  <c r="AK750" i="2"/>
  <c r="AK392" i="2" s="1"/>
  <c r="AK527" i="2" s="1"/>
  <c r="AK726" i="2"/>
  <c r="AK374" i="2" s="1"/>
  <c r="AK509" i="2" s="1"/>
  <c r="AK724" i="2"/>
  <c r="AK372" i="2" s="1"/>
  <c r="AK507" i="2" s="1"/>
  <c r="AK757" i="2"/>
  <c r="AK399" i="2" s="1"/>
  <c r="AK534" i="2" s="1"/>
  <c r="AK755" i="2"/>
  <c r="AK397" i="2" s="1"/>
  <c r="AK532" i="2" s="1"/>
  <c r="AK753" i="2"/>
  <c r="AK395" i="2" s="1"/>
  <c r="AK530" i="2" s="1"/>
  <c r="AK751" i="2"/>
  <c r="AK393" i="2" s="1"/>
  <c r="AK528" i="2" s="1"/>
  <c r="AK749" i="2"/>
  <c r="AK391" i="2" s="1"/>
  <c r="AK526" i="2" s="1"/>
  <c r="AK725" i="2"/>
  <c r="AK373" i="2" s="1"/>
  <c r="AK508" i="2" s="1"/>
  <c r="AK722" i="2"/>
  <c r="AK370" i="2" s="1"/>
  <c r="AK505" i="2" s="1"/>
  <c r="AK720" i="2"/>
  <c r="AK368" i="2" s="1"/>
  <c r="AK503" i="2" s="1"/>
  <c r="AK718" i="2"/>
  <c r="AK366" i="2" s="1"/>
  <c r="AK501" i="2" s="1"/>
  <c r="AK694" i="2"/>
  <c r="AK692" i="2"/>
  <c r="AK690" i="2"/>
  <c r="AK688" i="2"/>
  <c r="AK686" i="2"/>
  <c r="AK766" i="2"/>
  <c r="AK768" i="2"/>
  <c r="AK723" i="2"/>
  <c r="AK371" i="2" s="1"/>
  <c r="AK506" i="2" s="1"/>
  <c r="AK719" i="2"/>
  <c r="AK367" i="2" s="1"/>
  <c r="AK502" i="2" s="1"/>
  <c r="AK691" i="2"/>
  <c r="AK346" i="2" s="1"/>
  <c r="AK480" i="2" s="1"/>
  <c r="AK687" i="2"/>
  <c r="AK721" i="2"/>
  <c r="AK369" i="2" s="1"/>
  <c r="AK504" i="2" s="1"/>
  <c r="AK717" i="2"/>
  <c r="AK365" i="2" s="1"/>
  <c r="AK500" i="2" s="1"/>
  <c r="AK693" i="2"/>
  <c r="AK348" i="2" s="1"/>
  <c r="AK482" i="2" s="1"/>
  <c r="AK689" i="2"/>
  <c r="AK685" i="2"/>
  <c r="AK761" i="2"/>
  <c r="AK765" i="2"/>
  <c r="AK769" i="2"/>
  <c r="AK764" i="2"/>
  <c r="AK729" i="2"/>
  <c r="AK733" i="2"/>
  <c r="AK735" i="2"/>
  <c r="AK737" i="2"/>
  <c r="AK767" i="2"/>
  <c r="AK770" i="2"/>
  <c r="AK730" i="2"/>
  <c r="AK734" i="2"/>
  <c r="AK736" i="2"/>
  <c r="AK738" i="2"/>
  <c r="AJ727" i="2"/>
  <c r="AJ712" i="2" s="1"/>
  <c r="AJ69" i="2" s="1"/>
  <c r="AJ759" i="2"/>
  <c r="AJ744" i="2" s="1"/>
  <c r="AJ70" i="2" s="1"/>
  <c r="AJ61" i="2"/>
  <c r="AK697" i="2"/>
  <c r="AK33" i="2"/>
  <c r="AK35" i="2" s="1"/>
  <c r="AK37" i="2" s="1"/>
  <c r="AK39" i="2" s="1"/>
  <c r="AK552" i="2"/>
  <c r="AK553" i="2" s="1"/>
  <c r="AK558" i="2"/>
  <c r="AK559" i="2" s="1"/>
  <c r="AK634" i="2"/>
  <c r="AK624" i="2"/>
  <c r="AK635" i="2" s="1"/>
  <c r="AK639" i="2" s="1"/>
  <c r="AK667" i="2"/>
  <c r="AK618" i="2"/>
  <c r="AK625" i="2"/>
  <c r="AK617" i="2"/>
  <c r="AL11" i="2"/>
  <c r="AK317" i="2"/>
  <c r="AK319" i="2"/>
  <c r="AK321" i="2"/>
  <c r="AK318" i="2"/>
  <c r="AK322" i="2"/>
  <c r="AK451" i="2"/>
  <c r="AK453" i="2"/>
  <c r="AK455" i="2"/>
  <c r="AK320" i="2"/>
  <c r="AK452" i="2"/>
  <c r="AK454" i="2"/>
  <c r="AK456" i="2"/>
  <c r="AK640" i="2"/>
  <c r="AK19" i="2"/>
  <c r="AI121" i="2"/>
  <c r="AF47" i="2"/>
  <c r="AF206" i="2"/>
  <c r="AF242" i="2"/>
  <c r="AH120" i="2"/>
  <c r="AK698" i="2"/>
  <c r="AK700" i="2"/>
  <c r="AK703" i="2"/>
  <c r="AK704" i="2"/>
  <c r="AK705" i="2"/>
  <c r="AK706" i="2"/>
  <c r="AK702" i="2"/>
  <c r="AH105" i="2"/>
  <c r="AK469" i="2"/>
  <c r="AJ470" i="2"/>
  <c r="AK335" i="2"/>
  <c r="AK340" i="2"/>
  <c r="AK474" i="2" s="1"/>
  <c r="AK341" i="2"/>
  <c r="AK475" i="2" s="1"/>
  <c r="AK342" i="2"/>
  <c r="AK476" i="2" s="1"/>
  <c r="AK343" i="2"/>
  <c r="AK477" i="2" s="1"/>
  <c r="AK344" i="2"/>
  <c r="AK478" i="2" s="1"/>
  <c r="AK345" i="2"/>
  <c r="AK479" i="2" s="1"/>
  <c r="AK347" i="2"/>
  <c r="AK481" i="2" s="1"/>
  <c r="AK349" i="2"/>
  <c r="AK483" i="2" s="1"/>
  <c r="AJ336" i="2"/>
  <c r="AJ695" i="2"/>
  <c r="AJ680" i="2" s="1"/>
  <c r="AJ68" i="2" s="1"/>
  <c r="AH666" i="2"/>
  <c r="AI554" i="2"/>
  <c r="AI555" i="2" s="1"/>
  <c r="AI103" i="2" s="1"/>
  <c r="AI248" i="2" s="1"/>
  <c r="AI560" i="2"/>
  <c r="AI561" i="2" s="1"/>
  <c r="AI104" i="2" s="1"/>
  <c r="AK23" i="2"/>
  <c r="AK26" i="2"/>
  <c r="AK30" i="2"/>
  <c r="AK40" i="2"/>
  <c r="AH270" i="2"/>
  <c r="AH231" i="2"/>
  <c r="AH272" i="2"/>
  <c r="AH233" i="2"/>
  <c r="AG274" i="2"/>
  <c r="AG275" i="2" s="1"/>
  <c r="AG235" i="2"/>
  <c r="AG236" i="2" s="1"/>
  <c r="AH601" i="2"/>
  <c r="AI598" i="2"/>
  <c r="AI599" i="2" s="1"/>
  <c r="AI590" i="2"/>
  <c r="AI591" i="2" s="1"/>
  <c r="AI586" i="2"/>
  <c r="AI587" i="2" s="1"/>
  <c r="AI594" i="2"/>
  <c r="AI595" i="2" s="1"/>
  <c r="AI51" i="2" s="1"/>
  <c r="AK668" i="2"/>
  <c r="Y633" i="2"/>
  <c r="Y611" i="2" s="1"/>
  <c r="AI29" i="2"/>
  <c r="AI31" i="2" s="1"/>
  <c r="AI41" i="2" s="1"/>
  <c r="AH675" i="2" s="1"/>
  <c r="AJ27" i="2"/>
  <c r="AL2" i="2"/>
  <c r="AK25" i="2"/>
  <c r="AJ10" i="2"/>
  <c r="AJ12" i="2" s="1"/>
  <c r="AH18" i="2" l="1"/>
  <c r="AH20" i="2" s="1"/>
  <c r="AJ175" i="7"/>
  <c r="AJ203" i="7" s="1"/>
  <c r="AJ204" i="7" s="1"/>
  <c r="AJ108" i="7" s="1"/>
  <c r="G172" i="7"/>
  <c r="G175" i="7" s="1"/>
  <c r="G203" i="7" s="1"/>
  <c r="G204" i="7" s="1"/>
  <c r="G108" i="7" s="1"/>
  <c r="G109" i="7" s="1"/>
  <c r="AL660" i="2"/>
  <c r="AL674" i="2"/>
  <c r="AL669" i="2"/>
  <c r="AJ109" i="7"/>
  <c r="AJ110" i="7" s="1"/>
  <c r="AI175" i="7"/>
  <c r="AI203" i="7" s="1"/>
  <c r="AI204" i="7" s="1"/>
  <c r="AI108" i="7" s="1"/>
  <c r="AI109" i="7" s="1"/>
  <c r="AI110" i="7" s="1"/>
  <c r="AI119" i="7" s="1"/>
  <c r="AG175" i="7"/>
  <c r="AG203" i="7" s="1"/>
  <c r="AG204" i="7" s="1"/>
  <c r="AG108" i="7" s="1"/>
  <c r="AG109" i="7" s="1"/>
  <c r="AG110" i="7" s="1"/>
  <c r="AG119" i="7" s="1"/>
  <c r="AH109" i="7"/>
  <c r="AH110" i="7" s="1"/>
  <c r="AH119" i="7" s="1"/>
  <c r="AJ119" i="7"/>
  <c r="AH673" i="2"/>
  <c r="AI672" i="2"/>
  <c r="AM169" i="7"/>
  <c r="AM54" i="7"/>
  <c r="AM56" i="7" s="1"/>
  <c r="AM82" i="7" s="1"/>
  <c r="AM87" i="7" s="1"/>
  <c r="AM133" i="7"/>
  <c r="AM136" i="7" s="1"/>
  <c r="AM164" i="7" s="1"/>
  <c r="AM165" i="7" s="1"/>
  <c r="AK107" i="7"/>
  <c r="AK172" i="7"/>
  <c r="AK175" i="7" s="1"/>
  <c r="AK203" i="7" s="1"/>
  <c r="AK204" i="7" s="1"/>
  <c r="AK108" i="7" s="1"/>
  <c r="AL96" i="7"/>
  <c r="AL97" i="7" s="1"/>
  <c r="AL88" i="7"/>
  <c r="AL107" i="7"/>
  <c r="AL172" i="7"/>
  <c r="AL175" i="7" s="1"/>
  <c r="AL203" i="7" s="1"/>
  <c r="AL204" i="7" s="1"/>
  <c r="AL108" i="7" s="1"/>
  <c r="AA119" i="7"/>
  <c r="AE119" i="7"/>
  <c r="Y107" i="8"/>
  <c r="I170" i="7"/>
  <c r="I134" i="7"/>
  <c r="I55" i="7"/>
  <c r="G700" i="7"/>
  <c r="H701" i="7" s="1"/>
  <c r="H592" i="7"/>
  <c r="G593" i="7"/>
  <c r="G61" i="7" s="1"/>
  <c r="G66" i="7" s="1"/>
  <c r="G72" i="7" s="1"/>
  <c r="G82" i="7" s="1"/>
  <c r="G87" i="7" s="1"/>
  <c r="AJ55" i="2"/>
  <c r="AJ244" i="2"/>
  <c r="AJ208" i="2"/>
  <c r="Y613" i="2"/>
  <c r="Y608" i="2"/>
  <c r="Y80" i="2" s="1"/>
  <c r="Y81" i="2" s="1"/>
  <c r="AK612" i="2"/>
  <c r="AK622" i="2"/>
  <c r="AK623" i="2" s="1"/>
  <c r="AJ651" i="2"/>
  <c r="AK648" i="2" s="1"/>
  <c r="AL655" i="2"/>
  <c r="AL659" i="2" s="1"/>
  <c r="AL654" i="2"/>
  <c r="AK653" i="2"/>
  <c r="AL5" i="2"/>
  <c r="AL638" i="2"/>
  <c r="AL658" i="2" s="1"/>
  <c r="F175" i="7"/>
  <c r="F203" i="7" s="1"/>
  <c r="F204" i="7" s="1"/>
  <c r="F108" i="7" s="1"/>
  <c r="F109" i="7" s="1"/>
  <c r="F110" i="7" s="1"/>
  <c r="Y175" i="7"/>
  <c r="Y203" i="7" s="1"/>
  <c r="Y204" i="7" s="1"/>
  <c r="Y108" i="7" s="1"/>
  <c r="Y109" i="7" s="1"/>
  <c r="Y110" i="7" s="1"/>
  <c r="AC175" i="7"/>
  <c r="AC203" i="7" s="1"/>
  <c r="AC204" i="7" s="1"/>
  <c r="AC108" i="7" s="1"/>
  <c r="AC109" i="7" s="1"/>
  <c r="AC110" i="7" s="1"/>
  <c r="Z175" i="7"/>
  <c r="Z203" i="7" s="1"/>
  <c r="Z204" i="7" s="1"/>
  <c r="Z108" i="7" s="1"/>
  <c r="Z109" i="7" s="1"/>
  <c r="Z110" i="7" s="1"/>
  <c r="AF109" i="7"/>
  <c r="AF110" i="7" s="1"/>
  <c r="W109" i="7"/>
  <c r="W110" i="7" s="1"/>
  <c r="AD109" i="7"/>
  <c r="AD110" i="7" s="1"/>
  <c r="D175" i="7"/>
  <c r="D203" i="7" s="1"/>
  <c r="D204" i="7" s="1"/>
  <c r="D108" i="7" s="1"/>
  <c r="D109" i="7" s="1"/>
  <c r="D110" i="7" s="1"/>
  <c r="H246" i="8"/>
  <c r="H274" i="8" s="1"/>
  <c r="H275" i="8" s="1"/>
  <c r="H99" i="8" s="1"/>
  <c r="H100" i="8" s="1"/>
  <c r="AA246" i="8"/>
  <c r="AA274" i="8" s="1"/>
  <c r="AA275" i="8" s="1"/>
  <c r="AA99" i="8" s="1"/>
  <c r="AA100" i="8" s="1"/>
  <c r="B391" i="7"/>
  <c r="X109" i="7"/>
  <c r="X110" i="7" s="1"/>
  <c r="AB109" i="7"/>
  <c r="AB110" i="7" s="1"/>
  <c r="E109" i="7"/>
  <c r="E110" i="7" s="1"/>
  <c r="Z101" i="8"/>
  <c r="C107" i="7"/>
  <c r="C172" i="7"/>
  <c r="AL620" i="2"/>
  <c r="AL621" i="2"/>
  <c r="AL597" i="2"/>
  <c r="AL593" i="2"/>
  <c r="AL589" i="2"/>
  <c r="AL585" i="2"/>
  <c r="AB142" i="10"/>
  <c r="AB154" i="10" s="1"/>
  <c r="AB80" i="10"/>
  <c r="AB81" i="10" s="1"/>
  <c r="AB95" i="10" s="1"/>
  <c r="AH53" i="2"/>
  <c r="AA300" i="10"/>
  <c r="AB284" i="10"/>
  <c r="AB220" i="10"/>
  <c r="AB248" i="10" s="1"/>
  <c r="AI49" i="2"/>
  <c r="AI14" i="2"/>
  <c r="AC101" i="10"/>
  <c r="AC142" i="10"/>
  <c r="AC154" i="10" s="1"/>
  <c r="AB109" i="10"/>
  <c r="AB110" i="10" s="1"/>
  <c r="AB123" i="10" s="1"/>
  <c r="AC284" i="10"/>
  <c r="AC220" i="10"/>
  <c r="AC248" i="10" s="1"/>
  <c r="AD50" i="10"/>
  <c r="AD281" i="10"/>
  <c r="AD297" i="10" s="1"/>
  <c r="AD101" i="10"/>
  <c r="AA87" i="8"/>
  <c r="AA88" i="8" s="1"/>
  <c r="AA79" i="8"/>
  <c r="AC122" i="10"/>
  <c r="AE49" i="10"/>
  <c r="AB49" i="8"/>
  <c r="AB73" i="8" s="1"/>
  <c r="AB78" i="8" s="1"/>
  <c r="AD109" i="10"/>
  <c r="AF649" i="10"/>
  <c r="AF652" i="10" s="1"/>
  <c r="AE745" i="10"/>
  <c r="AF746" i="10" s="1"/>
  <c r="AC704" i="8"/>
  <c r="AD705" i="8" s="1"/>
  <c r="AD608" i="8"/>
  <c r="AD611" i="8" s="1"/>
  <c r="AB98" i="8"/>
  <c r="AB243" i="8"/>
  <c r="AC241" i="8"/>
  <c r="AC48" i="8"/>
  <c r="AC206" i="8"/>
  <c r="AC208" i="8" s="1"/>
  <c r="AC236" i="8" s="1"/>
  <c r="AC237" i="8" s="1"/>
  <c r="H87" i="8"/>
  <c r="H79" i="8"/>
  <c r="AN604" i="7"/>
  <c r="AN607" i="7" s="1"/>
  <c r="AM700" i="7"/>
  <c r="AN701" i="7" s="1"/>
  <c r="I554" i="7"/>
  <c r="AI15" i="2"/>
  <c r="AI50" i="2"/>
  <c r="AI232" i="2"/>
  <c r="AI271" i="2"/>
  <c r="AI17" i="2"/>
  <c r="AI52" i="2"/>
  <c r="AI234" i="2"/>
  <c r="AI273" i="2"/>
  <c r="AJ71" i="2"/>
  <c r="AL757" i="2"/>
  <c r="AL399" i="2" s="1"/>
  <c r="AL534" i="2" s="1"/>
  <c r="AL755" i="2"/>
  <c r="AL397" i="2" s="1"/>
  <c r="AL532" i="2" s="1"/>
  <c r="AL753" i="2"/>
  <c r="AL395" i="2" s="1"/>
  <c r="AL530" i="2" s="1"/>
  <c r="AL751" i="2"/>
  <c r="AL393" i="2" s="1"/>
  <c r="AL528" i="2" s="1"/>
  <c r="AL749" i="2"/>
  <c r="AL391" i="2" s="1"/>
  <c r="AL526" i="2" s="1"/>
  <c r="AL725" i="2"/>
  <c r="AL373" i="2" s="1"/>
  <c r="AL508" i="2" s="1"/>
  <c r="AL758" i="2"/>
  <c r="AL400" i="2" s="1"/>
  <c r="AL535" i="2" s="1"/>
  <c r="AL756" i="2"/>
  <c r="AL398" i="2" s="1"/>
  <c r="AL533" i="2" s="1"/>
  <c r="AL754" i="2"/>
  <c r="AL396" i="2" s="1"/>
  <c r="AL531" i="2" s="1"/>
  <c r="AL752" i="2"/>
  <c r="AL394" i="2" s="1"/>
  <c r="AL529" i="2" s="1"/>
  <c r="AL750" i="2"/>
  <c r="AL392" i="2" s="1"/>
  <c r="AL527" i="2" s="1"/>
  <c r="AL726" i="2"/>
  <c r="AL374" i="2" s="1"/>
  <c r="AL509" i="2" s="1"/>
  <c r="AL724" i="2"/>
  <c r="AL372" i="2" s="1"/>
  <c r="AL507" i="2" s="1"/>
  <c r="AL723" i="2"/>
  <c r="AL371" i="2" s="1"/>
  <c r="AL506" i="2" s="1"/>
  <c r="AL721" i="2"/>
  <c r="AL369" i="2" s="1"/>
  <c r="AL504" i="2" s="1"/>
  <c r="AL719" i="2"/>
  <c r="AL367" i="2" s="1"/>
  <c r="AL502" i="2" s="1"/>
  <c r="AL717" i="2"/>
  <c r="AL365" i="2" s="1"/>
  <c r="AL500" i="2" s="1"/>
  <c r="AL693" i="2"/>
  <c r="AL691" i="2"/>
  <c r="AL689" i="2"/>
  <c r="AL344" i="2" s="1"/>
  <c r="AL478" i="2" s="1"/>
  <c r="AL687" i="2"/>
  <c r="AL342" i="2" s="1"/>
  <c r="AL476" i="2" s="1"/>
  <c r="AL685" i="2"/>
  <c r="AL761" i="2"/>
  <c r="AL764" i="2"/>
  <c r="AL765" i="2"/>
  <c r="AL767" i="2"/>
  <c r="AL769" i="2"/>
  <c r="AL720" i="2"/>
  <c r="AL368" i="2" s="1"/>
  <c r="AL503" i="2" s="1"/>
  <c r="AL692" i="2"/>
  <c r="AL688" i="2"/>
  <c r="AL343" i="2" s="1"/>
  <c r="AL477" i="2" s="1"/>
  <c r="AL722" i="2"/>
  <c r="AL370" i="2" s="1"/>
  <c r="AL505" i="2" s="1"/>
  <c r="AL718" i="2"/>
  <c r="AL366" i="2" s="1"/>
  <c r="AL501" i="2" s="1"/>
  <c r="AL694" i="2"/>
  <c r="AL349" i="2" s="1"/>
  <c r="AL483" i="2" s="1"/>
  <c r="AL690" i="2"/>
  <c r="AL345" i="2" s="1"/>
  <c r="AL479" i="2" s="1"/>
  <c r="AL686" i="2"/>
  <c r="AL766" i="2"/>
  <c r="AL770" i="2"/>
  <c r="AL730" i="2"/>
  <c r="AL734" i="2"/>
  <c r="AL736" i="2"/>
  <c r="AL768" i="2"/>
  <c r="AL729" i="2"/>
  <c r="AL733" i="2"/>
  <c r="AL735" i="2"/>
  <c r="AL737" i="2"/>
  <c r="AL738" i="2"/>
  <c r="AK727" i="2"/>
  <c r="AK712" i="2" s="1"/>
  <c r="AK69" i="2" s="1"/>
  <c r="AK759" i="2"/>
  <c r="AK744" i="2" s="1"/>
  <c r="AK70" i="2" s="1"/>
  <c r="AK61" i="2"/>
  <c r="AL697" i="2"/>
  <c r="AL33" i="2"/>
  <c r="AL35" i="2" s="1"/>
  <c r="AL37" i="2" s="1"/>
  <c r="AL39" i="2" s="1"/>
  <c r="AL552" i="2"/>
  <c r="AL553" i="2" s="1"/>
  <c r="AL558" i="2"/>
  <c r="AL559" i="2" s="1"/>
  <c r="AL667" i="2"/>
  <c r="AL618" i="2"/>
  <c r="AL625" i="2"/>
  <c r="AL617" i="2"/>
  <c r="AL634" i="2"/>
  <c r="AL624" i="2"/>
  <c r="AL635" i="2" s="1"/>
  <c r="AL639" i="2" s="1"/>
  <c r="AM11" i="2"/>
  <c r="AL318" i="2"/>
  <c r="AL320" i="2"/>
  <c r="AL322" i="2"/>
  <c r="AL451" i="2"/>
  <c r="AL452" i="2"/>
  <c r="AL453" i="2"/>
  <c r="AL454" i="2"/>
  <c r="AL455" i="2"/>
  <c r="AL456" i="2"/>
  <c r="AL640" i="2"/>
  <c r="AL319" i="2"/>
  <c r="AL317" i="2"/>
  <c r="AL321" i="2"/>
  <c r="AJ121" i="2"/>
  <c r="AL19" i="2"/>
  <c r="AG47" i="2"/>
  <c r="AG242" i="2"/>
  <c r="AG206" i="2"/>
  <c r="AI120" i="2"/>
  <c r="AH43" i="2"/>
  <c r="AH47" i="2" s="1"/>
  <c r="Y630" i="2"/>
  <c r="AL698" i="2"/>
  <c r="AL700" i="2"/>
  <c r="AL703" i="2"/>
  <c r="AL704" i="2"/>
  <c r="AL705" i="2"/>
  <c r="AL706" i="2"/>
  <c r="AI105" i="2"/>
  <c r="AL469" i="2"/>
  <c r="AK470" i="2"/>
  <c r="AL335" i="2"/>
  <c r="AL340" i="2"/>
  <c r="AL474" i="2" s="1"/>
  <c r="AL341" i="2"/>
  <c r="AL475" i="2" s="1"/>
  <c r="AL346" i="2"/>
  <c r="AL480" i="2" s="1"/>
  <c r="AL347" i="2"/>
  <c r="AL481" i="2" s="1"/>
  <c r="AL348" i="2"/>
  <c r="AL482" i="2" s="1"/>
  <c r="AK336" i="2"/>
  <c r="AK695" i="2"/>
  <c r="AK680" i="2" s="1"/>
  <c r="AK68" i="2" s="1"/>
  <c r="AI666" i="2"/>
  <c r="AJ554" i="2"/>
  <c r="AJ555" i="2" s="1"/>
  <c r="AJ103" i="2" s="1"/>
  <c r="AJ248" i="2" s="1"/>
  <c r="AJ560" i="2"/>
  <c r="AJ561" i="2" s="1"/>
  <c r="AJ104" i="2" s="1"/>
  <c r="AL40" i="2"/>
  <c r="AL23" i="2"/>
  <c r="AL26" i="2"/>
  <c r="AL30" i="2"/>
  <c r="AI270" i="2"/>
  <c r="AI231" i="2"/>
  <c r="AH274" i="2"/>
  <c r="AH275" i="2" s="1"/>
  <c r="AI272" i="2"/>
  <c r="AI233" i="2"/>
  <c r="AH235" i="2"/>
  <c r="AH236" i="2" s="1"/>
  <c r="AI601" i="2"/>
  <c r="AJ594" i="2"/>
  <c r="AJ595" i="2" s="1"/>
  <c r="AJ51" i="2" s="1"/>
  <c r="AJ598" i="2"/>
  <c r="AJ599" i="2" s="1"/>
  <c r="AJ590" i="2"/>
  <c r="AJ591" i="2" s="1"/>
  <c r="AJ586" i="2"/>
  <c r="AJ587" i="2" s="1"/>
  <c r="AL668" i="2"/>
  <c r="AK27" i="2"/>
  <c r="AK10" i="2"/>
  <c r="AK12" i="2" s="1"/>
  <c r="AM2" i="2"/>
  <c r="AL25" i="2"/>
  <c r="AJ29" i="2"/>
  <c r="AJ31" i="2" s="1"/>
  <c r="AJ41" i="2" s="1"/>
  <c r="AI675" i="2" s="1"/>
  <c r="AM660" i="2" l="1"/>
  <c r="AM669" i="2"/>
  <c r="AM674" i="2"/>
  <c r="AL109" i="7"/>
  <c r="AL110" i="7" s="1"/>
  <c r="AJ120" i="7"/>
  <c r="AK109" i="7"/>
  <c r="AK110" i="7" s="1"/>
  <c r="AK119" i="7" s="1"/>
  <c r="AI120" i="7"/>
  <c r="AH120" i="7"/>
  <c r="AN169" i="7"/>
  <c r="AN54" i="7"/>
  <c r="AN56" i="7" s="1"/>
  <c r="AN82" i="7" s="1"/>
  <c r="AN87" i="7" s="1"/>
  <c r="AN133" i="7"/>
  <c r="AN136" i="7" s="1"/>
  <c r="AN164" i="7" s="1"/>
  <c r="AN165" i="7" s="1"/>
  <c r="AM88" i="7"/>
  <c r="AM96" i="7"/>
  <c r="AM97" i="7" s="1"/>
  <c r="AI673" i="2"/>
  <c r="AJ672" i="2"/>
  <c r="AM172" i="7"/>
  <c r="AM175" i="7" s="1"/>
  <c r="AM203" i="7" s="1"/>
  <c r="AM204" i="7" s="1"/>
  <c r="AM108" i="7" s="1"/>
  <c r="AM107" i="7"/>
  <c r="E119" i="7"/>
  <c r="F120" i="7"/>
  <c r="X119" i="7"/>
  <c r="Y120" i="7"/>
  <c r="E120" i="7"/>
  <c r="D119" i="7"/>
  <c r="W119" i="7"/>
  <c r="X120" i="7"/>
  <c r="Z119" i="7"/>
  <c r="AA120" i="7"/>
  <c r="Y119" i="7"/>
  <c r="Z120" i="7"/>
  <c r="F119" i="7"/>
  <c r="AB119" i="7"/>
  <c r="AC120" i="7"/>
  <c r="AD119" i="7"/>
  <c r="AE120" i="7"/>
  <c r="AF119" i="7"/>
  <c r="AG120" i="7"/>
  <c r="AC119" i="7"/>
  <c r="AD120" i="7"/>
  <c r="AF120" i="7"/>
  <c r="AB120" i="7"/>
  <c r="Z108" i="8"/>
  <c r="Z107" i="8"/>
  <c r="G96" i="7"/>
  <c r="G97" i="7" s="1"/>
  <c r="G110" i="7" s="1"/>
  <c r="G120" i="7" s="1"/>
  <c r="G88" i="7"/>
  <c r="H169" i="7"/>
  <c r="H54" i="7"/>
  <c r="H56" i="7" s="1"/>
  <c r="H133" i="7"/>
  <c r="H136" i="7" s="1"/>
  <c r="H164" i="7" s="1"/>
  <c r="H165" i="7" s="1"/>
  <c r="AK55" i="2"/>
  <c r="AK244" i="2"/>
  <c r="AK208" i="2"/>
  <c r="AL622" i="2"/>
  <c r="AL623" i="2" s="1"/>
  <c r="AL612" i="2"/>
  <c r="AL653" i="2"/>
  <c r="AL650" i="2" s="1"/>
  <c r="AM655" i="2"/>
  <c r="AM654" i="2"/>
  <c r="AK650" i="2"/>
  <c r="AK651" i="2" s="1"/>
  <c r="AL648" i="2" s="1"/>
  <c r="AM5" i="2"/>
  <c r="AM638" i="2"/>
  <c r="AM658" i="2" s="1"/>
  <c r="AI53" i="2"/>
  <c r="C175" i="7"/>
  <c r="C203" i="7" s="1"/>
  <c r="C204" i="7" s="1"/>
  <c r="C108" i="7" s="1"/>
  <c r="C109" i="7" s="1"/>
  <c r="C110" i="7" s="1"/>
  <c r="AB246" i="8"/>
  <c r="AB274" i="8" s="1"/>
  <c r="AB275" i="8" s="1"/>
  <c r="AB99" i="8" s="1"/>
  <c r="AB100" i="8" s="1"/>
  <c r="AM620" i="2"/>
  <c r="AM621" i="2"/>
  <c r="AM597" i="2"/>
  <c r="AM593" i="2"/>
  <c r="AM589" i="2"/>
  <c r="AM585" i="2"/>
  <c r="AI18" i="2"/>
  <c r="AI20" i="2" s="1"/>
  <c r="AI43" i="2" s="1"/>
  <c r="AI47" i="2" s="1"/>
  <c r="AB300" i="10"/>
  <c r="AD74" i="10"/>
  <c r="AD76" i="10" s="1"/>
  <c r="AK71" i="2"/>
  <c r="AJ49" i="2"/>
  <c r="AJ14" i="2"/>
  <c r="AA101" i="8"/>
  <c r="AC109" i="10"/>
  <c r="AC110" i="10" s="1"/>
  <c r="AC123" i="10" s="1"/>
  <c r="AC300" i="10"/>
  <c r="AD110" i="10"/>
  <c r="AE50" i="10"/>
  <c r="AE74" i="10" s="1"/>
  <c r="AE76" i="10" s="1"/>
  <c r="AE80" i="10" s="1"/>
  <c r="AE81" i="10" s="1"/>
  <c r="AE95" i="10" s="1"/>
  <c r="AE281" i="10"/>
  <c r="AE297" i="10" s="1"/>
  <c r="AB87" i="8"/>
  <c r="AB88" i="8" s="1"/>
  <c r="AB79" i="8"/>
  <c r="AF49" i="10"/>
  <c r="AC49" i="8"/>
  <c r="AC73" i="8" s="1"/>
  <c r="AC78" i="8" s="1"/>
  <c r="AG649" i="10"/>
  <c r="AG652" i="10" s="1"/>
  <c r="AF745" i="10"/>
  <c r="AG746" i="10" s="1"/>
  <c r="AG49" i="10" s="1"/>
  <c r="AD122" i="10"/>
  <c r="AD704" i="8"/>
  <c r="AE705" i="8" s="1"/>
  <c r="AE608" i="8"/>
  <c r="AE611" i="8" s="1"/>
  <c r="AC98" i="8"/>
  <c r="AC243" i="8"/>
  <c r="AD241" i="8"/>
  <c r="AD48" i="8"/>
  <c r="AD206" i="8"/>
  <c r="AD208" i="8" s="1"/>
  <c r="AD236" i="8" s="1"/>
  <c r="AD237" i="8" s="1"/>
  <c r="H88" i="8"/>
  <c r="H101" i="8" s="1"/>
  <c r="I208" i="8"/>
  <c r="I236" i="8" s="1"/>
  <c r="I237" i="8" s="1"/>
  <c r="I559" i="7"/>
  <c r="I537" i="7" s="1"/>
  <c r="I80" i="7" s="1"/>
  <c r="AO604" i="7"/>
  <c r="AO607" i="7" s="1"/>
  <c r="AN700" i="7"/>
  <c r="AO701" i="7" s="1"/>
  <c r="AJ15" i="2"/>
  <c r="AJ50" i="2"/>
  <c r="AJ232" i="2"/>
  <c r="AJ271" i="2"/>
  <c r="AJ17" i="2"/>
  <c r="AJ52" i="2"/>
  <c r="AJ234" i="2"/>
  <c r="AJ273" i="2"/>
  <c r="AM758" i="2"/>
  <c r="AM400" i="2" s="1"/>
  <c r="AM535" i="2" s="1"/>
  <c r="AM756" i="2"/>
  <c r="AM398" i="2" s="1"/>
  <c r="AM533" i="2" s="1"/>
  <c r="AM754" i="2"/>
  <c r="AM396" i="2" s="1"/>
  <c r="AM531" i="2" s="1"/>
  <c r="AM752" i="2"/>
  <c r="AM394" i="2" s="1"/>
  <c r="AM529" i="2" s="1"/>
  <c r="AM750" i="2"/>
  <c r="AM392" i="2" s="1"/>
  <c r="AM527" i="2" s="1"/>
  <c r="AM726" i="2"/>
  <c r="AM374" i="2" s="1"/>
  <c r="AM509" i="2" s="1"/>
  <c r="AM724" i="2"/>
  <c r="AM372" i="2" s="1"/>
  <c r="AM507" i="2" s="1"/>
  <c r="AM757" i="2"/>
  <c r="AM399" i="2" s="1"/>
  <c r="AM534" i="2" s="1"/>
  <c r="AM755" i="2"/>
  <c r="AM397" i="2" s="1"/>
  <c r="AM532" i="2" s="1"/>
  <c r="AM753" i="2"/>
  <c r="AM395" i="2" s="1"/>
  <c r="AM530" i="2" s="1"/>
  <c r="AM751" i="2"/>
  <c r="AM393" i="2" s="1"/>
  <c r="AM528" i="2" s="1"/>
  <c r="AM749" i="2"/>
  <c r="AM391" i="2" s="1"/>
  <c r="AM526" i="2" s="1"/>
  <c r="AM725" i="2"/>
  <c r="AM373" i="2" s="1"/>
  <c r="AM508" i="2" s="1"/>
  <c r="AM722" i="2"/>
  <c r="AM370" i="2" s="1"/>
  <c r="AM505" i="2" s="1"/>
  <c r="AM720" i="2"/>
  <c r="AM368" i="2" s="1"/>
  <c r="AM503" i="2" s="1"/>
  <c r="AM718" i="2"/>
  <c r="AM366" i="2" s="1"/>
  <c r="AM501" i="2" s="1"/>
  <c r="AM694" i="2"/>
  <c r="AM692" i="2"/>
  <c r="AM690" i="2"/>
  <c r="AM688" i="2"/>
  <c r="AM686" i="2"/>
  <c r="AM766" i="2"/>
  <c r="AM768" i="2"/>
  <c r="AM721" i="2"/>
  <c r="AM369" i="2" s="1"/>
  <c r="AM504" i="2" s="1"/>
  <c r="AM717" i="2"/>
  <c r="AM365" i="2" s="1"/>
  <c r="AM500" i="2" s="1"/>
  <c r="AM693" i="2"/>
  <c r="AM348" i="2" s="1"/>
  <c r="AM482" i="2" s="1"/>
  <c r="AM689" i="2"/>
  <c r="AM723" i="2"/>
  <c r="AM371" i="2" s="1"/>
  <c r="AM506" i="2" s="1"/>
  <c r="AM719" i="2"/>
  <c r="AM367" i="2" s="1"/>
  <c r="AM502" i="2" s="1"/>
  <c r="AM691" i="2"/>
  <c r="AM346" i="2" s="1"/>
  <c r="AM480" i="2" s="1"/>
  <c r="AM687" i="2"/>
  <c r="AM764" i="2"/>
  <c r="AM767" i="2"/>
  <c r="AM765" i="2"/>
  <c r="AM729" i="2"/>
  <c r="AM733" i="2"/>
  <c r="AM735" i="2"/>
  <c r="AM737" i="2"/>
  <c r="AM685" i="2"/>
  <c r="AM761" i="2"/>
  <c r="AM769" i="2"/>
  <c r="AM770" i="2"/>
  <c r="AM730" i="2"/>
  <c r="AM734" i="2"/>
  <c r="AM736" i="2"/>
  <c r="AM738" i="2"/>
  <c r="AL727" i="2"/>
  <c r="AL712" i="2" s="1"/>
  <c r="AL69" i="2" s="1"/>
  <c r="AL759" i="2"/>
  <c r="AL744" i="2" s="1"/>
  <c r="AL70" i="2" s="1"/>
  <c r="AL61" i="2"/>
  <c r="AM697" i="2"/>
  <c r="AM33" i="2"/>
  <c r="AM35" i="2" s="1"/>
  <c r="AM37" i="2" s="1"/>
  <c r="AM39" i="2" s="1"/>
  <c r="AM552" i="2"/>
  <c r="AM553" i="2" s="1"/>
  <c r="AM558" i="2"/>
  <c r="AM559" i="2" s="1"/>
  <c r="AM634" i="2"/>
  <c r="AM624" i="2"/>
  <c r="AM635" i="2" s="1"/>
  <c r="AM639" i="2" s="1"/>
  <c r="AM667" i="2"/>
  <c r="AM618" i="2"/>
  <c r="AM625" i="2"/>
  <c r="AM617" i="2"/>
  <c r="AN11" i="2"/>
  <c r="AM317" i="2"/>
  <c r="AM319" i="2"/>
  <c r="AM321" i="2"/>
  <c r="AM320" i="2"/>
  <c r="AM452" i="2"/>
  <c r="AM454" i="2"/>
  <c r="AM456" i="2"/>
  <c r="AM640" i="2"/>
  <c r="AM318" i="2"/>
  <c r="AM322" i="2"/>
  <c r="AM451" i="2"/>
  <c r="AM453" i="2"/>
  <c r="AM455" i="2"/>
  <c r="AM19" i="2"/>
  <c r="AK121" i="2"/>
  <c r="AH242" i="2"/>
  <c r="AH206" i="2"/>
  <c r="AJ120" i="2"/>
  <c r="AM698" i="2"/>
  <c r="AM699" i="2"/>
  <c r="AM703" i="2"/>
  <c r="AM704" i="2"/>
  <c r="AM705" i="2"/>
  <c r="AM706" i="2"/>
  <c r="AJ105" i="2"/>
  <c r="AM469" i="2"/>
  <c r="AL470" i="2"/>
  <c r="AM335" i="2"/>
  <c r="AM340" i="2"/>
  <c r="AM474" i="2" s="1"/>
  <c r="AM341" i="2"/>
  <c r="AM475" i="2" s="1"/>
  <c r="AM342" i="2"/>
  <c r="AM476" i="2" s="1"/>
  <c r="AM343" i="2"/>
  <c r="AM477" i="2" s="1"/>
  <c r="AM344" i="2"/>
  <c r="AM478" i="2" s="1"/>
  <c r="AM345" i="2"/>
  <c r="AM479" i="2" s="1"/>
  <c r="AM347" i="2"/>
  <c r="AM481" i="2" s="1"/>
  <c r="AM349" i="2"/>
  <c r="AM483" i="2" s="1"/>
  <c r="AL336" i="2"/>
  <c r="AL695" i="2"/>
  <c r="AL680" i="2" s="1"/>
  <c r="AL68" i="2" s="1"/>
  <c r="AJ666" i="2"/>
  <c r="AK554" i="2"/>
  <c r="AK555" i="2" s="1"/>
  <c r="AK103" i="2" s="1"/>
  <c r="AK248" i="2" s="1"/>
  <c r="AK560" i="2"/>
  <c r="AK561" i="2" s="1"/>
  <c r="AK104" i="2" s="1"/>
  <c r="AM23" i="2"/>
  <c r="AM26" i="2"/>
  <c r="AM30" i="2"/>
  <c r="AM40" i="2"/>
  <c r="AI274" i="2"/>
  <c r="AI275" i="2" s="1"/>
  <c r="AJ270" i="2"/>
  <c r="AJ231" i="2"/>
  <c r="AJ272" i="2"/>
  <c r="AJ233" i="2"/>
  <c r="AI235" i="2"/>
  <c r="AI236" i="2" s="1"/>
  <c r="AJ601" i="2"/>
  <c r="AK598" i="2"/>
  <c r="AK599" i="2" s="1"/>
  <c r="AK590" i="2"/>
  <c r="AK591" i="2" s="1"/>
  <c r="AK586" i="2"/>
  <c r="AK587" i="2" s="1"/>
  <c r="AK594" i="2"/>
  <c r="AK595" i="2" s="1"/>
  <c r="AK51" i="2" s="1"/>
  <c r="AM668" i="2"/>
  <c r="AK29" i="2"/>
  <c r="AK31" i="2" s="1"/>
  <c r="AK41" i="2" s="1"/>
  <c r="AJ675" i="2" s="1"/>
  <c r="Z633" i="2"/>
  <c r="Z611" i="2" s="1"/>
  <c r="AN2" i="2"/>
  <c r="AM25" i="2"/>
  <c r="AL27" i="2"/>
  <c r="AL10" i="2"/>
  <c r="AL12" i="2" s="1"/>
  <c r="AN660" i="2" l="1"/>
  <c r="AN674" i="2"/>
  <c r="AN669" i="2"/>
  <c r="AK120" i="7"/>
  <c r="AM109" i="7"/>
  <c r="AM110" i="7" s="1"/>
  <c r="AM119" i="7" s="1"/>
  <c r="AJ673" i="2"/>
  <c r="AK672" i="2"/>
  <c r="AG281" i="10"/>
  <c r="AG50" i="10"/>
  <c r="AG74" i="10" s="1"/>
  <c r="AG76" i="10" s="1"/>
  <c r="AL119" i="7"/>
  <c r="AN96" i="7"/>
  <c r="AN97" i="7" s="1"/>
  <c r="AN88" i="7"/>
  <c r="AO169" i="7"/>
  <c r="AO54" i="7"/>
  <c r="AO56" i="7" s="1"/>
  <c r="AO82" i="7" s="1"/>
  <c r="AO87" i="7" s="1"/>
  <c r="AO133" i="7"/>
  <c r="AO136" i="7" s="1"/>
  <c r="AO164" i="7" s="1"/>
  <c r="AO165" i="7" s="1"/>
  <c r="AN172" i="7"/>
  <c r="AN175" i="7" s="1"/>
  <c r="AN203" i="7" s="1"/>
  <c r="AN204" i="7" s="1"/>
  <c r="AN108" i="7" s="1"/>
  <c r="AN107" i="7"/>
  <c r="AL120" i="7"/>
  <c r="C119" i="7"/>
  <c r="D120" i="7"/>
  <c r="G119" i="7"/>
  <c r="H108" i="8"/>
  <c r="AA108" i="8"/>
  <c r="H107" i="8"/>
  <c r="AA107" i="8"/>
  <c r="H107" i="7"/>
  <c r="H172" i="7"/>
  <c r="H175" i="7" s="1"/>
  <c r="H203" i="7" s="1"/>
  <c r="H204" i="7" s="1"/>
  <c r="H108" i="7" s="1"/>
  <c r="I534" i="7"/>
  <c r="I535" i="7" s="1"/>
  <c r="J532" i="7" s="1"/>
  <c r="I539" i="7"/>
  <c r="H595" i="7" s="1"/>
  <c r="AL55" i="2"/>
  <c r="AL244" i="2"/>
  <c r="AL208" i="2"/>
  <c r="AM622" i="2"/>
  <c r="AM623" i="2" s="1"/>
  <c r="AL651" i="2"/>
  <c r="AM648" i="2" s="1"/>
  <c r="Z613" i="2"/>
  <c r="Z608" i="2"/>
  <c r="Z80" i="2" s="1"/>
  <c r="Z81" i="2" s="1"/>
  <c r="AM612" i="2"/>
  <c r="AM653" i="2"/>
  <c r="AM650" i="2" s="1"/>
  <c r="AM651" i="2" s="1"/>
  <c r="AN648" i="2" s="1"/>
  <c r="AM659" i="2"/>
  <c r="AN655" i="2"/>
  <c r="AN654" i="2"/>
  <c r="AN5" i="2"/>
  <c r="AN638" i="2"/>
  <c r="AN658" i="2" s="1"/>
  <c r="AB101" i="8"/>
  <c r="AC246" i="8"/>
  <c r="AC274" i="8" s="1"/>
  <c r="AC275" i="8" s="1"/>
  <c r="AC99" i="8" s="1"/>
  <c r="AC100" i="8" s="1"/>
  <c r="AN620" i="2"/>
  <c r="AN621" i="2"/>
  <c r="AN597" i="2"/>
  <c r="AN593" i="2"/>
  <c r="AN589" i="2"/>
  <c r="AN585" i="2"/>
  <c r="AD142" i="10"/>
  <c r="AD154" i="10" s="1"/>
  <c r="AD80" i="10"/>
  <c r="AD81" i="10" s="1"/>
  <c r="AD95" i="10" s="1"/>
  <c r="AJ53" i="2"/>
  <c r="AD284" i="10"/>
  <c r="AD220" i="10"/>
  <c r="AD248" i="10" s="1"/>
  <c r="AK49" i="2"/>
  <c r="AK14" i="2"/>
  <c r="AE109" i="10"/>
  <c r="AE142" i="10"/>
  <c r="AE154" i="10" s="1"/>
  <c r="AD123" i="10"/>
  <c r="AE101" i="10"/>
  <c r="AE284" i="10"/>
  <c r="AE220" i="10"/>
  <c r="AE248" i="10" s="1"/>
  <c r="AF50" i="10"/>
  <c r="AF281" i="10"/>
  <c r="AF297" i="10" s="1"/>
  <c r="AJ18" i="2"/>
  <c r="AJ20" i="2" s="1"/>
  <c r="AJ43" i="2" s="1"/>
  <c r="AC79" i="8"/>
  <c r="AC87" i="8"/>
  <c r="AC88" i="8" s="1"/>
  <c r="AD49" i="8"/>
  <c r="AD73" i="8" s="1"/>
  <c r="AD78" i="8" s="1"/>
  <c r="AE122" i="10"/>
  <c r="AH649" i="10"/>
  <c r="AH652" i="10" s="1"/>
  <c r="AG745" i="10"/>
  <c r="AH746" i="10" s="1"/>
  <c r="AH49" i="10" s="1"/>
  <c r="AE704" i="8"/>
  <c r="AF705" i="8" s="1"/>
  <c r="AF608" i="8"/>
  <c r="AF611" i="8" s="1"/>
  <c r="AD98" i="8"/>
  <c r="AD243" i="8"/>
  <c r="AD246" i="8" s="1"/>
  <c r="AE241" i="8"/>
  <c r="AE48" i="8"/>
  <c r="AE206" i="8"/>
  <c r="AE208" i="8" s="1"/>
  <c r="AE236" i="8" s="1"/>
  <c r="AE237" i="8" s="1"/>
  <c r="AD274" i="8"/>
  <c r="AD275" i="8" s="1"/>
  <c r="AD99" i="8" s="1"/>
  <c r="I72" i="8"/>
  <c r="I73" i="8" s="1"/>
  <c r="I78" i="8" s="1"/>
  <c r="I243" i="8"/>
  <c r="I98" i="8"/>
  <c r="AP604" i="7"/>
  <c r="AP607" i="7" s="1"/>
  <c r="AP700" i="7" s="1"/>
  <c r="AO700" i="7"/>
  <c r="AP701" i="7" s="1"/>
  <c r="I556" i="7"/>
  <c r="I557" i="7" s="1"/>
  <c r="J560" i="7" s="1"/>
  <c r="J538" i="7" s="1"/>
  <c r="I81" i="7"/>
  <c r="AK15" i="2"/>
  <c r="AK50" i="2"/>
  <c r="AK232" i="2"/>
  <c r="AK271" i="2"/>
  <c r="AK17" i="2"/>
  <c r="AK52" i="2"/>
  <c r="AK234" i="2"/>
  <c r="AK273" i="2"/>
  <c r="AM61" i="2"/>
  <c r="AL71" i="2"/>
  <c r="AN757" i="2"/>
  <c r="AN399" i="2" s="1"/>
  <c r="AN534" i="2" s="1"/>
  <c r="AN755" i="2"/>
  <c r="AN397" i="2" s="1"/>
  <c r="AN532" i="2" s="1"/>
  <c r="AN753" i="2"/>
  <c r="AN395" i="2" s="1"/>
  <c r="AN530" i="2" s="1"/>
  <c r="AN751" i="2"/>
  <c r="AN393" i="2" s="1"/>
  <c r="AN528" i="2" s="1"/>
  <c r="AN749" i="2"/>
  <c r="AN391" i="2" s="1"/>
  <c r="AN526" i="2" s="1"/>
  <c r="AN725" i="2"/>
  <c r="AN373" i="2" s="1"/>
  <c r="AN508" i="2" s="1"/>
  <c r="AN758" i="2"/>
  <c r="AN400" i="2" s="1"/>
  <c r="AN535" i="2" s="1"/>
  <c r="AN756" i="2"/>
  <c r="AN398" i="2" s="1"/>
  <c r="AN533" i="2" s="1"/>
  <c r="AN754" i="2"/>
  <c r="AN396" i="2" s="1"/>
  <c r="AN531" i="2" s="1"/>
  <c r="AN752" i="2"/>
  <c r="AN394" i="2" s="1"/>
  <c r="AN529" i="2" s="1"/>
  <c r="AN750" i="2"/>
  <c r="AN392" i="2" s="1"/>
  <c r="AN527" i="2" s="1"/>
  <c r="AN726" i="2"/>
  <c r="AN374" i="2" s="1"/>
  <c r="AN509" i="2" s="1"/>
  <c r="AN724" i="2"/>
  <c r="AN372" i="2" s="1"/>
  <c r="AN507" i="2" s="1"/>
  <c r="AN723" i="2"/>
  <c r="AN371" i="2" s="1"/>
  <c r="AN506" i="2" s="1"/>
  <c r="AN721" i="2"/>
  <c r="AN369" i="2" s="1"/>
  <c r="AN504" i="2" s="1"/>
  <c r="AN719" i="2"/>
  <c r="AN367" i="2" s="1"/>
  <c r="AN502" i="2" s="1"/>
  <c r="AN717" i="2"/>
  <c r="AN365" i="2" s="1"/>
  <c r="AN500" i="2" s="1"/>
  <c r="AN693" i="2"/>
  <c r="AN348" i="2" s="1"/>
  <c r="AN482" i="2" s="1"/>
  <c r="AN691" i="2"/>
  <c r="AN689" i="2"/>
  <c r="AN344" i="2" s="1"/>
  <c r="AN478" i="2" s="1"/>
  <c r="AN687" i="2"/>
  <c r="AN685" i="2"/>
  <c r="AN340" i="2" s="1"/>
  <c r="AN474" i="2" s="1"/>
  <c r="AN761" i="2"/>
  <c r="AN764" i="2"/>
  <c r="AN765" i="2"/>
  <c r="AN767" i="2"/>
  <c r="AN769" i="2"/>
  <c r="AN722" i="2"/>
  <c r="AN370" i="2" s="1"/>
  <c r="AN505" i="2" s="1"/>
  <c r="AN718" i="2"/>
  <c r="AN366" i="2" s="1"/>
  <c r="AN501" i="2" s="1"/>
  <c r="AN694" i="2"/>
  <c r="AN690" i="2"/>
  <c r="AN720" i="2"/>
  <c r="AN368" i="2" s="1"/>
  <c r="AN503" i="2" s="1"/>
  <c r="AN692" i="2"/>
  <c r="AN688" i="2"/>
  <c r="AN768" i="2"/>
  <c r="AN766" i="2"/>
  <c r="AN770" i="2"/>
  <c r="AN730" i="2"/>
  <c r="AN734" i="2"/>
  <c r="AN736" i="2"/>
  <c r="AN738" i="2"/>
  <c r="AN686" i="2"/>
  <c r="AN729" i="2"/>
  <c r="AN733" i="2"/>
  <c r="AN735" i="2"/>
  <c r="AN737" i="2"/>
  <c r="AM727" i="2"/>
  <c r="AM712" i="2" s="1"/>
  <c r="AM69" i="2" s="1"/>
  <c r="AM759" i="2"/>
  <c r="AM744" i="2" s="1"/>
  <c r="AM70" i="2" s="1"/>
  <c r="AN697" i="2"/>
  <c r="AN33" i="2"/>
  <c r="AN35" i="2" s="1"/>
  <c r="AN37" i="2" s="1"/>
  <c r="AN39" i="2" s="1"/>
  <c r="AN552" i="2"/>
  <c r="AN553" i="2" s="1"/>
  <c r="AN558" i="2"/>
  <c r="AN559" i="2" s="1"/>
  <c r="AN667" i="2"/>
  <c r="AN618" i="2"/>
  <c r="AN625" i="2"/>
  <c r="AN617" i="2"/>
  <c r="AN634" i="2"/>
  <c r="AN624" i="2"/>
  <c r="AN635" i="2" s="1"/>
  <c r="AN639" i="2" s="1"/>
  <c r="AO11" i="2"/>
  <c r="AN318" i="2"/>
  <c r="AN320" i="2"/>
  <c r="AN322" i="2"/>
  <c r="AN451" i="2"/>
  <c r="AN452" i="2"/>
  <c r="AN453" i="2"/>
  <c r="AN454" i="2"/>
  <c r="AN455" i="2"/>
  <c r="AN456" i="2"/>
  <c r="AN640" i="2"/>
  <c r="AN317" i="2"/>
  <c r="AN321" i="2"/>
  <c r="AN319" i="2"/>
  <c r="AL121" i="2"/>
  <c r="AN19" i="2"/>
  <c r="AI206" i="2"/>
  <c r="AK120" i="2"/>
  <c r="AI242" i="2"/>
  <c r="Z630" i="2"/>
  <c r="AN698" i="2"/>
  <c r="AN699" i="2"/>
  <c r="AN703" i="2"/>
  <c r="AN704" i="2"/>
  <c r="AN705" i="2"/>
  <c r="AN706" i="2"/>
  <c r="AK105" i="2"/>
  <c r="AN469" i="2"/>
  <c r="AM470" i="2"/>
  <c r="AN335" i="2"/>
  <c r="AN341" i="2"/>
  <c r="AN475" i="2" s="1"/>
  <c r="AN342" i="2"/>
  <c r="AN476" i="2" s="1"/>
  <c r="AN343" i="2"/>
  <c r="AN477" i="2" s="1"/>
  <c r="AN345" i="2"/>
  <c r="AN479" i="2" s="1"/>
  <c r="AN346" i="2"/>
  <c r="AN480" i="2" s="1"/>
  <c r="AN347" i="2"/>
  <c r="AN481" i="2" s="1"/>
  <c r="AN349" i="2"/>
  <c r="AN483" i="2" s="1"/>
  <c r="AM336" i="2"/>
  <c r="AM695" i="2"/>
  <c r="AM680" i="2" s="1"/>
  <c r="AM68" i="2" s="1"/>
  <c r="AK666" i="2"/>
  <c r="AL554" i="2"/>
  <c r="AL555" i="2" s="1"/>
  <c r="AL103" i="2" s="1"/>
  <c r="AL248" i="2" s="1"/>
  <c r="AL560" i="2"/>
  <c r="AL561" i="2" s="1"/>
  <c r="AL104" i="2" s="1"/>
  <c r="AN40" i="2"/>
  <c r="AN23" i="2"/>
  <c r="AN26" i="2"/>
  <c r="AN30" i="2"/>
  <c r="AK272" i="2"/>
  <c r="AK233" i="2"/>
  <c r="AJ235" i="2"/>
  <c r="AJ236" i="2" s="1"/>
  <c r="AK270" i="2"/>
  <c r="AK231" i="2"/>
  <c r="AJ274" i="2"/>
  <c r="AJ275" i="2" s="1"/>
  <c r="AK601" i="2"/>
  <c r="AL594" i="2"/>
  <c r="AL595" i="2" s="1"/>
  <c r="AL51" i="2" s="1"/>
  <c r="AL598" i="2"/>
  <c r="AL599" i="2" s="1"/>
  <c r="AL590" i="2"/>
  <c r="AL591" i="2" s="1"/>
  <c r="AL586" i="2"/>
  <c r="AL587" i="2" s="1"/>
  <c r="AN668" i="2"/>
  <c r="AM10" i="2"/>
  <c r="AM12" i="2" s="1"/>
  <c r="AM27" i="2"/>
  <c r="AL29" i="2"/>
  <c r="AL31" i="2" s="1"/>
  <c r="AL41" i="2" s="1"/>
  <c r="AK675" i="2" s="1"/>
  <c r="AN25" i="2"/>
  <c r="AO2" i="2"/>
  <c r="AO660" i="2" l="1"/>
  <c r="AO669" i="2"/>
  <c r="AO674" i="2"/>
  <c r="AP133" i="7"/>
  <c r="AP136" i="7" s="1"/>
  <c r="AP164" i="7" s="1"/>
  <c r="AP165" i="7" s="1"/>
  <c r="AP169" i="7"/>
  <c r="AP54" i="7"/>
  <c r="AP56" i="7" s="1"/>
  <c r="AP82" i="7" s="1"/>
  <c r="AP87" i="7" s="1"/>
  <c r="AO96" i="7"/>
  <c r="AO97" i="7" s="1"/>
  <c r="AO88" i="7"/>
  <c r="AG297" i="10"/>
  <c r="AM120" i="7"/>
  <c r="AK673" i="2"/>
  <c r="AL672" i="2"/>
  <c r="AH281" i="10"/>
  <c r="AH50" i="10"/>
  <c r="AH74" i="10" s="1"/>
  <c r="AH76" i="10" s="1"/>
  <c r="AO172" i="7"/>
  <c r="AO175" i="7" s="1"/>
  <c r="AO203" i="7" s="1"/>
  <c r="AO204" i="7" s="1"/>
  <c r="AO108" i="7" s="1"/>
  <c r="AO107" i="7"/>
  <c r="AG142" i="10"/>
  <c r="AG154" i="10" s="1"/>
  <c r="AG220" i="10"/>
  <c r="AG80" i="10"/>
  <c r="AG81" i="10" s="1"/>
  <c r="AG95" i="10" s="1"/>
  <c r="AG284" i="10"/>
  <c r="AG300" i="10" s="1"/>
  <c r="AN109" i="7"/>
  <c r="AN110" i="7" s="1"/>
  <c r="H109" i="7"/>
  <c r="AB108" i="8"/>
  <c r="AB107" i="8"/>
  <c r="J170" i="7"/>
  <c r="J134" i="7"/>
  <c r="J55" i="7"/>
  <c r="H700" i="7"/>
  <c r="I701" i="7" s="1"/>
  <c r="I592" i="7"/>
  <c r="H593" i="7"/>
  <c r="H61" i="7" s="1"/>
  <c r="H66" i="7" s="1"/>
  <c r="H72" i="7" s="1"/>
  <c r="H82" i="7" s="1"/>
  <c r="H87" i="7" s="1"/>
  <c r="AM55" i="2"/>
  <c r="AM244" i="2"/>
  <c r="AM208" i="2"/>
  <c r="AN622" i="2"/>
  <c r="AN623" i="2" s="1"/>
  <c r="AN612" i="2"/>
  <c r="AN653" i="2"/>
  <c r="AN650" i="2" s="1"/>
  <c r="AN651" i="2" s="1"/>
  <c r="AO648" i="2" s="1"/>
  <c r="AN659" i="2"/>
  <c r="AO655" i="2"/>
  <c r="AO659" i="2" s="1"/>
  <c r="AO654" i="2"/>
  <c r="AO5" i="2"/>
  <c r="AO638" i="2"/>
  <c r="AO658" i="2" s="1"/>
  <c r="I246" i="8"/>
  <c r="I274" i="8" s="1"/>
  <c r="I275" i="8" s="1"/>
  <c r="I99" i="8" s="1"/>
  <c r="I100" i="8" s="1"/>
  <c r="AO620" i="2"/>
  <c r="AO621" i="2"/>
  <c r="AO597" i="2"/>
  <c r="AO593" i="2"/>
  <c r="AO589" i="2"/>
  <c r="AO585" i="2"/>
  <c r="AK18" i="2"/>
  <c r="AK20" i="2" s="1"/>
  <c r="AK43" i="2" s="1"/>
  <c r="AD300" i="10"/>
  <c r="AL49" i="2"/>
  <c r="AL14" i="2"/>
  <c r="AC101" i="8"/>
  <c r="AE300" i="10"/>
  <c r="AE110" i="10"/>
  <c r="AE123" i="10" s="1"/>
  <c r="AD87" i="8"/>
  <c r="AD88" i="8" s="1"/>
  <c r="AD79" i="8"/>
  <c r="AF122" i="10"/>
  <c r="AE49" i="8"/>
  <c r="AE73" i="8" s="1"/>
  <c r="AE78" i="8" s="1"/>
  <c r="AI649" i="10"/>
  <c r="AI652" i="10" s="1"/>
  <c r="AH745" i="10"/>
  <c r="AI746" i="10" s="1"/>
  <c r="AI49" i="10" s="1"/>
  <c r="AF704" i="8"/>
  <c r="AG705" i="8" s="1"/>
  <c r="AG608" i="8"/>
  <c r="AG611" i="8" s="1"/>
  <c r="AE98" i="8"/>
  <c r="AE243" i="8"/>
  <c r="AF241" i="8"/>
  <c r="AF48" i="8"/>
  <c r="AF206" i="8"/>
  <c r="AF208" i="8" s="1"/>
  <c r="AF236" i="8" s="1"/>
  <c r="AF237" i="8" s="1"/>
  <c r="AD100" i="8"/>
  <c r="AK53" i="2"/>
  <c r="I87" i="8"/>
  <c r="I79" i="8"/>
  <c r="J554" i="7"/>
  <c r="AL17" i="2"/>
  <c r="AL52" i="2"/>
  <c r="AL234" i="2"/>
  <c r="AL273" i="2"/>
  <c r="AL15" i="2"/>
  <c r="AL50" i="2"/>
  <c r="AL232" i="2"/>
  <c r="AL271" i="2"/>
  <c r="AM71" i="2"/>
  <c r="AO758" i="2"/>
  <c r="AO400" i="2" s="1"/>
  <c r="AO535" i="2" s="1"/>
  <c r="AO756" i="2"/>
  <c r="AO398" i="2" s="1"/>
  <c r="AO533" i="2" s="1"/>
  <c r="AO754" i="2"/>
  <c r="AO396" i="2" s="1"/>
  <c r="AO531" i="2" s="1"/>
  <c r="AO752" i="2"/>
  <c r="AO394" i="2" s="1"/>
  <c r="AO529" i="2" s="1"/>
  <c r="AO750" i="2"/>
  <c r="AO392" i="2" s="1"/>
  <c r="AO527" i="2" s="1"/>
  <c r="AO726" i="2"/>
  <c r="AO374" i="2" s="1"/>
  <c r="AO509" i="2" s="1"/>
  <c r="AO724" i="2"/>
  <c r="AO372" i="2" s="1"/>
  <c r="AO507" i="2" s="1"/>
  <c r="AO757" i="2"/>
  <c r="AO399" i="2" s="1"/>
  <c r="AO534" i="2" s="1"/>
  <c r="AO755" i="2"/>
  <c r="AO397" i="2" s="1"/>
  <c r="AO532" i="2" s="1"/>
  <c r="AO753" i="2"/>
  <c r="AO395" i="2" s="1"/>
  <c r="AO530" i="2" s="1"/>
  <c r="AO751" i="2"/>
  <c r="AO393" i="2" s="1"/>
  <c r="AO528" i="2" s="1"/>
  <c r="AO749" i="2"/>
  <c r="AO391" i="2" s="1"/>
  <c r="AO526" i="2" s="1"/>
  <c r="AO725" i="2"/>
  <c r="AO373" i="2" s="1"/>
  <c r="AO508" i="2" s="1"/>
  <c r="AO722" i="2"/>
  <c r="AO370" i="2" s="1"/>
  <c r="AO505" i="2" s="1"/>
  <c r="AO720" i="2"/>
  <c r="AO368" i="2" s="1"/>
  <c r="AO503" i="2" s="1"/>
  <c r="AO718" i="2"/>
  <c r="AO366" i="2" s="1"/>
  <c r="AO501" i="2" s="1"/>
  <c r="AO694" i="2"/>
  <c r="AO692" i="2"/>
  <c r="AO347" i="2" s="1"/>
  <c r="AO481" i="2" s="1"/>
  <c r="AO690" i="2"/>
  <c r="AO345" i="2" s="1"/>
  <c r="AO479" i="2" s="1"/>
  <c r="AO688" i="2"/>
  <c r="AO343" i="2" s="1"/>
  <c r="AO477" i="2" s="1"/>
  <c r="AO686" i="2"/>
  <c r="AO766" i="2"/>
  <c r="AO768" i="2"/>
  <c r="AO723" i="2"/>
  <c r="AO371" i="2" s="1"/>
  <c r="AO506" i="2" s="1"/>
  <c r="AO719" i="2"/>
  <c r="AO367" i="2" s="1"/>
  <c r="AO502" i="2" s="1"/>
  <c r="AO691" i="2"/>
  <c r="AO687" i="2"/>
  <c r="AO342" i="2" s="1"/>
  <c r="AO476" i="2" s="1"/>
  <c r="AO721" i="2"/>
  <c r="AO369" i="2" s="1"/>
  <c r="AO504" i="2" s="1"/>
  <c r="AO717" i="2"/>
  <c r="AO365" i="2" s="1"/>
  <c r="AO500" i="2" s="1"/>
  <c r="AO693" i="2"/>
  <c r="AO689" i="2"/>
  <c r="AO685" i="2"/>
  <c r="AO761" i="2"/>
  <c r="AO765" i="2"/>
  <c r="AO769" i="2"/>
  <c r="AO767" i="2"/>
  <c r="AO729" i="2"/>
  <c r="AO733" i="2"/>
  <c r="AO735" i="2"/>
  <c r="AO737" i="2"/>
  <c r="AO764" i="2"/>
  <c r="AO770" i="2"/>
  <c r="AO730" i="2"/>
  <c r="AO734" i="2"/>
  <c r="AO736" i="2"/>
  <c r="AO738" i="2"/>
  <c r="AN727" i="2"/>
  <c r="AN712" i="2" s="1"/>
  <c r="AN69" i="2" s="1"/>
  <c r="AN759" i="2"/>
  <c r="AN744" i="2" s="1"/>
  <c r="AN70" i="2" s="1"/>
  <c r="AN61" i="2"/>
  <c r="AO697" i="2"/>
  <c r="AO33" i="2"/>
  <c r="AO35" i="2" s="1"/>
  <c r="AO37" i="2" s="1"/>
  <c r="AO39" i="2" s="1"/>
  <c r="AO552" i="2"/>
  <c r="AO553" i="2" s="1"/>
  <c r="AO558" i="2"/>
  <c r="AO559" i="2" s="1"/>
  <c r="AO634" i="2"/>
  <c r="AO624" i="2"/>
  <c r="AO635" i="2" s="1"/>
  <c r="AO639" i="2" s="1"/>
  <c r="AO667" i="2"/>
  <c r="AO618" i="2"/>
  <c r="AO625" i="2"/>
  <c r="AO617" i="2"/>
  <c r="AP11" i="2"/>
  <c r="AO317" i="2"/>
  <c r="AO319" i="2"/>
  <c r="AO321" i="2"/>
  <c r="AO318" i="2"/>
  <c r="AO322" i="2"/>
  <c r="AO451" i="2"/>
  <c r="AO453" i="2"/>
  <c r="AO455" i="2"/>
  <c r="AO320" i="2"/>
  <c r="AO452" i="2"/>
  <c r="AO454" i="2"/>
  <c r="AO456" i="2"/>
  <c r="AO640" i="2"/>
  <c r="AO19" i="2"/>
  <c r="AM121" i="2"/>
  <c r="AK274" i="2"/>
  <c r="AK275" i="2" s="1"/>
  <c r="AJ47" i="2"/>
  <c r="AJ206" i="2"/>
  <c r="AJ242" i="2"/>
  <c r="AL120" i="2"/>
  <c r="AO698" i="2"/>
  <c r="AO699" i="2"/>
  <c r="AO703" i="2"/>
  <c r="AO704" i="2"/>
  <c r="AO705" i="2"/>
  <c r="AO706" i="2"/>
  <c r="AK235" i="2"/>
  <c r="AK236" i="2" s="1"/>
  <c r="AL105" i="2"/>
  <c r="AO469" i="2"/>
  <c r="AN470" i="2"/>
  <c r="AO335" i="2"/>
  <c r="AO340" i="2"/>
  <c r="AO474" i="2" s="1"/>
  <c r="AO341" i="2"/>
  <c r="AO475" i="2" s="1"/>
  <c r="AO344" i="2"/>
  <c r="AO478" i="2" s="1"/>
  <c r="AO346" i="2"/>
  <c r="AO480" i="2" s="1"/>
  <c r="AO348" i="2"/>
  <c r="AO482" i="2" s="1"/>
  <c r="AO349" i="2"/>
  <c r="AO483" i="2" s="1"/>
  <c r="AN336" i="2"/>
  <c r="AN695" i="2"/>
  <c r="AN680" i="2" s="1"/>
  <c r="AN68" i="2" s="1"/>
  <c r="AL666" i="2"/>
  <c r="AM554" i="2"/>
  <c r="AM555" i="2" s="1"/>
  <c r="AM103" i="2" s="1"/>
  <c r="AM248" i="2" s="1"/>
  <c r="AM560" i="2"/>
  <c r="AM561" i="2" s="1"/>
  <c r="AM104" i="2" s="1"/>
  <c r="AO23" i="2"/>
  <c r="AO26" i="2"/>
  <c r="AO30" i="2"/>
  <c r="AO40" i="2"/>
  <c r="AL270" i="2"/>
  <c r="AL231" i="2"/>
  <c r="AL272" i="2"/>
  <c r="AL233" i="2"/>
  <c r="AL601" i="2"/>
  <c r="AM598" i="2"/>
  <c r="AM599" i="2" s="1"/>
  <c r="AM590" i="2"/>
  <c r="AM591" i="2" s="1"/>
  <c r="AM586" i="2"/>
  <c r="AM587" i="2" s="1"/>
  <c r="AM594" i="2"/>
  <c r="AM595" i="2" s="1"/>
  <c r="AM51" i="2" s="1"/>
  <c r="AO668" i="2"/>
  <c r="AA633" i="2"/>
  <c r="AA611" i="2" s="1"/>
  <c r="AM29" i="2"/>
  <c r="AM31" i="2" s="1"/>
  <c r="AM41" i="2" s="1"/>
  <c r="AL675" i="2" s="1"/>
  <c r="AN27" i="2"/>
  <c r="AP2" i="2"/>
  <c r="AO25" i="2"/>
  <c r="AN10" i="2"/>
  <c r="AN12" i="2" s="1"/>
  <c r="AL53" i="2" l="1"/>
  <c r="AP660" i="2"/>
  <c r="AP673" i="2"/>
  <c r="AP669" i="2"/>
  <c r="AO109" i="7"/>
  <c r="AN120" i="7"/>
  <c r="AN119" i="7"/>
  <c r="AI281" i="10"/>
  <c r="AI50" i="10"/>
  <c r="AI74" i="10" s="1"/>
  <c r="AI76" i="10" s="1"/>
  <c r="AG248" i="10"/>
  <c r="AH80" i="10"/>
  <c r="AH81" i="10" s="1"/>
  <c r="AH95" i="10" s="1"/>
  <c r="AH142" i="10"/>
  <c r="AH154" i="10" s="1"/>
  <c r="AH220" i="10"/>
  <c r="AH284" i="10"/>
  <c r="AH300" i="10" s="1"/>
  <c r="AP96" i="7"/>
  <c r="AP97" i="7" s="1"/>
  <c r="AP88" i="7"/>
  <c r="AP172" i="7"/>
  <c r="AP175" i="7" s="1"/>
  <c r="AP203" i="7" s="1"/>
  <c r="AP204" i="7" s="1"/>
  <c r="AP108" i="7" s="1"/>
  <c r="AP107" i="7"/>
  <c r="AL673" i="2"/>
  <c r="AM672" i="2"/>
  <c r="AG241" i="8"/>
  <c r="AG48" i="8"/>
  <c r="AG49" i="8" s="1"/>
  <c r="AG73" i="8" s="1"/>
  <c r="AG78" i="8" s="1"/>
  <c r="AG206" i="8"/>
  <c r="AG208" i="8" s="1"/>
  <c r="AG236" i="8" s="1"/>
  <c r="AG237" i="8" s="1"/>
  <c r="AH297" i="10"/>
  <c r="AO110" i="7"/>
  <c r="AC108" i="8"/>
  <c r="AC107" i="8"/>
  <c r="H88" i="7"/>
  <c r="H96" i="7"/>
  <c r="H97" i="7" s="1"/>
  <c r="H110" i="7" s="1"/>
  <c r="I169" i="7"/>
  <c r="I54" i="7"/>
  <c r="I56" i="7" s="1"/>
  <c r="I133" i="7"/>
  <c r="I136" i="7" s="1"/>
  <c r="I164" i="7" s="1"/>
  <c r="I165" i="7" s="1"/>
  <c r="AN55" i="2"/>
  <c r="AN244" i="2"/>
  <c r="AN208" i="2"/>
  <c r="AA613" i="2"/>
  <c r="AA608" i="2"/>
  <c r="AA80" i="2" s="1"/>
  <c r="AA81" i="2" s="1"/>
  <c r="AO622" i="2"/>
  <c r="AO623" i="2" s="1"/>
  <c r="AO612" i="2"/>
  <c r="AP655" i="2"/>
  <c r="AP659" i="2" s="1"/>
  <c r="B659" i="2" s="1"/>
  <c r="AP654" i="2"/>
  <c r="B654" i="2" s="1"/>
  <c r="AO653" i="2"/>
  <c r="AO650" i="2" s="1"/>
  <c r="AO651" i="2" s="1"/>
  <c r="AP648" i="2" s="1"/>
  <c r="AP5" i="2"/>
  <c r="AP638" i="2"/>
  <c r="AP658" i="2" s="1"/>
  <c r="AE246" i="8"/>
  <c r="AE274" i="8" s="1"/>
  <c r="AE275" i="8" s="1"/>
  <c r="AE99" i="8" s="1"/>
  <c r="AE100" i="8" s="1"/>
  <c r="AP620" i="2"/>
  <c r="AP621" i="2"/>
  <c r="AP597" i="2"/>
  <c r="AP593" i="2"/>
  <c r="AP589" i="2"/>
  <c r="AP585" i="2"/>
  <c r="AL18" i="2"/>
  <c r="AL20" i="2" s="1"/>
  <c r="AL43" i="2" s="1"/>
  <c r="AM49" i="2"/>
  <c r="AM14" i="2"/>
  <c r="AD101" i="8"/>
  <c r="AD108" i="8" s="1"/>
  <c r="AE79" i="8"/>
  <c r="AE87" i="8"/>
  <c r="AE88" i="8" s="1"/>
  <c r="AF49" i="8"/>
  <c r="AF73" i="8" s="1"/>
  <c r="AF78" i="8" s="1"/>
  <c r="AJ649" i="10"/>
  <c r="AJ652" i="10" s="1"/>
  <c r="AI745" i="10"/>
  <c r="AJ746" i="10" s="1"/>
  <c r="AJ49" i="10" s="1"/>
  <c r="AG704" i="8"/>
  <c r="AH705" i="8" s="1"/>
  <c r="AH608" i="8"/>
  <c r="AH611" i="8" s="1"/>
  <c r="AF98" i="8"/>
  <c r="AF243" i="8"/>
  <c r="I88" i="8"/>
  <c r="I101" i="8" s="1"/>
  <c r="J208" i="8"/>
  <c r="J236" i="8" s="1"/>
  <c r="J237" i="8" s="1"/>
  <c r="J559" i="7"/>
  <c r="J537" i="7" s="1"/>
  <c r="J80" i="7" s="1"/>
  <c r="AM17" i="2"/>
  <c r="AM52" i="2"/>
  <c r="AM234" i="2"/>
  <c r="AM273" i="2"/>
  <c r="AM15" i="2"/>
  <c r="AM50" i="2"/>
  <c r="AM232" i="2"/>
  <c r="AM271" i="2"/>
  <c r="AN71" i="2"/>
  <c r="AO759" i="2"/>
  <c r="AO744" i="2" s="1"/>
  <c r="AO70" i="2" s="1"/>
  <c r="AP757" i="2"/>
  <c r="B757" i="2" s="1"/>
  <c r="AP755" i="2"/>
  <c r="B755" i="2" s="1"/>
  <c r="AP753" i="2"/>
  <c r="B753" i="2" s="1"/>
  <c r="AP751" i="2"/>
  <c r="B751" i="2" s="1"/>
  <c r="AP749" i="2"/>
  <c r="AP391" i="2" s="1"/>
  <c r="AP526" i="2" s="1"/>
  <c r="AP725" i="2"/>
  <c r="B725" i="2" s="1"/>
  <c r="AP758" i="2"/>
  <c r="B758" i="2" s="1"/>
  <c r="AP756" i="2"/>
  <c r="B756" i="2" s="1"/>
  <c r="AP754" i="2"/>
  <c r="B754" i="2" s="1"/>
  <c r="AP752" i="2"/>
  <c r="B752" i="2" s="1"/>
  <c r="AP750" i="2"/>
  <c r="B750" i="2" s="1"/>
  <c r="AP726" i="2"/>
  <c r="B726" i="2" s="1"/>
  <c r="AP724" i="2"/>
  <c r="B724" i="2" s="1"/>
  <c r="AO519" i="2" s="1"/>
  <c r="AP723" i="2"/>
  <c r="B723" i="2" s="1"/>
  <c r="AP721" i="2"/>
  <c r="B721" i="2" s="1"/>
  <c r="AO516" i="2" s="1"/>
  <c r="AP719" i="2"/>
  <c r="B719" i="2" s="1"/>
  <c r="AP731" i="2" s="1"/>
  <c r="AP717" i="2"/>
  <c r="AP365" i="2" s="1"/>
  <c r="AP500" i="2" s="1"/>
  <c r="AP693" i="2"/>
  <c r="B693" i="2" s="1"/>
  <c r="AO494" i="2" s="1"/>
  <c r="AP691" i="2"/>
  <c r="B691" i="2" s="1"/>
  <c r="AP689" i="2"/>
  <c r="B689" i="2" s="1"/>
  <c r="AP687" i="2"/>
  <c r="AP685" i="2"/>
  <c r="AP761" i="2"/>
  <c r="AP765" i="2"/>
  <c r="AP767" i="2"/>
  <c r="AP769" i="2"/>
  <c r="AP720" i="2"/>
  <c r="B720" i="2" s="1"/>
  <c r="AP692" i="2"/>
  <c r="B692" i="2" s="1"/>
  <c r="AP688" i="2"/>
  <c r="B688" i="2" s="1"/>
  <c r="AP722" i="2"/>
  <c r="B722" i="2" s="1"/>
  <c r="AP718" i="2"/>
  <c r="B718" i="2" s="1"/>
  <c r="AP694" i="2"/>
  <c r="B694" i="2" s="1"/>
  <c r="AO495" i="2" s="1"/>
  <c r="AP690" i="2"/>
  <c r="B690" i="2" s="1"/>
  <c r="AP686" i="2"/>
  <c r="B686" i="2" s="1"/>
  <c r="AP766" i="2"/>
  <c r="AP768" i="2"/>
  <c r="AP770" i="2"/>
  <c r="AP730" i="2"/>
  <c r="AP734" i="2"/>
  <c r="B734" i="2" s="1"/>
  <c r="AP736" i="2"/>
  <c r="B736" i="2" s="1"/>
  <c r="AP729" i="2"/>
  <c r="AP733" i="2"/>
  <c r="B733" i="2" s="1"/>
  <c r="AP735" i="2"/>
  <c r="B735" i="2" s="1"/>
  <c r="AP737" i="2"/>
  <c r="B737" i="2" s="1"/>
  <c r="AP738" i="2"/>
  <c r="B738" i="2" s="1"/>
  <c r="AP732" i="2"/>
  <c r="AO727" i="2"/>
  <c r="AO712" i="2" s="1"/>
  <c r="AO69" i="2" s="1"/>
  <c r="AO61" i="2"/>
  <c r="AP697" i="2"/>
  <c r="AP33" i="2"/>
  <c r="AP35" i="2" s="1"/>
  <c r="AP37" i="2" s="1"/>
  <c r="AP39" i="2" s="1"/>
  <c r="AP552" i="2"/>
  <c r="AP553" i="2" s="1"/>
  <c r="AP558" i="2"/>
  <c r="AP559" i="2" s="1"/>
  <c r="AP667" i="2"/>
  <c r="AP618" i="2"/>
  <c r="AP625" i="2"/>
  <c r="AP617" i="2"/>
  <c r="AP634" i="2"/>
  <c r="AP624" i="2"/>
  <c r="AP635" i="2" s="1"/>
  <c r="AP318" i="2"/>
  <c r="AP320" i="2"/>
  <c r="AP322" i="2"/>
  <c r="AP451" i="2"/>
  <c r="AP452" i="2"/>
  <c r="AP453" i="2"/>
  <c r="AP454" i="2"/>
  <c r="AP455" i="2"/>
  <c r="AP470" i="2" s="1"/>
  <c r="AP640" i="2"/>
  <c r="AP319" i="2"/>
  <c r="AP317" i="2"/>
  <c r="AP321" i="2"/>
  <c r="AP456" i="2"/>
  <c r="AN121" i="2"/>
  <c r="AP19" i="2"/>
  <c r="AK47" i="2"/>
  <c r="AK242" i="2"/>
  <c r="AK206" i="2"/>
  <c r="AM120" i="2"/>
  <c r="AA630" i="2"/>
  <c r="AP698" i="2"/>
  <c r="AP699" i="2"/>
  <c r="AP703" i="2"/>
  <c r="B703" i="2" s="1"/>
  <c r="AP704" i="2"/>
  <c r="B704" i="2" s="1"/>
  <c r="AP705" i="2"/>
  <c r="B705" i="2" s="1"/>
  <c r="AP706" i="2"/>
  <c r="B706" i="2" s="1"/>
  <c r="AM105" i="2"/>
  <c r="AO470" i="2"/>
  <c r="AP469" i="2"/>
  <c r="AP335" i="2"/>
  <c r="AP340" i="2"/>
  <c r="AP474" i="2" s="1"/>
  <c r="AP342" i="2"/>
  <c r="AP476" i="2" s="1"/>
  <c r="AP343" i="2"/>
  <c r="AP477" i="2" s="1"/>
  <c r="AP344" i="2"/>
  <c r="AP478" i="2" s="1"/>
  <c r="AP345" i="2"/>
  <c r="AP479" i="2" s="1"/>
  <c r="AP346" i="2"/>
  <c r="AP480" i="2" s="1"/>
  <c r="AP348" i="2"/>
  <c r="AP482" i="2" s="1"/>
  <c r="AO336" i="2"/>
  <c r="B687" i="2"/>
  <c r="AO695" i="2"/>
  <c r="AO680" i="2" s="1"/>
  <c r="AO68" i="2" s="1"/>
  <c r="AM666" i="2"/>
  <c r="AN554" i="2"/>
  <c r="AN555" i="2" s="1"/>
  <c r="AN103" i="2" s="1"/>
  <c r="AN248" i="2" s="1"/>
  <c r="AN560" i="2"/>
  <c r="AN561" i="2" s="1"/>
  <c r="AN104" i="2" s="1"/>
  <c r="AP40" i="2"/>
  <c r="AP23" i="2"/>
  <c r="AP26" i="2"/>
  <c r="AP30" i="2"/>
  <c r="AM270" i="2"/>
  <c r="AM231" i="2"/>
  <c r="AL274" i="2"/>
  <c r="AL275" i="2" s="1"/>
  <c r="AM272" i="2"/>
  <c r="AM233" i="2"/>
  <c r="AL235" i="2"/>
  <c r="AL236" i="2" s="1"/>
  <c r="AM601" i="2"/>
  <c r="AN594" i="2"/>
  <c r="AN595" i="2" s="1"/>
  <c r="AN51" i="2" s="1"/>
  <c r="AN598" i="2"/>
  <c r="AN599" i="2" s="1"/>
  <c r="AN590" i="2"/>
  <c r="AN591" i="2" s="1"/>
  <c r="AN586" i="2"/>
  <c r="AN587" i="2" s="1"/>
  <c r="AP668" i="2"/>
  <c r="AO27" i="2"/>
  <c r="AO10" i="2"/>
  <c r="AO12" i="2" s="1"/>
  <c r="AP25" i="2"/>
  <c r="AN29" i="2"/>
  <c r="AN31" i="2" s="1"/>
  <c r="AN41" i="2" s="1"/>
  <c r="AM675" i="2" s="1"/>
  <c r="AP109" i="7" l="1"/>
  <c r="AP110" i="7" s="1"/>
  <c r="AP119" i="7" s="1"/>
  <c r="AP349" i="2"/>
  <c r="AP483" i="2" s="1"/>
  <c r="AP347" i="2"/>
  <c r="AP481" i="2" s="1"/>
  <c r="AP341" i="2"/>
  <c r="AP475" i="2" s="1"/>
  <c r="AM673" i="2"/>
  <c r="AN672" i="2"/>
  <c r="AH206" i="8"/>
  <c r="AH208" i="8" s="1"/>
  <c r="AH236" i="8" s="1"/>
  <c r="AH237" i="8" s="1"/>
  <c r="AH241" i="8"/>
  <c r="AH48" i="8"/>
  <c r="AH49" i="8" s="1"/>
  <c r="AH73" i="8" s="1"/>
  <c r="AH78" i="8" s="1"/>
  <c r="AO119" i="7"/>
  <c r="AG243" i="8"/>
  <c r="AG246" i="8" s="1"/>
  <c r="AG274" i="8" s="1"/>
  <c r="AG275" i="8" s="1"/>
  <c r="AG99" i="8" s="1"/>
  <c r="AG98" i="8"/>
  <c r="AI80" i="10"/>
  <c r="AI81" i="10" s="1"/>
  <c r="AI95" i="10" s="1"/>
  <c r="AI142" i="10"/>
  <c r="AI154" i="10" s="1"/>
  <c r="AI220" i="10"/>
  <c r="AI284" i="10"/>
  <c r="AI300" i="10" s="1"/>
  <c r="AP373" i="2"/>
  <c r="AP508" i="2" s="1"/>
  <c r="AP371" i="2"/>
  <c r="AP506" i="2" s="1"/>
  <c r="AP369" i="2"/>
  <c r="AP504" i="2" s="1"/>
  <c r="AP367" i="2"/>
  <c r="AP502" i="2" s="1"/>
  <c r="AP393" i="2"/>
  <c r="AP528" i="2" s="1"/>
  <c r="AP397" i="2"/>
  <c r="AP532" i="2" s="1"/>
  <c r="AP394" i="2"/>
  <c r="AP529" i="2" s="1"/>
  <c r="AP398" i="2"/>
  <c r="AP533" i="2" s="1"/>
  <c r="AP545" i="2" s="1"/>
  <c r="AO120" i="7"/>
  <c r="AJ281" i="10"/>
  <c r="AJ50" i="10"/>
  <c r="AJ74" i="10" s="1"/>
  <c r="AJ76" i="10" s="1"/>
  <c r="AG79" i="8"/>
  <c r="AG87" i="8"/>
  <c r="AG88" i="8" s="1"/>
  <c r="AH248" i="10"/>
  <c r="AI297" i="10"/>
  <c r="AP374" i="2"/>
  <c r="AP509" i="2" s="1"/>
  <c r="AP521" i="2" s="1"/>
  <c r="AP372" i="2"/>
  <c r="AP507" i="2" s="1"/>
  <c r="AP370" i="2"/>
  <c r="AP505" i="2" s="1"/>
  <c r="AP368" i="2"/>
  <c r="AP503" i="2" s="1"/>
  <c r="AP366" i="2"/>
  <c r="AP501" i="2" s="1"/>
  <c r="AP513" i="2" s="1"/>
  <c r="AP395" i="2"/>
  <c r="AP530" i="2" s="1"/>
  <c r="AP399" i="2"/>
  <c r="AP534" i="2" s="1"/>
  <c r="AP392" i="2"/>
  <c r="AP527" i="2" s="1"/>
  <c r="AP396" i="2"/>
  <c r="AP531" i="2" s="1"/>
  <c r="AP543" i="2" s="1"/>
  <c r="AP400" i="2"/>
  <c r="AP535" i="2" s="1"/>
  <c r="H119" i="7"/>
  <c r="H120" i="7"/>
  <c r="I108" i="8"/>
  <c r="I107" i="8"/>
  <c r="AD107" i="8"/>
  <c r="I107" i="7"/>
  <c r="I172" i="7"/>
  <c r="I175" i="7" s="1"/>
  <c r="I203" i="7" s="1"/>
  <c r="I204" i="7" s="1"/>
  <c r="I108" i="7" s="1"/>
  <c r="J539" i="7"/>
  <c r="I595" i="7" s="1"/>
  <c r="J534" i="7"/>
  <c r="J535" i="7" s="1"/>
  <c r="K532" i="7" s="1"/>
  <c r="AO55" i="2"/>
  <c r="AO244" i="2"/>
  <c r="AO208" i="2"/>
  <c r="AP622" i="2"/>
  <c r="AP623" i="2" s="1"/>
  <c r="AP612" i="2"/>
  <c r="AP653" i="2"/>
  <c r="B655" i="2"/>
  <c r="AE101" i="8"/>
  <c r="AF246" i="8"/>
  <c r="AF274" i="8" s="1"/>
  <c r="AF275" i="8" s="1"/>
  <c r="AF99" i="8" s="1"/>
  <c r="AF100" i="8" s="1"/>
  <c r="AM53" i="2"/>
  <c r="AM18" i="2"/>
  <c r="AM20" i="2" s="1"/>
  <c r="AM43" i="2" s="1"/>
  <c r="AM47" i="2" s="1"/>
  <c r="B620" i="2"/>
  <c r="L764" i="2"/>
  <c r="M764" i="2"/>
  <c r="N764" i="2"/>
  <c r="X768" i="2"/>
  <c r="Y768" i="2"/>
  <c r="Z768" i="2"/>
  <c r="I763" i="2"/>
  <c r="J763" i="2"/>
  <c r="K763" i="2"/>
  <c r="U767" i="2"/>
  <c r="V767" i="2"/>
  <c r="W767" i="2"/>
  <c r="AP762" i="2"/>
  <c r="F762" i="2"/>
  <c r="G762" i="2"/>
  <c r="H762" i="2"/>
  <c r="AO543" i="2"/>
  <c r="R766" i="2"/>
  <c r="S766" i="2"/>
  <c r="T766" i="2"/>
  <c r="AO547" i="2"/>
  <c r="AD770" i="2"/>
  <c r="AE770" i="2"/>
  <c r="AF770" i="2"/>
  <c r="O765" i="2"/>
  <c r="P765" i="2"/>
  <c r="Q765" i="2"/>
  <c r="AA769" i="2"/>
  <c r="AB769" i="2"/>
  <c r="AC769" i="2"/>
  <c r="AN49" i="2"/>
  <c r="AN14" i="2"/>
  <c r="AF79" i="8"/>
  <c r="AF87" i="8"/>
  <c r="AF88" i="8" s="1"/>
  <c r="AK649" i="10"/>
  <c r="AK652" i="10" s="1"/>
  <c r="AJ745" i="10"/>
  <c r="AK746" i="10" s="1"/>
  <c r="AK49" i="10" s="1"/>
  <c r="AH704" i="8"/>
  <c r="AI705" i="8" s="1"/>
  <c r="AI608" i="8"/>
  <c r="AI611" i="8" s="1"/>
  <c r="J72" i="8"/>
  <c r="J73" i="8" s="1"/>
  <c r="J78" i="8" s="1"/>
  <c r="J243" i="8"/>
  <c r="J98" i="8"/>
  <c r="J556" i="7"/>
  <c r="J557" i="7" s="1"/>
  <c r="K560" i="7" s="1"/>
  <c r="K538" i="7" s="1"/>
  <c r="J81" i="7"/>
  <c r="AN15" i="2"/>
  <c r="AN50" i="2"/>
  <c r="AN232" i="2"/>
  <c r="AN271" i="2"/>
  <c r="AN17" i="2"/>
  <c r="AN52" i="2"/>
  <c r="AN234" i="2"/>
  <c r="AN273" i="2"/>
  <c r="AG762" i="2"/>
  <c r="AH762" i="2"/>
  <c r="AI762" i="2"/>
  <c r="AJ762" i="2"/>
  <c r="AK762" i="2"/>
  <c r="AL762" i="2"/>
  <c r="AM762" i="2"/>
  <c r="AN762" i="2"/>
  <c r="AO762" i="2"/>
  <c r="W730" i="2"/>
  <c r="X730" i="2"/>
  <c r="Y730" i="2"/>
  <c r="Z730" i="2"/>
  <c r="AA730" i="2"/>
  <c r="AB730" i="2"/>
  <c r="AC730" i="2"/>
  <c r="AD730" i="2"/>
  <c r="AE730" i="2"/>
  <c r="AF730" i="2"/>
  <c r="AG731" i="2"/>
  <c r="AH731" i="2"/>
  <c r="AI731" i="2"/>
  <c r="AJ731" i="2"/>
  <c r="AK731" i="2"/>
  <c r="AL731" i="2"/>
  <c r="AM731" i="2"/>
  <c r="AN731" i="2"/>
  <c r="AO731" i="2"/>
  <c r="D541" i="2"/>
  <c r="E541" i="2"/>
  <c r="G541" i="2"/>
  <c r="R541" i="2"/>
  <c r="S541" i="2"/>
  <c r="T541" i="2"/>
  <c r="V541" i="2"/>
  <c r="C541" i="2"/>
  <c r="F541" i="2"/>
  <c r="H541" i="2"/>
  <c r="I541" i="2"/>
  <c r="J541" i="2"/>
  <c r="K541" i="2"/>
  <c r="L541" i="2"/>
  <c r="M541" i="2"/>
  <c r="N541" i="2"/>
  <c r="O541" i="2"/>
  <c r="P541" i="2"/>
  <c r="Q541" i="2"/>
  <c r="U541" i="2"/>
  <c r="W541" i="2"/>
  <c r="X541" i="2"/>
  <c r="Y541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U545" i="2"/>
  <c r="F545" i="2"/>
  <c r="H545" i="2"/>
  <c r="I545" i="2"/>
  <c r="J545" i="2"/>
  <c r="L545" i="2"/>
  <c r="N545" i="2"/>
  <c r="P545" i="2"/>
  <c r="S545" i="2"/>
  <c r="T545" i="2"/>
  <c r="C545" i="2"/>
  <c r="D545" i="2"/>
  <c r="E545" i="2"/>
  <c r="G545" i="2"/>
  <c r="K545" i="2"/>
  <c r="M545" i="2"/>
  <c r="O545" i="2"/>
  <c r="Q545" i="2"/>
  <c r="R545" i="2"/>
  <c r="V545" i="2"/>
  <c r="W545" i="2"/>
  <c r="X545" i="2"/>
  <c r="Y545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C540" i="2"/>
  <c r="F540" i="2"/>
  <c r="H540" i="2"/>
  <c r="J540" i="2"/>
  <c r="K540" i="2"/>
  <c r="L540" i="2"/>
  <c r="M540" i="2"/>
  <c r="N540" i="2"/>
  <c r="O540" i="2"/>
  <c r="P540" i="2"/>
  <c r="Q540" i="2"/>
  <c r="V540" i="2"/>
  <c r="D540" i="2"/>
  <c r="E540" i="2"/>
  <c r="G540" i="2"/>
  <c r="I540" i="2"/>
  <c r="R540" i="2"/>
  <c r="S540" i="2"/>
  <c r="T540" i="2"/>
  <c r="U540" i="2"/>
  <c r="W540" i="2"/>
  <c r="X540" i="2"/>
  <c r="Y540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U544" i="2"/>
  <c r="C544" i="2"/>
  <c r="D544" i="2"/>
  <c r="E544" i="2"/>
  <c r="G544" i="2"/>
  <c r="I544" i="2"/>
  <c r="K544" i="2"/>
  <c r="M544" i="2"/>
  <c r="O544" i="2"/>
  <c r="Q544" i="2"/>
  <c r="R544" i="2"/>
  <c r="F544" i="2"/>
  <c r="H544" i="2"/>
  <c r="J544" i="2"/>
  <c r="L544" i="2"/>
  <c r="N544" i="2"/>
  <c r="P544" i="2"/>
  <c r="S544" i="2"/>
  <c r="T544" i="2"/>
  <c r="V544" i="2"/>
  <c r="W544" i="2"/>
  <c r="X544" i="2"/>
  <c r="Y544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P542" i="2"/>
  <c r="AP546" i="2"/>
  <c r="AP539" i="2"/>
  <c r="AP547" i="2"/>
  <c r="AO544" i="2"/>
  <c r="AO545" i="2"/>
  <c r="AO404" i="2"/>
  <c r="C539" i="2"/>
  <c r="I539" i="2"/>
  <c r="R539" i="2"/>
  <c r="S539" i="2"/>
  <c r="T539" i="2"/>
  <c r="V539" i="2"/>
  <c r="U539" i="2"/>
  <c r="D539" i="2"/>
  <c r="E539" i="2"/>
  <c r="F539" i="2"/>
  <c r="G539" i="2"/>
  <c r="H539" i="2"/>
  <c r="J539" i="2"/>
  <c r="K539" i="2"/>
  <c r="L539" i="2"/>
  <c r="M539" i="2"/>
  <c r="N539" i="2"/>
  <c r="O539" i="2"/>
  <c r="P539" i="2"/>
  <c r="Q539" i="2"/>
  <c r="W539" i="2"/>
  <c r="X539" i="2"/>
  <c r="Y539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U543" i="2"/>
  <c r="D543" i="2"/>
  <c r="R543" i="2"/>
  <c r="S543" i="2"/>
  <c r="T543" i="2"/>
  <c r="C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V543" i="2"/>
  <c r="W543" i="2"/>
  <c r="X543" i="2"/>
  <c r="Y543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D547" i="2"/>
  <c r="E547" i="2"/>
  <c r="F547" i="2"/>
  <c r="G547" i="2"/>
  <c r="H547" i="2"/>
  <c r="J547" i="2"/>
  <c r="K547" i="2"/>
  <c r="L547" i="2"/>
  <c r="M547" i="2"/>
  <c r="N547" i="2"/>
  <c r="O547" i="2"/>
  <c r="P547" i="2"/>
  <c r="Q547" i="2"/>
  <c r="V547" i="2"/>
  <c r="C547" i="2"/>
  <c r="I547" i="2"/>
  <c r="R547" i="2"/>
  <c r="S547" i="2"/>
  <c r="T547" i="2"/>
  <c r="U547" i="2"/>
  <c r="W547" i="2"/>
  <c r="X547" i="2"/>
  <c r="Y547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407" i="2"/>
  <c r="C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U542" i="2"/>
  <c r="D542" i="2"/>
  <c r="R542" i="2"/>
  <c r="S542" i="2"/>
  <c r="T542" i="2"/>
  <c r="V542" i="2"/>
  <c r="W542" i="2"/>
  <c r="X542" i="2"/>
  <c r="Y542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411" i="2"/>
  <c r="U546" i="2"/>
  <c r="D546" i="2"/>
  <c r="E546" i="2"/>
  <c r="G546" i="2"/>
  <c r="K546" i="2"/>
  <c r="M546" i="2"/>
  <c r="O546" i="2"/>
  <c r="Q546" i="2"/>
  <c r="R546" i="2"/>
  <c r="T546" i="2"/>
  <c r="V546" i="2"/>
  <c r="C546" i="2"/>
  <c r="F546" i="2"/>
  <c r="H546" i="2"/>
  <c r="I546" i="2"/>
  <c r="J546" i="2"/>
  <c r="L546" i="2"/>
  <c r="N546" i="2"/>
  <c r="P546" i="2"/>
  <c r="S546" i="2"/>
  <c r="W546" i="2"/>
  <c r="X546" i="2"/>
  <c r="Y546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P540" i="2"/>
  <c r="AP544" i="2"/>
  <c r="AP541" i="2"/>
  <c r="AO546" i="2"/>
  <c r="AO540" i="2"/>
  <c r="AO539" i="2"/>
  <c r="AO542" i="2"/>
  <c r="AO541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380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D514" i="2"/>
  <c r="C514" i="2"/>
  <c r="E514" i="2"/>
  <c r="F514" i="2"/>
  <c r="H514" i="2"/>
  <c r="G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C518" i="2"/>
  <c r="D518" i="2"/>
  <c r="E518" i="2"/>
  <c r="F518" i="2"/>
  <c r="G518" i="2"/>
  <c r="I518" i="2"/>
  <c r="H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C521" i="2"/>
  <c r="D521" i="2"/>
  <c r="F521" i="2"/>
  <c r="E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385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P520" i="2"/>
  <c r="AP518" i="2"/>
  <c r="AP516" i="2"/>
  <c r="AP514" i="2"/>
  <c r="AO515" i="2"/>
  <c r="AO520" i="2"/>
  <c r="C517" i="2"/>
  <c r="D517" i="2"/>
  <c r="E517" i="2"/>
  <c r="F517" i="2"/>
  <c r="H517" i="2"/>
  <c r="G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C519" i="2"/>
  <c r="D519" i="2"/>
  <c r="E519" i="2"/>
  <c r="F519" i="2"/>
  <c r="G519" i="2"/>
  <c r="I519" i="2"/>
  <c r="H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P519" i="2"/>
  <c r="AP517" i="2"/>
  <c r="AP515" i="2"/>
  <c r="AO513" i="2"/>
  <c r="AO517" i="2"/>
  <c r="AO521" i="2"/>
  <c r="AO514" i="2"/>
  <c r="AO518" i="2"/>
  <c r="AO71" i="2"/>
  <c r="AP764" i="2"/>
  <c r="V406" i="2"/>
  <c r="H406" i="2"/>
  <c r="I406" i="2"/>
  <c r="K406" i="2"/>
  <c r="Q406" i="2"/>
  <c r="R406" i="2"/>
  <c r="S406" i="2"/>
  <c r="U406" i="2"/>
  <c r="C406" i="2"/>
  <c r="D406" i="2"/>
  <c r="E406" i="2"/>
  <c r="F406" i="2"/>
  <c r="G406" i="2"/>
  <c r="J406" i="2"/>
  <c r="L406" i="2"/>
  <c r="M406" i="2"/>
  <c r="N406" i="2"/>
  <c r="O406" i="2"/>
  <c r="P406" i="2"/>
  <c r="T406" i="2"/>
  <c r="W406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D410" i="2"/>
  <c r="F410" i="2"/>
  <c r="G410" i="2"/>
  <c r="H410" i="2"/>
  <c r="I410" i="2"/>
  <c r="K410" i="2"/>
  <c r="L410" i="2"/>
  <c r="N410" i="2"/>
  <c r="V410" i="2"/>
  <c r="C410" i="2"/>
  <c r="E410" i="2"/>
  <c r="J410" i="2"/>
  <c r="M410" i="2"/>
  <c r="O410" i="2"/>
  <c r="P410" i="2"/>
  <c r="Q410" i="2"/>
  <c r="R410" i="2"/>
  <c r="S410" i="2"/>
  <c r="T410" i="2"/>
  <c r="U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V405" i="2"/>
  <c r="C405" i="2"/>
  <c r="D405" i="2"/>
  <c r="E405" i="2"/>
  <c r="F405" i="2"/>
  <c r="G405" i="2"/>
  <c r="J405" i="2"/>
  <c r="K405" i="2"/>
  <c r="L405" i="2"/>
  <c r="M405" i="2"/>
  <c r="N405" i="2"/>
  <c r="P405" i="2"/>
  <c r="Q405" i="2"/>
  <c r="S405" i="2"/>
  <c r="T405" i="2"/>
  <c r="H405" i="2"/>
  <c r="I405" i="2"/>
  <c r="O405" i="2"/>
  <c r="R405" i="2"/>
  <c r="U405" i="2"/>
  <c r="W405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C409" i="2"/>
  <c r="E409" i="2"/>
  <c r="I409" i="2"/>
  <c r="J409" i="2"/>
  <c r="O409" i="2"/>
  <c r="R409" i="2"/>
  <c r="S409" i="2"/>
  <c r="T409" i="2"/>
  <c r="U409" i="2"/>
  <c r="V409" i="2"/>
  <c r="D409" i="2"/>
  <c r="F409" i="2"/>
  <c r="G409" i="2"/>
  <c r="H409" i="2"/>
  <c r="K409" i="2"/>
  <c r="L409" i="2"/>
  <c r="M409" i="2"/>
  <c r="N409" i="2"/>
  <c r="P409" i="2"/>
  <c r="Q409" i="2"/>
  <c r="W409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6" i="2"/>
  <c r="AP405" i="2"/>
  <c r="AP409" i="2"/>
  <c r="AP406" i="2"/>
  <c r="AP410" i="2"/>
  <c r="AO405" i="2"/>
  <c r="E404" i="2"/>
  <c r="L404" i="2"/>
  <c r="O404" i="2"/>
  <c r="P404" i="2"/>
  <c r="R404" i="2"/>
  <c r="T404" i="2"/>
  <c r="U404" i="2"/>
  <c r="V404" i="2"/>
  <c r="C404" i="2"/>
  <c r="D404" i="2"/>
  <c r="F404" i="2"/>
  <c r="G404" i="2"/>
  <c r="H404" i="2"/>
  <c r="I404" i="2"/>
  <c r="J404" i="2"/>
  <c r="K404" i="2"/>
  <c r="M404" i="2"/>
  <c r="N404" i="2"/>
  <c r="Q404" i="2"/>
  <c r="S404" i="2"/>
  <c r="W404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V408" i="2"/>
  <c r="D408" i="2"/>
  <c r="F408" i="2"/>
  <c r="H408" i="2"/>
  <c r="K408" i="2"/>
  <c r="L408" i="2"/>
  <c r="M408" i="2"/>
  <c r="N408" i="2"/>
  <c r="Q408" i="2"/>
  <c r="R408" i="2"/>
  <c r="C408" i="2"/>
  <c r="E408" i="2"/>
  <c r="G408" i="2"/>
  <c r="I408" i="2"/>
  <c r="J408" i="2"/>
  <c r="O408" i="2"/>
  <c r="P408" i="2"/>
  <c r="S408" i="2"/>
  <c r="T408" i="2"/>
  <c r="U408" i="2"/>
  <c r="W408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D412" i="2"/>
  <c r="F412" i="2"/>
  <c r="G412" i="2"/>
  <c r="H412" i="2"/>
  <c r="I412" i="2"/>
  <c r="J412" i="2"/>
  <c r="K412" i="2"/>
  <c r="M412" i="2"/>
  <c r="N412" i="2"/>
  <c r="S412" i="2"/>
  <c r="T412" i="2"/>
  <c r="V412" i="2"/>
  <c r="C412" i="2"/>
  <c r="E412" i="2"/>
  <c r="L412" i="2"/>
  <c r="O412" i="2"/>
  <c r="P412" i="2"/>
  <c r="Q412" i="2"/>
  <c r="R412" i="2"/>
  <c r="U412" i="2"/>
  <c r="W412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V407" i="2"/>
  <c r="C407" i="2"/>
  <c r="E407" i="2"/>
  <c r="G407" i="2"/>
  <c r="M407" i="2"/>
  <c r="O407" i="2"/>
  <c r="P407" i="2"/>
  <c r="S407" i="2"/>
  <c r="U407" i="2"/>
  <c r="D407" i="2"/>
  <c r="F407" i="2"/>
  <c r="H407" i="2"/>
  <c r="I407" i="2"/>
  <c r="J407" i="2"/>
  <c r="K407" i="2"/>
  <c r="L407" i="2"/>
  <c r="N407" i="2"/>
  <c r="Q407" i="2"/>
  <c r="R407" i="2"/>
  <c r="T407" i="2"/>
  <c r="W407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C411" i="2"/>
  <c r="D411" i="2"/>
  <c r="E411" i="2"/>
  <c r="F411" i="2"/>
  <c r="G411" i="2"/>
  <c r="J411" i="2"/>
  <c r="L411" i="2"/>
  <c r="M411" i="2"/>
  <c r="N411" i="2"/>
  <c r="O411" i="2"/>
  <c r="P411" i="2"/>
  <c r="Q411" i="2"/>
  <c r="R411" i="2"/>
  <c r="U411" i="2"/>
  <c r="V411" i="2"/>
  <c r="H411" i="2"/>
  <c r="I411" i="2"/>
  <c r="K411" i="2"/>
  <c r="S411" i="2"/>
  <c r="T411" i="2"/>
  <c r="W411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2" i="2"/>
  <c r="AO410" i="2"/>
  <c r="AP407" i="2"/>
  <c r="AP411" i="2"/>
  <c r="AP404" i="2"/>
  <c r="AP408" i="2"/>
  <c r="AP412" i="2"/>
  <c r="AO409" i="2"/>
  <c r="AO408" i="2"/>
  <c r="AP386" i="2"/>
  <c r="AP380" i="2"/>
  <c r="C382" i="2"/>
  <c r="D382" i="2"/>
  <c r="E382" i="2"/>
  <c r="F382" i="2"/>
  <c r="H382" i="2"/>
  <c r="G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C384" i="2"/>
  <c r="D384" i="2"/>
  <c r="E384" i="2"/>
  <c r="F384" i="2"/>
  <c r="G384" i="2"/>
  <c r="I384" i="2"/>
  <c r="H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P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C380" i="2"/>
  <c r="E380" i="2"/>
  <c r="D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D379" i="2"/>
  <c r="C379" i="2"/>
  <c r="E379" i="2"/>
  <c r="F379" i="2"/>
  <c r="H379" i="2"/>
  <c r="G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C383" i="2"/>
  <c r="D383" i="2"/>
  <c r="E383" i="2"/>
  <c r="F383" i="2"/>
  <c r="G383" i="2"/>
  <c r="I383" i="2"/>
  <c r="H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C386" i="2"/>
  <c r="D386" i="2"/>
  <c r="F386" i="2"/>
  <c r="E386" i="2"/>
  <c r="H386" i="2"/>
  <c r="G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P384" i="2"/>
  <c r="AP382" i="2"/>
  <c r="AO381" i="2"/>
  <c r="AO384" i="2"/>
  <c r="AP385" i="2"/>
  <c r="AP383" i="2"/>
  <c r="AP381" i="2"/>
  <c r="AP379" i="2"/>
  <c r="AO379" i="2"/>
  <c r="AO383" i="2"/>
  <c r="AO378" i="2"/>
  <c r="AO382" i="2"/>
  <c r="AO386" i="2"/>
  <c r="M730" i="2"/>
  <c r="N730" i="2"/>
  <c r="O730" i="2"/>
  <c r="P730" i="2"/>
  <c r="Q730" i="2"/>
  <c r="R730" i="2"/>
  <c r="R739" i="2" s="1"/>
  <c r="R711" i="2" s="1"/>
  <c r="R64" i="2" s="1"/>
  <c r="S730" i="2"/>
  <c r="S739" i="2" s="1"/>
  <c r="S711" i="2" s="1"/>
  <c r="S64" i="2" s="1"/>
  <c r="T730" i="2"/>
  <c r="T739" i="2" s="1"/>
  <c r="T711" i="2" s="1"/>
  <c r="T64" i="2" s="1"/>
  <c r="U730" i="2"/>
  <c r="U739" i="2" s="1"/>
  <c r="U711" i="2" s="1"/>
  <c r="U64" i="2" s="1"/>
  <c r="V730" i="2"/>
  <c r="V739" i="2" s="1"/>
  <c r="V711" i="2" s="1"/>
  <c r="V64" i="2" s="1"/>
  <c r="AG732" i="2"/>
  <c r="AG739" i="2" s="1"/>
  <c r="AG711" i="2" s="1"/>
  <c r="AG64" i="2" s="1"/>
  <c r="AH732" i="2"/>
  <c r="AI732" i="2"/>
  <c r="AI739" i="2" s="1"/>
  <c r="AI711" i="2" s="1"/>
  <c r="AI64" i="2" s="1"/>
  <c r="AJ732" i="2"/>
  <c r="AK732" i="2"/>
  <c r="AK739" i="2" s="1"/>
  <c r="AK711" i="2" s="1"/>
  <c r="AK64" i="2" s="1"/>
  <c r="AL732" i="2"/>
  <c r="AM732" i="2"/>
  <c r="AM739" i="2" s="1"/>
  <c r="AM711" i="2" s="1"/>
  <c r="AM64" i="2" s="1"/>
  <c r="AN732" i="2"/>
  <c r="AO732" i="2"/>
  <c r="AO739" i="2" s="1"/>
  <c r="AO711" i="2" s="1"/>
  <c r="AO64" i="2" s="1"/>
  <c r="W731" i="2"/>
  <c r="W739" i="2" s="1"/>
  <c r="W711" i="2" s="1"/>
  <c r="W64" i="2" s="1"/>
  <c r="X731" i="2"/>
  <c r="X739" i="2" s="1"/>
  <c r="X711" i="2" s="1"/>
  <c r="X64" i="2" s="1"/>
  <c r="Y731" i="2"/>
  <c r="Y739" i="2" s="1"/>
  <c r="Y711" i="2" s="1"/>
  <c r="Y64" i="2" s="1"/>
  <c r="Z731" i="2"/>
  <c r="Z739" i="2" s="1"/>
  <c r="Z711" i="2" s="1"/>
  <c r="Z64" i="2" s="1"/>
  <c r="AA731" i="2"/>
  <c r="AA739" i="2" s="1"/>
  <c r="AA711" i="2" s="1"/>
  <c r="AA64" i="2" s="1"/>
  <c r="AB731" i="2"/>
  <c r="AB739" i="2" s="1"/>
  <c r="AB711" i="2" s="1"/>
  <c r="AB64" i="2" s="1"/>
  <c r="AC731" i="2"/>
  <c r="AC739" i="2" s="1"/>
  <c r="AC711" i="2" s="1"/>
  <c r="AC64" i="2" s="1"/>
  <c r="AD731" i="2"/>
  <c r="AD739" i="2" s="1"/>
  <c r="AD711" i="2" s="1"/>
  <c r="AD64" i="2" s="1"/>
  <c r="AE731" i="2"/>
  <c r="AE739" i="2" s="1"/>
  <c r="AE711" i="2" s="1"/>
  <c r="AE64" i="2" s="1"/>
  <c r="AF731" i="2"/>
  <c r="AF739" i="2" s="1"/>
  <c r="AF711" i="2" s="1"/>
  <c r="AF64" i="2" s="1"/>
  <c r="AP763" i="2"/>
  <c r="AG763" i="2"/>
  <c r="AG771" i="2" s="1"/>
  <c r="AG743" i="2" s="1"/>
  <c r="AG65" i="2" s="1"/>
  <c r="AH763" i="2"/>
  <c r="AH771" i="2" s="1"/>
  <c r="AH743" i="2" s="1"/>
  <c r="AH65" i="2" s="1"/>
  <c r="AI763" i="2"/>
  <c r="AI771" i="2" s="1"/>
  <c r="AI743" i="2" s="1"/>
  <c r="AI65" i="2" s="1"/>
  <c r="AJ763" i="2"/>
  <c r="AJ771" i="2" s="1"/>
  <c r="AJ743" i="2" s="1"/>
  <c r="AJ65" i="2" s="1"/>
  <c r="AK763" i="2"/>
  <c r="AK771" i="2" s="1"/>
  <c r="AK743" i="2" s="1"/>
  <c r="AK65" i="2" s="1"/>
  <c r="AL763" i="2"/>
  <c r="AL771" i="2" s="1"/>
  <c r="AL743" i="2" s="1"/>
  <c r="AL65" i="2" s="1"/>
  <c r="AM763" i="2"/>
  <c r="AM771" i="2" s="1"/>
  <c r="AM743" i="2" s="1"/>
  <c r="AM65" i="2" s="1"/>
  <c r="AN763" i="2"/>
  <c r="AN771" i="2" s="1"/>
  <c r="AN743" i="2" s="1"/>
  <c r="AN65" i="2" s="1"/>
  <c r="AO763" i="2"/>
  <c r="AO771" i="2" s="1"/>
  <c r="AO743" i="2" s="1"/>
  <c r="AO65" i="2" s="1"/>
  <c r="AP739" i="2"/>
  <c r="AP711" i="2" s="1"/>
  <c r="AP727" i="2"/>
  <c r="AP712" i="2" s="1"/>
  <c r="AP69" i="2" s="1"/>
  <c r="B717" i="2"/>
  <c r="R762" i="2"/>
  <c r="S762" i="2"/>
  <c r="T762" i="2"/>
  <c r="U762" i="2"/>
  <c r="V762" i="2"/>
  <c r="W762" i="2"/>
  <c r="X762" i="2"/>
  <c r="X771" i="2" s="1"/>
  <c r="X743" i="2" s="1"/>
  <c r="X65" i="2" s="1"/>
  <c r="Y762" i="2"/>
  <c r="Y771" i="2" s="1"/>
  <c r="Y743" i="2" s="1"/>
  <c r="Y65" i="2" s="1"/>
  <c r="Z762" i="2"/>
  <c r="Z771" i="2" s="1"/>
  <c r="Z743" i="2" s="1"/>
  <c r="Z65" i="2" s="1"/>
  <c r="AA762" i="2"/>
  <c r="AB762" i="2"/>
  <c r="AB771" i="2" s="1"/>
  <c r="AB743" i="2" s="1"/>
  <c r="AB65" i="2" s="1"/>
  <c r="AC762" i="2"/>
  <c r="AD762" i="2"/>
  <c r="AD771" i="2" s="1"/>
  <c r="AD743" i="2" s="1"/>
  <c r="AD65" i="2" s="1"/>
  <c r="AE762" i="2"/>
  <c r="AE771" i="2" s="1"/>
  <c r="AE743" i="2" s="1"/>
  <c r="AE65" i="2" s="1"/>
  <c r="AF762" i="2"/>
  <c r="AF771" i="2" s="1"/>
  <c r="AF743" i="2" s="1"/>
  <c r="AF65" i="2" s="1"/>
  <c r="AP759" i="2"/>
  <c r="AP744" i="2" s="1"/>
  <c r="AP70" i="2" s="1"/>
  <c r="B749" i="2"/>
  <c r="AE700" i="2"/>
  <c r="AF700" i="2"/>
  <c r="AG700" i="2"/>
  <c r="AH700" i="2"/>
  <c r="AL701" i="2"/>
  <c r="AM701" i="2"/>
  <c r="AN701" i="2"/>
  <c r="AO701" i="2"/>
  <c r="X699" i="2"/>
  <c r="Y699" i="2"/>
  <c r="Z699" i="2"/>
  <c r="AP701" i="2"/>
  <c r="AP61" i="2"/>
  <c r="AO121" i="2"/>
  <c r="AL47" i="2"/>
  <c r="AL206" i="2"/>
  <c r="AL242" i="2"/>
  <c r="AN120" i="2"/>
  <c r="AN700" i="2"/>
  <c r="AP700" i="2"/>
  <c r="AM700" i="2"/>
  <c r="AO700" i="2"/>
  <c r="W698" i="2"/>
  <c r="Y698" i="2"/>
  <c r="R698" i="2"/>
  <c r="T698" i="2"/>
  <c r="V698" i="2"/>
  <c r="X698" i="2"/>
  <c r="Z698" i="2"/>
  <c r="Q698" i="2"/>
  <c r="S698" i="2"/>
  <c r="U698" i="2"/>
  <c r="AF699" i="2"/>
  <c r="AH699" i="2"/>
  <c r="AJ699" i="2"/>
  <c r="AL699" i="2"/>
  <c r="AB699" i="2"/>
  <c r="AD699" i="2"/>
  <c r="AE699" i="2"/>
  <c r="AG699" i="2"/>
  <c r="AI699" i="2"/>
  <c r="AK699" i="2"/>
  <c r="AA699" i="2"/>
  <c r="AC699" i="2"/>
  <c r="AL702" i="2"/>
  <c r="AN702" i="2"/>
  <c r="AP702" i="2"/>
  <c r="AM702" i="2"/>
  <c r="AO702" i="2"/>
  <c r="AF701" i="2"/>
  <c r="AH701" i="2"/>
  <c r="AJ701" i="2"/>
  <c r="AE701" i="2"/>
  <c r="AG701" i="2"/>
  <c r="AI701" i="2"/>
  <c r="AK701" i="2"/>
  <c r="Y700" i="2"/>
  <c r="AA700" i="2"/>
  <c r="AC700" i="2"/>
  <c r="X700" i="2"/>
  <c r="Z700" i="2"/>
  <c r="AB700" i="2"/>
  <c r="AD700" i="2"/>
  <c r="J698" i="2"/>
  <c r="L698" i="2"/>
  <c r="N698" i="2"/>
  <c r="P698" i="2"/>
  <c r="P707" i="2" s="1"/>
  <c r="P679" i="2" s="1"/>
  <c r="K698" i="2"/>
  <c r="M698" i="2"/>
  <c r="O698" i="2"/>
  <c r="O707" i="2" s="1"/>
  <c r="O679" i="2" s="1"/>
  <c r="V699" i="2"/>
  <c r="R699" i="2"/>
  <c r="T699" i="2"/>
  <c r="W699" i="2"/>
  <c r="Q699" i="2"/>
  <c r="S699" i="2"/>
  <c r="U699" i="2"/>
  <c r="AN105" i="2"/>
  <c r="AP336" i="2"/>
  <c r="AO358" i="2"/>
  <c r="T493" i="2"/>
  <c r="D493" i="2"/>
  <c r="F493" i="2"/>
  <c r="G493" i="2"/>
  <c r="H493" i="2"/>
  <c r="L493" i="2"/>
  <c r="M493" i="2"/>
  <c r="N493" i="2"/>
  <c r="S493" i="2"/>
  <c r="C493" i="2"/>
  <c r="E493" i="2"/>
  <c r="I493" i="2"/>
  <c r="J493" i="2"/>
  <c r="K493" i="2"/>
  <c r="O493" i="2"/>
  <c r="P493" i="2"/>
  <c r="Q493" i="2"/>
  <c r="R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354" i="2"/>
  <c r="U489" i="2"/>
  <c r="C489" i="2"/>
  <c r="D489" i="2"/>
  <c r="E489" i="2"/>
  <c r="F489" i="2"/>
  <c r="I489" i="2"/>
  <c r="K489" i="2"/>
  <c r="L489" i="2"/>
  <c r="Q489" i="2"/>
  <c r="R489" i="2"/>
  <c r="T489" i="2"/>
  <c r="G489" i="2"/>
  <c r="H489" i="2"/>
  <c r="J489" i="2"/>
  <c r="M489" i="2"/>
  <c r="N489" i="2"/>
  <c r="O489" i="2"/>
  <c r="P489" i="2"/>
  <c r="S489" i="2"/>
  <c r="V489" i="2"/>
  <c r="W489" i="2"/>
  <c r="X489" i="2"/>
  <c r="Y489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T492" i="2"/>
  <c r="C492" i="2"/>
  <c r="H492" i="2"/>
  <c r="I492" i="2"/>
  <c r="M492" i="2"/>
  <c r="P492" i="2"/>
  <c r="R492" i="2"/>
  <c r="U492" i="2"/>
  <c r="D492" i="2"/>
  <c r="E492" i="2"/>
  <c r="F492" i="2"/>
  <c r="G492" i="2"/>
  <c r="J492" i="2"/>
  <c r="K492" i="2"/>
  <c r="L492" i="2"/>
  <c r="N492" i="2"/>
  <c r="O492" i="2"/>
  <c r="Q492" i="2"/>
  <c r="S492" i="2"/>
  <c r="V492" i="2"/>
  <c r="W492" i="2"/>
  <c r="X492" i="2"/>
  <c r="Y492" i="2"/>
  <c r="Z492" i="2"/>
  <c r="AA492" i="2"/>
  <c r="AB492" i="2"/>
  <c r="AC492" i="2"/>
  <c r="AD492" i="2"/>
  <c r="AE492" i="2"/>
  <c r="AG492" i="2"/>
  <c r="AF492" i="2"/>
  <c r="AH492" i="2"/>
  <c r="AI492" i="2"/>
  <c r="AJ492" i="2"/>
  <c r="AK492" i="2"/>
  <c r="AL492" i="2"/>
  <c r="AM492" i="2"/>
  <c r="AN492" i="2"/>
  <c r="E487" i="2"/>
  <c r="G487" i="2"/>
  <c r="L487" i="2"/>
  <c r="N487" i="2"/>
  <c r="P487" i="2"/>
  <c r="Q487" i="2"/>
  <c r="S487" i="2"/>
  <c r="U487" i="2"/>
  <c r="C487" i="2"/>
  <c r="D487" i="2"/>
  <c r="F487" i="2"/>
  <c r="H487" i="2"/>
  <c r="I487" i="2"/>
  <c r="J487" i="2"/>
  <c r="K487" i="2"/>
  <c r="M487" i="2"/>
  <c r="O487" i="2"/>
  <c r="R487" i="2"/>
  <c r="T487" i="2"/>
  <c r="V487" i="2"/>
  <c r="W487" i="2"/>
  <c r="X487" i="2"/>
  <c r="Y487" i="2"/>
  <c r="Z487" i="2"/>
  <c r="AA487" i="2"/>
  <c r="AB487" i="2"/>
  <c r="AC487" i="2"/>
  <c r="AD487" i="2"/>
  <c r="AE487" i="2"/>
  <c r="AG487" i="2"/>
  <c r="AF487" i="2"/>
  <c r="AH487" i="2"/>
  <c r="AI487" i="2"/>
  <c r="AJ487" i="2"/>
  <c r="AK487" i="2"/>
  <c r="AL487" i="2"/>
  <c r="AM487" i="2"/>
  <c r="AN487" i="2"/>
  <c r="D488" i="2"/>
  <c r="E488" i="2"/>
  <c r="F488" i="2"/>
  <c r="G488" i="2"/>
  <c r="H488" i="2"/>
  <c r="J488" i="2"/>
  <c r="K488" i="2"/>
  <c r="M488" i="2"/>
  <c r="N488" i="2"/>
  <c r="O488" i="2"/>
  <c r="T488" i="2"/>
  <c r="U488" i="2"/>
  <c r="C488" i="2"/>
  <c r="I488" i="2"/>
  <c r="L488" i="2"/>
  <c r="P488" i="2"/>
  <c r="Q488" i="2"/>
  <c r="R488" i="2"/>
  <c r="S488" i="2"/>
  <c r="V488" i="2"/>
  <c r="W488" i="2"/>
  <c r="X488" i="2"/>
  <c r="Y488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7" i="2"/>
  <c r="AO488" i="2"/>
  <c r="AP492" i="2"/>
  <c r="AP487" i="2"/>
  <c r="AP493" i="2"/>
  <c r="AP489" i="2"/>
  <c r="AO493" i="2"/>
  <c r="C495" i="2"/>
  <c r="D495" i="2"/>
  <c r="G495" i="2"/>
  <c r="J495" i="2"/>
  <c r="I495" i="2"/>
  <c r="M495" i="2"/>
  <c r="Q495" i="2"/>
  <c r="P495" i="2"/>
  <c r="S495" i="2"/>
  <c r="U495" i="2"/>
  <c r="E495" i="2"/>
  <c r="F495" i="2"/>
  <c r="H495" i="2"/>
  <c r="K495" i="2"/>
  <c r="L495" i="2"/>
  <c r="N495" i="2"/>
  <c r="O495" i="2"/>
  <c r="R495" i="2"/>
  <c r="T495" i="2"/>
  <c r="V495" i="2"/>
  <c r="W495" i="2"/>
  <c r="X495" i="2"/>
  <c r="Z495" i="2"/>
  <c r="Y495" i="2"/>
  <c r="AA495" i="2"/>
  <c r="AB495" i="2"/>
  <c r="AC495" i="2"/>
  <c r="AD495" i="2"/>
  <c r="AE495" i="2"/>
  <c r="AG495" i="2"/>
  <c r="AF495" i="2"/>
  <c r="AH495" i="2"/>
  <c r="AI495" i="2"/>
  <c r="AJ495" i="2"/>
  <c r="AK495" i="2"/>
  <c r="AL495" i="2"/>
  <c r="AM495" i="2"/>
  <c r="AN495" i="2"/>
  <c r="T491" i="2"/>
  <c r="I491" i="2"/>
  <c r="Q491" i="2"/>
  <c r="R491" i="2"/>
  <c r="S491" i="2"/>
  <c r="U491" i="2"/>
  <c r="C491" i="2"/>
  <c r="D491" i="2"/>
  <c r="E491" i="2"/>
  <c r="G491" i="2"/>
  <c r="F491" i="2"/>
  <c r="H491" i="2"/>
  <c r="J491" i="2"/>
  <c r="K491" i="2"/>
  <c r="L491" i="2"/>
  <c r="M491" i="2"/>
  <c r="N491" i="2"/>
  <c r="O491" i="2"/>
  <c r="P491" i="2"/>
  <c r="V491" i="2"/>
  <c r="W491" i="2"/>
  <c r="X491" i="2"/>
  <c r="Y491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D494" i="2"/>
  <c r="H494" i="2"/>
  <c r="I494" i="2"/>
  <c r="J494" i="2"/>
  <c r="K494" i="2"/>
  <c r="N494" i="2"/>
  <c r="O494" i="2"/>
  <c r="Q494" i="2"/>
  <c r="R494" i="2"/>
  <c r="S494" i="2"/>
  <c r="T494" i="2"/>
  <c r="C494" i="2"/>
  <c r="E494" i="2"/>
  <c r="F494" i="2"/>
  <c r="G494" i="2"/>
  <c r="L494" i="2"/>
  <c r="M494" i="2"/>
  <c r="P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T490" i="2"/>
  <c r="U490" i="2"/>
  <c r="C490" i="2"/>
  <c r="F490" i="2"/>
  <c r="G490" i="2"/>
  <c r="I490" i="2"/>
  <c r="J490" i="2"/>
  <c r="K490" i="2"/>
  <c r="L490" i="2"/>
  <c r="N490" i="2"/>
  <c r="O490" i="2"/>
  <c r="Q490" i="2"/>
  <c r="D490" i="2"/>
  <c r="E490" i="2"/>
  <c r="H490" i="2"/>
  <c r="M490" i="2"/>
  <c r="P490" i="2"/>
  <c r="S490" i="2"/>
  <c r="R490" i="2"/>
  <c r="V490" i="2"/>
  <c r="W490" i="2"/>
  <c r="X490" i="2"/>
  <c r="Y490" i="2"/>
  <c r="Z490" i="2"/>
  <c r="AA490" i="2"/>
  <c r="AB490" i="2"/>
  <c r="AC490" i="2"/>
  <c r="AD490" i="2"/>
  <c r="AE490" i="2"/>
  <c r="AG490" i="2"/>
  <c r="AF490" i="2"/>
  <c r="AH490" i="2"/>
  <c r="AI490" i="2"/>
  <c r="AJ490" i="2"/>
  <c r="AK490" i="2"/>
  <c r="AL490" i="2"/>
  <c r="AM490" i="2"/>
  <c r="AN490" i="2"/>
  <c r="AO492" i="2"/>
  <c r="AO491" i="2"/>
  <c r="AP494" i="2"/>
  <c r="AP490" i="2"/>
  <c r="AP495" i="2"/>
  <c r="AP491" i="2"/>
  <c r="AP488" i="2"/>
  <c r="AO490" i="2"/>
  <c r="AO489" i="2"/>
  <c r="U360" i="2"/>
  <c r="C360" i="2"/>
  <c r="J360" i="2"/>
  <c r="L360" i="2"/>
  <c r="N360" i="2"/>
  <c r="P360" i="2"/>
  <c r="R360" i="2"/>
  <c r="T360" i="2"/>
  <c r="D360" i="2"/>
  <c r="E360" i="2"/>
  <c r="F360" i="2"/>
  <c r="H360" i="2"/>
  <c r="G360" i="2"/>
  <c r="I360" i="2"/>
  <c r="K360" i="2"/>
  <c r="M360" i="2"/>
  <c r="O360" i="2"/>
  <c r="Q360" i="2"/>
  <c r="S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U356" i="2"/>
  <c r="C356" i="2"/>
  <c r="E356" i="2"/>
  <c r="K356" i="2"/>
  <c r="M356" i="2"/>
  <c r="O356" i="2"/>
  <c r="Q356" i="2"/>
  <c r="V356" i="2"/>
  <c r="D356" i="2"/>
  <c r="F356" i="2"/>
  <c r="H356" i="2"/>
  <c r="G356" i="2"/>
  <c r="I356" i="2"/>
  <c r="J356" i="2"/>
  <c r="L356" i="2"/>
  <c r="N356" i="2"/>
  <c r="P356" i="2"/>
  <c r="R356" i="2"/>
  <c r="S356" i="2"/>
  <c r="T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U359" i="2"/>
  <c r="C359" i="2"/>
  <c r="D359" i="2"/>
  <c r="E359" i="2"/>
  <c r="F359" i="2"/>
  <c r="G359" i="2"/>
  <c r="I359" i="2"/>
  <c r="K359" i="2"/>
  <c r="M359" i="2"/>
  <c r="O359" i="2"/>
  <c r="Q359" i="2"/>
  <c r="H359" i="2"/>
  <c r="J359" i="2"/>
  <c r="L359" i="2"/>
  <c r="N359" i="2"/>
  <c r="P359" i="2"/>
  <c r="R359" i="2"/>
  <c r="S359" i="2"/>
  <c r="T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U355" i="2"/>
  <c r="D355" i="2"/>
  <c r="E355" i="2"/>
  <c r="F355" i="2"/>
  <c r="I355" i="2"/>
  <c r="J355" i="2"/>
  <c r="L355" i="2"/>
  <c r="N355" i="2"/>
  <c r="P355" i="2"/>
  <c r="R355" i="2"/>
  <c r="T355" i="2"/>
  <c r="V355" i="2"/>
  <c r="C355" i="2"/>
  <c r="G355" i="2"/>
  <c r="H355" i="2"/>
  <c r="K355" i="2"/>
  <c r="M355" i="2"/>
  <c r="O355" i="2"/>
  <c r="Q355" i="2"/>
  <c r="S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O359" i="2"/>
  <c r="AP360" i="2"/>
  <c r="AP358" i="2"/>
  <c r="AP356" i="2"/>
  <c r="AP354" i="2"/>
  <c r="AP352" i="2"/>
  <c r="U358" i="2"/>
  <c r="H358" i="2"/>
  <c r="I358" i="2"/>
  <c r="L358" i="2"/>
  <c r="M358" i="2"/>
  <c r="Q358" i="2"/>
  <c r="R358" i="2"/>
  <c r="S358" i="2"/>
  <c r="C358" i="2"/>
  <c r="D358" i="2"/>
  <c r="E358" i="2"/>
  <c r="F358" i="2"/>
  <c r="G358" i="2"/>
  <c r="J358" i="2"/>
  <c r="K358" i="2"/>
  <c r="N358" i="2"/>
  <c r="O358" i="2"/>
  <c r="P358" i="2"/>
  <c r="T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U354" i="2"/>
  <c r="D354" i="2"/>
  <c r="G354" i="2"/>
  <c r="H354" i="2"/>
  <c r="J354" i="2"/>
  <c r="K354" i="2"/>
  <c r="N354" i="2"/>
  <c r="O354" i="2"/>
  <c r="P354" i="2"/>
  <c r="S354" i="2"/>
  <c r="T354" i="2"/>
  <c r="C354" i="2"/>
  <c r="F354" i="2"/>
  <c r="E354" i="2"/>
  <c r="I354" i="2"/>
  <c r="L354" i="2"/>
  <c r="M354" i="2"/>
  <c r="Q354" i="2"/>
  <c r="R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U357" i="2"/>
  <c r="D357" i="2"/>
  <c r="E357" i="2"/>
  <c r="F357" i="2"/>
  <c r="H357" i="2"/>
  <c r="G357" i="2"/>
  <c r="K357" i="2"/>
  <c r="N357" i="2"/>
  <c r="P357" i="2"/>
  <c r="S357" i="2"/>
  <c r="T357" i="2"/>
  <c r="V357" i="2"/>
  <c r="C357" i="2"/>
  <c r="I357" i="2"/>
  <c r="J357" i="2"/>
  <c r="L357" i="2"/>
  <c r="M357" i="2"/>
  <c r="O357" i="2"/>
  <c r="Q357" i="2"/>
  <c r="R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U352" i="2"/>
  <c r="D352" i="2"/>
  <c r="F352" i="2"/>
  <c r="I352" i="2"/>
  <c r="J352" i="2"/>
  <c r="L352" i="2"/>
  <c r="N352" i="2"/>
  <c r="P352" i="2"/>
  <c r="R352" i="2"/>
  <c r="T352" i="2"/>
  <c r="C352" i="2"/>
  <c r="E352" i="2"/>
  <c r="G352" i="2"/>
  <c r="H352" i="2"/>
  <c r="K352" i="2"/>
  <c r="M352" i="2"/>
  <c r="O352" i="2"/>
  <c r="Q352" i="2"/>
  <c r="S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U353" i="2"/>
  <c r="C353" i="2"/>
  <c r="H353" i="2"/>
  <c r="G353" i="2"/>
  <c r="I353" i="2"/>
  <c r="J353" i="2"/>
  <c r="L353" i="2"/>
  <c r="M353" i="2"/>
  <c r="O353" i="2"/>
  <c r="Q353" i="2"/>
  <c r="S353" i="2"/>
  <c r="V353" i="2"/>
  <c r="D353" i="2"/>
  <c r="E353" i="2"/>
  <c r="F353" i="2"/>
  <c r="K353" i="2"/>
  <c r="N353" i="2"/>
  <c r="P353" i="2"/>
  <c r="R353" i="2"/>
  <c r="T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2" i="2"/>
  <c r="AO356" i="2"/>
  <c r="AO360" i="2"/>
  <c r="AO353" i="2"/>
  <c r="AO357" i="2"/>
  <c r="AP359" i="2"/>
  <c r="AP357" i="2"/>
  <c r="AP355" i="2"/>
  <c r="AP353" i="2"/>
  <c r="AP695" i="2"/>
  <c r="AP680" i="2" s="1"/>
  <c r="AP68" i="2" s="1"/>
  <c r="B685" i="2"/>
  <c r="AN666" i="2"/>
  <c r="AO554" i="2"/>
  <c r="AO555" i="2" s="1"/>
  <c r="AO103" i="2" s="1"/>
  <c r="AO248" i="2" s="1"/>
  <c r="AO560" i="2"/>
  <c r="AO561" i="2" s="1"/>
  <c r="AO104" i="2" s="1"/>
  <c r="B318" i="2"/>
  <c r="B322" i="2"/>
  <c r="B452" i="2"/>
  <c r="B454" i="2"/>
  <c r="B456" i="2"/>
  <c r="B319" i="2"/>
  <c r="AM274" i="2"/>
  <c r="AM275" i="2" s="1"/>
  <c r="B320" i="2"/>
  <c r="B451" i="2"/>
  <c r="B453" i="2"/>
  <c r="B455" i="2"/>
  <c r="B317" i="2"/>
  <c r="B321" i="2"/>
  <c r="AN272" i="2"/>
  <c r="AN233" i="2"/>
  <c r="AN18" i="2"/>
  <c r="AN20" i="2" s="1"/>
  <c r="AN270" i="2"/>
  <c r="AN231" i="2"/>
  <c r="AM235" i="2"/>
  <c r="AM236" i="2" s="1"/>
  <c r="AN601" i="2"/>
  <c r="AO598" i="2"/>
  <c r="AO599" i="2" s="1"/>
  <c r="AO590" i="2"/>
  <c r="AO591" i="2" s="1"/>
  <c r="AO586" i="2"/>
  <c r="AO587" i="2" s="1"/>
  <c r="AO594" i="2"/>
  <c r="AO595" i="2" s="1"/>
  <c r="AO51" i="2" s="1"/>
  <c r="AP639" i="2"/>
  <c r="AP27" i="2"/>
  <c r="AB633" i="2"/>
  <c r="AB611" i="2" s="1"/>
  <c r="AO29" i="2"/>
  <c r="AO31" i="2" s="1"/>
  <c r="AO41" i="2" s="1"/>
  <c r="AN675" i="2" s="1"/>
  <c r="AK707" i="2" l="1"/>
  <c r="AK679" i="2" s="1"/>
  <c r="AK63" i="2" s="1"/>
  <c r="AN53" i="2"/>
  <c r="AP120" i="7"/>
  <c r="AI206" i="8"/>
  <c r="AI208" i="8" s="1"/>
  <c r="AI236" i="8" s="1"/>
  <c r="AI237" i="8" s="1"/>
  <c r="AI241" i="8"/>
  <c r="AI48" i="8"/>
  <c r="AI49" i="8" s="1"/>
  <c r="AI73" i="8" s="1"/>
  <c r="AI78" i="8" s="1"/>
  <c r="AJ80" i="10"/>
  <c r="AJ81" i="10" s="1"/>
  <c r="AJ95" i="10" s="1"/>
  <c r="AJ284" i="10"/>
  <c r="AJ300" i="10" s="1"/>
  <c r="AJ142" i="10"/>
  <c r="AJ154" i="10" s="1"/>
  <c r="AJ220" i="10"/>
  <c r="AH87" i="8"/>
  <c r="AH88" i="8" s="1"/>
  <c r="AH79" i="8"/>
  <c r="AH98" i="8"/>
  <c r="AH243" i="8"/>
  <c r="AN673" i="2"/>
  <c r="AO672" i="2"/>
  <c r="AK281" i="10"/>
  <c r="AK50" i="10"/>
  <c r="AK74" i="10" s="1"/>
  <c r="AK76" i="10" s="1"/>
  <c r="AJ297" i="10"/>
  <c r="AI248" i="10"/>
  <c r="AG100" i="8"/>
  <c r="AG101" i="8" s="1"/>
  <c r="AH246" i="8"/>
  <c r="AH274" i="8" s="1"/>
  <c r="AH275" i="8" s="1"/>
  <c r="AH99" i="8" s="1"/>
  <c r="AH100" i="8" s="1"/>
  <c r="I109" i="7"/>
  <c r="AE108" i="8"/>
  <c r="AE107" i="8"/>
  <c r="B764" i="2"/>
  <c r="K170" i="7"/>
  <c r="K134" i="7"/>
  <c r="K55" i="7"/>
  <c r="J592" i="7"/>
  <c r="I700" i="7"/>
  <c r="J701" i="7" s="1"/>
  <c r="I593" i="7"/>
  <c r="I61" i="7" s="1"/>
  <c r="I66" i="7" s="1"/>
  <c r="I72" i="7" s="1"/>
  <c r="I82" i="7" s="1"/>
  <c r="I87" i="7" s="1"/>
  <c r="AP55" i="2"/>
  <c r="AP244" i="2"/>
  <c r="AP208" i="2"/>
  <c r="AB613" i="2"/>
  <c r="AB608" i="2"/>
  <c r="AB80" i="2" s="1"/>
  <c r="AC771" i="2"/>
  <c r="AC743" i="2" s="1"/>
  <c r="AC65" i="2" s="1"/>
  <c r="AA771" i="2"/>
  <c r="AA743" i="2" s="1"/>
  <c r="AA65" i="2" s="1"/>
  <c r="W771" i="2"/>
  <c r="W743" i="2" s="1"/>
  <c r="W65" i="2" s="1"/>
  <c r="AN739" i="2"/>
  <c r="AN711" i="2" s="1"/>
  <c r="AN64" i="2" s="1"/>
  <c r="AL739" i="2"/>
  <c r="AL711" i="2" s="1"/>
  <c r="AL64" i="2" s="1"/>
  <c r="AJ739" i="2"/>
  <c r="AJ711" i="2" s="1"/>
  <c r="AJ64" i="2" s="1"/>
  <c r="AH739" i="2"/>
  <c r="AH711" i="2" s="1"/>
  <c r="AH64" i="2" s="1"/>
  <c r="AP650" i="2"/>
  <c r="AP651" i="2" s="1"/>
  <c r="B653" i="2"/>
  <c r="O63" i="2"/>
  <c r="P63" i="2"/>
  <c r="J246" i="8"/>
  <c r="J274" i="8" s="1"/>
  <c r="J275" i="8" s="1"/>
  <c r="J99" i="8" s="1"/>
  <c r="J100" i="8" s="1"/>
  <c r="B767" i="2"/>
  <c r="B770" i="2"/>
  <c r="B768" i="2"/>
  <c r="B766" i="2"/>
  <c r="B769" i="2"/>
  <c r="B765" i="2"/>
  <c r="AO49" i="2"/>
  <c r="AO14" i="2"/>
  <c r="AF101" i="8"/>
  <c r="AL649" i="10"/>
  <c r="AL652" i="10" s="1"/>
  <c r="AK745" i="10"/>
  <c r="AL746" i="10" s="1"/>
  <c r="AL49" i="10" s="1"/>
  <c r="AI704" i="8"/>
  <c r="AJ705" i="8" s="1"/>
  <c r="AJ608" i="8"/>
  <c r="AJ611" i="8" s="1"/>
  <c r="J87" i="8"/>
  <c r="J79" i="8"/>
  <c r="K554" i="7"/>
  <c r="AO17" i="2"/>
  <c r="AO52" i="2"/>
  <c r="AO234" i="2"/>
  <c r="AO273" i="2"/>
  <c r="AO15" i="2"/>
  <c r="AO50" i="2"/>
  <c r="AO232" i="2"/>
  <c r="AO271" i="2"/>
  <c r="R761" i="2"/>
  <c r="R771" i="2" s="1"/>
  <c r="R743" i="2" s="1"/>
  <c r="R65" i="2" s="1"/>
  <c r="S761" i="2"/>
  <c r="S771" i="2" s="1"/>
  <c r="S743" i="2" s="1"/>
  <c r="S65" i="2" s="1"/>
  <c r="T761" i="2"/>
  <c r="T771" i="2" s="1"/>
  <c r="T743" i="2" s="1"/>
  <c r="T65" i="2" s="1"/>
  <c r="U761" i="2"/>
  <c r="V761" i="2"/>
  <c r="V771" i="2" s="1"/>
  <c r="V743" i="2" s="1"/>
  <c r="V65" i="2" s="1"/>
  <c r="U771" i="2"/>
  <c r="U743" i="2" s="1"/>
  <c r="U65" i="2" s="1"/>
  <c r="AP512" i="2"/>
  <c r="AP522" i="2" s="1"/>
  <c r="M729" i="2"/>
  <c r="M739" i="2" s="1"/>
  <c r="M711" i="2" s="1"/>
  <c r="N729" i="2"/>
  <c r="N739" i="2" s="1"/>
  <c r="N711" i="2" s="1"/>
  <c r="O729" i="2"/>
  <c r="O739" i="2" s="1"/>
  <c r="O711" i="2" s="1"/>
  <c r="P729" i="2"/>
  <c r="P739" i="2" s="1"/>
  <c r="P711" i="2" s="1"/>
  <c r="Q729" i="2"/>
  <c r="Q739" i="2" s="1"/>
  <c r="Q711" i="2" s="1"/>
  <c r="AP403" i="2"/>
  <c r="AP413" i="2" s="1"/>
  <c r="U538" i="2"/>
  <c r="U548" i="2" s="1"/>
  <c r="C538" i="2"/>
  <c r="F538" i="2"/>
  <c r="F548" i="2" s="1"/>
  <c r="H538" i="2"/>
  <c r="H548" i="2" s="1"/>
  <c r="I538" i="2"/>
  <c r="I548" i="2" s="1"/>
  <c r="J538" i="2"/>
  <c r="J548" i="2" s="1"/>
  <c r="L538" i="2"/>
  <c r="L548" i="2" s="1"/>
  <c r="N538" i="2"/>
  <c r="N548" i="2" s="1"/>
  <c r="P538" i="2"/>
  <c r="P548" i="2" s="1"/>
  <c r="S538" i="2"/>
  <c r="S548" i="2" s="1"/>
  <c r="D538" i="2"/>
  <c r="D548" i="2" s="1"/>
  <c r="E538" i="2"/>
  <c r="E548" i="2" s="1"/>
  <c r="G538" i="2"/>
  <c r="G548" i="2" s="1"/>
  <c r="K538" i="2"/>
  <c r="K548" i="2" s="1"/>
  <c r="M538" i="2"/>
  <c r="M548" i="2" s="1"/>
  <c r="O538" i="2"/>
  <c r="O548" i="2" s="1"/>
  <c r="Q538" i="2"/>
  <c r="Q548" i="2" s="1"/>
  <c r="R538" i="2"/>
  <c r="R548" i="2" s="1"/>
  <c r="T538" i="2"/>
  <c r="T548" i="2" s="1"/>
  <c r="V538" i="2"/>
  <c r="V548" i="2" s="1"/>
  <c r="W538" i="2"/>
  <c r="W548" i="2" s="1"/>
  <c r="X538" i="2"/>
  <c r="X548" i="2" s="1"/>
  <c r="Y538" i="2"/>
  <c r="Y548" i="2" s="1"/>
  <c r="Z538" i="2"/>
  <c r="Z548" i="2" s="1"/>
  <c r="AA538" i="2"/>
  <c r="AA548" i="2" s="1"/>
  <c r="AB538" i="2"/>
  <c r="AB548" i="2" s="1"/>
  <c r="AC538" i="2"/>
  <c r="AC548" i="2" s="1"/>
  <c r="AD538" i="2"/>
  <c r="AD548" i="2" s="1"/>
  <c r="AE538" i="2"/>
  <c r="AE548" i="2" s="1"/>
  <c r="AF538" i="2"/>
  <c r="AF548" i="2" s="1"/>
  <c r="AG538" i="2"/>
  <c r="AG548" i="2" s="1"/>
  <c r="AH538" i="2"/>
  <c r="AH548" i="2" s="1"/>
  <c r="AI538" i="2"/>
  <c r="AI548" i="2" s="1"/>
  <c r="AJ538" i="2"/>
  <c r="AJ548" i="2" s="1"/>
  <c r="AK538" i="2"/>
  <c r="AK548" i="2" s="1"/>
  <c r="AL538" i="2"/>
  <c r="AL548" i="2" s="1"/>
  <c r="AM538" i="2"/>
  <c r="AM548" i="2" s="1"/>
  <c r="AN538" i="2"/>
  <c r="AN548" i="2" s="1"/>
  <c r="AO538" i="2"/>
  <c r="AO548" i="2" s="1"/>
  <c r="B547" i="2"/>
  <c r="B539" i="2"/>
  <c r="B540" i="2"/>
  <c r="B545" i="2"/>
  <c r="AP538" i="2"/>
  <c r="AP548" i="2" s="1"/>
  <c r="B546" i="2"/>
  <c r="B542" i="2"/>
  <c r="B543" i="2"/>
  <c r="B544" i="2"/>
  <c r="B541" i="2"/>
  <c r="B520" i="2"/>
  <c r="B514" i="2"/>
  <c r="B513" i="2"/>
  <c r="AP377" i="2"/>
  <c r="AP387" i="2" s="1"/>
  <c r="C512" i="2"/>
  <c r="E512" i="2"/>
  <c r="E522" i="2" s="1"/>
  <c r="D512" i="2"/>
  <c r="D522" i="2" s="1"/>
  <c r="F512" i="2"/>
  <c r="F522" i="2" s="1"/>
  <c r="G512" i="2"/>
  <c r="G522" i="2" s="1"/>
  <c r="H512" i="2"/>
  <c r="H522" i="2" s="1"/>
  <c r="I512" i="2"/>
  <c r="I522" i="2" s="1"/>
  <c r="J512" i="2"/>
  <c r="J522" i="2" s="1"/>
  <c r="K512" i="2"/>
  <c r="K522" i="2" s="1"/>
  <c r="L512" i="2"/>
  <c r="L522" i="2" s="1"/>
  <c r="M512" i="2"/>
  <c r="M522" i="2" s="1"/>
  <c r="N512" i="2"/>
  <c r="N522" i="2" s="1"/>
  <c r="O512" i="2"/>
  <c r="O522" i="2" s="1"/>
  <c r="P512" i="2"/>
  <c r="P522" i="2" s="1"/>
  <c r="Q512" i="2"/>
  <c r="Q522" i="2" s="1"/>
  <c r="R512" i="2"/>
  <c r="R522" i="2" s="1"/>
  <c r="S512" i="2"/>
  <c r="S522" i="2" s="1"/>
  <c r="T512" i="2"/>
  <c r="T522" i="2" s="1"/>
  <c r="U512" i="2"/>
  <c r="U522" i="2" s="1"/>
  <c r="V512" i="2"/>
  <c r="V522" i="2" s="1"/>
  <c r="W512" i="2"/>
  <c r="W522" i="2" s="1"/>
  <c r="X512" i="2"/>
  <c r="X522" i="2" s="1"/>
  <c r="Y512" i="2"/>
  <c r="Y522" i="2" s="1"/>
  <c r="Z512" i="2"/>
  <c r="Z522" i="2" s="1"/>
  <c r="AA512" i="2"/>
  <c r="AA522" i="2" s="1"/>
  <c r="AB512" i="2"/>
  <c r="AB522" i="2" s="1"/>
  <c r="AC512" i="2"/>
  <c r="AC522" i="2" s="1"/>
  <c r="AD512" i="2"/>
  <c r="AD522" i="2" s="1"/>
  <c r="AE512" i="2"/>
  <c r="AE522" i="2" s="1"/>
  <c r="AF512" i="2"/>
  <c r="AF522" i="2" s="1"/>
  <c r="AG512" i="2"/>
  <c r="AG522" i="2" s="1"/>
  <c r="AH512" i="2"/>
  <c r="AH522" i="2" s="1"/>
  <c r="AI512" i="2"/>
  <c r="AI522" i="2" s="1"/>
  <c r="AJ512" i="2"/>
  <c r="AJ522" i="2" s="1"/>
  <c r="AK512" i="2"/>
  <c r="AK522" i="2" s="1"/>
  <c r="AL512" i="2"/>
  <c r="AL522" i="2" s="1"/>
  <c r="AM512" i="2"/>
  <c r="AM522" i="2" s="1"/>
  <c r="AN512" i="2"/>
  <c r="AN522" i="2" s="1"/>
  <c r="AO512" i="2"/>
  <c r="AO522" i="2" s="1"/>
  <c r="B519" i="2"/>
  <c r="B516" i="2"/>
  <c r="B517" i="2"/>
  <c r="B521" i="2"/>
  <c r="B518" i="2"/>
  <c r="B515" i="2"/>
  <c r="AP771" i="2"/>
  <c r="AP743" i="2" s="1"/>
  <c r="AP65" i="2" s="1"/>
  <c r="B411" i="2"/>
  <c r="B412" i="2"/>
  <c r="B408" i="2"/>
  <c r="B404" i="2"/>
  <c r="B405" i="2"/>
  <c r="B410" i="2"/>
  <c r="V403" i="2"/>
  <c r="V413" i="2" s="1"/>
  <c r="C403" i="2"/>
  <c r="H403" i="2"/>
  <c r="H413" i="2" s="1"/>
  <c r="I403" i="2"/>
  <c r="I413" i="2" s="1"/>
  <c r="J403" i="2"/>
  <c r="J413" i="2" s="1"/>
  <c r="O403" i="2"/>
  <c r="O413" i="2" s="1"/>
  <c r="P403" i="2"/>
  <c r="P413" i="2" s="1"/>
  <c r="Q403" i="2"/>
  <c r="Q413" i="2" s="1"/>
  <c r="T403" i="2"/>
  <c r="T413" i="2" s="1"/>
  <c r="D403" i="2"/>
  <c r="D413" i="2" s="1"/>
  <c r="E403" i="2"/>
  <c r="E413" i="2" s="1"/>
  <c r="F403" i="2"/>
  <c r="F413" i="2" s="1"/>
  <c r="G403" i="2"/>
  <c r="G413" i="2" s="1"/>
  <c r="K403" i="2"/>
  <c r="K413" i="2" s="1"/>
  <c r="L403" i="2"/>
  <c r="L413" i="2" s="1"/>
  <c r="M403" i="2"/>
  <c r="M413" i="2" s="1"/>
  <c r="N403" i="2"/>
  <c r="N413" i="2" s="1"/>
  <c r="R403" i="2"/>
  <c r="R413" i="2" s="1"/>
  <c r="S403" i="2"/>
  <c r="S413" i="2" s="1"/>
  <c r="U403" i="2"/>
  <c r="U413" i="2" s="1"/>
  <c r="W403" i="2"/>
  <c r="W413" i="2" s="1"/>
  <c r="X403" i="2"/>
  <c r="X413" i="2" s="1"/>
  <c r="Y403" i="2"/>
  <c r="Y413" i="2" s="1"/>
  <c r="Z403" i="2"/>
  <c r="Z413" i="2" s="1"/>
  <c r="AA403" i="2"/>
  <c r="AA413" i="2" s="1"/>
  <c r="AB403" i="2"/>
  <c r="AB413" i="2" s="1"/>
  <c r="AC403" i="2"/>
  <c r="AC413" i="2" s="1"/>
  <c r="AD403" i="2"/>
  <c r="AD413" i="2" s="1"/>
  <c r="AE403" i="2"/>
  <c r="AE413" i="2" s="1"/>
  <c r="AF403" i="2"/>
  <c r="AF413" i="2" s="1"/>
  <c r="AG403" i="2"/>
  <c r="AG413" i="2" s="1"/>
  <c r="AH403" i="2"/>
  <c r="AH413" i="2" s="1"/>
  <c r="AI403" i="2"/>
  <c r="AI413" i="2" s="1"/>
  <c r="AJ403" i="2"/>
  <c r="AJ413" i="2" s="1"/>
  <c r="AK403" i="2"/>
  <c r="AK413" i="2" s="1"/>
  <c r="AL403" i="2"/>
  <c r="AL413" i="2" s="1"/>
  <c r="AM403" i="2"/>
  <c r="AM413" i="2" s="1"/>
  <c r="AN403" i="2"/>
  <c r="AN413" i="2" s="1"/>
  <c r="AO403" i="2"/>
  <c r="AO413" i="2" s="1"/>
  <c r="B407" i="2"/>
  <c r="B409" i="2"/>
  <c r="B406" i="2"/>
  <c r="B378" i="2"/>
  <c r="C377" i="2"/>
  <c r="C387" i="2" s="1"/>
  <c r="D377" i="2"/>
  <c r="D387" i="2" s="1"/>
  <c r="E377" i="2"/>
  <c r="E387" i="2" s="1"/>
  <c r="F377" i="2"/>
  <c r="F387" i="2" s="1"/>
  <c r="G377" i="2"/>
  <c r="G387" i="2" s="1"/>
  <c r="H377" i="2"/>
  <c r="H387" i="2" s="1"/>
  <c r="I377" i="2"/>
  <c r="I387" i="2" s="1"/>
  <c r="J377" i="2"/>
  <c r="J387" i="2" s="1"/>
  <c r="K377" i="2"/>
  <c r="K387" i="2" s="1"/>
  <c r="L377" i="2"/>
  <c r="L387" i="2" s="1"/>
  <c r="M377" i="2"/>
  <c r="M387" i="2" s="1"/>
  <c r="N377" i="2"/>
  <c r="N387" i="2" s="1"/>
  <c r="O377" i="2"/>
  <c r="O387" i="2" s="1"/>
  <c r="P377" i="2"/>
  <c r="P387" i="2" s="1"/>
  <c r="Q377" i="2"/>
  <c r="Q387" i="2" s="1"/>
  <c r="R377" i="2"/>
  <c r="R387" i="2" s="1"/>
  <c r="S377" i="2"/>
  <c r="S387" i="2" s="1"/>
  <c r="T377" i="2"/>
  <c r="T387" i="2" s="1"/>
  <c r="U377" i="2"/>
  <c r="U387" i="2" s="1"/>
  <c r="V377" i="2"/>
  <c r="V387" i="2" s="1"/>
  <c r="W377" i="2"/>
  <c r="W387" i="2" s="1"/>
  <c r="X377" i="2"/>
  <c r="X387" i="2" s="1"/>
  <c r="Y377" i="2"/>
  <c r="Y387" i="2" s="1"/>
  <c r="Z377" i="2"/>
  <c r="Z387" i="2" s="1"/>
  <c r="AA377" i="2"/>
  <c r="AA387" i="2" s="1"/>
  <c r="AB377" i="2"/>
  <c r="AB387" i="2" s="1"/>
  <c r="AC377" i="2"/>
  <c r="AC387" i="2" s="1"/>
  <c r="AD377" i="2"/>
  <c r="AD387" i="2" s="1"/>
  <c r="AE377" i="2"/>
  <c r="AE387" i="2" s="1"/>
  <c r="AF377" i="2"/>
  <c r="AF387" i="2" s="1"/>
  <c r="AG377" i="2"/>
  <c r="AG387" i="2" s="1"/>
  <c r="AH377" i="2"/>
  <c r="AH387" i="2" s="1"/>
  <c r="AI377" i="2"/>
  <c r="AI387" i="2" s="1"/>
  <c r="AJ377" i="2"/>
  <c r="AJ387" i="2" s="1"/>
  <c r="AK377" i="2"/>
  <c r="AK387" i="2" s="1"/>
  <c r="AL377" i="2"/>
  <c r="AL387" i="2" s="1"/>
  <c r="AM377" i="2"/>
  <c r="AM387" i="2" s="1"/>
  <c r="AN377" i="2"/>
  <c r="AN387" i="2" s="1"/>
  <c r="AO377" i="2"/>
  <c r="AO387" i="2" s="1"/>
  <c r="B730" i="2"/>
  <c r="AP71" i="2"/>
  <c r="B731" i="2"/>
  <c r="B381" i="2"/>
  <c r="B732" i="2"/>
  <c r="B385" i="2"/>
  <c r="B382" i="2"/>
  <c r="B380" i="2"/>
  <c r="B386" i="2"/>
  <c r="B383" i="2"/>
  <c r="B384" i="2"/>
  <c r="AP64" i="2"/>
  <c r="E761" i="2"/>
  <c r="E771" i="2" s="1"/>
  <c r="E743" i="2" s="1"/>
  <c r="E65" i="2" s="1"/>
  <c r="C761" i="2"/>
  <c r="D761" i="2"/>
  <c r="D771" i="2" s="1"/>
  <c r="D743" i="2" s="1"/>
  <c r="D65" i="2" s="1"/>
  <c r="F761" i="2"/>
  <c r="F771" i="2" s="1"/>
  <c r="F743" i="2" s="1"/>
  <c r="F65" i="2" s="1"/>
  <c r="G761" i="2"/>
  <c r="G771" i="2" s="1"/>
  <c r="G743" i="2" s="1"/>
  <c r="G65" i="2" s="1"/>
  <c r="H761" i="2"/>
  <c r="H771" i="2" s="1"/>
  <c r="H743" i="2" s="1"/>
  <c r="H65" i="2" s="1"/>
  <c r="I761" i="2"/>
  <c r="I771" i="2" s="1"/>
  <c r="I743" i="2" s="1"/>
  <c r="I65" i="2" s="1"/>
  <c r="J761" i="2"/>
  <c r="J771" i="2" s="1"/>
  <c r="J743" i="2" s="1"/>
  <c r="J65" i="2" s="1"/>
  <c r="K761" i="2"/>
  <c r="K771" i="2" s="1"/>
  <c r="K743" i="2" s="1"/>
  <c r="K65" i="2" s="1"/>
  <c r="L761" i="2"/>
  <c r="L771" i="2" s="1"/>
  <c r="L743" i="2" s="1"/>
  <c r="L65" i="2" s="1"/>
  <c r="M761" i="2"/>
  <c r="M771" i="2" s="1"/>
  <c r="M743" i="2" s="1"/>
  <c r="M65" i="2" s="1"/>
  <c r="N761" i="2"/>
  <c r="N771" i="2" s="1"/>
  <c r="N743" i="2" s="1"/>
  <c r="N65" i="2" s="1"/>
  <c r="O761" i="2"/>
  <c r="O771" i="2" s="1"/>
  <c r="O743" i="2" s="1"/>
  <c r="O65" i="2" s="1"/>
  <c r="P761" i="2"/>
  <c r="P771" i="2" s="1"/>
  <c r="P743" i="2" s="1"/>
  <c r="P65" i="2" s="1"/>
  <c r="Q761" i="2"/>
  <c r="Q771" i="2" s="1"/>
  <c r="Q743" i="2" s="1"/>
  <c r="Q65" i="2" s="1"/>
  <c r="C729" i="2"/>
  <c r="D729" i="2"/>
  <c r="D739" i="2" s="1"/>
  <c r="D711" i="2" s="1"/>
  <c r="D64" i="2" s="1"/>
  <c r="E729" i="2"/>
  <c r="E739" i="2" s="1"/>
  <c r="E711" i="2" s="1"/>
  <c r="E64" i="2" s="1"/>
  <c r="F729" i="2"/>
  <c r="F739" i="2" s="1"/>
  <c r="F711" i="2" s="1"/>
  <c r="F64" i="2" s="1"/>
  <c r="G729" i="2"/>
  <c r="G739" i="2" s="1"/>
  <c r="G711" i="2" s="1"/>
  <c r="G64" i="2" s="1"/>
  <c r="H729" i="2"/>
  <c r="H739" i="2" s="1"/>
  <c r="H711" i="2" s="1"/>
  <c r="H64" i="2" s="1"/>
  <c r="I729" i="2"/>
  <c r="J729" i="2"/>
  <c r="J739" i="2" s="1"/>
  <c r="J711" i="2" s="1"/>
  <c r="J64" i="2" s="1"/>
  <c r="K729" i="2"/>
  <c r="K739" i="2" s="1"/>
  <c r="K711" i="2" s="1"/>
  <c r="K64" i="2" s="1"/>
  <c r="L729" i="2"/>
  <c r="L739" i="2" s="1"/>
  <c r="L711" i="2" s="1"/>
  <c r="L64" i="2" s="1"/>
  <c r="B762" i="2"/>
  <c r="B763" i="2"/>
  <c r="Z707" i="2"/>
  <c r="Z679" i="2" s="1"/>
  <c r="Z63" i="2" s="1"/>
  <c r="X707" i="2"/>
  <c r="X679" i="2" s="1"/>
  <c r="X63" i="2" s="1"/>
  <c r="I739" i="2"/>
  <c r="I711" i="2" s="1"/>
  <c r="I64" i="2" s="1"/>
  <c r="AN235" i="2"/>
  <c r="AN236" i="2" s="1"/>
  <c r="D697" i="2"/>
  <c r="D707" i="2" s="1"/>
  <c r="D679" i="2" s="1"/>
  <c r="E697" i="2"/>
  <c r="E707" i="2" s="1"/>
  <c r="E679" i="2" s="1"/>
  <c r="F697" i="2"/>
  <c r="F707" i="2" s="1"/>
  <c r="F679" i="2" s="1"/>
  <c r="G697" i="2"/>
  <c r="G707" i="2" s="1"/>
  <c r="G679" i="2" s="1"/>
  <c r="H697" i="2"/>
  <c r="H707" i="2" s="1"/>
  <c r="H679" i="2" s="1"/>
  <c r="I697" i="2"/>
  <c r="I707" i="2" s="1"/>
  <c r="I679" i="2" s="1"/>
  <c r="J697" i="2"/>
  <c r="J707" i="2" s="1"/>
  <c r="J679" i="2" s="1"/>
  <c r="K697" i="2"/>
  <c r="K707" i="2" s="1"/>
  <c r="K679" i="2" s="1"/>
  <c r="L697" i="2"/>
  <c r="L707" i="2" s="1"/>
  <c r="L679" i="2" s="1"/>
  <c r="M697" i="2"/>
  <c r="M707" i="2" s="1"/>
  <c r="M679" i="2" s="1"/>
  <c r="N697" i="2"/>
  <c r="N707" i="2" s="1"/>
  <c r="N679" i="2" s="1"/>
  <c r="AP10" i="2"/>
  <c r="AP12" i="2" s="1"/>
  <c r="AM206" i="2"/>
  <c r="AN274" i="2"/>
  <c r="AN275" i="2" s="1"/>
  <c r="AM242" i="2"/>
  <c r="AO120" i="2"/>
  <c r="AN43" i="2"/>
  <c r="AN47" i="2" s="1"/>
  <c r="AG707" i="2"/>
  <c r="AG679" i="2" s="1"/>
  <c r="AG63" i="2" s="1"/>
  <c r="AB630" i="2"/>
  <c r="AB81" i="2"/>
  <c r="AP121" i="2"/>
  <c r="B124" i="2" s="1"/>
  <c r="U707" i="2"/>
  <c r="U679" i="2" s="1"/>
  <c r="U63" i="2" s="1"/>
  <c r="Q707" i="2"/>
  <c r="Q679" i="2" s="1"/>
  <c r="T707" i="2"/>
  <c r="T679" i="2" s="1"/>
  <c r="T63" i="2" s="1"/>
  <c r="AD707" i="2"/>
  <c r="AD679" i="2" s="1"/>
  <c r="AD63" i="2" s="1"/>
  <c r="Y707" i="2"/>
  <c r="Y679" i="2" s="1"/>
  <c r="Y63" i="2" s="1"/>
  <c r="AO707" i="2"/>
  <c r="AO679" i="2" s="1"/>
  <c r="AO63" i="2" s="1"/>
  <c r="AP707" i="2"/>
  <c r="AP679" i="2" s="1"/>
  <c r="AP63" i="2" s="1"/>
  <c r="AC707" i="2"/>
  <c r="AC679" i="2" s="1"/>
  <c r="AC63" i="2" s="1"/>
  <c r="AH707" i="2"/>
  <c r="AH679" i="2" s="1"/>
  <c r="AH63" i="2" s="1"/>
  <c r="AL707" i="2"/>
  <c r="AL679" i="2" s="1"/>
  <c r="AL63" i="2" s="1"/>
  <c r="AN707" i="2"/>
  <c r="AN679" i="2" s="1"/>
  <c r="AN63" i="2" s="1"/>
  <c r="AA707" i="2"/>
  <c r="AA679" i="2" s="1"/>
  <c r="AA63" i="2" s="1"/>
  <c r="AI707" i="2"/>
  <c r="AI679" i="2" s="1"/>
  <c r="AI63" i="2" s="1"/>
  <c r="AE707" i="2"/>
  <c r="AE679" i="2" s="1"/>
  <c r="AE63" i="2" s="1"/>
  <c r="AB707" i="2"/>
  <c r="AB679" i="2" s="1"/>
  <c r="AB63" i="2" s="1"/>
  <c r="AJ707" i="2"/>
  <c r="AJ679" i="2" s="1"/>
  <c r="AJ63" i="2" s="1"/>
  <c r="AF707" i="2"/>
  <c r="AF679" i="2" s="1"/>
  <c r="AF63" i="2" s="1"/>
  <c r="S707" i="2"/>
  <c r="S679" i="2" s="1"/>
  <c r="S63" i="2" s="1"/>
  <c r="R707" i="2"/>
  <c r="R679" i="2" s="1"/>
  <c r="R63" i="2" s="1"/>
  <c r="AM707" i="2"/>
  <c r="AM679" i="2" s="1"/>
  <c r="AM63" i="2" s="1"/>
  <c r="V707" i="2"/>
  <c r="V679" i="2" s="1"/>
  <c r="V63" i="2" s="1"/>
  <c r="W707" i="2"/>
  <c r="W679" i="2" s="1"/>
  <c r="W63" i="2" s="1"/>
  <c r="AP486" i="2"/>
  <c r="AP496" i="2" s="1"/>
  <c r="C697" i="2"/>
  <c r="AO105" i="2"/>
  <c r="B699" i="2"/>
  <c r="B490" i="2"/>
  <c r="B491" i="2"/>
  <c r="B495" i="2"/>
  <c r="B488" i="2"/>
  <c r="B487" i="2"/>
  <c r="B493" i="2"/>
  <c r="C486" i="2"/>
  <c r="D486" i="2"/>
  <c r="D496" i="2" s="1"/>
  <c r="E486" i="2"/>
  <c r="E496" i="2" s="1"/>
  <c r="F486" i="2"/>
  <c r="F496" i="2" s="1"/>
  <c r="J486" i="2"/>
  <c r="J496" i="2" s="1"/>
  <c r="K486" i="2"/>
  <c r="K496" i="2" s="1"/>
  <c r="L486" i="2"/>
  <c r="L496" i="2" s="1"/>
  <c r="M486" i="2"/>
  <c r="M496" i="2" s="1"/>
  <c r="N486" i="2"/>
  <c r="N496" i="2" s="1"/>
  <c r="O486" i="2"/>
  <c r="O496" i="2" s="1"/>
  <c r="P486" i="2"/>
  <c r="P496" i="2" s="1"/>
  <c r="R486" i="2"/>
  <c r="R496" i="2" s="1"/>
  <c r="T486" i="2"/>
  <c r="T496" i="2" s="1"/>
  <c r="U486" i="2"/>
  <c r="U496" i="2" s="1"/>
  <c r="G486" i="2"/>
  <c r="G496" i="2" s="1"/>
  <c r="H486" i="2"/>
  <c r="H496" i="2" s="1"/>
  <c r="I486" i="2"/>
  <c r="I496" i="2" s="1"/>
  <c r="Q486" i="2"/>
  <c r="Q496" i="2" s="1"/>
  <c r="S486" i="2"/>
  <c r="S496" i="2" s="1"/>
  <c r="V486" i="2"/>
  <c r="V496" i="2" s="1"/>
  <c r="W486" i="2"/>
  <c r="W496" i="2" s="1"/>
  <c r="X486" i="2"/>
  <c r="X496" i="2" s="1"/>
  <c r="Y486" i="2"/>
  <c r="Y496" i="2" s="1"/>
  <c r="Z486" i="2"/>
  <c r="Z496" i="2" s="1"/>
  <c r="AA486" i="2"/>
  <c r="AA496" i="2" s="1"/>
  <c r="AB486" i="2"/>
  <c r="AB496" i="2" s="1"/>
  <c r="AE486" i="2"/>
  <c r="AE496" i="2" s="1"/>
  <c r="AC486" i="2"/>
  <c r="AC496" i="2" s="1"/>
  <c r="AD486" i="2"/>
  <c r="AD496" i="2" s="1"/>
  <c r="AF486" i="2"/>
  <c r="AF496" i="2" s="1"/>
  <c r="AG486" i="2"/>
  <c r="AG496" i="2" s="1"/>
  <c r="AH486" i="2"/>
  <c r="AH496" i="2" s="1"/>
  <c r="AI486" i="2"/>
  <c r="AI496" i="2" s="1"/>
  <c r="AJ486" i="2"/>
  <c r="AJ496" i="2" s="1"/>
  <c r="AK486" i="2"/>
  <c r="AK496" i="2" s="1"/>
  <c r="AL486" i="2"/>
  <c r="AL496" i="2" s="1"/>
  <c r="AM486" i="2"/>
  <c r="AM496" i="2" s="1"/>
  <c r="AN486" i="2"/>
  <c r="AN496" i="2" s="1"/>
  <c r="AO486" i="2"/>
  <c r="AO496" i="2" s="1"/>
  <c r="B700" i="2"/>
  <c r="B494" i="2"/>
  <c r="B492" i="2"/>
  <c r="B489" i="2"/>
  <c r="U351" i="2"/>
  <c r="U361" i="2" s="1"/>
  <c r="C351" i="2"/>
  <c r="C361" i="2" s="1"/>
  <c r="E351" i="2"/>
  <c r="E361" i="2" s="1"/>
  <c r="F351" i="2"/>
  <c r="F361" i="2" s="1"/>
  <c r="G351" i="2"/>
  <c r="G361" i="2" s="1"/>
  <c r="I351" i="2"/>
  <c r="I361" i="2" s="1"/>
  <c r="K351" i="2"/>
  <c r="K361" i="2" s="1"/>
  <c r="M351" i="2"/>
  <c r="M361" i="2" s="1"/>
  <c r="O351" i="2"/>
  <c r="O361" i="2" s="1"/>
  <c r="Q351" i="2"/>
  <c r="Q361" i="2" s="1"/>
  <c r="R351" i="2"/>
  <c r="R361" i="2" s="1"/>
  <c r="S351" i="2"/>
  <c r="S361" i="2" s="1"/>
  <c r="V351" i="2"/>
  <c r="V361" i="2" s="1"/>
  <c r="D351" i="2"/>
  <c r="D361" i="2" s="1"/>
  <c r="H351" i="2"/>
  <c r="H361" i="2" s="1"/>
  <c r="J351" i="2"/>
  <c r="J361" i="2" s="1"/>
  <c r="L351" i="2"/>
  <c r="L361" i="2" s="1"/>
  <c r="N351" i="2"/>
  <c r="N361" i="2" s="1"/>
  <c r="P351" i="2"/>
  <c r="P361" i="2" s="1"/>
  <c r="T351" i="2"/>
  <c r="T361" i="2" s="1"/>
  <c r="W351" i="2"/>
  <c r="W361" i="2" s="1"/>
  <c r="X351" i="2"/>
  <c r="X361" i="2" s="1"/>
  <c r="Y351" i="2"/>
  <c r="Y361" i="2" s="1"/>
  <c r="Z351" i="2"/>
  <c r="Z361" i="2" s="1"/>
  <c r="AA351" i="2"/>
  <c r="AA361" i="2" s="1"/>
  <c r="AB351" i="2"/>
  <c r="AB361" i="2" s="1"/>
  <c r="AD351" i="2"/>
  <c r="AD361" i="2" s="1"/>
  <c r="AE351" i="2"/>
  <c r="AE361" i="2" s="1"/>
  <c r="AC351" i="2"/>
  <c r="AC361" i="2" s="1"/>
  <c r="AF351" i="2"/>
  <c r="AF361" i="2" s="1"/>
  <c r="AG351" i="2"/>
  <c r="AG361" i="2" s="1"/>
  <c r="AH351" i="2"/>
  <c r="AH361" i="2" s="1"/>
  <c r="AI351" i="2"/>
  <c r="AI361" i="2" s="1"/>
  <c r="AJ351" i="2"/>
  <c r="AJ361" i="2" s="1"/>
  <c r="AK351" i="2"/>
  <c r="AK361" i="2" s="1"/>
  <c r="AL351" i="2"/>
  <c r="AL361" i="2" s="1"/>
  <c r="AM351" i="2"/>
  <c r="AM361" i="2" s="1"/>
  <c r="AN351" i="2"/>
  <c r="AN361" i="2" s="1"/>
  <c r="AO351" i="2"/>
  <c r="AO361" i="2" s="1"/>
  <c r="B352" i="2"/>
  <c r="B357" i="2"/>
  <c r="B354" i="2"/>
  <c r="B358" i="2"/>
  <c r="B359" i="2"/>
  <c r="B356" i="2"/>
  <c r="AP351" i="2"/>
  <c r="AP361" i="2" s="1"/>
  <c r="B353" i="2"/>
  <c r="B355" i="2"/>
  <c r="B360" i="2"/>
  <c r="B698" i="2"/>
  <c r="B701" i="2"/>
  <c r="B702" i="2"/>
  <c r="AO666" i="2"/>
  <c r="AP554" i="2"/>
  <c r="AP555" i="2" s="1"/>
  <c r="AP103" i="2" s="1"/>
  <c r="AP248" i="2" s="1"/>
  <c r="AP560" i="2"/>
  <c r="AP561" i="2" s="1"/>
  <c r="AP104" i="2" s="1"/>
  <c r="AO272" i="2"/>
  <c r="AO233" i="2"/>
  <c r="AO270" i="2"/>
  <c r="AO231" i="2"/>
  <c r="AO601" i="2"/>
  <c r="AP594" i="2"/>
  <c r="AP595" i="2" s="1"/>
  <c r="AP51" i="2" s="1"/>
  <c r="AP598" i="2"/>
  <c r="AP599" i="2" s="1"/>
  <c r="AP590" i="2"/>
  <c r="AP591" i="2" s="1"/>
  <c r="AP586" i="2"/>
  <c r="AP587" i="2" s="1"/>
  <c r="AP29" i="2"/>
  <c r="AP31" i="2" s="1"/>
  <c r="AP41" i="2" s="1"/>
  <c r="AO675" i="2" s="1"/>
  <c r="AG107" i="8" l="1"/>
  <c r="AL281" i="10"/>
  <c r="AL50" i="10"/>
  <c r="AL74" i="10" s="1"/>
  <c r="AL76" i="10" s="1"/>
  <c r="AK80" i="10"/>
  <c r="AK81" i="10" s="1"/>
  <c r="AK95" i="10" s="1"/>
  <c r="AK284" i="10"/>
  <c r="AK300" i="10" s="1"/>
  <c r="AK142" i="10"/>
  <c r="AK154" i="10" s="1"/>
  <c r="AK220" i="10"/>
  <c r="AJ248" i="10"/>
  <c r="AI79" i="8"/>
  <c r="AI87" i="8"/>
  <c r="AI88" i="8" s="1"/>
  <c r="AI243" i="8"/>
  <c r="AI246" i="8" s="1"/>
  <c r="AI274" i="8" s="1"/>
  <c r="AI275" i="8" s="1"/>
  <c r="AI99" i="8" s="1"/>
  <c r="AI98" i="8"/>
  <c r="AG108" i="8"/>
  <c r="AO673" i="2"/>
  <c r="AP672" i="2"/>
  <c r="AP674" i="2" s="1"/>
  <c r="AJ206" i="8"/>
  <c r="AJ208" i="8" s="1"/>
  <c r="AJ236" i="8" s="1"/>
  <c r="AJ237" i="8" s="1"/>
  <c r="AJ241" i="8"/>
  <c r="AJ48" i="8"/>
  <c r="AJ49" i="8" s="1"/>
  <c r="AJ73" i="8" s="1"/>
  <c r="AJ78" i="8" s="1"/>
  <c r="AK297" i="10"/>
  <c r="AH101" i="8"/>
  <c r="AH108" i="8" s="1"/>
  <c r="AF108" i="8"/>
  <c r="AF107" i="8"/>
  <c r="J133" i="7"/>
  <c r="J136" i="7" s="1"/>
  <c r="J164" i="7" s="1"/>
  <c r="J165" i="7" s="1"/>
  <c r="J169" i="7"/>
  <c r="J54" i="7"/>
  <c r="J56" i="7" s="1"/>
  <c r="I96" i="7"/>
  <c r="I97" i="7" s="1"/>
  <c r="I110" i="7" s="1"/>
  <c r="I88" i="7"/>
  <c r="L638" i="2"/>
  <c r="L658" i="2" s="1"/>
  <c r="L660" i="2" s="1"/>
  <c r="J638" i="2"/>
  <c r="J658" i="2" s="1"/>
  <c r="J660" i="2" s="1"/>
  <c r="H638" i="2"/>
  <c r="H658" i="2" s="1"/>
  <c r="H660" i="2" s="1"/>
  <c r="F638" i="2"/>
  <c r="F658" i="2" s="1"/>
  <c r="F660" i="2" s="1"/>
  <c r="D638" i="2"/>
  <c r="D658" i="2" s="1"/>
  <c r="D660" i="2" s="1"/>
  <c r="P638" i="2"/>
  <c r="P658" i="2" s="1"/>
  <c r="P660" i="2" s="1"/>
  <c r="O638" i="2"/>
  <c r="O658" i="2" s="1"/>
  <c r="O660" i="2" s="1"/>
  <c r="Q63" i="2"/>
  <c r="Q638" i="2"/>
  <c r="Q658" i="2" s="1"/>
  <c r="Q660" i="2" s="1"/>
  <c r="N63" i="2"/>
  <c r="N638" i="2"/>
  <c r="N658" i="2" s="1"/>
  <c r="N660" i="2" s="1"/>
  <c r="M63" i="2"/>
  <c r="M638" i="2"/>
  <c r="M658" i="2" s="1"/>
  <c r="M660" i="2" s="1"/>
  <c r="K638" i="2"/>
  <c r="K658" i="2" s="1"/>
  <c r="K660" i="2" s="1"/>
  <c r="I638" i="2"/>
  <c r="I658" i="2" s="1"/>
  <c r="I660" i="2" s="1"/>
  <c r="G638" i="2"/>
  <c r="G658" i="2" s="1"/>
  <c r="G660" i="2" s="1"/>
  <c r="E638" i="2"/>
  <c r="E658" i="2" s="1"/>
  <c r="E660" i="2" s="1"/>
  <c r="P64" i="2"/>
  <c r="P621" i="2"/>
  <c r="P622" i="2" s="1"/>
  <c r="N64" i="2"/>
  <c r="N621" i="2"/>
  <c r="N622" i="2" s="1"/>
  <c r="Q64" i="2"/>
  <c r="Q621" i="2"/>
  <c r="Q622" i="2" s="1"/>
  <c r="O64" i="2"/>
  <c r="O621" i="2"/>
  <c r="O622" i="2" s="1"/>
  <c r="M64" i="2"/>
  <c r="M621" i="2"/>
  <c r="M622" i="2" s="1"/>
  <c r="D63" i="2"/>
  <c r="D621" i="2"/>
  <c r="D622" i="2" s="1"/>
  <c r="L63" i="2"/>
  <c r="L621" i="2"/>
  <c r="L622" i="2" s="1"/>
  <c r="J63" i="2"/>
  <c r="J621" i="2"/>
  <c r="J622" i="2" s="1"/>
  <c r="H63" i="2"/>
  <c r="H621" i="2"/>
  <c r="H622" i="2" s="1"/>
  <c r="F63" i="2"/>
  <c r="F621" i="2"/>
  <c r="F622" i="2" s="1"/>
  <c r="I63" i="2"/>
  <c r="I621" i="2"/>
  <c r="I622" i="2" s="1"/>
  <c r="K63" i="2"/>
  <c r="K621" i="2"/>
  <c r="K622" i="2" s="1"/>
  <c r="G63" i="2"/>
  <c r="G621" i="2"/>
  <c r="G622" i="2" s="1"/>
  <c r="E63" i="2"/>
  <c r="E621" i="2"/>
  <c r="E622" i="2" s="1"/>
  <c r="AO53" i="2"/>
  <c r="AO18" i="2"/>
  <c r="AO20" i="2" s="1"/>
  <c r="AO43" i="2" s="1"/>
  <c r="AP49" i="2"/>
  <c r="AP14" i="2"/>
  <c r="AM649" i="10"/>
  <c r="AM652" i="10" s="1"/>
  <c r="AL745" i="10"/>
  <c r="AM746" i="10" s="1"/>
  <c r="AM49" i="10" s="1"/>
  <c r="AJ704" i="8"/>
  <c r="AK705" i="8" s="1"/>
  <c r="AK608" i="8"/>
  <c r="AK611" i="8" s="1"/>
  <c r="K208" i="8"/>
  <c r="K236" i="8" s="1"/>
  <c r="K237" i="8" s="1"/>
  <c r="J88" i="8"/>
  <c r="J101" i="8" s="1"/>
  <c r="K559" i="7"/>
  <c r="K537" i="7" s="1"/>
  <c r="K80" i="7" s="1"/>
  <c r="AP17" i="2"/>
  <c r="AP52" i="2"/>
  <c r="AP234" i="2"/>
  <c r="AP273" i="2"/>
  <c r="AP15" i="2"/>
  <c r="AP50" i="2"/>
  <c r="AP232" i="2"/>
  <c r="AP271" i="2"/>
  <c r="C548" i="2"/>
  <c r="B538" i="2"/>
  <c r="C522" i="2"/>
  <c r="B512" i="2"/>
  <c r="C413" i="2"/>
  <c r="B403" i="2"/>
  <c r="B377" i="2"/>
  <c r="B379" i="2"/>
  <c r="B761" i="2"/>
  <c r="C771" i="2"/>
  <c r="C743" i="2" s="1"/>
  <c r="AN206" i="2"/>
  <c r="AP120" i="2"/>
  <c r="AN242" i="2"/>
  <c r="B121" i="2"/>
  <c r="AO235" i="2"/>
  <c r="AO236" i="2" s="1"/>
  <c r="AP105" i="2"/>
  <c r="AO274" i="2"/>
  <c r="AO275" i="2" s="1"/>
  <c r="C496" i="2"/>
  <c r="B486" i="2"/>
  <c r="B351" i="2"/>
  <c r="C707" i="2"/>
  <c r="C679" i="2" s="1"/>
  <c r="B697" i="2"/>
  <c r="AP666" i="2"/>
  <c r="AP270" i="2"/>
  <c r="AP231" i="2"/>
  <c r="AP272" i="2"/>
  <c r="AP233" i="2"/>
  <c r="AP601" i="2"/>
  <c r="AC633" i="2"/>
  <c r="AC611" i="2" s="1"/>
  <c r="AP53" i="2" l="1"/>
  <c r="AI100" i="8"/>
  <c r="AI101" i="8" s="1"/>
  <c r="AK241" i="8"/>
  <c r="AK48" i="8"/>
  <c r="AK49" i="8" s="1"/>
  <c r="AK73" i="8" s="1"/>
  <c r="AK78" i="8" s="1"/>
  <c r="AK206" i="8"/>
  <c r="AK208" i="8" s="1"/>
  <c r="AK236" i="8" s="1"/>
  <c r="AK237" i="8" s="1"/>
  <c r="AJ87" i="8"/>
  <c r="AJ88" i="8" s="1"/>
  <c r="AJ79" i="8"/>
  <c r="AJ243" i="8"/>
  <c r="AJ246" i="8" s="1"/>
  <c r="AJ274" i="8" s="1"/>
  <c r="AJ275" i="8" s="1"/>
  <c r="AJ99" i="8" s="1"/>
  <c r="AJ100" i="8" s="1"/>
  <c r="AJ98" i="8"/>
  <c r="AL297" i="10"/>
  <c r="AM281" i="10"/>
  <c r="AM50" i="10"/>
  <c r="AM74" i="10" s="1"/>
  <c r="AM76" i="10" s="1"/>
  <c r="AH107" i="8"/>
  <c r="AK248" i="10"/>
  <c r="AL80" i="10"/>
  <c r="AL81" i="10" s="1"/>
  <c r="AL95" i="10" s="1"/>
  <c r="AL142" i="10"/>
  <c r="AL154" i="10" s="1"/>
  <c r="AL220" i="10"/>
  <c r="AL284" i="10"/>
  <c r="AL300" i="10" s="1"/>
  <c r="I119" i="7"/>
  <c r="I120" i="7"/>
  <c r="J108" i="8"/>
  <c r="J107" i="8"/>
  <c r="J107" i="7"/>
  <c r="J172" i="7"/>
  <c r="J175" i="7" s="1"/>
  <c r="J203" i="7" s="1"/>
  <c r="J204" i="7" s="1"/>
  <c r="J108" i="7" s="1"/>
  <c r="K534" i="7"/>
  <c r="K535" i="7" s="1"/>
  <c r="L532" i="7" s="1"/>
  <c r="K539" i="7"/>
  <c r="J595" i="7" s="1"/>
  <c r="AC613" i="2"/>
  <c r="AC608" i="2"/>
  <c r="AC80" i="2" s="1"/>
  <c r="M623" i="2"/>
  <c r="M625" i="2" s="1"/>
  <c r="M635" i="2"/>
  <c r="O623" i="2"/>
  <c r="O625" i="2" s="1"/>
  <c r="O635" i="2"/>
  <c r="Q623" i="2"/>
  <c r="Q625" i="2" s="1"/>
  <c r="Q635" i="2"/>
  <c r="N623" i="2"/>
  <c r="N625" i="2" s="1"/>
  <c r="N635" i="2"/>
  <c r="P635" i="2"/>
  <c r="P623" i="2"/>
  <c r="P625" i="2" s="1"/>
  <c r="AP18" i="2"/>
  <c r="AP20" i="2" s="1"/>
  <c r="AP43" i="2" s="1"/>
  <c r="C63" i="2"/>
  <c r="E635" i="2"/>
  <c r="E623" i="2"/>
  <c r="E625" i="2" s="1"/>
  <c r="G635" i="2"/>
  <c r="G623" i="2"/>
  <c r="G625" i="2" s="1"/>
  <c r="K635" i="2"/>
  <c r="K623" i="2"/>
  <c r="K625" i="2" s="1"/>
  <c r="I635" i="2"/>
  <c r="I623" i="2"/>
  <c r="I625" i="2" s="1"/>
  <c r="F635" i="2"/>
  <c r="F623" i="2"/>
  <c r="F625" i="2" s="1"/>
  <c r="H635" i="2"/>
  <c r="H623" i="2"/>
  <c r="H625" i="2" s="1"/>
  <c r="J635" i="2"/>
  <c r="J623" i="2"/>
  <c r="J625" i="2" s="1"/>
  <c r="L635" i="2"/>
  <c r="L623" i="2"/>
  <c r="L625" i="2" s="1"/>
  <c r="D635" i="2"/>
  <c r="D623" i="2"/>
  <c r="D625" i="2" s="1"/>
  <c r="B123" i="2"/>
  <c r="B125" i="2" s="1"/>
  <c r="C88" i="1" s="1"/>
  <c r="AN649" i="10"/>
  <c r="AN652" i="10" s="1"/>
  <c r="AM745" i="10"/>
  <c r="AN746" i="10" s="1"/>
  <c r="AN49" i="10" s="1"/>
  <c r="AK704" i="8"/>
  <c r="AL705" i="8" s="1"/>
  <c r="AL608" i="8"/>
  <c r="AL611" i="8" s="1"/>
  <c r="B77" i="8"/>
  <c r="B72" i="8"/>
  <c r="B73" i="8" s="1"/>
  <c r="B78" i="8" s="1"/>
  <c r="K72" i="8"/>
  <c r="K73" i="8" s="1"/>
  <c r="K78" i="8" s="1"/>
  <c r="K243" i="8"/>
  <c r="K98" i="8"/>
  <c r="B86" i="7"/>
  <c r="B81" i="7"/>
  <c r="B82" i="7" s="1"/>
  <c r="B87" i="7" s="1"/>
  <c r="B96" i="7" s="1"/>
  <c r="K556" i="7"/>
  <c r="K557" i="7" s="1"/>
  <c r="L560" i="7" s="1"/>
  <c r="L538" i="7" s="1"/>
  <c r="K81" i="7"/>
  <c r="C745" i="2"/>
  <c r="D742" i="2" s="1"/>
  <c r="D745" i="2" s="1"/>
  <c r="E742" i="2" s="1"/>
  <c r="E745" i="2" s="1"/>
  <c r="F742" i="2" s="1"/>
  <c r="F745" i="2" s="1"/>
  <c r="G742" i="2" s="1"/>
  <c r="G745" i="2" s="1"/>
  <c r="H742" i="2" s="1"/>
  <c r="H745" i="2" s="1"/>
  <c r="I742" i="2" s="1"/>
  <c r="I745" i="2" s="1"/>
  <c r="J742" i="2" s="1"/>
  <c r="J745" i="2" s="1"/>
  <c r="K742" i="2" s="1"/>
  <c r="K745" i="2" s="1"/>
  <c r="L742" i="2" s="1"/>
  <c r="L745" i="2" s="1"/>
  <c r="M742" i="2" s="1"/>
  <c r="M745" i="2" s="1"/>
  <c r="N742" i="2" s="1"/>
  <c r="N745" i="2" s="1"/>
  <c r="O742" i="2" s="1"/>
  <c r="O745" i="2" s="1"/>
  <c r="P742" i="2" s="1"/>
  <c r="P745" i="2" s="1"/>
  <c r="Q742" i="2" s="1"/>
  <c r="Q745" i="2" s="1"/>
  <c r="R742" i="2" s="1"/>
  <c r="R745" i="2" s="1"/>
  <c r="S742" i="2" s="1"/>
  <c r="S745" i="2" s="1"/>
  <c r="T742" i="2" s="1"/>
  <c r="T745" i="2" s="1"/>
  <c r="U742" i="2" s="1"/>
  <c r="U745" i="2" s="1"/>
  <c r="V742" i="2" s="1"/>
  <c r="V745" i="2" s="1"/>
  <c r="W742" i="2" s="1"/>
  <c r="W745" i="2" s="1"/>
  <c r="X742" i="2" s="1"/>
  <c r="X745" i="2" s="1"/>
  <c r="Y742" i="2" s="1"/>
  <c r="Y745" i="2" s="1"/>
  <c r="Z742" i="2" s="1"/>
  <c r="Z745" i="2" s="1"/>
  <c r="AA742" i="2" s="1"/>
  <c r="AA745" i="2" s="1"/>
  <c r="AB742" i="2" s="1"/>
  <c r="AB745" i="2" s="1"/>
  <c r="AC742" i="2" s="1"/>
  <c r="AC745" i="2" s="1"/>
  <c r="AD742" i="2" s="1"/>
  <c r="AD745" i="2" s="1"/>
  <c r="AE742" i="2" s="1"/>
  <c r="AE745" i="2" s="1"/>
  <c r="AF742" i="2" s="1"/>
  <c r="AF745" i="2" s="1"/>
  <c r="AG742" i="2" s="1"/>
  <c r="AG745" i="2" s="1"/>
  <c r="AH742" i="2" s="1"/>
  <c r="AH745" i="2" s="1"/>
  <c r="AI742" i="2" s="1"/>
  <c r="AI745" i="2" s="1"/>
  <c r="AJ742" i="2" s="1"/>
  <c r="AJ745" i="2" s="1"/>
  <c r="AK742" i="2" s="1"/>
  <c r="AK745" i="2" s="1"/>
  <c r="AL742" i="2" s="1"/>
  <c r="AL745" i="2" s="1"/>
  <c r="AM742" i="2" s="1"/>
  <c r="AM745" i="2" s="1"/>
  <c r="AN742" i="2" s="1"/>
  <c r="AN745" i="2" s="1"/>
  <c r="AO742" i="2" s="1"/>
  <c r="AO745" i="2" s="1"/>
  <c r="AP742" i="2" s="1"/>
  <c r="AP745" i="2" s="1"/>
  <c r="C65" i="2"/>
  <c r="B120" i="2"/>
  <c r="AO47" i="2"/>
  <c r="AO206" i="2"/>
  <c r="AO242" i="2"/>
  <c r="AC630" i="2"/>
  <c r="AC81" i="2"/>
  <c r="C681" i="2"/>
  <c r="AP274" i="2"/>
  <c r="AP275" i="2" s="1"/>
  <c r="AP235" i="2"/>
  <c r="AP236" i="2" s="1"/>
  <c r="AN281" i="10" l="1"/>
  <c r="AN50" i="10"/>
  <c r="AN74" i="10" s="1"/>
  <c r="AN76" i="10" s="1"/>
  <c r="AI107" i="8"/>
  <c r="AM80" i="10"/>
  <c r="AM81" i="10" s="1"/>
  <c r="AM95" i="10" s="1"/>
  <c r="AM284" i="10"/>
  <c r="AM300" i="10" s="1"/>
  <c r="AM142" i="10"/>
  <c r="AM154" i="10" s="1"/>
  <c r="AM220" i="10"/>
  <c r="AK243" i="8"/>
  <c r="AK246" i="8" s="1"/>
  <c r="AK274" i="8" s="1"/>
  <c r="AK275" i="8" s="1"/>
  <c r="AK99" i="8" s="1"/>
  <c r="AK98" i="8"/>
  <c r="AL206" i="8"/>
  <c r="AL208" i="8" s="1"/>
  <c r="AL236" i="8" s="1"/>
  <c r="AL237" i="8" s="1"/>
  <c r="AL241" i="8"/>
  <c r="AL48" i="8"/>
  <c r="AL49" i="8" s="1"/>
  <c r="AL73" i="8" s="1"/>
  <c r="AL78" i="8" s="1"/>
  <c r="AL248" i="10"/>
  <c r="AM297" i="10"/>
  <c r="AK79" i="8"/>
  <c r="AK87" i="8"/>
  <c r="AK88" i="8" s="1"/>
  <c r="AI108" i="8"/>
  <c r="AJ101" i="8"/>
  <c r="J109" i="7"/>
  <c r="L170" i="7"/>
  <c r="L134" i="7"/>
  <c r="L55" i="7"/>
  <c r="J700" i="7"/>
  <c r="K701" i="7" s="1"/>
  <c r="K592" i="7"/>
  <c r="J593" i="7"/>
  <c r="J61" i="7" s="1"/>
  <c r="J66" i="7" s="1"/>
  <c r="J72" i="7" s="1"/>
  <c r="J82" i="7" s="1"/>
  <c r="J87" i="7" s="1"/>
  <c r="K246" i="8"/>
  <c r="K274" i="8" s="1"/>
  <c r="K275" i="8" s="1"/>
  <c r="K99" i="8" s="1"/>
  <c r="K100" i="8" s="1"/>
  <c r="P639" i="2"/>
  <c r="P640" i="2" s="1"/>
  <c r="N639" i="2"/>
  <c r="N640" i="2" s="1"/>
  <c r="Q639" i="2"/>
  <c r="Q640" i="2" s="1"/>
  <c r="O639" i="2"/>
  <c r="O640" i="2" s="1"/>
  <c r="M639" i="2"/>
  <c r="M640" i="2" s="1"/>
  <c r="D639" i="2"/>
  <c r="D640" i="2" s="1"/>
  <c r="L639" i="2"/>
  <c r="L640" i="2" s="1"/>
  <c r="J639" i="2"/>
  <c r="J640" i="2" s="1"/>
  <c r="H639" i="2"/>
  <c r="H640" i="2" s="1"/>
  <c r="F639" i="2"/>
  <c r="F640" i="2" s="1"/>
  <c r="I639" i="2"/>
  <c r="I640" i="2" s="1"/>
  <c r="K639" i="2"/>
  <c r="K640" i="2" s="1"/>
  <c r="G639" i="2"/>
  <c r="G640" i="2" s="1"/>
  <c r="E639" i="2"/>
  <c r="E640" i="2" s="1"/>
  <c r="AO649" i="10"/>
  <c r="AO652" i="10" s="1"/>
  <c r="AN745" i="10"/>
  <c r="AO746" i="10" s="1"/>
  <c r="AO49" i="10" s="1"/>
  <c r="AL704" i="8"/>
  <c r="AM705" i="8" s="1"/>
  <c r="AM608" i="8"/>
  <c r="AM611" i="8" s="1"/>
  <c r="B87" i="8"/>
  <c r="B131" i="8"/>
  <c r="B144" i="8" s="1"/>
  <c r="B120" i="8"/>
  <c r="B122" i="8" s="1"/>
  <c r="K87" i="8"/>
  <c r="K79" i="8"/>
  <c r="B86" i="8"/>
  <c r="B79" i="8"/>
  <c r="B95" i="7"/>
  <c r="B88" i="7"/>
  <c r="L554" i="7"/>
  <c r="D678" i="2"/>
  <c r="D681" i="2" s="1"/>
  <c r="E678" i="2" s="1"/>
  <c r="E681" i="2" s="1"/>
  <c r="AP47" i="2"/>
  <c r="AP206" i="2"/>
  <c r="AP242" i="2"/>
  <c r="AD633" i="2"/>
  <c r="AD611" i="2" s="1"/>
  <c r="AK100" i="8" l="1"/>
  <c r="AK101" i="8" s="1"/>
  <c r="AO281" i="10"/>
  <c r="AO50" i="10"/>
  <c r="AO74" i="10" s="1"/>
  <c r="AO76" i="10" s="1"/>
  <c r="AM206" i="8"/>
  <c r="AM208" i="8" s="1"/>
  <c r="AM236" i="8" s="1"/>
  <c r="AM237" i="8" s="1"/>
  <c r="AM241" i="8"/>
  <c r="AM48" i="8"/>
  <c r="AM49" i="8" s="1"/>
  <c r="AM73" i="8" s="1"/>
  <c r="AM78" i="8" s="1"/>
  <c r="AJ107" i="8"/>
  <c r="AN297" i="10"/>
  <c r="AJ108" i="8"/>
  <c r="AL79" i="8"/>
  <c r="AL87" i="8"/>
  <c r="AL88" i="8" s="1"/>
  <c r="AL243" i="8"/>
  <c r="AL246" i="8" s="1"/>
  <c r="AL274" i="8" s="1"/>
  <c r="AL275" i="8" s="1"/>
  <c r="AL99" i="8" s="1"/>
  <c r="AL98" i="8"/>
  <c r="AM248" i="10"/>
  <c r="AN284" i="10"/>
  <c r="AN300" i="10" s="1"/>
  <c r="AN220" i="10"/>
  <c r="AN80" i="10"/>
  <c r="AN81" i="10" s="1"/>
  <c r="AN95" i="10" s="1"/>
  <c r="AN142" i="10"/>
  <c r="AN154" i="10" s="1"/>
  <c r="J88" i="7"/>
  <c r="J91" i="7" s="1"/>
  <c r="E103" i="1" s="1"/>
  <c r="J96" i="7"/>
  <c r="J97" i="7" s="1"/>
  <c r="J110" i="7" s="1"/>
  <c r="K169" i="7"/>
  <c r="K54" i="7"/>
  <c r="K56" i="7" s="1"/>
  <c r="K133" i="7"/>
  <c r="K136" i="7" s="1"/>
  <c r="K164" i="7" s="1"/>
  <c r="K165" i="7" s="1"/>
  <c r="AD613" i="2"/>
  <c r="AD608" i="2"/>
  <c r="AD80" i="2" s="1"/>
  <c r="AD81" i="2" s="1"/>
  <c r="K82" i="8"/>
  <c r="I82" i="8"/>
  <c r="G82" i="8"/>
  <c r="E82" i="8"/>
  <c r="C82" i="8"/>
  <c r="J82" i="8"/>
  <c r="B103" i="1" s="1"/>
  <c r="H82" i="8"/>
  <c r="F82" i="8"/>
  <c r="D82" i="8"/>
  <c r="H91" i="7"/>
  <c r="F91" i="7"/>
  <c r="D91" i="7"/>
  <c r="I91" i="7"/>
  <c r="G91" i="7"/>
  <c r="E91" i="7"/>
  <c r="C91" i="7"/>
  <c r="AP649" i="10"/>
  <c r="AP652" i="10" s="1"/>
  <c r="AP745" i="10" s="1"/>
  <c r="AO745" i="10"/>
  <c r="AP746" i="10" s="1"/>
  <c r="AP49" i="10" s="1"/>
  <c r="AM704" i="8"/>
  <c r="AN705" i="8" s="1"/>
  <c r="AN608" i="8"/>
  <c r="AN611" i="8" s="1"/>
  <c r="J81" i="8"/>
  <c r="B97" i="1" s="1"/>
  <c r="H81" i="8"/>
  <c r="F81" i="8"/>
  <c r="D81" i="8"/>
  <c r="B81" i="8"/>
  <c r="B82" i="8"/>
  <c r="K81" i="8"/>
  <c r="I81" i="8"/>
  <c r="G81" i="8"/>
  <c r="E81" i="8"/>
  <c r="C81" i="8"/>
  <c r="L208" i="8"/>
  <c r="L236" i="8" s="1"/>
  <c r="L237" i="8" s="1"/>
  <c r="B125" i="8"/>
  <c r="B124" i="8"/>
  <c r="B88" i="8"/>
  <c r="B101" i="8" s="1"/>
  <c r="C108" i="8" s="1"/>
  <c r="B174" i="8"/>
  <c r="B178" i="8" s="1"/>
  <c r="B195" i="8" s="1"/>
  <c r="B159" i="8"/>
  <c r="K88" i="8"/>
  <c r="K101" i="8" s="1"/>
  <c r="B148" i="8"/>
  <c r="B146" i="8"/>
  <c r="L559" i="7"/>
  <c r="L537" i="7" s="1"/>
  <c r="L80" i="7" s="1"/>
  <c r="H90" i="7"/>
  <c r="F90" i="7"/>
  <c r="D90" i="7"/>
  <c r="B90" i="7"/>
  <c r="B91" i="7"/>
  <c r="I90" i="7"/>
  <c r="E97" i="1" s="1"/>
  <c r="G90" i="7"/>
  <c r="E90" i="7"/>
  <c r="C90" i="7"/>
  <c r="B97" i="7"/>
  <c r="B110" i="7" s="1"/>
  <c r="C120" i="7" s="1"/>
  <c r="AD630" i="2"/>
  <c r="F678" i="2"/>
  <c r="F681" i="2" s="1"/>
  <c r="AL100" i="8" l="1"/>
  <c r="AL101" i="8" s="1"/>
  <c r="AK108" i="8"/>
  <c r="AK107" i="8"/>
  <c r="AN241" i="8"/>
  <c r="AN48" i="8"/>
  <c r="AN49" i="8" s="1"/>
  <c r="AN73" i="8" s="1"/>
  <c r="AN78" i="8" s="1"/>
  <c r="AN206" i="8"/>
  <c r="AN208" i="8" s="1"/>
  <c r="AN236" i="8" s="1"/>
  <c r="AN237" i="8" s="1"/>
  <c r="AM79" i="8"/>
  <c r="AM87" i="8"/>
  <c r="AM88" i="8" s="1"/>
  <c r="AM243" i="8"/>
  <c r="AM246" i="8" s="1"/>
  <c r="AM274" i="8" s="1"/>
  <c r="AM275" i="8" s="1"/>
  <c r="AM99" i="8" s="1"/>
  <c r="AM98" i="8"/>
  <c r="AO297" i="10"/>
  <c r="AP281" i="10"/>
  <c r="AP50" i="10"/>
  <c r="AN248" i="10"/>
  <c r="AO80" i="10"/>
  <c r="AO81" i="10" s="1"/>
  <c r="AO95" i="10" s="1"/>
  <c r="AO220" i="10"/>
  <c r="AO142" i="10"/>
  <c r="AO154" i="10" s="1"/>
  <c r="AO284" i="10"/>
  <c r="AO300" i="10" s="1"/>
  <c r="J119" i="7"/>
  <c r="J120" i="7"/>
  <c r="K108" i="8"/>
  <c r="K107" i="8"/>
  <c r="J90" i="7"/>
  <c r="K107" i="7"/>
  <c r="K172" i="7"/>
  <c r="K175" i="7" s="1"/>
  <c r="K203" i="7" s="1"/>
  <c r="K204" i="7" s="1"/>
  <c r="K108" i="7" s="1"/>
  <c r="L539" i="7"/>
  <c r="K595" i="7" s="1"/>
  <c r="L534" i="7"/>
  <c r="L535" i="7" s="1"/>
  <c r="M532" i="7" s="1"/>
  <c r="L668" i="2"/>
  <c r="K104" i="8"/>
  <c r="I104" i="8"/>
  <c r="G104" i="8"/>
  <c r="E104" i="8"/>
  <c r="C104" i="8"/>
  <c r="J104" i="8"/>
  <c r="B104" i="1" s="1"/>
  <c r="H104" i="8"/>
  <c r="F104" i="8"/>
  <c r="D104" i="8"/>
  <c r="J114" i="7"/>
  <c r="E104" i="1" s="1"/>
  <c r="H114" i="7"/>
  <c r="F114" i="7"/>
  <c r="D114" i="7"/>
  <c r="I114" i="7"/>
  <c r="G114" i="7"/>
  <c r="E114" i="7"/>
  <c r="C114" i="7"/>
  <c r="AN704" i="8"/>
  <c r="AO705" i="8" s="1"/>
  <c r="AO608" i="8"/>
  <c r="AO611" i="8" s="1"/>
  <c r="B163" i="8"/>
  <c r="B166" i="8" s="1"/>
  <c r="B154" i="8"/>
  <c r="B155" i="8" s="1"/>
  <c r="B104" i="8"/>
  <c r="K103" i="8"/>
  <c r="I103" i="8"/>
  <c r="G103" i="8"/>
  <c r="E103" i="8"/>
  <c r="C103" i="8"/>
  <c r="J103" i="8"/>
  <c r="B98" i="1" s="1"/>
  <c r="H103" i="8"/>
  <c r="F103" i="8"/>
  <c r="D103" i="8"/>
  <c r="B103" i="8"/>
  <c r="L72" i="8"/>
  <c r="L73" i="8" s="1"/>
  <c r="L78" i="8" s="1"/>
  <c r="L243" i="8"/>
  <c r="L98" i="8"/>
  <c r="B147" i="8"/>
  <c r="B197" i="8"/>
  <c r="B198" i="8"/>
  <c r="B114" i="7"/>
  <c r="I112" i="7"/>
  <c r="G112" i="7"/>
  <c r="E112" i="7"/>
  <c r="C112" i="7"/>
  <c r="J112" i="7"/>
  <c r="E98" i="1" s="1"/>
  <c r="H112" i="7"/>
  <c r="F112" i="7"/>
  <c r="D112" i="7"/>
  <c r="B112" i="7"/>
  <c r="L556" i="7"/>
  <c r="L557" i="7" s="1"/>
  <c r="L81" i="7"/>
  <c r="G678" i="2"/>
  <c r="G681" i="2" s="1"/>
  <c r="AE633" i="2"/>
  <c r="AE611" i="2" s="1"/>
  <c r="AL107" i="8" l="1"/>
  <c r="AL108" i="8"/>
  <c r="AP297" i="10"/>
  <c r="AN98" i="8"/>
  <c r="AN243" i="8"/>
  <c r="AN246" i="8" s="1"/>
  <c r="AN274" i="8" s="1"/>
  <c r="AN275" i="8" s="1"/>
  <c r="AN99" i="8" s="1"/>
  <c r="AM100" i="8"/>
  <c r="AM101" i="8" s="1"/>
  <c r="AO241" i="8"/>
  <c r="AO48" i="8"/>
  <c r="AO49" i="8" s="1"/>
  <c r="AO73" i="8" s="1"/>
  <c r="AO78" i="8" s="1"/>
  <c r="AO206" i="8"/>
  <c r="AO208" i="8" s="1"/>
  <c r="AO236" i="8" s="1"/>
  <c r="AO237" i="8" s="1"/>
  <c r="AO248" i="10"/>
  <c r="AN79" i="8"/>
  <c r="AN87" i="8"/>
  <c r="AN88" i="8" s="1"/>
  <c r="K109" i="7"/>
  <c r="K700" i="7"/>
  <c r="L701" i="7" s="1"/>
  <c r="L592" i="7"/>
  <c r="L594" i="7" s="1"/>
  <c r="K593" i="7"/>
  <c r="K61" i="7" s="1"/>
  <c r="K66" i="7" s="1"/>
  <c r="K72" i="7" s="1"/>
  <c r="K82" i="7" s="1"/>
  <c r="K87" i="7" s="1"/>
  <c r="AE613" i="2"/>
  <c r="AE608" i="2"/>
  <c r="AE80" i="2" s="1"/>
  <c r="AE81" i="2" s="1"/>
  <c r="L246" i="8"/>
  <c r="L274" i="8" s="1"/>
  <c r="L275" i="8" s="1"/>
  <c r="L99" i="8" s="1"/>
  <c r="L100" i="8" s="1"/>
  <c r="B165" i="8"/>
  <c r="AO704" i="8"/>
  <c r="AP705" i="8" s="1"/>
  <c r="AP608" i="8"/>
  <c r="AP611" i="8" s="1"/>
  <c r="AP704" i="8" s="1"/>
  <c r="C142" i="8"/>
  <c r="C193" i="8" s="1"/>
  <c r="C138" i="8"/>
  <c r="C185" i="8" s="1"/>
  <c r="C134" i="8"/>
  <c r="C181" i="8" s="1"/>
  <c r="C141" i="8"/>
  <c r="C137" i="8"/>
  <c r="C133" i="8"/>
  <c r="B156" i="8"/>
  <c r="C153" i="8" s="1"/>
  <c r="C155" i="8" s="1"/>
  <c r="C161" i="8" s="1"/>
  <c r="C176" i="8" s="1"/>
  <c r="L87" i="8"/>
  <c r="L79" i="8"/>
  <c r="J113" i="7"/>
  <c r="H113" i="7"/>
  <c r="F113" i="7"/>
  <c r="D113" i="7"/>
  <c r="B113" i="7"/>
  <c r="I113" i="7"/>
  <c r="G113" i="7"/>
  <c r="E113" i="7"/>
  <c r="C113" i="7"/>
  <c r="M554" i="7"/>
  <c r="M560" i="7"/>
  <c r="M538" i="7" s="1"/>
  <c r="AE630" i="2"/>
  <c r="H678" i="2"/>
  <c r="H681" i="2" s="1"/>
  <c r="AN100" i="8" l="1"/>
  <c r="AN101" i="8" s="1"/>
  <c r="AM107" i="8"/>
  <c r="AM108" i="8"/>
  <c r="AP206" i="8"/>
  <c r="AP208" i="8" s="1"/>
  <c r="AP236" i="8" s="1"/>
  <c r="AP237" i="8" s="1"/>
  <c r="AP241" i="8"/>
  <c r="AP48" i="8"/>
  <c r="AP49" i="8" s="1"/>
  <c r="AP73" i="8" s="1"/>
  <c r="AP78" i="8" s="1"/>
  <c r="AO98" i="8"/>
  <c r="AO243" i="8"/>
  <c r="AO246" i="8" s="1"/>
  <c r="AO274" i="8" s="1"/>
  <c r="AO275" i="8" s="1"/>
  <c r="AO99" i="8" s="1"/>
  <c r="AO87" i="8"/>
  <c r="AO88" i="8" s="1"/>
  <c r="AO79" i="8"/>
  <c r="AO82" i="8" s="1"/>
  <c r="D116" i="7"/>
  <c r="K96" i="7"/>
  <c r="K97" i="7" s="1"/>
  <c r="K110" i="7" s="1"/>
  <c r="K88" i="7"/>
  <c r="L133" i="7"/>
  <c r="L136" i="7" s="1"/>
  <c r="L164" i="7" s="1"/>
  <c r="L165" i="7" s="1"/>
  <c r="L169" i="7"/>
  <c r="L54" i="7"/>
  <c r="L56" i="7" s="1"/>
  <c r="M170" i="7"/>
  <c r="M134" i="7"/>
  <c r="M55" i="7"/>
  <c r="F116" i="7"/>
  <c r="AM82" i="8"/>
  <c r="AI82" i="8"/>
  <c r="AE82" i="8"/>
  <c r="AA82" i="8"/>
  <c r="B106" i="1" s="1"/>
  <c r="W82" i="8"/>
  <c r="S82" i="8"/>
  <c r="O82" i="8"/>
  <c r="AN82" i="8"/>
  <c r="AJ82" i="8"/>
  <c r="AF82" i="8"/>
  <c r="AB82" i="8"/>
  <c r="X82" i="8"/>
  <c r="T82" i="8"/>
  <c r="P82" i="8"/>
  <c r="L82" i="8"/>
  <c r="AK82" i="8"/>
  <c r="AG82" i="8"/>
  <c r="AC82" i="8"/>
  <c r="Y82" i="8"/>
  <c r="U82" i="8"/>
  <c r="Q82" i="8"/>
  <c r="M82" i="8"/>
  <c r="AL82" i="8"/>
  <c r="AH82" i="8"/>
  <c r="AD82" i="8"/>
  <c r="Z82" i="8"/>
  <c r="V82" i="8"/>
  <c r="R82" i="8"/>
  <c r="N82" i="8"/>
  <c r="C130" i="8"/>
  <c r="C131" i="8" s="1"/>
  <c r="C143" i="8"/>
  <c r="C192" i="8"/>
  <c r="C194" i="8" s="1"/>
  <c r="L88" i="8"/>
  <c r="L101" i="8" s="1"/>
  <c r="C135" i="8"/>
  <c r="C180" i="8"/>
  <c r="C182" i="8" s="1"/>
  <c r="C139" i="8"/>
  <c r="C184" i="8"/>
  <c r="C186" i="8" s="1"/>
  <c r="AL81" i="8"/>
  <c r="AH81" i="8"/>
  <c r="AD81" i="8"/>
  <c r="Z81" i="8"/>
  <c r="V81" i="8"/>
  <c r="R81" i="8"/>
  <c r="N81" i="8"/>
  <c r="AO81" i="8"/>
  <c r="AK81" i="8"/>
  <c r="AG81" i="8"/>
  <c r="AC81" i="8"/>
  <c r="Y81" i="8"/>
  <c r="U81" i="8"/>
  <c r="Q81" i="8"/>
  <c r="M81" i="8"/>
  <c r="AN81" i="8"/>
  <c r="AJ81" i="8"/>
  <c r="AF81" i="8"/>
  <c r="AB81" i="8"/>
  <c r="X81" i="8"/>
  <c r="T81" i="8"/>
  <c r="P81" i="8"/>
  <c r="L81" i="8"/>
  <c r="AM81" i="8"/>
  <c r="AI81" i="8"/>
  <c r="AE81" i="8"/>
  <c r="AA81" i="8"/>
  <c r="B100" i="1" s="1"/>
  <c r="W81" i="8"/>
  <c r="S81" i="8"/>
  <c r="O81" i="8"/>
  <c r="H116" i="7"/>
  <c r="J116" i="7"/>
  <c r="C116" i="7"/>
  <c r="G116" i="7"/>
  <c r="E116" i="7"/>
  <c r="I116" i="7"/>
  <c r="M559" i="7"/>
  <c r="M537" i="7" s="1"/>
  <c r="M80" i="7" s="1"/>
  <c r="I678" i="2"/>
  <c r="I681" i="2" s="1"/>
  <c r="AF633" i="2"/>
  <c r="AF611" i="2" s="1"/>
  <c r="AN107" i="8" l="1"/>
  <c r="AN108" i="8"/>
  <c r="AO100" i="8"/>
  <c r="AO101" i="8" s="1"/>
  <c r="AP79" i="8"/>
  <c r="AP87" i="8"/>
  <c r="AP88" i="8" s="1"/>
  <c r="AP243" i="8"/>
  <c r="AP246" i="8" s="1"/>
  <c r="AP274" i="8" s="1"/>
  <c r="AP275" i="8" s="1"/>
  <c r="AP99" i="8" s="1"/>
  <c r="AP98" i="8"/>
  <c r="K119" i="7"/>
  <c r="K120" i="7"/>
  <c r="M108" i="8"/>
  <c r="L108" i="8"/>
  <c r="L107" i="8"/>
  <c r="L172" i="7"/>
  <c r="L175" i="7" s="1"/>
  <c r="L203" i="7" s="1"/>
  <c r="L204" i="7" s="1"/>
  <c r="L108" i="7" s="1"/>
  <c r="L107" i="7"/>
  <c r="K114" i="7"/>
  <c r="K112" i="7"/>
  <c r="K113" i="7" s="1"/>
  <c r="K91" i="7"/>
  <c r="K90" i="7"/>
  <c r="M534" i="7"/>
  <c r="M535" i="7" s="1"/>
  <c r="N532" i="7" s="1"/>
  <c r="M539" i="7"/>
  <c r="L595" i="7" s="1"/>
  <c r="AF613" i="2"/>
  <c r="AF608" i="2"/>
  <c r="AF80" i="2" s="1"/>
  <c r="AF81" i="2" s="1"/>
  <c r="C121" i="8"/>
  <c r="C162" i="8" s="1"/>
  <c r="C177" i="8" s="1"/>
  <c r="C178" i="8" s="1"/>
  <c r="C195" i="8" s="1"/>
  <c r="C197" i="8" s="1"/>
  <c r="AM104" i="8"/>
  <c r="AI104" i="8"/>
  <c r="AE104" i="8"/>
  <c r="AA104" i="8"/>
  <c r="B107" i="1" s="1"/>
  <c r="W104" i="8"/>
  <c r="S104" i="8"/>
  <c r="O104" i="8"/>
  <c r="AN104" i="8"/>
  <c r="AJ104" i="8"/>
  <c r="AF104" i="8"/>
  <c r="AB104" i="8"/>
  <c r="X104" i="8"/>
  <c r="T104" i="8"/>
  <c r="P104" i="8"/>
  <c r="L104" i="8"/>
  <c r="AK104" i="8"/>
  <c r="AG104" i="8"/>
  <c r="AC104" i="8"/>
  <c r="Y104" i="8"/>
  <c r="U104" i="8"/>
  <c r="Q104" i="8"/>
  <c r="M104" i="8"/>
  <c r="AL104" i="8"/>
  <c r="AH104" i="8"/>
  <c r="AD104" i="8"/>
  <c r="Z104" i="8"/>
  <c r="V104" i="8"/>
  <c r="R104" i="8"/>
  <c r="N104" i="8"/>
  <c r="C144" i="8"/>
  <c r="C146" i="8" s="1"/>
  <c r="C156" i="8"/>
  <c r="D153" i="8" s="1"/>
  <c r="D155" i="8" s="1"/>
  <c r="D161" i="8" s="1"/>
  <c r="D176" i="8" s="1"/>
  <c r="AM103" i="8"/>
  <c r="AI103" i="8"/>
  <c r="AE103" i="8"/>
  <c r="AA103" i="8"/>
  <c r="B101" i="1" s="1"/>
  <c r="W103" i="8"/>
  <c r="S103" i="8"/>
  <c r="O103" i="8"/>
  <c r="AN103" i="8"/>
  <c r="AJ103" i="8"/>
  <c r="AF103" i="8"/>
  <c r="AB103" i="8"/>
  <c r="X103" i="8"/>
  <c r="T103" i="8"/>
  <c r="P103" i="8"/>
  <c r="L103" i="8"/>
  <c r="AK103" i="8"/>
  <c r="AG103" i="8"/>
  <c r="AC103" i="8"/>
  <c r="Y103" i="8"/>
  <c r="U103" i="8"/>
  <c r="Q103" i="8"/>
  <c r="M103" i="8"/>
  <c r="AL103" i="8"/>
  <c r="AH103" i="8"/>
  <c r="AD103" i="8"/>
  <c r="Z103" i="8"/>
  <c r="V103" i="8"/>
  <c r="R103" i="8"/>
  <c r="N103" i="8"/>
  <c r="M556" i="7"/>
  <c r="M557" i="7" s="1"/>
  <c r="M81" i="7"/>
  <c r="AF630" i="2"/>
  <c r="J678" i="2"/>
  <c r="J681" i="2" s="1"/>
  <c r="AO107" i="8" l="1"/>
  <c r="AO104" i="8"/>
  <c r="AO103" i="8"/>
  <c r="AO108" i="8"/>
  <c r="AP82" i="8"/>
  <c r="AP81" i="8"/>
  <c r="AP100" i="8"/>
  <c r="AP101" i="8" s="1"/>
  <c r="K116" i="7"/>
  <c r="L109" i="7"/>
  <c r="M592" i="7"/>
  <c r="L700" i="7"/>
  <c r="M701" i="7" s="1"/>
  <c r="L593" i="7"/>
  <c r="L61" i="7" s="1"/>
  <c r="L66" i="7" s="1"/>
  <c r="L72" i="7" s="1"/>
  <c r="L82" i="7" s="1"/>
  <c r="L87" i="7" s="1"/>
  <c r="C163" i="8"/>
  <c r="C166" i="8" s="1"/>
  <c r="C122" i="8"/>
  <c r="C125" i="8" s="1"/>
  <c r="C198" i="8"/>
  <c r="C148" i="8"/>
  <c r="D156" i="8"/>
  <c r="E153" i="8" s="1"/>
  <c r="E155" i="8" s="1"/>
  <c r="E161" i="8" s="1"/>
  <c r="E176" i="8" s="1"/>
  <c r="C147" i="8"/>
  <c r="N554" i="7"/>
  <c r="N560" i="7"/>
  <c r="N538" i="7" s="1"/>
  <c r="K678" i="2"/>
  <c r="K681" i="2" s="1"/>
  <c r="AP107" i="8" l="1"/>
  <c r="B107" i="8" s="1"/>
  <c r="AP108" i="8"/>
  <c r="AP103" i="8"/>
  <c r="AP104" i="8"/>
  <c r="L88" i="7"/>
  <c r="L96" i="7"/>
  <c r="L97" i="7" s="1"/>
  <c r="L110" i="7" s="1"/>
  <c r="N170" i="7"/>
  <c r="N134" i="7"/>
  <c r="N55" i="7"/>
  <c r="M169" i="7"/>
  <c r="M133" i="7"/>
  <c r="M136" i="7" s="1"/>
  <c r="M164" i="7" s="1"/>
  <c r="M165" i="7" s="1"/>
  <c r="M54" i="7"/>
  <c r="M56" i="7" s="1"/>
  <c r="C165" i="8"/>
  <c r="C124" i="8"/>
  <c r="C150" i="8"/>
  <c r="D142" i="8"/>
  <c r="D141" i="8"/>
  <c r="D138" i="8"/>
  <c r="D185" i="8" s="1"/>
  <c r="D137" i="8"/>
  <c r="D134" i="8"/>
  <c r="D181" i="8" s="1"/>
  <c r="D133" i="8"/>
  <c r="D130" i="8"/>
  <c r="E156" i="8"/>
  <c r="F153" i="8" s="1"/>
  <c r="F155" i="8" s="1"/>
  <c r="F161" i="8" s="1"/>
  <c r="F176" i="8" s="1"/>
  <c r="D193" i="8"/>
  <c r="N559" i="7"/>
  <c r="N537" i="7" s="1"/>
  <c r="N80" i="7" s="1"/>
  <c r="L678" i="2"/>
  <c r="L681" i="2" s="1"/>
  <c r="AH633" i="2"/>
  <c r="AH611" i="2" s="1"/>
  <c r="B90" i="1" l="1"/>
  <c r="B108" i="8"/>
  <c r="B91" i="1" s="1"/>
  <c r="L119" i="7"/>
  <c r="L120" i="7"/>
  <c r="L90" i="7"/>
  <c r="L91" i="7"/>
  <c r="M172" i="7"/>
  <c r="M175" i="7" s="1"/>
  <c r="M203" i="7" s="1"/>
  <c r="M204" i="7" s="1"/>
  <c r="M108" i="7" s="1"/>
  <c r="M107" i="7"/>
  <c r="L114" i="7"/>
  <c r="L112" i="7"/>
  <c r="L113" i="7" s="1"/>
  <c r="N539" i="7"/>
  <c r="M595" i="7" s="1"/>
  <c r="N534" i="7"/>
  <c r="N535" i="7" s="1"/>
  <c r="O532" i="7" s="1"/>
  <c r="AH613" i="2"/>
  <c r="AH608" i="2"/>
  <c r="AH80" i="2" s="1"/>
  <c r="AH81" i="2" s="1"/>
  <c r="F156" i="8"/>
  <c r="G153" i="8" s="1"/>
  <c r="G155" i="8" s="1"/>
  <c r="G161" i="8" s="1"/>
  <c r="G176" i="8" s="1"/>
  <c r="D143" i="8"/>
  <c r="D192" i="8"/>
  <c r="D194" i="8" s="1"/>
  <c r="D131" i="8"/>
  <c r="D121" i="8"/>
  <c r="D162" i="8" s="1"/>
  <c r="D177" i="8" s="1"/>
  <c r="D178" i="8" s="1"/>
  <c r="D180" i="8"/>
  <c r="D182" i="8" s="1"/>
  <c r="D135" i="8"/>
  <c r="D139" i="8"/>
  <c r="D184" i="8"/>
  <c r="D186" i="8" s="1"/>
  <c r="N81" i="7"/>
  <c r="N556" i="7"/>
  <c r="N557" i="7" s="1"/>
  <c r="AH630" i="2"/>
  <c r="M678" i="2"/>
  <c r="M681" i="2" s="1"/>
  <c r="L116" i="7" l="1"/>
  <c r="N592" i="7"/>
  <c r="M700" i="7"/>
  <c r="N701" i="7" s="1"/>
  <c r="M593" i="7"/>
  <c r="M61" i="7" s="1"/>
  <c r="M66" i="7" s="1"/>
  <c r="M72" i="7" s="1"/>
  <c r="M82" i="7" s="1"/>
  <c r="M87" i="7" s="1"/>
  <c r="M109" i="7"/>
  <c r="G156" i="8"/>
  <c r="H153" i="8" s="1"/>
  <c r="H155" i="8" s="1"/>
  <c r="H161" i="8" s="1"/>
  <c r="H176" i="8" s="1"/>
  <c r="D122" i="8"/>
  <c r="D163" i="8"/>
  <c r="D195" i="8"/>
  <c r="D144" i="8"/>
  <c r="O554" i="7"/>
  <c r="O560" i="7"/>
  <c r="O538" i="7" s="1"/>
  <c r="N678" i="2"/>
  <c r="N681" i="2" s="1"/>
  <c r="AI633" i="2"/>
  <c r="AI611" i="2" s="1"/>
  <c r="M88" i="7" l="1"/>
  <c r="M96" i="7"/>
  <c r="M97" i="7" s="1"/>
  <c r="M110" i="7" s="1"/>
  <c r="O170" i="7"/>
  <c r="O134" i="7"/>
  <c r="O55" i="7"/>
  <c r="N133" i="7"/>
  <c r="N136" i="7" s="1"/>
  <c r="N164" i="7" s="1"/>
  <c r="N165" i="7" s="1"/>
  <c r="N54" i="7"/>
  <c r="N56" i="7" s="1"/>
  <c r="N169" i="7"/>
  <c r="AI613" i="2"/>
  <c r="AI608" i="2"/>
  <c r="AI80" i="2" s="1"/>
  <c r="AI81" i="2" s="1"/>
  <c r="D148" i="8"/>
  <c r="D166" i="8"/>
  <c r="D198" i="8"/>
  <c r="D125" i="8"/>
  <c r="H156" i="8"/>
  <c r="I153" i="8" s="1"/>
  <c r="I155" i="8" s="1"/>
  <c r="I161" i="8" s="1"/>
  <c r="I176" i="8" s="1"/>
  <c r="D197" i="8"/>
  <c r="D124" i="8"/>
  <c r="D146" i="8"/>
  <c r="D165" i="8"/>
  <c r="O559" i="7"/>
  <c r="O537" i="7" s="1"/>
  <c r="O80" i="7" s="1"/>
  <c r="AI630" i="2"/>
  <c r="O678" i="2"/>
  <c r="O681" i="2" s="1"/>
  <c r="M119" i="7" l="1"/>
  <c r="M120" i="7"/>
  <c r="M90" i="7"/>
  <c r="M91" i="7"/>
  <c r="N172" i="7"/>
  <c r="N107" i="7"/>
  <c r="M112" i="7"/>
  <c r="M113" i="7" s="1"/>
  <c r="M114" i="7"/>
  <c r="N175" i="7"/>
  <c r="N203" i="7" s="1"/>
  <c r="N204" i="7" s="1"/>
  <c r="N108" i="7" s="1"/>
  <c r="O534" i="7"/>
  <c r="O535" i="7" s="1"/>
  <c r="P532" i="7" s="1"/>
  <c r="O539" i="7"/>
  <c r="N595" i="7" s="1"/>
  <c r="I156" i="8"/>
  <c r="J153" i="8" s="1"/>
  <c r="J155" i="8" s="1"/>
  <c r="J161" i="8" s="1"/>
  <c r="J176" i="8" s="1"/>
  <c r="D147" i="8"/>
  <c r="O81" i="7"/>
  <c r="O556" i="7"/>
  <c r="O557" i="7" s="1"/>
  <c r="P678" i="2"/>
  <c r="P681" i="2" s="1"/>
  <c r="AJ633" i="2"/>
  <c r="AJ611" i="2" s="1"/>
  <c r="M116" i="7" l="1"/>
  <c r="N700" i="7"/>
  <c r="O701" i="7" s="1"/>
  <c r="O592" i="7"/>
  <c r="O594" i="7" s="1"/>
  <c r="O61" i="7" s="1"/>
  <c r="O66" i="7" s="1"/>
  <c r="O72" i="7" s="1"/>
  <c r="N593" i="7"/>
  <c r="N61" i="7" s="1"/>
  <c r="N66" i="7" s="1"/>
  <c r="N72" i="7" s="1"/>
  <c r="N82" i="7" s="1"/>
  <c r="N87" i="7" s="1"/>
  <c r="N109" i="7"/>
  <c r="AJ613" i="2"/>
  <c r="AJ608" i="2"/>
  <c r="AJ80" i="2" s="1"/>
  <c r="AJ81" i="2" s="1"/>
  <c r="D150" i="8"/>
  <c r="E142" i="8"/>
  <c r="E193" i="8" s="1"/>
  <c r="E141" i="8"/>
  <c r="E138" i="8"/>
  <c r="E185" i="8" s="1"/>
  <c r="E137" i="8"/>
  <c r="E130" i="8"/>
  <c r="E134" i="8"/>
  <c r="E181" i="8" s="1"/>
  <c r="E133" i="8"/>
  <c r="J156" i="8"/>
  <c r="K153" i="8" s="1"/>
  <c r="K155" i="8" s="1"/>
  <c r="K161" i="8" s="1"/>
  <c r="K176" i="8" s="1"/>
  <c r="P554" i="7"/>
  <c r="P560" i="7"/>
  <c r="P538" i="7" s="1"/>
  <c r="AJ630" i="2"/>
  <c r="Q678" i="2"/>
  <c r="Q681" i="2" s="1"/>
  <c r="P170" i="7" l="1"/>
  <c r="P134" i="7"/>
  <c r="P55" i="7"/>
  <c r="N96" i="7"/>
  <c r="N97" i="7" s="1"/>
  <c r="N110" i="7" s="1"/>
  <c r="N88" i="7"/>
  <c r="O133" i="7"/>
  <c r="O136" i="7" s="1"/>
  <c r="O164" i="7" s="1"/>
  <c r="O165" i="7" s="1"/>
  <c r="O54" i="7"/>
  <c r="O56" i="7" s="1"/>
  <c r="O82" i="7" s="1"/>
  <c r="O87" i="7" s="1"/>
  <c r="O169" i="7"/>
  <c r="K156" i="8"/>
  <c r="L153" i="8" s="1"/>
  <c r="L155" i="8" s="1"/>
  <c r="L161" i="8" s="1"/>
  <c r="L176" i="8" s="1"/>
  <c r="E143" i="8"/>
  <c r="E192" i="8"/>
  <c r="E194" i="8" s="1"/>
  <c r="E180" i="8"/>
  <c r="E182" i="8" s="1"/>
  <c r="E135" i="8"/>
  <c r="E139" i="8"/>
  <c r="E184" i="8"/>
  <c r="E186" i="8" s="1"/>
  <c r="E121" i="8"/>
  <c r="E162" i="8" s="1"/>
  <c r="E177" i="8" s="1"/>
  <c r="E178" i="8" s="1"/>
  <c r="E131" i="8"/>
  <c r="P559" i="7"/>
  <c r="P537" i="7" s="1"/>
  <c r="P80" i="7" s="1"/>
  <c r="R678" i="2"/>
  <c r="R681" i="2" s="1"/>
  <c r="AK633" i="2"/>
  <c r="AK611" i="2" s="1"/>
  <c r="N119" i="7" l="1"/>
  <c r="N120" i="7"/>
  <c r="O96" i="7"/>
  <c r="O97" i="7" s="1"/>
  <c r="O88" i="7"/>
  <c r="N90" i="7"/>
  <c r="N91" i="7"/>
  <c r="O172" i="7"/>
  <c r="O107" i="7"/>
  <c r="N112" i="7"/>
  <c r="N113" i="7" s="1"/>
  <c r="N114" i="7"/>
  <c r="O175" i="7"/>
  <c r="O203" i="7" s="1"/>
  <c r="O204" i="7" s="1"/>
  <c r="O108" i="7" s="1"/>
  <c r="P539" i="7"/>
  <c r="O595" i="7" s="1"/>
  <c r="P534" i="7"/>
  <c r="P535" i="7" s="1"/>
  <c r="Q532" i="7" s="1"/>
  <c r="AK613" i="2"/>
  <c r="AK608" i="2"/>
  <c r="AK80" i="2" s="1"/>
  <c r="AK81" i="2" s="1"/>
  <c r="L156" i="8"/>
  <c r="M153" i="8" s="1"/>
  <c r="M155" i="8" s="1"/>
  <c r="M161" i="8" s="1"/>
  <c r="M176" i="8" s="1"/>
  <c r="E195" i="8"/>
  <c r="E122" i="8"/>
  <c r="E163" i="8"/>
  <c r="E144" i="8"/>
  <c r="P556" i="7"/>
  <c r="P557" i="7" s="1"/>
  <c r="P81" i="7"/>
  <c r="AK630" i="2"/>
  <c r="S678" i="2"/>
  <c r="S681" i="2" s="1"/>
  <c r="N116" i="7" l="1"/>
  <c r="O109" i="7"/>
  <c r="O110" i="7" s="1"/>
  <c r="O700" i="7"/>
  <c r="P701" i="7" s="1"/>
  <c r="P592" i="7"/>
  <c r="O91" i="7"/>
  <c r="O90" i="7"/>
  <c r="E148" i="8"/>
  <c r="E125" i="8"/>
  <c r="E166" i="8"/>
  <c r="E197" i="8"/>
  <c r="E198" i="8"/>
  <c r="M156" i="8"/>
  <c r="N153" i="8" s="1"/>
  <c r="N155" i="8" s="1"/>
  <c r="N161" i="8" s="1"/>
  <c r="N176" i="8" s="1"/>
  <c r="E146" i="8"/>
  <c r="E124" i="8"/>
  <c r="E165" i="8"/>
  <c r="Q554" i="7"/>
  <c r="Q560" i="7"/>
  <c r="Q538" i="7" s="1"/>
  <c r="T678" i="2"/>
  <c r="T681" i="2" s="1"/>
  <c r="AL633" i="2"/>
  <c r="AL611" i="2" s="1"/>
  <c r="O119" i="7" l="1"/>
  <c r="O120" i="7"/>
  <c r="O114" i="7"/>
  <c r="O112" i="7"/>
  <c r="O113" i="7" s="1"/>
  <c r="Q170" i="7"/>
  <c r="Q134" i="7"/>
  <c r="Q136" i="7" s="1"/>
  <c r="Q164" i="7" s="1"/>
  <c r="Q165" i="7" s="1"/>
  <c r="Q55" i="7"/>
  <c r="Q56" i="7" s="1"/>
  <c r="P133" i="7"/>
  <c r="P136" i="7" s="1"/>
  <c r="P164" i="7" s="1"/>
  <c r="P165" i="7" s="1"/>
  <c r="P54" i="7"/>
  <c r="P56" i="7" s="1"/>
  <c r="P82" i="7" s="1"/>
  <c r="P87" i="7" s="1"/>
  <c r="P169" i="7"/>
  <c r="AL613" i="2"/>
  <c r="AL608" i="2"/>
  <c r="AL80" i="2" s="1"/>
  <c r="AL81" i="2" s="1"/>
  <c r="N156" i="8"/>
  <c r="O153" i="8" s="1"/>
  <c r="O155" i="8" s="1"/>
  <c r="O161" i="8" s="1"/>
  <c r="O176" i="8" s="1"/>
  <c r="E147" i="8"/>
  <c r="Q559" i="7"/>
  <c r="Q537" i="7" s="1"/>
  <c r="Q80" i="7" s="1"/>
  <c r="AL630" i="2"/>
  <c r="U678" i="2"/>
  <c r="U681" i="2" s="1"/>
  <c r="AM633" i="2"/>
  <c r="AM611" i="2" s="1"/>
  <c r="O116" i="7" l="1"/>
  <c r="P107" i="7"/>
  <c r="P172" i="7"/>
  <c r="P175" i="7" s="1"/>
  <c r="P203" i="7" s="1"/>
  <c r="P204" i="7" s="1"/>
  <c r="P108" i="7" s="1"/>
  <c r="P88" i="7"/>
  <c r="P96" i="7"/>
  <c r="P97" i="7" s="1"/>
  <c r="Q534" i="7"/>
  <c r="Q535" i="7" s="1"/>
  <c r="R532" i="7" s="1"/>
  <c r="Q539" i="7"/>
  <c r="AM613" i="2"/>
  <c r="AM608" i="2"/>
  <c r="AM80" i="2" s="1"/>
  <c r="AM81" i="2" s="1"/>
  <c r="E150" i="8"/>
  <c r="F142" i="8"/>
  <c r="F193" i="8" s="1"/>
  <c r="F141" i="8"/>
  <c r="F138" i="8"/>
  <c r="F185" i="8" s="1"/>
  <c r="F137" i="8"/>
  <c r="F130" i="8"/>
  <c r="F134" i="8"/>
  <c r="F181" i="8" s="1"/>
  <c r="F133" i="8"/>
  <c r="O156" i="8"/>
  <c r="P153" i="8" s="1"/>
  <c r="P155" i="8" s="1"/>
  <c r="P161" i="8" s="1"/>
  <c r="P176" i="8" s="1"/>
  <c r="Q556" i="7"/>
  <c r="Q557" i="7" s="1"/>
  <c r="Q81" i="7"/>
  <c r="Q82" i="7" s="1"/>
  <c r="Q87" i="7" s="1"/>
  <c r="Q172" i="7"/>
  <c r="Q107" i="7"/>
  <c r="AM630" i="2"/>
  <c r="V678" i="2"/>
  <c r="V681" i="2" s="1"/>
  <c r="P109" i="7" l="1"/>
  <c r="P110" i="7" s="1"/>
  <c r="P91" i="7"/>
  <c r="P90" i="7"/>
  <c r="Q175" i="7"/>
  <c r="Q203" i="7" s="1"/>
  <c r="Q204" i="7" s="1"/>
  <c r="Q108" i="7" s="1"/>
  <c r="Q109" i="7" s="1"/>
  <c r="P156" i="8"/>
  <c r="Q153" i="8" s="1"/>
  <c r="Q155" i="8" s="1"/>
  <c r="Q161" i="8" s="1"/>
  <c r="Q176" i="8" s="1"/>
  <c r="F143" i="8"/>
  <c r="F192" i="8"/>
  <c r="F194" i="8" s="1"/>
  <c r="F131" i="8"/>
  <c r="F121" i="8"/>
  <c r="F162" i="8" s="1"/>
  <c r="F177" i="8" s="1"/>
  <c r="F178" i="8" s="1"/>
  <c r="F180" i="8"/>
  <c r="F182" i="8" s="1"/>
  <c r="F135" i="8"/>
  <c r="F139" i="8"/>
  <c r="F184" i="8"/>
  <c r="F186" i="8" s="1"/>
  <c r="R554" i="7"/>
  <c r="R560" i="7"/>
  <c r="R538" i="7" s="1"/>
  <c r="Q96" i="7"/>
  <c r="Q97" i="7" s="1"/>
  <c r="Q88" i="7"/>
  <c r="Q91" i="7" s="1"/>
  <c r="W678" i="2"/>
  <c r="W681" i="2" s="1"/>
  <c r="AN633" i="2"/>
  <c r="AN611" i="2" s="1"/>
  <c r="P119" i="7" l="1"/>
  <c r="P120" i="7"/>
  <c r="R170" i="7"/>
  <c r="R134" i="7"/>
  <c r="R136" i="7" s="1"/>
  <c r="R164" i="7" s="1"/>
  <c r="R165" i="7" s="1"/>
  <c r="R55" i="7"/>
  <c r="R56" i="7" s="1"/>
  <c r="P114" i="7"/>
  <c r="P112" i="7"/>
  <c r="P113" i="7" s="1"/>
  <c r="AN613" i="2"/>
  <c r="AN608" i="2"/>
  <c r="AN80" i="2" s="1"/>
  <c r="AN81" i="2" s="1"/>
  <c r="Q110" i="7"/>
  <c r="Q112" i="7" s="1"/>
  <c r="Q156" i="8"/>
  <c r="R153" i="8" s="1"/>
  <c r="R155" i="8" s="1"/>
  <c r="R161" i="8" s="1"/>
  <c r="R176" i="8" s="1"/>
  <c r="F122" i="8"/>
  <c r="F163" i="8"/>
  <c r="F195" i="8"/>
  <c r="F144" i="8"/>
  <c r="Q90" i="7"/>
  <c r="R559" i="7"/>
  <c r="R537" i="7" s="1"/>
  <c r="R80" i="7" s="1"/>
  <c r="AN630" i="2"/>
  <c r="X678" i="2"/>
  <c r="X681" i="2" s="1"/>
  <c r="Q114" i="7" l="1"/>
  <c r="Q119" i="7"/>
  <c r="Q120" i="7"/>
  <c r="P116" i="7"/>
  <c r="R539" i="7"/>
  <c r="R534" i="7"/>
  <c r="R535" i="7" s="1"/>
  <c r="S532" i="7" s="1"/>
  <c r="F148" i="8"/>
  <c r="F166" i="8"/>
  <c r="F198" i="8"/>
  <c r="F125" i="8"/>
  <c r="R156" i="8"/>
  <c r="S153" i="8" s="1"/>
  <c r="S155" i="8" s="1"/>
  <c r="S161" i="8" s="1"/>
  <c r="S176" i="8" s="1"/>
  <c r="F197" i="8"/>
  <c r="F124" i="8"/>
  <c r="F146" i="8"/>
  <c r="F165" i="8"/>
  <c r="Q113" i="7"/>
  <c r="R172" i="7"/>
  <c r="R107" i="7"/>
  <c r="R81" i="7"/>
  <c r="R82" i="7" s="1"/>
  <c r="R87" i="7" s="1"/>
  <c r="R556" i="7"/>
  <c r="R557" i="7" s="1"/>
  <c r="AG633" i="2"/>
  <c r="AG611" i="2" s="1"/>
  <c r="Y678" i="2"/>
  <c r="Y681" i="2" s="1"/>
  <c r="AO633" i="2"/>
  <c r="AO611" i="2" s="1"/>
  <c r="AO613" i="2" l="1"/>
  <c r="AO608" i="2"/>
  <c r="AO80" i="2" s="1"/>
  <c r="AO81" i="2" s="1"/>
  <c r="AG613" i="2"/>
  <c r="AG608" i="2"/>
  <c r="AG80" i="2" s="1"/>
  <c r="AG81" i="2" s="1"/>
  <c r="R175" i="7"/>
  <c r="R203" i="7" s="1"/>
  <c r="R204" i="7" s="1"/>
  <c r="R108" i="7" s="1"/>
  <c r="R109" i="7" s="1"/>
  <c r="S156" i="8"/>
  <c r="T153" i="8" s="1"/>
  <c r="T155" i="8" s="1"/>
  <c r="T161" i="8" s="1"/>
  <c r="T176" i="8" s="1"/>
  <c r="F147" i="8"/>
  <c r="R88" i="7"/>
  <c r="R91" i="7" s="1"/>
  <c r="R96" i="7"/>
  <c r="R97" i="7" s="1"/>
  <c r="S554" i="7"/>
  <c r="S560" i="7"/>
  <c r="S538" i="7" s="1"/>
  <c r="Q116" i="7"/>
  <c r="AG630" i="2"/>
  <c r="AO630" i="2"/>
  <c r="Z678" i="2"/>
  <c r="Z681" i="2" s="1"/>
  <c r="AP633" i="2"/>
  <c r="S170" i="7" l="1"/>
  <c r="S134" i="7"/>
  <c r="S136" i="7" s="1"/>
  <c r="S164" i="7" s="1"/>
  <c r="S165" i="7" s="1"/>
  <c r="S55" i="7"/>
  <c r="S56" i="7" s="1"/>
  <c r="AP611" i="2"/>
  <c r="R110" i="7"/>
  <c r="F150" i="8"/>
  <c r="G142" i="8"/>
  <c r="G193" i="8" s="1"/>
  <c r="G141" i="8"/>
  <c r="G138" i="8"/>
  <c r="G185" i="8" s="1"/>
  <c r="G137" i="8"/>
  <c r="G130" i="8"/>
  <c r="G134" i="8"/>
  <c r="G181" i="8" s="1"/>
  <c r="G133" i="8"/>
  <c r="T156" i="8"/>
  <c r="U153" i="8" s="1"/>
  <c r="U155" i="8" s="1"/>
  <c r="U161" i="8" s="1"/>
  <c r="U176" i="8" s="1"/>
  <c r="R112" i="7"/>
  <c r="R90" i="7"/>
  <c r="S559" i="7"/>
  <c r="S537" i="7" s="1"/>
  <c r="S80" i="7" s="1"/>
  <c r="AA678" i="2"/>
  <c r="AA681" i="2" s="1"/>
  <c r="AP630" i="2"/>
  <c r="R114" i="7" l="1"/>
  <c r="R119" i="7"/>
  <c r="R120" i="7"/>
  <c r="S534" i="7"/>
  <c r="S535" i="7" s="1"/>
  <c r="T532" i="7" s="1"/>
  <c r="S539" i="7"/>
  <c r="AP613" i="2"/>
  <c r="AP608" i="2"/>
  <c r="AP80" i="2" s="1"/>
  <c r="AP81" i="2" s="1"/>
  <c r="U156" i="8"/>
  <c r="V153" i="8" s="1"/>
  <c r="V155" i="8" s="1"/>
  <c r="V161" i="8" s="1"/>
  <c r="V176" i="8" s="1"/>
  <c r="G143" i="8"/>
  <c r="G192" i="8"/>
  <c r="G194" i="8" s="1"/>
  <c r="G180" i="8"/>
  <c r="G182" i="8" s="1"/>
  <c r="G135" i="8"/>
  <c r="G139" i="8"/>
  <c r="G184" i="8"/>
  <c r="G186" i="8" s="1"/>
  <c r="G121" i="8"/>
  <c r="G162" i="8" s="1"/>
  <c r="G177" i="8" s="1"/>
  <c r="G178" i="8" s="1"/>
  <c r="G131" i="8"/>
  <c r="S81" i="7"/>
  <c r="S82" i="7" s="1"/>
  <c r="S87" i="7" s="1"/>
  <c r="S556" i="7"/>
  <c r="S557" i="7" s="1"/>
  <c r="S172" i="7"/>
  <c r="S107" i="7"/>
  <c r="R113" i="7"/>
  <c r="AB678" i="2"/>
  <c r="AB681" i="2" s="1"/>
  <c r="S175" i="7" l="1"/>
  <c r="S203" i="7" s="1"/>
  <c r="S204" i="7" s="1"/>
  <c r="S108" i="7" s="1"/>
  <c r="S109" i="7" s="1"/>
  <c r="V156" i="8"/>
  <c r="W153" i="8" s="1"/>
  <c r="W155" i="8" s="1"/>
  <c r="W161" i="8" s="1"/>
  <c r="W176" i="8" s="1"/>
  <c r="G195" i="8"/>
  <c r="G198" i="8" s="1"/>
  <c r="G122" i="8"/>
  <c r="G125" i="8" s="1"/>
  <c r="G163" i="8"/>
  <c r="G166" i="8" s="1"/>
  <c r="G144" i="8"/>
  <c r="G148" i="8" s="1"/>
  <c r="S88" i="7"/>
  <c r="S91" i="7" s="1"/>
  <c r="S96" i="7"/>
  <c r="S97" i="7" s="1"/>
  <c r="R116" i="7"/>
  <c r="T554" i="7"/>
  <c r="T560" i="7"/>
  <c r="T538" i="7" s="1"/>
  <c r="AC678" i="2"/>
  <c r="AC681" i="2" s="1"/>
  <c r="T170" i="7" l="1"/>
  <c r="T134" i="7"/>
  <c r="T136" i="7" s="1"/>
  <c r="T164" i="7" s="1"/>
  <c r="T165" i="7" s="1"/>
  <c r="T55" i="7"/>
  <c r="S110" i="7"/>
  <c r="S112" i="7" s="1"/>
  <c r="G197" i="8"/>
  <c r="W156" i="8"/>
  <c r="X153" i="8" s="1"/>
  <c r="X155" i="8" s="1"/>
  <c r="X161" i="8" s="1"/>
  <c r="X176" i="8" s="1"/>
  <c r="G146" i="8"/>
  <c r="G147" i="8" s="1"/>
  <c r="G124" i="8"/>
  <c r="G165" i="8"/>
  <c r="T559" i="7"/>
  <c r="T537" i="7" s="1"/>
  <c r="T80" i="7" s="1"/>
  <c r="T56" i="7"/>
  <c r="S90" i="7"/>
  <c r="AD678" i="2"/>
  <c r="AD681" i="2" s="1"/>
  <c r="S114" i="7" l="1"/>
  <c r="S119" i="7"/>
  <c r="S120" i="7"/>
  <c r="T539" i="7"/>
  <c r="T534" i="7"/>
  <c r="T535" i="7" s="1"/>
  <c r="U532" i="7" s="1"/>
  <c r="G150" i="8"/>
  <c r="H142" i="8"/>
  <c r="H193" i="8" s="1"/>
  <c r="H141" i="8"/>
  <c r="H138" i="8"/>
  <c r="H185" i="8" s="1"/>
  <c r="H137" i="8"/>
  <c r="H130" i="8"/>
  <c r="H134" i="8"/>
  <c r="H181" i="8" s="1"/>
  <c r="H133" i="8"/>
  <c r="X156" i="8"/>
  <c r="Y153" i="8" s="1"/>
  <c r="Y155" i="8" s="1"/>
  <c r="Y161" i="8" s="1"/>
  <c r="Y176" i="8" s="1"/>
  <c r="T556" i="7"/>
  <c r="T557" i="7" s="1"/>
  <c r="T81" i="7"/>
  <c r="T82" i="7" s="1"/>
  <c r="T87" i="7" s="1"/>
  <c r="S113" i="7"/>
  <c r="T172" i="7"/>
  <c r="T107" i="7"/>
  <c r="AE678" i="2"/>
  <c r="AE681" i="2" s="1"/>
  <c r="T175" i="7" l="1"/>
  <c r="T203" i="7" s="1"/>
  <c r="T204" i="7" s="1"/>
  <c r="T108" i="7" s="1"/>
  <c r="T109" i="7" s="1"/>
  <c r="Y156" i="8"/>
  <c r="Z153" i="8" s="1"/>
  <c r="Z155" i="8" s="1"/>
  <c r="Z161" i="8" s="1"/>
  <c r="Z176" i="8" s="1"/>
  <c r="H143" i="8"/>
  <c r="H192" i="8"/>
  <c r="H194" i="8" s="1"/>
  <c r="H131" i="8"/>
  <c r="H121" i="8"/>
  <c r="H162" i="8" s="1"/>
  <c r="H177" i="8" s="1"/>
  <c r="H178" i="8" s="1"/>
  <c r="H180" i="8"/>
  <c r="H182" i="8" s="1"/>
  <c r="H135" i="8"/>
  <c r="H139" i="8"/>
  <c r="H184" i="8"/>
  <c r="H186" i="8" s="1"/>
  <c r="T96" i="7"/>
  <c r="T97" i="7" s="1"/>
  <c r="T88" i="7"/>
  <c r="T91" i="7" s="1"/>
  <c r="U554" i="7"/>
  <c r="U560" i="7"/>
  <c r="U538" i="7" s="1"/>
  <c r="S116" i="7"/>
  <c r="AF678" i="2"/>
  <c r="AF681" i="2" s="1"/>
  <c r="U170" i="7" l="1"/>
  <c r="U134" i="7"/>
  <c r="U136" i="7" s="1"/>
  <c r="U164" i="7" s="1"/>
  <c r="U165" i="7" s="1"/>
  <c r="U55" i="7"/>
  <c r="U56" i="7" s="1"/>
  <c r="T110" i="7"/>
  <c r="Z156" i="8"/>
  <c r="AA153" i="8" s="1"/>
  <c r="AA155" i="8" s="1"/>
  <c r="AA161" i="8" s="1"/>
  <c r="AA176" i="8" s="1"/>
  <c r="H195" i="8"/>
  <c r="H198" i="8" s="1"/>
  <c r="H144" i="8"/>
  <c r="H148" i="8" s="1"/>
  <c r="H122" i="8"/>
  <c r="H125" i="8" s="1"/>
  <c r="H163" i="8"/>
  <c r="H166" i="8" s="1"/>
  <c r="U559" i="7"/>
  <c r="U537" i="7" s="1"/>
  <c r="U80" i="7" s="1"/>
  <c r="T90" i="7"/>
  <c r="AG678" i="2"/>
  <c r="AG681" i="2" s="1"/>
  <c r="T114" i="7" l="1"/>
  <c r="T119" i="7"/>
  <c r="T120" i="7"/>
  <c r="U534" i="7"/>
  <c r="U535" i="7" s="1"/>
  <c r="V532" i="7" s="1"/>
  <c r="U539" i="7"/>
  <c r="T112" i="7"/>
  <c r="T113" i="7" s="1"/>
  <c r="AA156" i="8"/>
  <c r="AB153" i="8" s="1"/>
  <c r="AB155" i="8" s="1"/>
  <c r="AB161" i="8" s="1"/>
  <c r="AB176" i="8" s="1"/>
  <c r="H124" i="8"/>
  <c r="H197" i="8"/>
  <c r="H165" i="8"/>
  <c r="H146" i="8"/>
  <c r="H147" i="8" s="1"/>
  <c r="U81" i="7"/>
  <c r="U82" i="7" s="1"/>
  <c r="U87" i="7" s="1"/>
  <c r="U556" i="7"/>
  <c r="U557" i="7" s="1"/>
  <c r="U172" i="7"/>
  <c r="U107" i="7"/>
  <c r="AH678" i="2"/>
  <c r="AH681" i="2" s="1"/>
  <c r="T116" i="7" l="1"/>
  <c r="U175" i="7"/>
  <c r="U203" i="7" s="1"/>
  <c r="U204" i="7" s="1"/>
  <c r="U108" i="7" s="1"/>
  <c r="U109" i="7" s="1"/>
  <c r="H150" i="8"/>
  <c r="I142" i="8"/>
  <c r="I193" i="8" s="1"/>
  <c r="I141" i="8"/>
  <c r="I138" i="8"/>
  <c r="I137" i="8"/>
  <c r="I130" i="8"/>
  <c r="I134" i="8"/>
  <c r="I181" i="8" s="1"/>
  <c r="I133" i="8"/>
  <c r="AB156" i="8"/>
  <c r="AC153" i="8" s="1"/>
  <c r="AC155" i="8" s="1"/>
  <c r="AC161" i="8" s="1"/>
  <c r="AC176" i="8" s="1"/>
  <c r="I185" i="8"/>
  <c r="U88" i="7"/>
  <c r="U91" i="7" s="1"/>
  <c r="U96" i="7"/>
  <c r="U97" i="7" s="1"/>
  <c r="V554" i="7"/>
  <c r="V560" i="7"/>
  <c r="V538" i="7" s="1"/>
  <c r="AI678" i="2"/>
  <c r="AI681" i="2" s="1"/>
  <c r="B538" i="7" l="1"/>
  <c r="V170" i="7"/>
  <c r="V134" i="7"/>
  <c r="V136" i="7" s="1"/>
  <c r="V164" i="7" s="1"/>
  <c r="V165" i="7" s="1"/>
  <c r="V55" i="7"/>
  <c r="V56" i="7" s="1"/>
  <c r="AC156" i="8"/>
  <c r="AD153" i="8" s="1"/>
  <c r="AD155" i="8" s="1"/>
  <c r="AD161" i="8" s="1"/>
  <c r="AD176" i="8" s="1"/>
  <c r="I143" i="8"/>
  <c r="I192" i="8"/>
  <c r="I194" i="8" s="1"/>
  <c r="I180" i="8"/>
  <c r="I182" i="8" s="1"/>
  <c r="I135" i="8"/>
  <c r="I139" i="8"/>
  <c r="I184" i="8"/>
  <c r="I186" i="8" s="1"/>
  <c r="I121" i="8"/>
  <c r="I162" i="8" s="1"/>
  <c r="I177" i="8" s="1"/>
  <c r="I178" i="8" s="1"/>
  <c r="I131" i="8"/>
  <c r="U110" i="7"/>
  <c r="U90" i="7"/>
  <c r="V559" i="7"/>
  <c r="V537" i="7" s="1"/>
  <c r="V80" i="7" s="1"/>
  <c r="B560" i="7"/>
  <c r="AJ678" i="2"/>
  <c r="AJ681" i="2" s="1"/>
  <c r="U114" i="7" l="1"/>
  <c r="U119" i="7"/>
  <c r="U120" i="7"/>
  <c r="V539" i="7"/>
  <c r="B539" i="7" s="1"/>
  <c r="V534" i="7"/>
  <c r="V535" i="7" s="1"/>
  <c r="W532" i="7" s="1"/>
  <c r="W535" i="7" s="1"/>
  <c r="X532" i="7" s="1"/>
  <c r="X535" i="7" s="1"/>
  <c r="Y532" i="7" s="1"/>
  <c r="Y535" i="7" s="1"/>
  <c r="Z532" i="7" s="1"/>
  <c r="Z535" i="7" s="1"/>
  <c r="AA532" i="7" s="1"/>
  <c r="AA535" i="7" s="1"/>
  <c r="AB532" i="7" s="1"/>
  <c r="AB535" i="7" s="1"/>
  <c r="AC532" i="7" s="1"/>
  <c r="AC535" i="7" s="1"/>
  <c r="AD532" i="7" s="1"/>
  <c r="AD535" i="7" s="1"/>
  <c r="AE532" i="7" s="1"/>
  <c r="AE535" i="7" s="1"/>
  <c r="AF532" i="7" s="1"/>
  <c r="AF535" i="7" s="1"/>
  <c r="AG532" i="7" s="1"/>
  <c r="AG535" i="7" s="1"/>
  <c r="AH532" i="7" s="1"/>
  <c r="AH535" i="7" s="1"/>
  <c r="AI532" i="7" s="1"/>
  <c r="AI535" i="7" s="1"/>
  <c r="AJ532" i="7" s="1"/>
  <c r="AJ535" i="7" s="1"/>
  <c r="AK532" i="7" s="1"/>
  <c r="AK535" i="7" s="1"/>
  <c r="AL532" i="7" s="1"/>
  <c r="AL535" i="7" s="1"/>
  <c r="AM532" i="7" s="1"/>
  <c r="AM535" i="7" s="1"/>
  <c r="AN532" i="7" s="1"/>
  <c r="AN535" i="7" s="1"/>
  <c r="AO532" i="7" s="1"/>
  <c r="AO535" i="7" s="1"/>
  <c r="AP532" i="7" s="1"/>
  <c r="AP535" i="7" s="1"/>
  <c r="B537" i="7"/>
  <c r="AD156" i="8"/>
  <c r="AE153" i="8" s="1"/>
  <c r="AE155" i="8" s="1"/>
  <c r="AE161" i="8" s="1"/>
  <c r="AE176" i="8" s="1"/>
  <c r="I144" i="8"/>
  <c r="I148" i="8" s="1"/>
  <c r="I122" i="8"/>
  <c r="I125" i="8" s="1"/>
  <c r="I163" i="8"/>
  <c r="I166" i="8" s="1"/>
  <c r="I195" i="8"/>
  <c r="I198" i="8" s="1"/>
  <c r="U112" i="7"/>
  <c r="U113" i="7" s="1"/>
  <c r="V172" i="7"/>
  <c r="V107" i="7"/>
  <c r="V556" i="7"/>
  <c r="V557" i="7" s="1"/>
  <c r="W554" i="7" s="1"/>
  <c r="W557" i="7" s="1"/>
  <c r="X554" i="7" s="1"/>
  <c r="X557" i="7" s="1"/>
  <c r="Y554" i="7" s="1"/>
  <c r="Y557" i="7" s="1"/>
  <c r="Z554" i="7" s="1"/>
  <c r="Z557" i="7" s="1"/>
  <c r="AA554" i="7" s="1"/>
  <c r="AA557" i="7" s="1"/>
  <c r="AB554" i="7" s="1"/>
  <c r="AB557" i="7" s="1"/>
  <c r="AC554" i="7" s="1"/>
  <c r="AC557" i="7" s="1"/>
  <c r="AD554" i="7" s="1"/>
  <c r="AD557" i="7" s="1"/>
  <c r="AE554" i="7" s="1"/>
  <c r="AE557" i="7" s="1"/>
  <c r="AF554" i="7" s="1"/>
  <c r="AF557" i="7" s="1"/>
  <c r="AG554" i="7" s="1"/>
  <c r="AG557" i="7" s="1"/>
  <c r="AH554" i="7" s="1"/>
  <c r="AH557" i="7" s="1"/>
  <c r="AI554" i="7" s="1"/>
  <c r="AI557" i="7" s="1"/>
  <c r="AJ554" i="7" s="1"/>
  <c r="AJ557" i="7" s="1"/>
  <c r="AK554" i="7" s="1"/>
  <c r="AK557" i="7" s="1"/>
  <c r="AL554" i="7" s="1"/>
  <c r="AL557" i="7" s="1"/>
  <c r="AM554" i="7" s="1"/>
  <c r="AM557" i="7" s="1"/>
  <c r="AN554" i="7" s="1"/>
  <c r="AN557" i="7" s="1"/>
  <c r="AO554" i="7" s="1"/>
  <c r="AO557" i="7" s="1"/>
  <c r="AP554" i="7" s="1"/>
  <c r="AP557" i="7" s="1"/>
  <c r="V81" i="7"/>
  <c r="V82" i="7" s="1"/>
  <c r="V87" i="7" s="1"/>
  <c r="B559" i="7"/>
  <c r="AK678" i="2"/>
  <c r="AK681" i="2" s="1"/>
  <c r="U116" i="7" l="1"/>
  <c r="V175" i="7"/>
  <c r="V203" i="7" s="1"/>
  <c r="V204" i="7" s="1"/>
  <c r="V108" i="7" s="1"/>
  <c r="V109" i="7" s="1"/>
  <c r="I146" i="8"/>
  <c r="I147" i="8" s="1"/>
  <c r="I150" i="8" s="1"/>
  <c r="AE156" i="8"/>
  <c r="AF153" i="8" s="1"/>
  <c r="AF155" i="8" s="1"/>
  <c r="AF161" i="8" s="1"/>
  <c r="AF176" i="8" s="1"/>
  <c r="I165" i="8"/>
  <c r="I197" i="8"/>
  <c r="I124" i="8"/>
  <c r="V96" i="7"/>
  <c r="V97" i="7" s="1"/>
  <c r="V88" i="7"/>
  <c r="AL678" i="2"/>
  <c r="AL681" i="2" s="1"/>
  <c r="J133" i="8" l="1"/>
  <c r="J180" i="8" s="1"/>
  <c r="J138" i="8"/>
  <c r="J185" i="8" s="1"/>
  <c r="J130" i="8"/>
  <c r="J131" i="8" s="1"/>
  <c r="J142" i="8"/>
  <c r="J193" i="8" s="1"/>
  <c r="J134" i="8"/>
  <c r="J181" i="8" s="1"/>
  <c r="J137" i="8"/>
  <c r="J184" i="8" s="1"/>
  <c r="J141" i="8"/>
  <c r="J192" i="8" s="1"/>
  <c r="V110" i="7"/>
  <c r="AH91" i="7"/>
  <c r="AF91" i="7"/>
  <c r="AD91" i="7"/>
  <c r="AO91" i="7"/>
  <c r="AM91" i="7"/>
  <c r="AK91" i="7"/>
  <c r="AA91" i="7"/>
  <c r="E106" i="1" s="1"/>
  <c r="Y91" i="7"/>
  <c r="W91" i="7"/>
  <c r="AI91" i="7"/>
  <c r="AG91" i="7"/>
  <c r="AE91" i="7"/>
  <c r="AC91" i="7"/>
  <c r="AP91" i="7"/>
  <c r="AN91" i="7"/>
  <c r="AL91" i="7"/>
  <c r="AB91" i="7"/>
  <c r="AJ91" i="7"/>
  <c r="Z91" i="7"/>
  <c r="X91" i="7"/>
  <c r="V91" i="7"/>
  <c r="AF156" i="8"/>
  <c r="AG153" i="8" s="1"/>
  <c r="AG155" i="8" s="1"/>
  <c r="AG161" i="8" s="1"/>
  <c r="AG176" i="8" s="1"/>
  <c r="Z90" i="7"/>
  <c r="E100" i="1" s="1"/>
  <c r="AB90" i="7"/>
  <c r="AG90" i="7"/>
  <c r="AF90" i="7"/>
  <c r="Y90" i="7"/>
  <c r="X90" i="7"/>
  <c r="AE90" i="7"/>
  <c r="AH90" i="7"/>
  <c r="AJ90" i="7"/>
  <c r="AN90" i="7"/>
  <c r="AD90" i="7"/>
  <c r="AI90" i="7"/>
  <c r="AP90" i="7"/>
  <c r="AO90" i="7"/>
  <c r="AC90" i="7"/>
  <c r="AA90" i="7"/>
  <c r="V90" i="7"/>
  <c r="AL90" i="7"/>
  <c r="AK90" i="7"/>
  <c r="AM90" i="7"/>
  <c r="W90" i="7"/>
  <c r="AM678" i="2"/>
  <c r="AM681" i="2" s="1"/>
  <c r="AN114" i="7" l="1"/>
  <c r="V119" i="7"/>
  <c r="W120" i="7"/>
  <c r="V120" i="7"/>
  <c r="AP114" i="7"/>
  <c r="J139" i="8"/>
  <c r="J186" i="8"/>
  <c r="J135" i="8"/>
  <c r="AL112" i="7"/>
  <c r="J121" i="8"/>
  <c r="J162" i="8" s="1"/>
  <c r="J177" i="8" s="1"/>
  <c r="J178" i="8" s="1"/>
  <c r="J182" i="8"/>
  <c r="J143" i="8"/>
  <c r="J194" i="8"/>
  <c r="V112" i="7"/>
  <c r="V113" i="7" s="1"/>
  <c r="AH114" i="7"/>
  <c r="AC112" i="7"/>
  <c r="AF114" i="7"/>
  <c r="AE112" i="7"/>
  <c r="AG112" i="7"/>
  <c r="AH112" i="7"/>
  <c r="AD114" i="7"/>
  <c r="AO114" i="7"/>
  <c r="AJ114" i="7"/>
  <c r="AJ112" i="7"/>
  <c r="AF112" i="7"/>
  <c r="AO112" i="7"/>
  <c r="X112" i="7"/>
  <c r="Y114" i="7"/>
  <c r="AK114" i="7"/>
  <c r="AG114" i="7"/>
  <c r="X114" i="7"/>
  <c r="AL114" i="7"/>
  <c r="AN112" i="7"/>
  <c r="Z112" i="7"/>
  <c r="AD112" i="7"/>
  <c r="W112" i="7"/>
  <c r="AK112" i="7"/>
  <c r="AI112" i="7"/>
  <c r="AB112" i="7"/>
  <c r="Y112" i="7"/>
  <c r="AA112" i="7"/>
  <c r="E101" i="1" s="1"/>
  <c r="AP112" i="7"/>
  <c r="AM112" i="7"/>
  <c r="W114" i="7"/>
  <c r="AA114" i="7"/>
  <c r="E107" i="1" s="1"/>
  <c r="AE114" i="7"/>
  <c r="AM114" i="7"/>
  <c r="AC114" i="7"/>
  <c r="AB114" i="7"/>
  <c r="V114" i="7"/>
  <c r="Z114" i="7"/>
  <c r="AI114" i="7"/>
  <c r="AG156" i="8"/>
  <c r="AH153" i="8" s="1"/>
  <c r="AH155" i="8" s="1"/>
  <c r="AH161" i="8" s="1"/>
  <c r="AH176" i="8" s="1"/>
  <c r="J122" i="8"/>
  <c r="J125" i="8" s="1"/>
  <c r="B116" i="1" s="1"/>
  <c r="AN678" i="2"/>
  <c r="AN681" i="2" s="1"/>
  <c r="J144" i="8" l="1"/>
  <c r="J148" i="8" s="1"/>
  <c r="B117" i="1" s="1"/>
  <c r="V116" i="7"/>
  <c r="W113" i="7"/>
  <c r="J195" i="8"/>
  <c r="J198" i="8" s="1"/>
  <c r="B130" i="1" s="1"/>
  <c r="J163" i="8"/>
  <c r="J166" i="8" s="1"/>
  <c r="B129" i="1" s="1"/>
  <c r="E87" i="1"/>
  <c r="X113" i="7"/>
  <c r="AK113" i="7"/>
  <c r="Z113" i="7"/>
  <c r="Y113" i="7"/>
  <c r="AP113" i="7"/>
  <c r="AL113" i="7"/>
  <c r="AI113" i="7"/>
  <c r="AA113" i="7"/>
  <c r="AH113" i="7"/>
  <c r="AE113" i="7"/>
  <c r="AB113" i="7"/>
  <c r="AO113" i="7"/>
  <c r="AJ113" i="7"/>
  <c r="AD113" i="7"/>
  <c r="AN113" i="7"/>
  <c r="AM113" i="7"/>
  <c r="AG113" i="7"/>
  <c r="AC113" i="7"/>
  <c r="AF113" i="7"/>
  <c r="AH156" i="8"/>
  <c r="AI153" i="8" s="1"/>
  <c r="AI155" i="8" s="1"/>
  <c r="AI161" i="8" s="1"/>
  <c r="AI176" i="8" s="1"/>
  <c r="J124" i="8"/>
  <c r="B110" i="1" s="1"/>
  <c r="J146" i="8"/>
  <c r="B111" i="1" s="1"/>
  <c r="AO678" i="2"/>
  <c r="AO681" i="2" s="1"/>
  <c r="AG116" i="7" l="1"/>
  <c r="AH116" i="7"/>
  <c r="AI116" i="7"/>
  <c r="W116" i="7"/>
  <c r="AL116" i="7"/>
  <c r="B119" i="7"/>
  <c r="X116" i="7"/>
  <c r="J197" i="8"/>
  <c r="B124" i="1" s="1"/>
  <c r="AE116" i="7"/>
  <c r="J165" i="8"/>
  <c r="B123" i="1" s="1"/>
  <c r="Y116" i="7"/>
  <c r="AK116" i="7"/>
  <c r="AC116" i="7"/>
  <c r="AP116" i="7"/>
  <c r="AA116" i="7"/>
  <c r="AM116" i="7"/>
  <c r="Z116" i="7"/>
  <c r="AD116" i="7"/>
  <c r="AF116" i="7"/>
  <c r="AO116" i="7"/>
  <c r="AB116" i="7"/>
  <c r="AJ116" i="7"/>
  <c r="AN116" i="7"/>
  <c r="J147" i="8"/>
  <c r="K142" i="8" s="1"/>
  <c r="K193" i="8" s="1"/>
  <c r="B87" i="1"/>
  <c r="AI156" i="8"/>
  <c r="AJ153" i="8" s="1"/>
  <c r="AJ155" i="8" s="1"/>
  <c r="AJ161" i="8" s="1"/>
  <c r="AJ176" i="8" s="1"/>
  <c r="AP678" i="2"/>
  <c r="AP681" i="2" s="1"/>
  <c r="B120" i="7" l="1"/>
  <c r="E91" i="1" s="1"/>
  <c r="E90" i="1"/>
  <c r="B116" i="7"/>
  <c r="E86" i="1" s="1"/>
  <c r="K137" i="8"/>
  <c r="K184" i="8" s="1"/>
  <c r="J150" i="8"/>
  <c r="K134" i="8"/>
  <c r="K181" i="8" s="1"/>
  <c r="K141" i="8"/>
  <c r="K143" i="8" s="1"/>
  <c r="K133" i="8"/>
  <c r="K130" i="8"/>
  <c r="K131" i="8" s="1"/>
  <c r="K138" i="8"/>
  <c r="K185" i="8" s="1"/>
  <c r="AJ156" i="8"/>
  <c r="AK153" i="8" s="1"/>
  <c r="AK155" i="8" s="1"/>
  <c r="AK161" i="8" s="1"/>
  <c r="AK176" i="8" s="1"/>
  <c r="K139" i="8" l="1"/>
  <c r="K121" i="8"/>
  <c r="K162" i="8" s="1"/>
  <c r="K177" i="8" s="1"/>
  <c r="K178" i="8" s="1"/>
  <c r="K192" i="8"/>
  <c r="K194" i="8" s="1"/>
  <c r="K135" i="8"/>
  <c r="K180" i="8"/>
  <c r="K182" i="8" s="1"/>
  <c r="K186" i="8"/>
  <c r="AK156" i="8"/>
  <c r="AL153" i="8" s="1"/>
  <c r="AL155" i="8" s="1"/>
  <c r="AL161" i="8" s="1"/>
  <c r="AL176" i="8" s="1"/>
  <c r="K122" i="8" l="1"/>
  <c r="K125" i="8" s="1"/>
  <c r="K144" i="8"/>
  <c r="K148" i="8" s="1"/>
  <c r="K163" i="8"/>
  <c r="K166" i="8" s="1"/>
  <c r="K195" i="8"/>
  <c r="AL156" i="8"/>
  <c r="AM153" i="8" s="1"/>
  <c r="AM155" i="8" s="1"/>
  <c r="AM161" i="8" s="1"/>
  <c r="AM176" i="8" s="1"/>
  <c r="K124" i="8" l="1"/>
  <c r="K146" i="8"/>
  <c r="K147" i="8" s="1"/>
  <c r="L142" i="8" s="1"/>
  <c r="L193" i="8" s="1"/>
  <c r="K165" i="8"/>
  <c r="K197" i="8"/>
  <c r="K198" i="8"/>
  <c r="AM156" i="8"/>
  <c r="AN153" i="8" s="1"/>
  <c r="AN155" i="8" s="1"/>
  <c r="AN161" i="8" s="1"/>
  <c r="AN176" i="8" s="1"/>
  <c r="C739" i="2"/>
  <c r="C711" i="2" s="1"/>
  <c r="B729" i="2"/>
  <c r="C621" i="2" l="1"/>
  <c r="C638" i="2"/>
  <c r="K150" i="8"/>
  <c r="L137" i="8"/>
  <c r="L184" i="8" s="1"/>
  <c r="L134" i="8"/>
  <c r="L181" i="8" s="1"/>
  <c r="L141" i="8"/>
  <c r="L143" i="8" s="1"/>
  <c r="L133" i="8"/>
  <c r="L130" i="8"/>
  <c r="L131" i="8" s="1"/>
  <c r="L138" i="8"/>
  <c r="L185" i="8" s="1"/>
  <c r="AN156" i="8"/>
  <c r="AO153" i="8" s="1"/>
  <c r="AO155" i="8" s="1"/>
  <c r="AO161" i="8" s="1"/>
  <c r="AO176" i="8" s="1"/>
  <c r="C713" i="2"/>
  <c r="C64" i="2"/>
  <c r="B621" i="2" l="1"/>
  <c r="C622" i="2"/>
  <c r="C635" i="2" s="1"/>
  <c r="B638" i="2"/>
  <c r="C658" i="2"/>
  <c r="L135" i="8"/>
  <c r="L192" i="8"/>
  <c r="L194" i="8" s="1"/>
  <c r="L139" i="8"/>
  <c r="L180" i="8"/>
  <c r="L182" i="8" s="1"/>
  <c r="L121" i="8"/>
  <c r="L162" i="8" s="1"/>
  <c r="L177" i="8" s="1"/>
  <c r="L178" i="8" s="1"/>
  <c r="L186" i="8"/>
  <c r="AO156" i="8"/>
  <c r="AP153" i="8" s="1"/>
  <c r="AP155" i="8" s="1"/>
  <c r="AP161" i="8" s="1"/>
  <c r="AP176" i="8" s="1"/>
  <c r="D710" i="2"/>
  <c r="D713" i="2" s="1"/>
  <c r="E710" i="2" s="1"/>
  <c r="E713" i="2" s="1"/>
  <c r="C623" i="2" l="1"/>
  <c r="B623" i="2" s="1"/>
  <c r="B658" i="2"/>
  <c r="B661" i="2" s="1"/>
  <c r="C660" i="2"/>
  <c r="B662" i="2" s="1"/>
  <c r="B622" i="2"/>
  <c r="L144" i="8"/>
  <c r="L148" i="8" s="1"/>
  <c r="L122" i="8"/>
  <c r="L125" i="8" s="1"/>
  <c r="L163" i="8"/>
  <c r="L166" i="8" s="1"/>
  <c r="L195" i="8"/>
  <c r="L198" i="8" s="1"/>
  <c r="C625" i="2"/>
  <c r="B625" i="2" s="1"/>
  <c r="C639" i="2"/>
  <c r="B635" i="2"/>
  <c r="AP156" i="8"/>
  <c r="F710" i="2"/>
  <c r="F713" i="2" s="1"/>
  <c r="L146" i="8" l="1"/>
  <c r="L147" i="8" s="1"/>
  <c r="M142" i="8" s="1"/>
  <c r="M193" i="8" s="1"/>
  <c r="B629" i="2"/>
  <c r="B607" i="2" s="1"/>
  <c r="C158" i="1"/>
  <c r="L124" i="8"/>
  <c r="L165" i="8"/>
  <c r="L197" i="8"/>
  <c r="C640" i="2"/>
  <c r="B642" i="2" s="1"/>
  <c r="C150" i="1" s="1"/>
  <c r="B639" i="2"/>
  <c r="B641" i="2" s="1"/>
  <c r="C149" i="1" s="1"/>
  <c r="G710" i="2"/>
  <c r="G713" i="2" s="1"/>
  <c r="B631" i="2" l="1"/>
  <c r="C634" i="2" s="1"/>
  <c r="C612" i="2" s="1"/>
  <c r="B609" i="2"/>
  <c r="C606" i="2" s="1"/>
  <c r="C146" i="1"/>
  <c r="L150" i="8"/>
  <c r="M137" i="8"/>
  <c r="M184" i="8" s="1"/>
  <c r="M134" i="8"/>
  <c r="M181" i="8" s="1"/>
  <c r="M141" i="8"/>
  <c r="M192" i="8" s="1"/>
  <c r="M194" i="8" s="1"/>
  <c r="M133" i="8"/>
  <c r="M180" i="8" s="1"/>
  <c r="M130" i="8"/>
  <c r="M131" i="8" s="1"/>
  <c r="M138" i="8"/>
  <c r="M185" i="8" s="1"/>
  <c r="H710" i="2"/>
  <c r="H713" i="2" s="1"/>
  <c r="C193" i="1" l="1"/>
  <c r="C174" i="1"/>
  <c r="C175" i="1" s="1"/>
  <c r="C628" i="2"/>
  <c r="C55" i="2"/>
  <c r="C244" i="2"/>
  <c r="C208" i="2"/>
  <c r="M143" i="8"/>
  <c r="M135" i="8"/>
  <c r="B80" i="2"/>
  <c r="C633" i="2"/>
  <c r="C611" i="2" s="1"/>
  <c r="C608" i="2" s="1"/>
  <c r="M182" i="8"/>
  <c r="M186" i="8"/>
  <c r="M139" i="8"/>
  <c r="M121" i="8"/>
  <c r="M162" i="8" s="1"/>
  <c r="M177" i="8" s="1"/>
  <c r="M178" i="8" s="1"/>
  <c r="I710" i="2"/>
  <c r="I713" i="2" s="1"/>
  <c r="C609" i="2" l="1"/>
  <c r="D606" i="2" s="1"/>
  <c r="C80" i="2"/>
  <c r="C81" i="2" s="1"/>
  <c r="C613" i="2"/>
  <c r="B669" i="2" s="1"/>
  <c r="M144" i="8"/>
  <c r="M148" i="8" s="1"/>
  <c r="C630" i="2"/>
  <c r="C631" i="2" s="1"/>
  <c r="M195" i="8"/>
  <c r="M163" i="8"/>
  <c r="M166" i="8" s="1"/>
  <c r="M122" i="8"/>
  <c r="M125" i="8" s="1"/>
  <c r="J710" i="2"/>
  <c r="J713" i="2" s="1"/>
  <c r="M146" i="8" l="1"/>
  <c r="M147" i="8" s="1"/>
  <c r="N142" i="8" s="1"/>
  <c r="N193" i="8" s="1"/>
  <c r="C666" i="2"/>
  <c r="B774" i="2"/>
  <c r="C775" i="2" s="1"/>
  <c r="B667" i="2"/>
  <c r="D634" i="2"/>
  <c r="D612" i="2" s="1"/>
  <c r="D628" i="2"/>
  <c r="M197" i="8"/>
  <c r="M198" i="8"/>
  <c r="M165" i="8"/>
  <c r="M124" i="8"/>
  <c r="K710" i="2"/>
  <c r="K713" i="2" s="1"/>
  <c r="M150" i="8" l="1"/>
  <c r="N137" i="8"/>
  <c r="N184" i="8" s="1"/>
  <c r="N134" i="8"/>
  <c r="N181" i="8" s="1"/>
  <c r="N141" i="8"/>
  <c r="N143" i="8" s="1"/>
  <c r="N133" i="8"/>
  <c r="N130" i="8"/>
  <c r="N131" i="8" s="1"/>
  <c r="N138" i="8"/>
  <c r="N185" i="8" s="1"/>
  <c r="D55" i="2"/>
  <c r="D244" i="2"/>
  <c r="D208" i="2"/>
  <c r="C177" i="1"/>
  <c r="B61" i="2"/>
  <c r="C243" i="2"/>
  <c r="C54" i="2"/>
  <c r="C56" i="2" s="1"/>
  <c r="C207" i="2"/>
  <c r="D633" i="2"/>
  <c r="D611" i="2" s="1"/>
  <c r="D608" i="2" s="1"/>
  <c r="N180" i="8"/>
  <c r="L710" i="2"/>
  <c r="L713" i="2" s="1"/>
  <c r="N182" i="8" l="1"/>
  <c r="N135" i="8"/>
  <c r="N192" i="8"/>
  <c r="N194" i="8" s="1"/>
  <c r="N121" i="8"/>
  <c r="N162" i="8" s="1"/>
  <c r="N177" i="8" s="1"/>
  <c r="N178" i="8" s="1"/>
  <c r="C182" i="1"/>
  <c r="C187" i="1" s="1"/>
  <c r="C188" i="1" s="1"/>
  <c r="N139" i="8"/>
  <c r="N186" i="8"/>
  <c r="D609" i="2"/>
  <c r="E606" i="2" s="1"/>
  <c r="D80" i="2"/>
  <c r="D81" i="2" s="1"/>
  <c r="D613" i="2"/>
  <c r="C669" i="2" s="1"/>
  <c r="D285" i="2"/>
  <c r="E285" i="2"/>
  <c r="D630" i="2"/>
  <c r="D631" i="2" s="1"/>
  <c r="M710" i="2"/>
  <c r="M713" i="2" s="1"/>
  <c r="N144" i="8" l="1"/>
  <c r="N148" i="8" s="1"/>
  <c r="N122" i="8"/>
  <c r="N125" i="8" s="1"/>
  <c r="N195" i="8"/>
  <c r="N198" i="8" s="1"/>
  <c r="N163" i="8"/>
  <c r="N166" i="8" s="1"/>
  <c r="C155" i="1"/>
  <c r="C254" i="1"/>
  <c r="C284" i="2" s="1"/>
  <c r="C257" i="1"/>
  <c r="C421" i="2" s="1"/>
  <c r="F421" i="2" s="1"/>
  <c r="C147" i="1"/>
  <c r="C256" i="1"/>
  <c r="C286" i="2" s="1"/>
  <c r="C258" i="1"/>
  <c r="C288" i="2" s="1"/>
  <c r="B59" i="2"/>
  <c r="C260" i="1"/>
  <c r="C259" i="1"/>
  <c r="C423" i="2" s="1"/>
  <c r="F423" i="2" s="1"/>
  <c r="C255" i="1"/>
  <c r="C285" i="2" s="1"/>
  <c r="F285" i="2" s="1"/>
  <c r="C189" i="1"/>
  <c r="C192" i="1"/>
  <c r="B79" i="2" s="1"/>
  <c r="D666" i="2"/>
  <c r="C774" i="2"/>
  <c r="D775" i="2" s="1"/>
  <c r="C667" i="2"/>
  <c r="C61" i="2" s="1"/>
  <c r="C289" i="2"/>
  <c r="C422" i="2"/>
  <c r="F422" i="2" s="1"/>
  <c r="C420" i="2"/>
  <c r="F420" i="2" s="1"/>
  <c r="D284" i="2"/>
  <c r="E284" i="2"/>
  <c r="D286" i="2"/>
  <c r="E286" i="2"/>
  <c r="D288" i="2"/>
  <c r="E288" i="2"/>
  <c r="D289" i="2"/>
  <c r="E289" i="2"/>
  <c r="D287" i="2"/>
  <c r="E287" i="2"/>
  <c r="E628" i="2"/>
  <c r="E634" i="2"/>
  <c r="E612" i="2" s="1"/>
  <c r="N197" i="8"/>
  <c r="N124" i="8"/>
  <c r="N146" i="8"/>
  <c r="N147" i="8" s="1"/>
  <c r="N710" i="2"/>
  <c r="N713" i="2" s="1"/>
  <c r="N165" i="8" l="1"/>
  <c r="C213" i="1"/>
  <c r="C287" i="2"/>
  <c r="C291" i="2" s="1"/>
  <c r="B285" i="2" s="1"/>
  <c r="C418" i="2"/>
  <c r="F418" i="2" s="1"/>
  <c r="G418" i="2" s="1"/>
  <c r="G425" i="2" s="1"/>
  <c r="H422" i="2" s="1"/>
  <c r="K422" i="2" s="1"/>
  <c r="L422" i="2" s="1"/>
  <c r="C419" i="2"/>
  <c r="F419" i="2" s="1"/>
  <c r="C210" i="1"/>
  <c r="B138" i="2" s="1"/>
  <c r="B140" i="2" s="1"/>
  <c r="B153" i="2" s="1"/>
  <c r="C261" i="1"/>
  <c r="C197" i="1"/>
  <c r="C199" i="1" s="1"/>
  <c r="E55" i="2"/>
  <c r="E244" i="2"/>
  <c r="E208" i="2"/>
  <c r="B86" i="2"/>
  <c r="B81" i="2"/>
  <c r="D54" i="2"/>
  <c r="D56" i="2" s="1"/>
  <c r="D243" i="2"/>
  <c r="D207" i="2"/>
  <c r="F284" i="2"/>
  <c r="G284" i="2" s="1"/>
  <c r="G291" i="2" s="1"/>
  <c r="F288" i="2"/>
  <c r="F289" i="2"/>
  <c r="E633" i="2"/>
  <c r="E611" i="2" s="1"/>
  <c r="E608" i="2" s="1"/>
  <c r="F286" i="2"/>
  <c r="N150" i="8"/>
  <c r="O142" i="8"/>
  <c r="O193" i="8" s="1"/>
  <c r="O141" i="8"/>
  <c r="O138" i="8"/>
  <c r="O185" i="8" s="1"/>
  <c r="O137" i="8"/>
  <c r="O130" i="8"/>
  <c r="O134" i="8"/>
  <c r="O181" i="8" s="1"/>
  <c r="O133" i="8"/>
  <c r="O710" i="2"/>
  <c r="O713" i="2" s="1"/>
  <c r="F287" i="2" l="1"/>
  <c r="F291" i="2" s="1"/>
  <c r="H421" i="2"/>
  <c r="K421" i="2" s="1"/>
  <c r="L421" i="2" s="1"/>
  <c r="H420" i="2"/>
  <c r="K420" i="2" s="1"/>
  <c r="L420" i="2" s="1"/>
  <c r="I425" i="2"/>
  <c r="H418" i="2"/>
  <c r="K418" i="2" s="1"/>
  <c r="L418" i="2" s="1"/>
  <c r="B129" i="2"/>
  <c r="B131" i="2" s="1"/>
  <c r="B133" i="2" s="1"/>
  <c r="H423" i="2"/>
  <c r="K423" i="2" s="1"/>
  <c r="L423" i="2" s="1"/>
  <c r="H419" i="2"/>
  <c r="K419" i="2" s="1"/>
  <c r="L419" i="2" s="1"/>
  <c r="C425" i="2"/>
  <c r="B418" i="2" s="1"/>
  <c r="F425" i="2"/>
  <c r="B287" i="2"/>
  <c r="C203" i="1"/>
  <c r="C201" i="1"/>
  <c r="C200" i="1"/>
  <c r="C202" i="1"/>
  <c r="B289" i="2"/>
  <c r="B288" i="2"/>
  <c r="B286" i="2"/>
  <c r="B284" i="2"/>
  <c r="B134" i="2"/>
  <c r="B95" i="2"/>
  <c r="B157" i="2"/>
  <c r="B155" i="2"/>
  <c r="B156" i="2" s="1"/>
  <c r="B419" i="2"/>
  <c r="E609" i="2"/>
  <c r="F606" i="2" s="1"/>
  <c r="E80" i="2"/>
  <c r="E81" i="2" s="1"/>
  <c r="E613" i="2"/>
  <c r="D669" i="2" s="1"/>
  <c r="H286" i="2"/>
  <c r="K286" i="2" s="1"/>
  <c r="L286" i="2" s="1"/>
  <c r="H288" i="2"/>
  <c r="K288" i="2" s="1"/>
  <c r="L288" i="2" s="1"/>
  <c r="H284" i="2"/>
  <c r="K284" i="2" s="1"/>
  <c r="L284" i="2" s="1"/>
  <c r="H285" i="2"/>
  <c r="K285" i="2" s="1"/>
  <c r="L285" i="2" s="1"/>
  <c r="H287" i="2"/>
  <c r="K287" i="2" s="1"/>
  <c r="L287" i="2" s="1"/>
  <c r="H289" i="2"/>
  <c r="K289" i="2" s="1"/>
  <c r="L289" i="2" s="1"/>
  <c r="I291" i="2"/>
  <c r="E630" i="2"/>
  <c r="E631" i="2" s="1"/>
  <c r="O143" i="8"/>
  <c r="O192" i="8"/>
  <c r="O194" i="8" s="1"/>
  <c r="O180" i="8"/>
  <c r="O182" i="8" s="1"/>
  <c r="O135" i="8"/>
  <c r="O139" i="8"/>
  <c r="O184" i="8"/>
  <c r="O186" i="8" s="1"/>
  <c r="O121" i="8"/>
  <c r="O162" i="8" s="1"/>
  <c r="O177" i="8" s="1"/>
  <c r="O178" i="8" s="1"/>
  <c r="O131" i="8"/>
  <c r="P710" i="2"/>
  <c r="P713" i="2" s="1"/>
  <c r="L425" i="2" l="1"/>
  <c r="H425" i="2"/>
  <c r="B421" i="2"/>
  <c r="B422" i="2"/>
  <c r="B420" i="2"/>
  <c r="B423" i="2"/>
  <c r="C204" i="1"/>
  <c r="B291" i="2"/>
  <c r="E666" i="2"/>
  <c r="D774" i="2"/>
  <c r="E775" i="2" s="1"/>
  <c r="D667" i="2"/>
  <c r="D61" i="2" s="1"/>
  <c r="C147" i="2"/>
  <c r="C186" i="2" s="1"/>
  <c r="C146" i="2"/>
  <c r="B162" i="2"/>
  <c r="B176" i="2"/>
  <c r="L291" i="2"/>
  <c r="H291" i="2"/>
  <c r="C99" i="2"/>
  <c r="C247" i="2" s="1"/>
  <c r="F628" i="2"/>
  <c r="F634" i="2"/>
  <c r="F612" i="2" s="1"/>
  <c r="O195" i="8"/>
  <c r="O122" i="8"/>
  <c r="O125" i="8" s="1"/>
  <c r="O163" i="8"/>
  <c r="O166" i="8" s="1"/>
  <c r="O144" i="8"/>
  <c r="O148" i="8" s="1"/>
  <c r="Q710" i="2"/>
  <c r="Q713" i="2" s="1"/>
  <c r="B425" i="2" l="1"/>
  <c r="F55" i="2"/>
  <c r="F244" i="2"/>
  <c r="F208" i="2"/>
  <c r="E54" i="2"/>
  <c r="E56" i="2" s="1"/>
  <c r="E207" i="2"/>
  <c r="E243" i="2"/>
  <c r="C148" i="2"/>
  <c r="C185" i="2"/>
  <c r="C187" i="2" s="1"/>
  <c r="I289" i="2"/>
  <c r="J289" i="2" s="1"/>
  <c r="I284" i="2"/>
  <c r="J284" i="2" s="1"/>
  <c r="M418" i="2" s="1"/>
  <c r="I285" i="2"/>
  <c r="J285" i="2" s="1"/>
  <c r="I287" i="2"/>
  <c r="J287" i="2" s="1"/>
  <c r="I286" i="2"/>
  <c r="J286" i="2" s="1"/>
  <c r="I288" i="2"/>
  <c r="J288" i="2" s="1"/>
  <c r="I422" i="2"/>
  <c r="J422" i="2" s="1"/>
  <c r="C100" i="2"/>
  <c r="C143" i="2" s="1"/>
  <c r="C182" i="2" s="1"/>
  <c r="I419" i="2"/>
  <c r="J419" i="2" s="1"/>
  <c r="I423" i="2"/>
  <c r="J423" i="2" s="1"/>
  <c r="I421" i="2"/>
  <c r="J421" i="2" s="1"/>
  <c r="I420" i="2"/>
  <c r="J420" i="2" s="1"/>
  <c r="I418" i="2"/>
  <c r="J418" i="2" s="1"/>
  <c r="F633" i="2"/>
  <c r="F611" i="2" s="1"/>
  <c r="F608" i="2" s="1"/>
  <c r="C142" i="2"/>
  <c r="O197" i="8"/>
  <c r="O198" i="8"/>
  <c r="O146" i="8"/>
  <c r="O147" i="8" s="1"/>
  <c r="O124" i="8"/>
  <c r="O165" i="8"/>
  <c r="R710" i="2"/>
  <c r="R713" i="2" s="1"/>
  <c r="Q774" i="2"/>
  <c r="R775" i="2" s="1"/>
  <c r="F609" i="2" l="1"/>
  <c r="G606" i="2" s="1"/>
  <c r="F80" i="2"/>
  <c r="F613" i="2"/>
  <c r="E669" i="2" s="1"/>
  <c r="M284" i="2"/>
  <c r="M286" i="2"/>
  <c r="M420" i="2"/>
  <c r="M285" i="2"/>
  <c r="M419" i="2"/>
  <c r="M289" i="2"/>
  <c r="M423" i="2"/>
  <c r="M288" i="2"/>
  <c r="M422" i="2"/>
  <c r="M287" i="2"/>
  <c r="M421" i="2"/>
  <c r="J291" i="2"/>
  <c r="C181" i="2"/>
  <c r="C183" i="2" s="1"/>
  <c r="C144" i="2"/>
  <c r="N286" i="2"/>
  <c r="N420" i="2"/>
  <c r="N289" i="2"/>
  <c r="N423" i="2"/>
  <c r="F81" i="2"/>
  <c r="F630" i="2"/>
  <c r="F631" i="2" s="1"/>
  <c r="N284" i="2"/>
  <c r="J425" i="2"/>
  <c r="N418" i="2"/>
  <c r="N287" i="2"/>
  <c r="N421" i="2"/>
  <c r="N285" i="2"/>
  <c r="N419" i="2"/>
  <c r="N288" i="2"/>
  <c r="N422" i="2"/>
  <c r="O422" i="2" s="1"/>
  <c r="Q422" i="2" s="1"/>
  <c r="C101" i="2"/>
  <c r="O150" i="8"/>
  <c r="P142" i="8"/>
  <c r="P193" i="8" s="1"/>
  <c r="P141" i="8"/>
  <c r="P138" i="8"/>
  <c r="P185" i="8" s="1"/>
  <c r="P137" i="8"/>
  <c r="P130" i="8"/>
  <c r="P134" i="8"/>
  <c r="P181" i="8" s="1"/>
  <c r="P133" i="8"/>
  <c r="S710" i="2"/>
  <c r="S713" i="2" s="1"/>
  <c r="R774" i="2"/>
  <c r="S775" i="2" s="1"/>
  <c r="R243" i="2"/>
  <c r="R54" i="2"/>
  <c r="R56" i="2" s="1"/>
  <c r="R207" i="2"/>
  <c r="O419" i="2" l="1"/>
  <c r="F666" i="2"/>
  <c r="E774" i="2"/>
  <c r="F775" i="2" s="1"/>
  <c r="E667" i="2"/>
  <c r="E61" i="2" s="1"/>
  <c r="M425" i="2"/>
  <c r="O421" i="2"/>
  <c r="Q421" i="2" s="1"/>
  <c r="AC461" i="2" s="1"/>
  <c r="P419" i="2"/>
  <c r="Q419" i="2" s="1"/>
  <c r="O423" i="2"/>
  <c r="Q423" i="2" s="1"/>
  <c r="V463" i="2" s="1"/>
  <c r="O420" i="2"/>
  <c r="Q420" i="2" s="1"/>
  <c r="I460" i="2" s="1"/>
  <c r="O289" i="2"/>
  <c r="Q289" i="2" s="1"/>
  <c r="AB329" i="2" s="1"/>
  <c r="O286" i="2"/>
  <c r="Q286" i="2" s="1"/>
  <c r="X326" i="2" s="1"/>
  <c r="M291" i="2"/>
  <c r="O288" i="2"/>
  <c r="Q288" i="2" s="1"/>
  <c r="AC328" i="2" s="1"/>
  <c r="O285" i="2"/>
  <c r="O287" i="2"/>
  <c r="Q287" i="2" s="1"/>
  <c r="M327" i="2" s="1"/>
  <c r="N291" i="2"/>
  <c r="Z462" i="2"/>
  <c r="Y462" i="2"/>
  <c r="C462" i="2"/>
  <c r="R462" i="2"/>
  <c r="W462" i="2"/>
  <c r="J462" i="2"/>
  <c r="N462" i="2"/>
  <c r="X462" i="2"/>
  <c r="H462" i="2"/>
  <c r="I462" i="2"/>
  <c r="V462" i="2"/>
  <c r="S462" i="2"/>
  <c r="G462" i="2"/>
  <c r="AB462" i="2"/>
  <c r="L462" i="2"/>
  <c r="F462" i="2"/>
  <c r="U462" i="2"/>
  <c r="E462" i="2"/>
  <c r="Q462" i="2"/>
  <c r="D462" i="2"/>
  <c r="K462" i="2"/>
  <c r="T462" i="2"/>
  <c r="M462" i="2"/>
  <c r="O462" i="2"/>
  <c r="P462" i="2"/>
  <c r="AA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G628" i="2"/>
  <c r="G634" i="2"/>
  <c r="G612" i="2" s="1"/>
  <c r="O284" i="2"/>
  <c r="N425" i="2"/>
  <c r="O418" i="2"/>
  <c r="P143" i="8"/>
  <c r="P192" i="8"/>
  <c r="P194" i="8" s="1"/>
  <c r="P131" i="8"/>
  <c r="P121" i="8"/>
  <c r="P162" i="8" s="1"/>
  <c r="P177" i="8" s="1"/>
  <c r="P178" i="8" s="1"/>
  <c r="P180" i="8"/>
  <c r="P182" i="8" s="1"/>
  <c r="P135" i="8"/>
  <c r="P139" i="8"/>
  <c r="P184" i="8"/>
  <c r="P186" i="8" s="1"/>
  <c r="T710" i="2"/>
  <c r="T713" i="2" s="1"/>
  <c r="S774" i="2"/>
  <c r="T775" i="2" s="1"/>
  <c r="S54" i="2"/>
  <c r="S56" i="2" s="1"/>
  <c r="S207" i="2"/>
  <c r="S243" i="2"/>
  <c r="S460" i="2" l="1"/>
  <c r="G55" i="2"/>
  <c r="G244" i="2"/>
  <c r="G208" i="2"/>
  <c r="F54" i="2"/>
  <c r="F56" i="2" s="1"/>
  <c r="F243" i="2"/>
  <c r="F207" i="2"/>
  <c r="AH461" i="2"/>
  <c r="Z461" i="2"/>
  <c r="AP461" i="2"/>
  <c r="Y461" i="2"/>
  <c r="V461" i="2"/>
  <c r="AL461" i="2"/>
  <c r="P461" i="2"/>
  <c r="K461" i="2"/>
  <c r="AB461" i="2"/>
  <c r="F461" i="2"/>
  <c r="AN461" i="2"/>
  <c r="AJ461" i="2"/>
  <c r="AF461" i="2"/>
  <c r="I461" i="2"/>
  <c r="AD461" i="2"/>
  <c r="J461" i="2"/>
  <c r="N461" i="2"/>
  <c r="C461" i="2"/>
  <c r="E461" i="2"/>
  <c r="AA461" i="2"/>
  <c r="AO461" i="2"/>
  <c r="AM461" i="2"/>
  <c r="AK461" i="2"/>
  <c r="AI461" i="2"/>
  <c r="AG461" i="2"/>
  <c r="AE461" i="2"/>
  <c r="T461" i="2"/>
  <c r="M461" i="2"/>
  <c r="Q461" i="2"/>
  <c r="U461" i="2"/>
  <c r="X461" i="2"/>
  <c r="S461" i="2"/>
  <c r="G461" i="2"/>
  <c r="D461" i="2"/>
  <c r="R461" i="2"/>
  <c r="L461" i="2"/>
  <c r="O461" i="2"/>
  <c r="W461" i="2"/>
  <c r="H461" i="2"/>
  <c r="Z459" i="2"/>
  <c r="W459" i="2"/>
  <c r="S459" i="2"/>
  <c r="F459" i="2"/>
  <c r="U459" i="2"/>
  <c r="C459" i="2"/>
  <c r="AC459" i="2"/>
  <c r="G459" i="2"/>
  <c r="J459" i="2"/>
  <c r="AA459" i="2"/>
  <c r="N459" i="2"/>
  <c r="M459" i="2"/>
  <c r="X459" i="2"/>
  <c r="L459" i="2"/>
  <c r="AE459" i="2"/>
  <c r="AG459" i="2"/>
  <c r="AI459" i="2"/>
  <c r="AK459" i="2"/>
  <c r="AM459" i="2"/>
  <c r="AO459" i="2"/>
  <c r="H459" i="2"/>
  <c r="R459" i="2"/>
  <c r="V459" i="2"/>
  <c r="E459" i="2"/>
  <c r="Q459" i="2"/>
  <c r="I459" i="2"/>
  <c r="O459" i="2"/>
  <c r="AB459" i="2"/>
  <c r="T459" i="2"/>
  <c r="D459" i="2"/>
  <c r="Y459" i="2"/>
  <c r="P459" i="2"/>
  <c r="AD459" i="2"/>
  <c r="K459" i="2"/>
  <c r="AF459" i="2"/>
  <c r="AH459" i="2"/>
  <c r="AJ459" i="2"/>
  <c r="AL459" i="2"/>
  <c r="AN459" i="2"/>
  <c r="AP459" i="2"/>
  <c r="P285" i="2"/>
  <c r="Q285" i="2" s="1"/>
  <c r="V326" i="2"/>
  <c r="AM326" i="2"/>
  <c r="AG327" i="2"/>
  <c r="S329" i="2"/>
  <c r="M326" i="2"/>
  <c r="M328" i="2"/>
  <c r="AE326" i="2"/>
  <c r="O326" i="2"/>
  <c r="AA327" i="2"/>
  <c r="AM460" i="2"/>
  <c r="AH463" i="2"/>
  <c r="AN329" i="2"/>
  <c r="M329" i="2"/>
  <c r="H463" i="2"/>
  <c r="AI326" i="2"/>
  <c r="AA326" i="2"/>
  <c r="AD326" i="2"/>
  <c r="T326" i="2"/>
  <c r="AC326" i="2"/>
  <c r="AO327" i="2"/>
  <c r="W327" i="2"/>
  <c r="F327" i="2"/>
  <c r="AJ328" i="2"/>
  <c r="I328" i="2"/>
  <c r="AC460" i="2"/>
  <c r="AO326" i="2"/>
  <c r="AK326" i="2"/>
  <c r="AG326" i="2"/>
  <c r="AB326" i="2"/>
  <c r="Q326" i="2"/>
  <c r="F326" i="2"/>
  <c r="D326" i="2"/>
  <c r="J326" i="2"/>
  <c r="S326" i="2"/>
  <c r="K326" i="2"/>
  <c r="AK327" i="2"/>
  <c r="Y327" i="2"/>
  <c r="Q327" i="2"/>
  <c r="G327" i="2"/>
  <c r="J327" i="2"/>
  <c r="AN328" i="2"/>
  <c r="AF328" i="2"/>
  <c r="K328" i="2"/>
  <c r="T328" i="2"/>
  <c r="AE460" i="2"/>
  <c r="AD460" i="2"/>
  <c r="AP326" i="2"/>
  <c r="AN326" i="2"/>
  <c r="AL326" i="2"/>
  <c r="AJ326" i="2"/>
  <c r="AH326" i="2"/>
  <c r="AF326" i="2"/>
  <c r="P326" i="2"/>
  <c r="E326" i="2"/>
  <c r="L326" i="2"/>
  <c r="C326" i="2"/>
  <c r="U326" i="2"/>
  <c r="R326" i="2"/>
  <c r="W326" i="2"/>
  <c r="Y326" i="2"/>
  <c r="G326" i="2"/>
  <c r="Z326" i="2"/>
  <c r="H326" i="2"/>
  <c r="N326" i="2"/>
  <c r="I326" i="2"/>
  <c r="AM327" i="2"/>
  <c r="AI327" i="2"/>
  <c r="AE327" i="2"/>
  <c r="S327" i="2"/>
  <c r="L327" i="2"/>
  <c r="T327" i="2"/>
  <c r="AB327" i="2"/>
  <c r="U327" i="2"/>
  <c r="E327" i="2"/>
  <c r="X327" i="2"/>
  <c r="AP328" i="2"/>
  <c r="AL328" i="2"/>
  <c r="AI328" i="2"/>
  <c r="X328" i="2"/>
  <c r="N328" i="2"/>
  <c r="V328" i="2"/>
  <c r="O328" i="2"/>
  <c r="D328" i="2"/>
  <c r="AI460" i="2"/>
  <c r="U460" i="2"/>
  <c r="R460" i="2"/>
  <c r="V460" i="2"/>
  <c r="N460" i="2"/>
  <c r="AF329" i="2"/>
  <c r="X329" i="2"/>
  <c r="AP463" i="2"/>
  <c r="S463" i="2"/>
  <c r="W463" i="2"/>
  <c r="AJ329" i="2"/>
  <c r="Z329" i="2"/>
  <c r="R329" i="2"/>
  <c r="C329" i="2"/>
  <c r="AC329" i="2"/>
  <c r="AL463" i="2"/>
  <c r="T463" i="2"/>
  <c r="AA463" i="2"/>
  <c r="J463" i="2"/>
  <c r="N463" i="2"/>
  <c r="AP327" i="2"/>
  <c r="AN327" i="2"/>
  <c r="AL327" i="2"/>
  <c r="AJ327" i="2"/>
  <c r="AH327" i="2"/>
  <c r="AF327" i="2"/>
  <c r="AC327" i="2"/>
  <c r="I327" i="2"/>
  <c r="D327" i="2"/>
  <c r="H327" i="2"/>
  <c r="V327" i="2"/>
  <c r="O327" i="2"/>
  <c r="R327" i="2"/>
  <c r="AD327" i="2"/>
  <c r="N327" i="2"/>
  <c r="P327" i="2"/>
  <c r="C327" i="2"/>
  <c r="K327" i="2"/>
  <c r="Z327" i="2"/>
  <c r="AO328" i="2"/>
  <c r="AM328" i="2"/>
  <c r="AK328" i="2"/>
  <c r="AH328" i="2"/>
  <c r="AG328" i="2"/>
  <c r="AE328" i="2"/>
  <c r="C328" i="2"/>
  <c r="J328" i="2"/>
  <c r="F328" i="2"/>
  <c r="U328" i="2"/>
  <c r="AA328" i="2"/>
  <c r="Y328" i="2"/>
  <c r="G328" i="2"/>
  <c r="S328" i="2"/>
  <c r="AO460" i="2"/>
  <c r="AK460" i="2"/>
  <c r="AG460" i="2"/>
  <c r="T460" i="2"/>
  <c r="O460" i="2"/>
  <c r="X460" i="2"/>
  <c r="Y460" i="2"/>
  <c r="Q460" i="2"/>
  <c r="M460" i="2"/>
  <c r="C460" i="2"/>
  <c r="AP329" i="2"/>
  <c r="AL329" i="2"/>
  <c r="AH329" i="2"/>
  <c r="G329" i="2"/>
  <c r="W329" i="2"/>
  <c r="I329" i="2"/>
  <c r="AD329" i="2"/>
  <c r="L329" i="2"/>
  <c r="P329" i="2"/>
  <c r="D329" i="2"/>
  <c r="AN463" i="2"/>
  <c r="AJ463" i="2"/>
  <c r="AF463" i="2"/>
  <c r="F463" i="2"/>
  <c r="Q463" i="2"/>
  <c r="D463" i="2"/>
  <c r="AD463" i="2"/>
  <c r="AB463" i="2"/>
  <c r="L463" i="2"/>
  <c r="AC463" i="2"/>
  <c r="Z328" i="2"/>
  <c r="P328" i="2"/>
  <c r="AD328" i="2"/>
  <c r="R328" i="2"/>
  <c r="E328" i="2"/>
  <c r="L328" i="2"/>
  <c r="W328" i="2"/>
  <c r="H328" i="2"/>
  <c r="AB328" i="2"/>
  <c r="Q328" i="2"/>
  <c r="AP460" i="2"/>
  <c r="AN460" i="2"/>
  <c r="AL460" i="2"/>
  <c r="AJ460" i="2"/>
  <c r="AH460" i="2"/>
  <c r="AF460" i="2"/>
  <c r="AB460" i="2"/>
  <c r="L460" i="2"/>
  <c r="K460" i="2"/>
  <c r="D460" i="2"/>
  <c r="P460" i="2"/>
  <c r="F460" i="2"/>
  <c r="H460" i="2"/>
  <c r="Z460" i="2"/>
  <c r="W460" i="2"/>
  <c r="G460" i="2"/>
  <c r="E460" i="2"/>
  <c r="AA460" i="2"/>
  <c r="J460" i="2"/>
  <c r="AO329" i="2"/>
  <c r="AM329" i="2"/>
  <c r="AK329" i="2"/>
  <c r="AI329" i="2"/>
  <c r="AG329" i="2"/>
  <c r="AE329" i="2"/>
  <c r="K329" i="2"/>
  <c r="J329" i="2"/>
  <c r="U329" i="2"/>
  <c r="Q329" i="2"/>
  <c r="V329" i="2"/>
  <c r="O329" i="2"/>
  <c r="F329" i="2"/>
  <c r="H329" i="2"/>
  <c r="N329" i="2"/>
  <c r="Y329" i="2"/>
  <c r="T329" i="2"/>
  <c r="AA329" i="2"/>
  <c r="E329" i="2"/>
  <c r="AO463" i="2"/>
  <c r="AM463" i="2"/>
  <c r="AK463" i="2"/>
  <c r="AI463" i="2"/>
  <c r="AG463" i="2"/>
  <c r="AE463" i="2"/>
  <c r="Z463" i="2"/>
  <c r="C463" i="2"/>
  <c r="M463" i="2"/>
  <c r="K463" i="2"/>
  <c r="P463" i="2"/>
  <c r="G463" i="2"/>
  <c r="I463" i="2"/>
  <c r="R463" i="2"/>
  <c r="E463" i="2"/>
  <c r="Y463" i="2"/>
  <c r="U463" i="2"/>
  <c r="O463" i="2"/>
  <c r="X463" i="2"/>
  <c r="P418" i="2"/>
  <c r="P425" i="2" s="1"/>
  <c r="C464" i="2" s="1"/>
  <c r="B464" i="2" s="1"/>
  <c r="O425" i="2"/>
  <c r="O291" i="2"/>
  <c r="P284" i="2"/>
  <c r="G633" i="2"/>
  <c r="G611" i="2" s="1"/>
  <c r="G608" i="2" s="1"/>
  <c r="B462" i="2"/>
  <c r="P122" i="8"/>
  <c r="P125" i="8" s="1"/>
  <c r="P163" i="8"/>
  <c r="P166" i="8" s="1"/>
  <c r="P195" i="8"/>
  <c r="P198" i="8" s="1"/>
  <c r="P144" i="8"/>
  <c r="P148" i="8" s="1"/>
  <c r="T54" i="2"/>
  <c r="T56" i="2" s="1"/>
  <c r="T207" i="2"/>
  <c r="T243" i="2"/>
  <c r="U710" i="2"/>
  <c r="U713" i="2" s="1"/>
  <c r="T774" i="2"/>
  <c r="U775" i="2" s="1"/>
  <c r="G609" i="2" l="1"/>
  <c r="H606" i="2" s="1"/>
  <c r="G80" i="2"/>
  <c r="G81" i="2" s="1"/>
  <c r="G613" i="2"/>
  <c r="F669" i="2" s="1"/>
  <c r="B461" i="2"/>
  <c r="B459" i="2"/>
  <c r="P291" i="2"/>
  <c r="C330" i="2" s="1"/>
  <c r="B330" i="2" s="1"/>
  <c r="AC325" i="2"/>
  <c r="AL325" i="2"/>
  <c r="AD325" i="2"/>
  <c r="AP325" i="2"/>
  <c r="N325" i="2"/>
  <c r="L325" i="2"/>
  <c r="AJ325" i="2"/>
  <c r="M325" i="2"/>
  <c r="F325" i="2"/>
  <c r="T325" i="2"/>
  <c r="AA325" i="2"/>
  <c r="AO325" i="2"/>
  <c r="AK325" i="2"/>
  <c r="AG325" i="2"/>
  <c r="Z325" i="2"/>
  <c r="E325" i="2"/>
  <c r="W325" i="2"/>
  <c r="C325" i="2"/>
  <c r="Q325" i="2"/>
  <c r="G325" i="2"/>
  <c r="I325" i="2"/>
  <c r="D325" i="2"/>
  <c r="P325" i="2"/>
  <c r="X325" i="2"/>
  <c r="AH325" i="2"/>
  <c r="V325" i="2"/>
  <c r="AN325" i="2"/>
  <c r="AF325" i="2"/>
  <c r="H325" i="2"/>
  <c r="O325" i="2"/>
  <c r="R325" i="2"/>
  <c r="AM325" i="2"/>
  <c r="AI325" i="2"/>
  <c r="AE325" i="2"/>
  <c r="U325" i="2"/>
  <c r="S325" i="2"/>
  <c r="K325" i="2"/>
  <c r="J325" i="2"/>
  <c r="Y325" i="2"/>
  <c r="AB325" i="2"/>
  <c r="B326" i="2"/>
  <c r="B327" i="2"/>
  <c r="B460" i="2"/>
  <c r="Q418" i="2"/>
  <c r="AE458" i="2" s="1"/>
  <c r="AE465" i="2" s="1"/>
  <c r="AE245" i="2" s="1"/>
  <c r="B463" i="2"/>
  <c r="B329" i="2"/>
  <c r="B328" i="2"/>
  <c r="G630" i="2"/>
  <c r="G631" i="2" s="1"/>
  <c r="Q284" i="2"/>
  <c r="P197" i="8"/>
  <c r="P124" i="8"/>
  <c r="P146" i="8"/>
  <c r="P147" i="8" s="1"/>
  <c r="P165" i="8"/>
  <c r="V710" i="2"/>
  <c r="V713" i="2" s="1"/>
  <c r="U774" i="2"/>
  <c r="V775" i="2" s="1"/>
  <c r="U54" i="2"/>
  <c r="U56" i="2" s="1"/>
  <c r="U207" i="2"/>
  <c r="U243" i="2"/>
  <c r="G666" i="2" l="1"/>
  <c r="F774" i="2"/>
  <c r="G775" i="2" s="1"/>
  <c r="F667" i="2"/>
  <c r="F61" i="2" s="1"/>
  <c r="B325" i="2"/>
  <c r="AO458" i="2"/>
  <c r="AO465" i="2" s="1"/>
  <c r="AO245" i="2" s="1"/>
  <c r="Q458" i="2"/>
  <c r="Q465" i="2" s="1"/>
  <c r="Q245" i="2" s="1"/>
  <c r="AG458" i="2"/>
  <c r="AG465" i="2" s="1"/>
  <c r="AG245" i="2" s="1"/>
  <c r="S458" i="2"/>
  <c r="S465" i="2" s="1"/>
  <c r="S245" i="2" s="1"/>
  <c r="G458" i="2"/>
  <c r="G465" i="2" s="1"/>
  <c r="G245" i="2" s="1"/>
  <c r="AJ458" i="2"/>
  <c r="AJ465" i="2" s="1"/>
  <c r="AJ245" i="2" s="1"/>
  <c r="T458" i="2"/>
  <c r="T465" i="2" s="1"/>
  <c r="T245" i="2" s="1"/>
  <c r="X458" i="2"/>
  <c r="X465" i="2" s="1"/>
  <c r="X245" i="2" s="1"/>
  <c r="L458" i="2"/>
  <c r="L465" i="2" s="1"/>
  <c r="L245" i="2" s="1"/>
  <c r="Z458" i="2"/>
  <c r="Z465" i="2" s="1"/>
  <c r="Z245" i="2" s="1"/>
  <c r="AM458" i="2"/>
  <c r="AM465" i="2" s="1"/>
  <c r="AM245" i="2" s="1"/>
  <c r="AI458" i="2"/>
  <c r="AI465" i="2" s="1"/>
  <c r="AI245" i="2" s="1"/>
  <c r="O458" i="2"/>
  <c r="O465" i="2" s="1"/>
  <c r="O245" i="2" s="1"/>
  <c r="R458" i="2"/>
  <c r="R465" i="2" s="1"/>
  <c r="R245" i="2" s="1"/>
  <c r="Y458" i="2"/>
  <c r="Y465" i="2" s="1"/>
  <c r="Y245" i="2" s="1"/>
  <c r="AB458" i="2"/>
  <c r="AB465" i="2" s="1"/>
  <c r="AB245" i="2" s="1"/>
  <c r="C458" i="2"/>
  <c r="C465" i="2" s="1"/>
  <c r="C245" i="2" s="1"/>
  <c r="M458" i="2"/>
  <c r="M465" i="2" s="1"/>
  <c r="M245" i="2" s="1"/>
  <c r="U458" i="2"/>
  <c r="U465" i="2" s="1"/>
  <c r="U245" i="2" s="1"/>
  <c r="AF458" i="2"/>
  <c r="AF465" i="2" s="1"/>
  <c r="AF245" i="2" s="1"/>
  <c r="AP458" i="2"/>
  <c r="AP465" i="2" s="1"/>
  <c r="AP245" i="2" s="1"/>
  <c r="AN458" i="2"/>
  <c r="AN465" i="2" s="1"/>
  <c r="AN245" i="2" s="1"/>
  <c r="AL458" i="2"/>
  <c r="AL465" i="2" s="1"/>
  <c r="AL245" i="2" s="1"/>
  <c r="AK458" i="2"/>
  <c r="AK465" i="2" s="1"/>
  <c r="AK245" i="2" s="1"/>
  <c r="AH458" i="2"/>
  <c r="AH465" i="2" s="1"/>
  <c r="AH245" i="2" s="1"/>
  <c r="D458" i="2"/>
  <c r="D465" i="2" s="1"/>
  <c r="D245" i="2" s="1"/>
  <c r="I458" i="2"/>
  <c r="I465" i="2" s="1"/>
  <c r="I245" i="2" s="1"/>
  <c r="J458" i="2"/>
  <c r="J465" i="2" s="1"/>
  <c r="J245" i="2" s="1"/>
  <c r="Q425" i="2"/>
  <c r="N458" i="2"/>
  <c r="N465" i="2" s="1"/>
  <c r="N245" i="2" s="1"/>
  <c r="P458" i="2"/>
  <c r="P465" i="2" s="1"/>
  <c r="P245" i="2" s="1"/>
  <c r="W458" i="2"/>
  <c r="W465" i="2" s="1"/>
  <c r="W245" i="2" s="1"/>
  <c r="AD458" i="2"/>
  <c r="AD465" i="2" s="1"/>
  <c r="AD245" i="2" s="1"/>
  <c r="E458" i="2"/>
  <c r="E465" i="2" s="1"/>
  <c r="E245" i="2" s="1"/>
  <c r="V458" i="2"/>
  <c r="V465" i="2" s="1"/>
  <c r="V245" i="2" s="1"/>
  <c r="H458" i="2"/>
  <c r="H465" i="2" s="1"/>
  <c r="H245" i="2" s="1"/>
  <c r="K458" i="2"/>
  <c r="K465" i="2" s="1"/>
  <c r="K245" i="2" s="1"/>
  <c r="AC458" i="2"/>
  <c r="AC465" i="2" s="1"/>
  <c r="AC245" i="2" s="1"/>
  <c r="F458" i="2"/>
  <c r="F465" i="2" s="1"/>
  <c r="F245" i="2" s="1"/>
  <c r="AA458" i="2"/>
  <c r="AA465" i="2" s="1"/>
  <c r="AA245" i="2" s="1"/>
  <c r="AE324" i="2"/>
  <c r="AE331" i="2" s="1"/>
  <c r="AE209" i="2" s="1"/>
  <c r="T324" i="2"/>
  <c r="T331" i="2" s="1"/>
  <c r="T209" i="2" s="1"/>
  <c r="T210" i="2" s="1"/>
  <c r="T238" i="2" s="1"/>
  <c r="T239" i="2" s="1"/>
  <c r="J324" i="2"/>
  <c r="J331" i="2" s="1"/>
  <c r="J209" i="2" s="1"/>
  <c r="U324" i="2"/>
  <c r="U331" i="2" s="1"/>
  <c r="U209" i="2" s="1"/>
  <c r="U210" i="2" s="1"/>
  <c r="U238" i="2" s="1"/>
  <c r="U239" i="2" s="1"/>
  <c r="U246" i="2" s="1"/>
  <c r="AB324" i="2"/>
  <c r="AB331" i="2" s="1"/>
  <c r="AB209" i="2" s="1"/>
  <c r="E324" i="2"/>
  <c r="E331" i="2" s="1"/>
  <c r="E209" i="2" s="1"/>
  <c r="E210" i="2" s="1"/>
  <c r="E238" i="2" s="1"/>
  <c r="E239" i="2" s="1"/>
  <c r="S324" i="2"/>
  <c r="S331" i="2" s="1"/>
  <c r="S209" i="2" s="1"/>
  <c r="S210" i="2" s="1"/>
  <c r="S238" i="2" s="1"/>
  <c r="S239" i="2" s="1"/>
  <c r="L324" i="2"/>
  <c r="L331" i="2" s="1"/>
  <c r="L209" i="2" s="1"/>
  <c r="O324" i="2"/>
  <c r="O331" i="2" s="1"/>
  <c r="O209" i="2" s="1"/>
  <c r="Z324" i="2"/>
  <c r="Z331" i="2" s="1"/>
  <c r="Z209" i="2" s="1"/>
  <c r="N324" i="2"/>
  <c r="N331" i="2" s="1"/>
  <c r="N209" i="2" s="1"/>
  <c r="Y324" i="2"/>
  <c r="Y331" i="2" s="1"/>
  <c r="Y209" i="2" s="1"/>
  <c r="R324" i="2"/>
  <c r="R331" i="2" s="1"/>
  <c r="R209" i="2" s="1"/>
  <c r="R210" i="2" s="1"/>
  <c r="R238" i="2" s="1"/>
  <c r="R239" i="2" s="1"/>
  <c r="X324" i="2"/>
  <c r="X331" i="2" s="1"/>
  <c r="X209" i="2" s="1"/>
  <c r="F324" i="2"/>
  <c r="F331" i="2" s="1"/>
  <c r="F209" i="2" s="1"/>
  <c r="F210" i="2" s="1"/>
  <c r="F238" i="2" s="1"/>
  <c r="F239" i="2" s="1"/>
  <c r="Q291" i="2"/>
  <c r="C324" i="2"/>
  <c r="H324" i="2"/>
  <c r="H331" i="2" s="1"/>
  <c r="H209" i="2" s="1"/>
  <c r="V324" i="2"/>
  <c r="V331" i="2" s="1"/>
  <c r="V209" i="2" s="1"/>
  <c r="K324" i="2"/>
  <c r="K331" i="2" s="1"/>
  <c r="K209" i="2" s="1"/>
  <c r="D324" i="2"/>
  <c r="D331" i="2" s="1"/>
  <c r="D209" i="2" s="1"/>
  <c r="D210" i="2" s="1"/>
  <c r="D238" i="2" s="1"/>
  <c r="D239" i="2" s="1"/>
  <c r="Q324" i="2"/>
  <c r="Q331" i="2" s="1"/>
  <c r="Q209" i="2" s="1"/>
  <c r="AC324" i="2"/>
  <c r="AC331" i="2" s="1"/>
  <c r="AC209" i="2" s="1"/>
  <c r="G324" i="2"/>
  <c r="G331" i="2" s="1"/>
  <c r="G209" i="2" s="1"/>
  <c r="I324" i="2"/>
  <c r="I331" i="2" s="1"/>
  <c r="I209" i="2" s="1"/>
  <c r="P324" i="2"/>
  <c r="P331" i="2" s="1"/>
  <c r="P209" i="2" s="1"/>
  <c r="AA324" i="2"/>
  <c r="AA331" i="2" s="1"/>
  <c r="AA209" i="2" s="1"/>
  <c r="W324" i="2"/>
  <c r="W331" i="2" s="1"/>
  <c r="W209" i="2" s="1"/>
  <c r="M324" i="2"/>
  <c r="M331" i="2" s="1"/>
  <c r="M209" i="2" s="1"/>
  <c r="AD324" i="2"/>
  <c r="AD331" i="2" s="1"/>
  <c r="AD209" i="2" s="1"/>
  <c r="AF324" i="2"/>
  <c r="AF331" i="2" s="1"/>
  <c r="AF209" i="2" s="1"/>
  <c r="AG324" i="2"/>
  <c r="AG331" i="2" s="1"/>
  <c r="AG209" i="2" s="1"/>
  <c r="AH324" i="2"/>
  <c r="AH331" i="2" s="1"/>
  <c r="AH209" i="2" s="1"/>
  <c r="AI324" i="2"/>
  <c r="AI331" i="2" s="1"/>
  <c r="AI209" i="2" s="1"/>
  <c r="AJ324" i="2"/>
  <c r="AJ331" i="2" s="1"/>
  <c r="AJ209" i="2" s="1"/>
  <c r="AK324" i="2"/>
  <c r="AK331" i="2" s="1"/>
  <c r="AK209" i="2" s="1"/>
  <c r="AL324" i="2"/>
  <c r="AL331" i="2" s="1"/>
  <c r="AL209" i="2" s="1"/>
  <c r="AM324" i="2"/>
  <c r="AM331" i="2" s="1"/>
  <c r="AM209" i="2" s="1"/>
  <c r="AN324" i="2"/>
  <c r="AN331" i="2" s="1"/>
  <c r="AN209" i="2" s="1"/>
  <c r="AO324" i="2"/>
  <c r="AO331" i="2" s="1"/>
  <c r="AO209" i="2" s="1"/>
  <c r="AP324" i="2"/>
  <c r="AP331" i="2" s="1"/>
  <c r="AP209" i="2" s="1"/>
  <c r="H628" i="2"/>
  <c r="H634" i="2"/>
  <c r="H612" i="2" s="1"/>
  <c r="P150" i="8"/>
  <c r="Q142" i="8"/>
  <c r="Q193" i="8" s="1"/>
  <c r="Q141" i="8"/>
  <c r="Q138" i="8"/>
  <c r="Q185" i="8" s="1"/>
  <c r="Q137" i="8"/>
  <c r="Q130" i="8"/>
  <c r="Q134" i="8"/>
  <c r="Q181" i="8" s="1"/>
  <c r="Q133" i="8"/>
  <c r="W710" i="2"/>
  <c r="W713" i="2" s="1"/>
  <c r="V774" i="2"/>
  <c r="W775" i="2" s="1"/>
  <c r="V243" i="2"/>
  <c r="V54" i="2"/>
  <c r="V56" i="2" s="1"/>
  <c r="V207" i="2"/>
  <c r="H55" i="2" l="1"/>
  <c r="H244" i="2"/>
  <c r="H208" i="2"/>
  <c r="G243" i="2"/>
  <c r="G207" i="2"/>
  <c r="G210" i="2" s="1"/>
  <c r="G238" i="2" s="1"/>
  <c r="G239" i="2" s="1"/>
  <c r="G54" i="2"/>
  <c r="G56" i="2" s="1"/>
  <c r="U249" i="2"/>
  <c r="U277" i="2" s="1"/>
  <c r="U278" i="2" s="1"/>
  <c r="U108" i="2" s="1"/>
  <c r="B458" i="2"/>
  <c r="B465" i="2"/>
  <c r="U107" i="2"/>
  <c r="H633" i="2"/>
  <c r="H611" i="2" s="1"/>
  <c r="D107" i="2"/>
  <c r="D246" i="2"/>
  <c r="D249" i="2" s="1"/>
  <c r="C331" i="2"/>
  <c r="C209" i="2" s="1"/>
  <c r="C210" i="2" s="1"/>
  <c r="C238" i="2" s="1"/>
  <c r="C239" i="2" s="1"/>
  <c r="B324" i="2"/>
  <c r="F107" i="2"/>
  <c r="F246" i="2"/>
  <c r="F249" i="2" s="1"/>
  <c r="R246" i="2"/>
  <c r="R249" i="2" s="1"/>
  <c r="R107" i="2"/>
  <c r="S107" i="2"/>
  <c r="S246" i="2"/>
  <c r="S249" i="2" s="1"/>
  <c r="E107" i="2"/>
  <c r="E246" i="2"/>
  <c r="E249" i="2" s="1"/>
  <c r="T246" i="2"/>
  <c r="T249" i="2" s="1"/>
  <c r="T107" i="2"/>
  <c r="V210" i="2"/>
  <c r="V238" i="2" s="1"/>
  <c r="V239" i="2" s="1"/>
  <c r="V107" i="2" s="1"/>
  <c r="Q143" i="8"/>
  <c r="Q192" i="8"/>
  <c r="Q194" i="8" s="1"/>
  <c r="Q180" i="8"/>
  <c r="Q182" i="8" s="1"/>
  <c r="Q135" i="8"/>
  <c r="Q139" i="8"/>
  <c r="Q184" i="8"/>
  <c r="Q186" i="8" s="1"/>
  <c r="Q121" i="8"/>
  <c r="Q162" i="8" s="1"/>
  <c r="Q177" i="8" s="1"/>
  <c r="Q178" i="8" s="1"/>
  <c r="Q131" i="8"/>
  <c r="W243" i="2"/>
  <c r="W54" i="2"/>
  <c r="W56" i="2" s="1"/>
  <c r="W207" i="2"/>
  <c r="W210" i="2" s="1"/>
  <c r="W238" i="2" s="1"/>
  <c r="W239" i="2" s="1"/>
  <c r="X710" i="2"/>
  <c r="X713" i="2" s="1"/>
  <c r="W774" i="2"/>
  <c r="X775" i="2" s="1"/>
  <c r="G246" i="2" l="1"/>
  <c r="G249" i="2" s="1"/>
  <c r="G107" i="2"/>
  <c r="H613" i="2"/>
  <c r="G669" i="2" s="1"/>
  <c r="H608" i="2"/>
  <c r="F277" i="2"/>
  <c r="F278" i="2" s="1"/>
  <c r="F108" i="2" s="1"/>
  <c r="F109" i="2" s="1"/>
  <c r="S277" i="2"/>
  <c r="S278" i="2" s="1"/>
  <c r="S108" i="2" s="1"/>
  <c r="S109" i="2" s="1"/>
  <c r="G277" i="2"/>
  <c r="G278" i="2" s="1"/>
  <c r="G108" i="2" s="1"/>
  <c r="T277" i="2"/>
  <c r="T278" i="2" s="1"/>
  <c r="T108" i="2" s="1"/>
  <c r="T109" i="2" s="1"/>
  <c r="R277" i="2"/>
  <c r="R278" i="2" s="1"/>
  <c r="R108" i="2" s="1"/>
  <c r="R109" i="2" s="1"/>
  <c r="D277" i="2"/>
  <c r="D278" i="2" s="1"/>
  <c r="D108" i="2" s="1"/>
  <c r="D109" i="2" s="1"/>
  <c r="E277" i="2"/>
  <c r="E278" i="2" s="1"/>
  <c r="E108" i="2" s="1"/>
  <c r="E109" i="2" s="1"/>
  <c r="U109" i="2"/>
  <c r="V246" i="2"/>
  <c r="V249" i="2" s="1"/>
  <c r="C246" i="2"/>
  <c r="C249" i="2" s="1"/>
  <c r="C107" i="2"/>
  <c r="H630" i="2"/>
  <c r="H631" i="2" s="1"/>
  <c r="B331" i="2"/>
  <c r="Q195" i="8"/>
  <c r="Q122" i="8"/>
  <c r="Q125" i="8" s="1"/>
  <c r="Q163" i="8"/>
  <c r="Q166" i="8" s="1"/>
  <c r="Q144" i="8"/>
  <c r="Q148" i="8" s="1"/>
  <c r="Y710" i="2"/>
  <c r="Y713" i="2" s="1"/>
  <c r="X774" i="2"/>
  <c r="Y775" i="2" s="1"/>
  <c r="W107" i="2"/>
  <c r="W246" i="2"/>
  <c r="W249" i="2" s="1"/>
  <c r="X243" i="2"/>
  <c r="X54" i="2"/>
  <c r="X56" i="2" s="1"/>
  <c r="X207" i="2"/>
  <c r="X210" i="2" s="1"/>
  <c r="X238" i="2" s="1"/>
  <c r="X239" i="2" s="1"/>
  <c r="G109" i="2" l="1"/>
  <c r="H666" i="2"/>
  <c r="G774" i="2"/>
  <c r="H775" i="2" s="1"/>
  <c r="G667" i="2"/>
  <c r="G61" i="2" s="1"/>
  <c r="H609" i="2"/>
  <c r="I606" i="2" s="1"/>
  <c r="H80" i="2"/>
  <c r="H81" i="2" s="1"/>
  <c r="W277" i="2"/>
  <c r="W278" i="2" s="1"/>
  <c r="W108" i="2" s="1"/>
  <c r="W109" i="2" s="1"/>
  <c r="C277" i="2"/>
  <c r="C278" i="2" s="1"/>
  <c r="C108" i="2" s="1"/>
  <c r="V277" i="2"/>
  <c r="V278" i="2" s="1"/>
  <c r="V108" i="2" s="1"/>
  <c r="V109" i="2" s="1"/>
  <c r="I628" i="2"/>
  <c r="I634" i="2"/>
  <c r="I612" i="2" s="1"/>
  <c r="C150" i="2"/>
  <c r="Q197" i="8"/>
  <c r="Q198" i="8"/>
  <c r="Q146" i="8"/>
  <c r="Q147" i="8" s="1"/>
  <c r="Q124" i="8"/>
  <c r="Q165" i="8"/>
  <c r="X107" i="2"/>
  <c r="X246" i="2"/>
  <c r="X249" i="2" s="1"/>
  <c r="Y54" i="2"/>
  <c r="Y56" i="2" s="1"/>
  <c r="Y207" i="2"/>
  <c r="Y210" i="2" s="1"/>
  <c r="Y238" i="2" s="1"/>
  <c r="Y239" i="2" s="1"/>
  <c r="Y243" i="2"/>
  <c r="Z710" i="2"/>
  <c r="Z713" i="2" s="1"/>
  <c r="Y774" i="2"/>
  <c r="Z775" i="2" s="1"/>
  <c r="I55" i="2" l="1"/>
  <c r="I244" i="2"/>
  <c r="I208" i="2"/>
  <c r="H243" i="2"/>
  <c r="H207" i="2"/>
  <c r="H210" i="2" s="1"/>
  <c r="H238" i="2" s="1"/>
  <c r="H239" i="2" s="1"/>
  <c r="H54" i="2"/>
  <c r="H56" i="2" s="1"/>
  <c r="C151" i="2"/>
  <c r="C194" i="2" s="1"/>
  <c r="C109" i="2"/>
  <c r="X277" i="2"/>
  <c r="X278" i="2" s="1"/>
  <c r="X108" i="2" s="1"/>
  <c r="C193" i="2"/>
  <c r="I633" i="2"/>
  <c r="I611" i="2" s="1"/>
  <c r="Q150" i="8"/>
  <c r="R142" i="8"/>
  <c r="R193" i="8" s="1"/>
  <c r="R141" i="8"/>
  <c r="R138" i="8"/>
  <c r="R185" i="8" s="1"/>
  <c r="R137" i="8"/>
  <c r="R130" i="8"/>
  <c r="R134" i="8"/>
  <c r="R181" i="8" s="1"/>
  <c r="R133" i="8"/>
  <c r="AA710" i="2"/>
  <c r="AA713" i="2" s="1"/>
  <c r="Z774" i="2"/>
  <c r="AA775" i="2" s="1"/>
  <c r="Z54" i="2"/>
  <c r="Z56" i="2" s="1"/>
  <c r="Z207" i="2"/>
  <c r="Z210" i="2" s="1"/>
  <c r="Z238" i="2" s="1"/>
  <c r="Z239" i="2" s="1"/>
  <c r="Z243" i="2"/>
  <c r="Y107" i="2"/>
  <c r="Y246" i="2"/>
  <c r="Y249" i="2" s="1"/>
  <c r="X109" i="2"/>
  <c r="H107" i="2" l="1"/>
  <c r="H246" i="2"/>
  <c r="H249" i="2" s="1"/>
  <c r="H277" i="2" s="1"/>
  <c r="H278" i="2" s="1"/>
  <c r="H108" i="2" s="1"/>
  <c r="I613" i="2"/>
  <c r="H669" i="2" s="1"/>
  <c r="I608" i="2"/>
  <c r="C152" i="2"/>
  <c r="C195" i="2"/>
  <c r="Y277" i="2"/>
  <c r="Y278" i="2" s="1"/>
  <c r="Y108" i="2" s="1"/>
  <c r="Y109" i="2" s="1"/>
  <c r="I630" i="2"/>
  <c r="I631" i="2" s="1"/>
  <c r="R143" i="8"/>
  <c r="R192" i="8"/>
  <c r="R194" i="8" s="1"/>
  <c r="R131" i="8"/>
  <c r="R121" i="8"/>
  <c r="R162" i="8" s="1"/>
  <c r="R177" i="8" s="1"/>
  <c r="R178" i="8" s="1"/>
  <c r="R180" i="8"/>
  <c r="R182" i="8" s="1"/>
  <c r="R135" i="8"/>
  <c r="R139" i="8"/>
  <c r="R184" i="8"/>
  <c r="R186" i="8" s="1"/>
  <c r="AA243" i="2"/>
  <c r="AA207" i="2"/>
  <c r="AA210" i="2" s="1"/>
  <c r="AA238" i="2" s="1"/>
  <c r="AA239" i="2" s="1"/>
  <c r="AA54" i="2"/>
  <c r="AA56" i="2" s="1"/>
  <c r="Z107" i="2"/>
  <c r="Z246" i="2"/>
  <c r="Z249" i="2" s="1"/>
  <c r="AB710" i="2"/>
  <c r="AB713" i="2" s="1"/>
  <c r="AA774" i="2"/>
  <c r="AB775" i="2" s="1"/>
  <c r="I666" i="2" l="1"/>
  <c r="H774" i="2"/>
  <c r="I775" i="2" s="1"/>
  <c r="H667" i="2"/>
  <c r="H61" i="2" s="1"/>
  <c r="H109" i="2"/>
  <c r="I609" i="2"/>
  <c r="J606" i="2" s="1"/>
  <c r="I80" i="2"/>
  <c r="I81" i="2" s="1"/>
  <c r="Z277" i="2"/>
  <c r="Z278" i="2" s="1"/>
  <c r="Z108" i="2" s="1"/>
  <c r="Z109" i="2" s="1"/>
  <c r="J628" i="2"/>
  <c r="J634" i="2"/>
  <c r="J612" i="2" s="1"/>
  <c r="R122" i="8"/>
  <c r="R125" i="8" s="1"/>
  <c r="R163" i="8"/>
  <c r="R166" i="8" s="1"/>
  <c r="R195" i="8"/>
  <c r="R198" i="8" s="1"/>
  <c r="R144" i="8"/>
  <c r="R148" i="8" s="1"/>
  <c r="AC710" i="2"/>
  <c r="AC713" i="2" s="1"/>
  <c r="AB774" i="2"/>
  <c r="AC775" i="2" s="1"/>
  <c r="AA107" i="2"/>
  <c r="AA246" i="2"/>
  <c r="AA249" i="2" s="1"/>
  <c r="AB243" i="2"/>
  <c r="AB54" i="2"/>
  <c r="AB56" i="2" s="1"/>
  <c r="AB207" i="2"/>
  <c r="AB210" i="2" s="1"/>
  <c r="AB238" i="2" s="1"/>
  <c r="AB239" i="2" s="1"/>
  <c r="J55" i="2" l="1"/>
  <c r="J244" i="2"/>
  <c r="J208" i="2"/>
  <c r="I243" i="2"/>
  <c r="I207" i="2"/>
  <c r="I210" i="2" s="1"/>
  <c r="I238" i="2" s="1"/>
  <c r="I239" i="2" s="1"/>
  <c r="I54" i="2"/>
  <c r="I56" i="2" s="1"/>
  <c r="AA277" i="2"/>
  <c r="AA278" i="2" s="1"/>
  <c r="AA108" i="2" s="1"/>
  <c r="AA109" i="2" s="1"/>
  <c r="J633" i="2"/>
  <c r="J611" i="2" s="1"/>
  <c r="R197" i="8"/>
  <c r="R124" i="8"/>
  <c r="R146" i="8"/>
  <c r="R147" i="8" s="1"/>
  <c r="R165" i="8"/>
  <c r="AB107" i="2"/>
  <c r="AB246" i="2"/>
  <c r="AB249" i="2" s="1"/>
  <c r="AC54" i="2"/>
  <c r="AC56" i="2" s="1"/>
  <c r="AC207" i="2"/>
  <c r="AC210" i="2" s="1"/>
  <c r="AC238" i="2" s="1"/>
  <c r="AC239" i="2" s="1"/>
  <c r="AC243" i="2"/>
  <c r="AD710" i="2"/>
  <c r="AD713" i="2" s="1"/>
  <c r="AC774" i="2"/>
  <c r="AD775" i="2" s="1"/>
  <c r="I246" i="2" l="1"/>
  <c r="I249" i="2" s="1"/>
  <c r="I277" i="2" s="1"/>
  <c r="I278" i="2" s="1"/>
  <c r="I108" i="2" s="1"/>
  <c r="I107" i="2"/>
  <c r="J613" i="2"/>
  <c r="I669" i="2" s="1"/>
  <c r="J608" i="2"/>
  <c r="AB277" i="2"/>
  <c r="AB278" i="2" s="1"/>
  <c r="AB108" i="2" s="1"/>
  <c r="AB109" i="2" s="1"/>
  <c r="J630" i="2"/>
  <c r="J631" i="2" s="1"/>
  <c r="R150" i="8"/>
  <c r="S142" i="8"/>
  <c r="S193" i="8" s="1"/>
  <c r="S141" i="8"/>
  <c r="S138" i="8"/>
  <c r="S185" i="8" s="1"/>
  <c r="S137" i="8"/>
  <c r="S130" i="8"/>
  <c r="S134" i="8"/>
  <c r="S181" i="8" s="1"/>
  <c r="S133" i="8"/>
  <c r="AE710" i="2"/>
  <c r="AE713" i="2" s="1"/>
  <c r="AD774" i="2"/>
  <c r="AE775" i="2" s="1"/>
  <c r="AC107" i="2"/>
  <c r="AC246" i="2"/>
  <c r="AC249" i="2" s="1"/>
  <c r="AD54" i="2"/>
  <c r="AD56" i="2" s="1"/>
  <c r="AD207" i="2"/>
  <c r="AD210" i="2" s="1"/>
  <c r="AD238" i="2" s="1"/>
  <c r="AD239" i="2" s="1"/>
  <c r="AD243" i="2"/>
  <c r="I109" i="2" l="1"/>
  <c r="J666" i="2"/>
  <c r="I774" i="2"/>
  <c r="J775" i="2" s="1"/>
  <c r="I667" i="2"/>
  <c r="I61" i="2" s="1"/>
  <c r="J609" i="2"/>
  <c r="K606" i="2" s="1"/>
  <c r="J80" i="2"/>
  <c r="J81" i="2" s="1"/>
  <c r="AC277" i="2"/>
  <c r="AC278" i="2" s="1"/>
  <c r="AC108" i="2" s="1"/>
  <c r="AC109" i="2" s="1"/>
  <c r="K634" i="2"/>
  <c r="K612" i="2" s="1"/>
  <c r="K628" i="2"/>
  <c r="S143" i="8"/>
  <c r="S192" i="8"/>
  <c r="S194" i="8" s="1"/>
  <c r="S180" i="8"/>
  <c r="S182" i="8" s="1"/>
  <c r="S135" i="8"/>
  <c r="S139" i="8"/>
  <c r="S184" i="8"/>
  <c r="S186" i="8" s="1"/>
  <c r="S121" i="8"/>
  <c r="S162" i="8" s="1"/>
  <c r="S177" i="8" s="1"/>
  <c r="S178" i="8" s="1"/>
  <c r="S131" i="8"/>
  <c r="AD107" i="2"/>
  <c r="AD246" i="2"/>
  <c r="AD249" i="2" s="1"/>
  <c r="AE243" i="2"/>
  <c r="AE54" i="2"/>
  <c r="AE56" i="2" s="1"/>
  <c r="AE207" i="2"/>
  <c r="AE210" i="2" s="1"/>
  <c r="AE238" i="2" s="1"/>
  <c r="AE239" i="2" s="1"/>
  <c r="AF710" i="2"/>
  <c r="AF713" i="2" s="1"/>
  <c r="AE774" i="2"/>
  <c r="AF775" i="2" s="1"/>
  <c r="K55" i="2" l="1"/>
  <c r="K244" i="2"/>
  <c r="K208" i="2"/>
  <c r="J243" i="2"/>
  <c r="J54" i="2"/>
  <c r="J56" i="2" s="1"/>
  <c r="J207" i="2"/>
  <c r="J210" i="2" s="1"/>
  <c r="J238" i="2" s="1"/>
  <c r="J239" i="2" s="1"/>
  <c r="AD277" i="2"/>
  <c r="AD278" i="2" s="1"/>
  <c r="AD108" i="2" s="1"/>
  <c r="AD109" i="2" s="1"/>
  <c r="K633" i="2"/>
  <c r="K611" i="2" s="1"/>
  <c r="S195" i="8"/>
  <c r="S122" i="8"/>
  <c r="S125" i="8" s="1"/>
  <c r="S163" i="8"/>
  <c r="S166" i="8" s="1"/>
  <c r="S144" i="8"/>
  <c r="S148" i="8" s="1"/>
  <c r="AF54" i="2"/>
  <c r="AF56" i="2" s="1"/>
  <c r="AF207" i="2"/>
  <c r="AF210" i="2" s="1"/>
  <c r="AF238" i="2" s="1"/>
  <c r="AF239" i="2" s="1"/>
  <c r="AF243" i="2"/>
  <c r="AG710" i="2"/>
  <c r="AG713" i="2" s="1"/>
  <c r="AF774" i="2"/>
  <c r="AG775" i="2" s="1"/>
  <c r="AE107" i="2"/>
  <c r="AE246" i="2"/>
  <c r="AE249" i="2" s="1"/>
  <c r="AG243" i="2" l="1"/>
  <c r="AG54" i="2"/>
  <c r="AG56" i="2" s="1"/>
  <c r="AG207" i="2"/>
  <c r="AG210" i="2" s="1"/>
  <c r="AG238" i="2" s="1"/>
  <c r="AG239" i="2" s="1"/>
  <c r="J246" i="2"/>
  <c r="J249" i="2" s="1"/>
  <c r="J277" i="2" s="1"/>
  <c r="J278" i="2" s="1"/>
  <c r="J108" i="2" s="1"/>
  <c r="J107" i="2"/>
  <c r="K613" i="2"/>
  <c r="J669" i="2" s="1"/>
  <c r="K608" i="2"/>
  <c r="AE277" i="2"/>
  <c r="AE278" i="2" s="1"/>
  <c r="AE108" i="2" s="1"/>
  <c r="AE109" i="2" s="1"/>
  <c r="K630" i="2"/>
  <c r="K631" i="2" s="1"/>
  <c r="S197" i="8"/>
  <c r="S198" i="8"/>
  <c r="S146" i="8"/>
  <c r="S147" i="8" s="1"/>
  <c r="S124" i="8"/>
  <c r="S165" i="8"/>
  <c r="AF107" i="2"/>
  <c r="AF246" i="2"/>
  <c r="AF249" i="2" s="1"/>
  <c r="AH710" i="2"/>
  <c r="AH713" i="2" s="1"/>
  <c r="AG774" i="2"/>
  <c r="AH775" i="2" s="1"/>
  <c r="AG107" i="2" l="1"/>
  <c r="AG246" i="2"/>
  <c r="AG249" i="2" s="1"/>
  <c r="AG277" i="2" s="1"/>
  <c r="AG278" i="2" s="1"/>
  <c r="AG108" i="2" s="1"/>
  <c r="AH243" i="2"/>
  <c r="AH54" i="2"/>
  <c r="AH56" i="2" s="1"/>
  <c r="AH207" i="2"/>
  <c r="AH210" i="2" s="1"/>
  <c r="AH238" i="2" s="1"/>
  <c r="AH239" i="2" s="1"/>
  <c r="J109" i="2"/>
  <c r="K666" i="2"/>
  <c r="J774" i="2"/>
  <c r="K775" i="2" s="1"/>
  <c r="J667" i="2"/>
  <c r="J61" i="2" s="1"/>
  <c r="K609" i="2"/>
  <c r="L606" i="2" s="1"/>
  <c r="K80" i="2"/>
  <c r="K81" i="2" s="1"/>
  <c r="AF277" i="2"/>
  <c r="AF278" i="2" s="1"/>
  <c r="AF108" i="2" s="1"/>
  <c r="AF109" i="2" s="1"/>
  <c r="L634" i="2"/>
  <c r="L612" i="2" s="1"/>
  <c r="L628" i="2"/>
  <c r="S150" i="8"/>
  <c r="T142" i="8"/>
  <c r="T193" i="8" s="1"/>
  <c r="T141" i="8"/>
  <c r="T138" i="8"/>
  <c r="T185" i="8" s="1"/>
  <c r="T137" i="8"/>
  <c r="T130" i="8"/>
  <c r="T134" i="8"/>
  <c r="T181" i="8" s="1"/>
  <c r="T133" i="8"/>
  <c r="AI710" i="2"/>
  <c r="AI713" i="2" s="1"/>
  <c r="AH774" i="2"/>
  <c r="AI775" i="2" s="1"/>
  <c r="AH107" i="2" l="1"/>
  <c r="AH246" i="2"/>
  <c r="AH249" i="2" s="1"/>
  <c r="AH277" i="2" s="1"/>
  <c r="AH278" i="2" s="1"/>
  <c r="AH108" i="2" s="1"/>
  <c r="AG109" i="2"/>
  <c r="AI243" i="2"/>
  <c r="AI54" i="2"/>
  <c r="AI56" i="2" s="1"/>
  <c r="AI207" i="2"/>
  <c r="AI210" i="2" s="1"/>
  <c r="AI238" i="2" s="1"/>
  <c r="AI239" i="2" s="1"/>
  <c r="L55" i="2"/>
  <c r="L244" i="2"/>
  <c r="L208" i="2"/>
  <c r="K207" i="2"/>
  <c r="K210" i="2" s="1"/>
  <c r="K238" i="2" s="1"/>
  <c r="K239" i="2" s="1"/>
  <c r="K54" i="2"/>
  <c r="K56" i="2" s="1"/>
  <c r="K243" i="2"/>
  <c r="L633" i="2"/>
  <c r="L611" i="2" s="1"/>
  <c r="T143" i="8"/>
  <c r="T192" i="8"/>
  <c r="T194" i="8" s="1"/>
  <c r="T131" i="8"/>
  <c r="T121" i="8"/>
  <c r="T162" i="8" s="1"/>
  <c r="T177" i="8" s="1"/>
  <c r="T178" i="8" s="1"/>
  <c r="T180" i="8"/>
  <c r="T182" i="8" s="1"/>
  <c r="T135" i="8"/>
  <c r="T139" i="8"/>
  <c r="T184" i="8"/>
  <c r="T186" i="8" s="1"/>
  <c r="AJ710" i="2"/>
  <c r="AJ713" i="2" s="1"/>
  <c r="AI774" i="2"/>
  <c r="AJ775" i="2" s="1"/>
  <c r="AJ54" i="2" l="1"/>
  <c r="AJ56" i="2" s="1"/>
  <c r="AJ207" i="2"/>
  <c r="AJ210" i="2" s="1"/>
  <c r="AJ238" i="2" s="1"/>
  <c r="AJ239" i="2" s="1"/>
  <c r="AJ243" i="2"/>
  <c r="AH109" i="2"/>
  <c r="AI107" i="2"/>
  <c r="AI246" i="2"/>
  <c r="AI249" i="2" s="1"/>
  <c r="AI277" i="2" s="1"/>
  <c r="AI278" i="2" s="1"/>
  <c r="AI108" i="2" s="1"/>
  <c r="K246" i="2"/>
  <c r="K249" i="2" s="1"/>
  <c r="K277" i="2" s="1"/>
  <c r="K278" i="2" s="1"/>
  <c r="K108" i="2" s="1"/>
  <c r="K107" i="2"/>
  <c r="L613" i="2"/>
  <c r="K669" i="2" s="1"/>
  <c r="L608" i="2"/>
  <c r="L630" i="2"/>
  <c r="L631" i="2" s="1"/>
  <c r="T122" i="8"/>
  <c r="T125" i="8" s="1"/>
  <c r="T163" i="8"/>
  <c r="T166" i="8" s="1"/>
  <c r="T195" i="8"/>
  <c r="T198" i="8" s="1"/>
  <c r="T144" i="8"/>
  <c r="T148" i="8" s="1"/>
  <c r="AK710" i="2"/>
  <c r="AK713" i="2" s="1"/>
  <c r="AJ774" i="2"/>
  <c r="AK775" i="2" s="1"/>
  <c r="AI109" i="2" l="1"/>
  <c r="AK54" i="2"/>
  <c r="AK56" i="2" s="1"/>
  <c r="AK207" i="2"/>
  <c r="AK210" i="2" s="1"/>
  <c r="AK238" i="2" s="1"/>
  <c r="AK239" i="2" s="1"/>
  <c r="AK243" i="2"/>
  <c r="AJ107" i="2"/>
  <c r="AJ246" i="2"/>
  <c r="AJ249" i="2" s="1"/>
  <c r="AJ277" i="2" s="1"/>
  <c r="AJ278" i="2" s="1"/>
  <c r="AJ108" i="2" s="1"/>
  <c r="K109" i="2"/>
  <c r="L666" i="2"/>
  <c r="K774" i="2"/>
  <c r="L775" i="2" s="1"/>
  <c r="K667" i="2"/>
  <c r="K61" i="2" s="1"/>
  <c r="L609" i="2"/>
  <c r="M606" i="2" s="1"/>
  <c r="L80" i="2"/>
  <c r="L81" i="2" s="1"/>
  <c r="M628" i="2"/>
  <c r="M634" i="2"/>
  <c r="M612" i="2" s="1"/>
  <c r="T197" i="8"/>
  <c r="T124" i="8"/>
  <c r="T146" i="8"/>
  <c r="T147" i="8" s="1"/>
  <c r="T165" i="8"/>
  <c r="AL710" i="2"/>
  <c r="AL713" i="2" s="1"/>
  <c r="AK774" i="2"/>
  <c r="AL775" i="2" s="1"/>
  <c r="AL243" i="2" l="1"/>
  <c r="AL54" i="2"/>
  <c r="AL56" i="2" s="1"/>
  <c r="AL207" i="2"/>
  <c r="AL210" i="2" s="1"/>
  <c r="AL238" i="2" s="1"/>
  <c r="AL239" i="2" s="1"/>
  <c r="AK107" i="2"/>
  <c r="AK246" i="2"/>
  <c r="AK249" i="2" s="1"/>
  <c r="AK277" i="2" s="1"/>
  <c r="AK278" i="2" s="1"/>
  <c r="AK108" i="2" s="1"/>
  <c r="AJ109" i="2"/>
  <c r="M55" i="2"/>
  <c r="M244" i="2"/>
  <c r="M208" i="2"/>
  <c r="L207" i="2"/>
  <c r="L210" i="2" s="1"/>
  <c r="L238" i="2" s="1"/>
  <c r="L239" i="2" s="1"/>
  <c r="L54" i="2"/>
  <c r="L56" i="2" s="1"/>
  <c r="L243" i="2"/>
  <c r="M633" i="2"/>
  <c r="M611" i="2" s="1"/>
  <c r="T150" i="8"/>
  <c r="U142" i="8"/>
  <c r="U193" i="8" s="1"/>
  <c r="U141" i="8"/>
  <c r="U138" i="8"/>
  <c r="U185" i="8" s="1"/>
  <c r="U137" i="8"/>
  <c r="U130" i="8"/>
  <c r="U134" i="8"/>
  <c r="U181" i="8" s="1"/>
  <c r="U133" i="8"/>
  <c r="AM710" i="2"/>
  <c r="AM713" i="2" s="1"/>
  <c r="AL774" i="2"/>
  <c r="AM775" i="2" s="1"/>
  <c r="AK109" i="2" l="1"/>
  <c r="AL107" i="2"/>
  <c r="AL246" i="2"/>
  <c r="AL249" i="2" s="1"/>
  <c r="AL277" i="2" s="1"/>
  <c r="AL278" i="2" s="1"/>
  <c r="AL108" i="2" s="1"/>
  <c r="AM243" i="2"/>
  <c r="AM54" i="2"/>
  <c r="AM56" i="2" s="1"/>
  <c r="AM207" i="2"/>
  <c r="AM210" i="2" s="1"/>
  <c r="AM238" i="2" s="1"/>
  <c r="AM239" i="2" s="1"/>
  <c r="L107" i="2"/>
  <c r="L246" i="2"/>
  <c r="L249" i="2" s="1"/>
  <c r="L277" i="2" s="1"/>
  <c r="L278" i="2" s="1"/>
  <c r="L108" i="2" s="1"/>
  <c r="M613" i="2"/>
  <c r="L669" i="2" s="1"/>
  <c r="M608" i="2"/>
  <c r="M630" i="2"/>
  <c r="M631" i="2" s="1"/>
  <c r="U143" i="8"/>
  <c r="U192" i="8"/>
  <c r="U194" i="8" s="1"/>
  <c r="U180" i="8"/>
  <c r="U182" i="8" s="1"/>
  <c r="U135" i="8"/>
  <c r="U139" i="8"/>
  <c r="U184" i="8"/>
  <c r="U186" i="8" s="1"/>
  <c r="U121" i="8"/>
  <c r="U162" i="8" s="1"/>
  <c r="U177" i="8" s="1"/>
  <c r="U178" i="8" s="1"/>
  <c r="U131" i="8"/>
  <c r="AN710" i="2"/>
  <c r="AN713" i="2" s="1"/>
  <c r="AM774" i="2"/>
  <c r="AN775" i="2" s="1"/>
  <c r="AM107" i="2" l="1"/>
  <c r="AM246" i="2"/>
  <c r="AM249" i="2" s="1"/>
  <c r="AM277" i="2" s="1"/>
  <c r="AM278" i="2" s="1"/>
  <c r="AM108" i="2" s="1"/>
  <c r="AL109" i="2"/>
  <c r="AN243" i="2"/>
  <c r="AN54" i="2"/>
  <c r="AN56" i="2" s="1"/>
  <c r="AN207" i="2"/>
  <c r="AN210" i="2" s="1"/>
  <c r="AN238" i="2" s="1"/>
  <c r="AN239" i="2" s="1"/>
  <c r="L109" i="2"/>
  <c r="M666" i="2"/>
  <c r="L667" i="2"/>
  <c r="L61" i="2" s="1"/>
  <c r="L774" i="2"/>
  <c r="M775" i="2" s="1"/>
  <c r="M609" i="2"/>
  <c r="N606" i="2" s="1"/>
  <c r="M80" i="2"/>
  <c r="M81" i="2" s="1"/>
  <c r="N628" i="2"/>
  <c r="N634" i="2"/>
  <c r="N612" i="2" s="1"/>
  <c r="U144" i="8"/>
  <c r="U148" i="8" s="1"/>
  <c r="U122" i="8"/>
  <c r="U125" i="8" s="1"/>
  <c r="U163" i="8"/>
  <c r="U166" i="8" s="1"/>
  <c r="U195" i="8"/>
  <c r="U198" i="8" s="1"/>
  <c r="AO710" i="2"/>
  <c r="AO713" i="2" s="1"/>
  <c r="AN774" i="2"/>
  <c r="AO775" i="2" s="1"/>
  <c r="AM109" i="2" l="1"/>
  <c r="AO54" i="2"/>
  <c r="AO56" i="2" s="1"/>
  <c r="AO207" i="2"/>
  <c r="AO210" i="2" s="1"/>
  <c r="AO238" i="2" s="1"/>
  <c r="AO239" i="2" s="1"/>
  <c r="AO243" i="2"/>
  <c r="AN107" i="2"/>
  <c r="AN246" i="2"/>
  <c r="AN249" i="2" s="1"/>
  <c r="AN277" i="2" s="1"/>
  <c r="AN278" i="2" s="1"/>
  <c r="AN108" i="2" s="1"/>
  <c r="N55" i="2"/>
  <c r="N244" i="2"/>
  <c r="N208" i="2"/>
  <c r="M54" i="2"/>
  <c r="M56" i="2" s="1"/>
  <c r="M243" i="2"/>
  <c r="M207" i="2"/>
  <c r="M210" i="2" s="1"/>
  <c r="M238" i="2" s="1"/>
  <c r="M239" i="2" s="1"/>
  <c r="U146" i="8"/>
  <c r="U147" i="8" s="1"/>
  <c r="U150" i="8" s="1"/>
  <c r="N633" i="2"/>
  <c r="N611" i="2" s="1"/>
  <c r="U197" i="8"/>
  <c r="U124" i="8"/>
  <c r="U165" i="8"/>
  <c r="AP710" i="2"/>
  <c r="AP713" i="2" s="1"/>
  <c r="AP774" i="2" s="1"/>
  <c r="AO774" i="2"/>
  <c r="AP775" i="2" s="1"/>
  <c r="AN109" i="2" l="1"/>
  <c r="AP54" i="2"/>
  <c r="AP56" i="2" s="1"/>
  <c r="AP207" i="2"/>
  <c r="AP210" i="2" s="1"/>
  <c r="AP238" i="2" s="1"/>
  <c r="AP239" i="2" s="1"/>
  <c r="AP243" i="2"/>
  <c r="AO107" i="2"/>
  <c r="AO246" i="2"/>
  <c r="AO249" i="2" s="1"/>
  <c r="AO277" i="2" s="1"/>
  <c r="AO278" i="2" s="1"/>
  <c r="AO108" i="2" s="1"/>
  <c r="M246" i="2"/>
  <c r="M249" i="2" s="1"/>
  <c r="M277" i="2" s="1"/>
  <c r="M278" i="2" s="1"/>
  <c r="M108" i="2" s="1"/>
  <c r="M107" i="2"/>
  <c r="N613" i="2"/>
  <c r="M669" i="2" s="1"/>
  <c r="N608" i="2"/>
  <c r="V133" i="8"/>
  <c r="V180" i="8" s="1"/>
  <c r="V138" i="8"/>
  <c r="V185" i="8" s="1"/>
  <c r="V130" i="8"/>
  <c r="V131" i="8" s="1"/>
  <c r="V142" i="8"/>
  <c r="V193" i="8" s="1"/>
  <c r="V134" i="8"/>
  <c r="V181" i="8" s="1"/>
  <c r="V137" i="8"/>
  <c r="V141" i="8"/>
  <c r="N630" i="2"/>
  <c r="N631" i="2" s="1"/>
  <c r="AO109" i="2" l="1"/>
  <c r="AP107" i="2"/>
  <c r="AP246" i="2"/>
  <c r="AP249" i="2" s="1"/>
  <c r="AP277" i="2" s="1"/>
  <c r="AP278" i="2" s="1"/>
  <c r="AP108" i="2" s="1"/>
  <c r="M667" i="2"/>
  <c r="M61" i="2" s="1"/>
  <c r="N666" i="2"/>
  <c r="N668" i="2" s="1"/>
  <c r="M774" i="2"/>
  <c r="N775" i="2" s="1"/>
  <c r="M109" i="2"/>
  <c r="N609" i="2"/>
  <c r="O606" i="2" s="1"/>
  <c r="N80" i="2"/>
  <c r="N81" i="2" s="1"/>
  <c r="V139" i="8"/>
  <c r="V121" i="8"/>
  <c r="V162" i="8" s="1"/>
  <c r="V177" i="8" s="1"/>
  <c r="V178" i="8" s="1"/>
  <c r="V184" i="8"/>
  <c r="V186" i="8" s="1"/>
  <c r="V143" i="8"/>
  <c r="V182" i="8"/>
  <c r="V135" i="8"/>
  <c r="V192" i="8"/>
  <c r="V194" i="8" s="1"/>
  <c r="O628" i="2"/>
  <c r="O634" i="2"/>
  <c r="O612" i="2" s="1"/>
  <c r="AP109" i="2" l="1"/>
  <c r="O55" i="2"/>
  <c r="O244" i="2"/>
  <c r="O208" i="2"/>
  <c r="V144" i="8"/>
  <c r="V148" i="8" s="1"/>
  <c r="N207" i="2"/>
  <c r="N210" i="2" s="1"/>
  <c r="N238" i="2" s="1"/>
  <c r="N239" i="2" s="1"/>
  <c r="N54" i="2"/>
  <c r="N56" i="2" s="1"/>
  <c r="N243" i="2"/>
  <c r="V122" i="8"/>
  <c r="V125" i="8" s="1"/>
  <c r="V163" i="8"/>
  <c r="V166" i="8" s="1"/>
  <c r="V195" i="8"/>
  <c r="V198" i="8" s="1"/>
  <c r="O633" i="2"/>
  <c r="O611" i="2" s="1"/>
  <c r="V124" i="8"/>
  <c r="V165" i="8"/>
  <c r="V146" i="8"/>
  <c r="V147" i="8" s="1"/>
  <c r="N246" i="2" l="1"/>
  <c r="N249" i="2" s="1"/>
  <c r="N277" i="2" s="1"/>
  <c r="N278" i="2" s="1"/>
  <c r="N108" i="2" s="1"/>
  <c r="N107" i="2"/>
  <c r="O613" i="2"/>
  <c r="N669" i="2" s="1"/>
  <c r="O608" i="2"/>
  <c r="V197" i="8"/>
  <c r="O630" i="2"/>
  <c r="O631" i="2" s="1"/>
  <c r="V150" i="8"/>
  <c r="W142" i="8"/>
  <c r="W193" i="8" s="1"/>
  <c r="W141" i="8"/>
  <c r="W138" i="8"/>
  <c r="W185" i="8" s="1"/>
  <c r="W137" i="8"/>
  <c r="W130" i="8"/>
  <c r="W134" i="8"/>
  <c r="W181" i="8" s="1"/>
  <c r="W133" i="8"/>
  <c r="N109" i="2" l="1"/>
  <c r="O666" i="2"/>
  <c r="N667" i="2"/>
  <c r="N61" i="2" s="1"/>
  <c r="N774" i="2"/>
  <c r="O775" i="2" s="1"/>
  <c r="O609" i="2"/>
  <c r="P606" i="2" s="1"/>
  <c r="O80" i="2"/>
  <c r="O81" i="2" s="1"/>
  <c r="P628" i="2"/>
  <c r="P634" i="2"/>
  <c r="P612" i="2" s="1"/>
  <c r="W143" i="8"/>
  <c r="W192" i="8"/>
  <c r="W194" i="8" s="1"/>
  <c r="W180" i="8"/>
  <c r="W182" i="8" s="1"/>
  <c r="W135" i="8"/>
  <c r="W139" i="8"/>
  <c r="W184" i="8"/>
  <c r="W186" i="8" s="1"/>
  <c r="W121" i="8"/>
  <c r="W162" i="8" s="1"/>
  <c r="W177" i="8" s="1"/>
  <c r="W178" i="8" s="1"/>
  <c r="W131" i="8"/>
  <c r="P55" i="2" l="1"/>
  <c r="P244" i="2"/>
  <c r="P208" i="2"/>
  <c r="O54" i="2"/>
  <c r="O56" i="2" s="1"/>
  <c r="O243" i="2"/>
  <c r="O207" i="2"/>
  <c r="O210" i="2" s="1"/>
  <c r="O238" i="2" s="1"/>
  <c r="O239" i="2" s="1"/>
  <c r="P633" i="2"/>
  <c r="P611" i="2" s="1"/>
  <c r="W144" i="8"/>
  <c r="W148" i="8" s="1"/>
  <c r="W122" i="8"/>
  <c r="W125" i="8" s="1"/>
  <c r="W163" i="8"/>
  <c r="W166" i="8" s="1"/>
  <c r="W195" i="8"/>
  <c r="W198" i="8" s="1"/>
  <c r="O246" i="2" l="1"/>
  <c r="O249" i="2" s="1"/>
  <c r="O277" i="2" s="1"/>
  <c r="O278" i="2" s="1"/>
  <c r="O108" i="2" s="1"/>
  <c r="O107" i="2"/>
  <c r="P613" i="2"/>
  <c r="O669" i="2" s="1"/>
  <c r="P608" i="2"/>
  <c r="W146" i="8"/>
  <c r="W147" i="8" s="1"/>
  <c r="X142" i="8" s="1"/>
  <c r="X193" i="8" s="1"/>
  <c r="P630" i="2"/>
  <c r="P631" i="2" s="1"/>
  <c r="W197" i="8"/>
  <c r="W124" i="8"/>
  <c r="W165" i="8"/>
  <c r="P666" i="2" l="1"/>
  <c r="O774" i="2"/>
  <c r="P775" i="2" s="1"/>
  <c r="O667" i="2"/>
  <c r="O61" i="2" s="1"/>
  <c r="O109" i="2"/>
  <c r="P609" i="2"/>
  <c r="Q606" i="2" s="1"/>
  <c r="P80" i="2"/>
  <c r="P81" i="2" s="1"/>
  <c r="W150" i="8"/>
  <c r="X137" i="8"/>
  <c r="X134" i="8"/>
  <c r="X181" i="8" s="1"/>
  <c r="X141" i="8"/>
  <c r="X143" i="8" s="1"/>
  <c r="X133" i="8"/>
  <c r="X180" i="8" s="1"/>
  <c r="X130" i="8"/>
  <c r="X131" i="8" s="1"/>
  <c r="X138" i="8"/>
  <c r="X185" i="8" s="1"/>
  <c r="Q628" i="2"/>
  <c r="Q634" i="2"/>
  <c r="Q612" i="2" s="1"/>
  <c r="Q244" i="2" l="1"/>
  <c r="Q208" i="2"/>
  <c r="P243" i="2"/>
  <c r="P207" i="2"/>
  <c r="P210" i="2" s="1"/>
  <c r="P238" i="2" s="1"/>
  <c r="P239" i="2" s="1"/>
  <c r="P54" i="2"/>
  <c r="P56" i="2" s="1"/>
  <c r="B612" i="2"/>
  <c r="Q55" i="2"/>
  <c r="X182" i="8"/>
  <c r="X121" i="8"/>
  <c r="X162" i="8" s="1"/>
  <c r="X177" i="8" s="1"/>
  <c r="X178" i="8" s="1"/>
  <c r="X135" i="8"/>
  <c r="X139" i="8"/>
  <c r="X184" i="8"/>
  <c r="X186" i="8" s="1"/>
  <c r="X192" i="8"/>
  <c r="X194" i="8" s="1"/>
  <c r="Q633" i="2"/>
  <c r="Q611" i="2" s="1"/>
  <c r="Q608" i="2" s="1"/>
  <c r="B634" i="2"/>
  <c r="P246" i="2" l="1"/>
  <c r="P249" i="2" s="1"/>
  <c r="P277" i="2" s="1"/>
  <c r="P278" i="2" s="1"/>
  <c r="P108" i="2" s="1"/>
  <c r="P107" i="2"/>
  <c r="Q609" i="2"/>
  <c r="R606" i="2" s="1"/>
  <c r="R609" i="2" s="1"/>
  <c r="S606" i="2" s="1"/>
  <c r="S609" i="2" s="1"/>
  <c r="T606" i="2" s="1"/>
  <c r="T609" i="2" s="1"/>
  <c r="U606" i="2" s="1"/>
  <c r="U609" i="2" s="1"/>
  <c r="V606" i="2" s="1"/>
  <c r="V609" i="2" s="1"/>
  <c r="W606" i="2" s="1"/>
  <c r="W609" i="2" s="1"/>
  <c r="X606" i="2" s="1"/>
  <c r="X609" i="2" s="1"/>
  <c r="Y606" i="2" s="1"/>
  <c r="Y609" i="2" s="1"/>
  <c r="Z606" i="2" s="1"/>
  <c r="Z609" i="2" s="1"/>
  <c r="AA606" i="2" s="1"/>
  <c r="AA609" i="2" s="1"/>
  <c r="AB606" i="2" s="1"/>
  <c r="AB609" i="2" s="1"/>
  <c r="AC606" i="2" s="1"/>
  <c r="AC609" i="2" s="1"/>
  <c r="AD606" i="2" s="1"/>
  <c r="AD609" i="2" s="1"/>
  <c r="AE606" i="2" s="1"/>
  <c r="AE609" i="2" s="1"/>
  <c r="AF606" i="2" s="1"/>
  <c r="AF609" i="2" s="1"/>
  <c r="AG606" i="2" s="1"/>
  <c r="AG609" i="2" s="1"/>
  <c r="AH606" i="2" s="1"/>
  <c r="AH609" i="2" s="1"/>
  <c r="AI606" i="2" s="1"/>
  <c r="AI609" i="2" s="1"/>
  <c r="AJ606" i="2" s="1"/>
  <c r="AJ609" i="2" s="1"/>
  <c r="AK606" i="2" s="1"/>
  <c r="AK609" i="2" s="1"/>
  <c r="AL606" i="2" s="1"/>
  <c r="AL609" i="2" s="1"/>
  <c r="AM606" i="2" s="1"/>
  <c r="AM609" i="2" s="1"/>
  <c r="AN606" i="2" s="1"/>
  <c r="AN609" i="2" s="1"/>
  <c r="AO606" i="2" s="1"/>
  <c r="AO609" i="2" s="1"/>
  <c r="AP606" i="2" s="1"/>
  <c r="AP609" i="2" s="1"/>
  <c r="Q80" i="2"/>
  <c r="Q81" i="2" s="1"/>
  <c r="Q613" i="2"/>
  <c r="B611" i="2"/>
  <c r="X144" i="8"/>
  <c r="X148" i="8" s="1"/>
  <c r="X163" i="8"/>
  <c r="X166" i="8" s="1"/>
  <c r="X122" i="8"/>
  <c r="X125" i="8" s="1"/>
  <c r="X195" i="8"/>
  <c r="X198" i="8" s="1"/>
  <c r="Q630" i="2"/>
  <c r="Q631" i="2" s="1"/>
  <c r="R628" i="2" s="1"/>
  <c r="R631" i="2" s="1"/>
  <c r="S628" i="2" s="1"/>
  <c r="S631" i="2" s="1"/>
  <c r="T628" i="2" s="1"/>
  <c r="T631" i="2" s="1"/>
  <c r="U628" i="2" s="1"/>
  <c r="U631" i="2" s="1"/>
  <c r="V628" i="2" s="1"/>
  <c r="V631" i="2" s="1"/>
  <c r="W628" i="2" s="1"/>
  <c r="W631" i="2" s="1"/>
  <c r="X628" i="2" s="1"/>
  <c r="X631" i="2" s="1"/>
  <c r="Y628" i="2" s="1"/>
  <c r="Y631" i="2" s="1"/>
  <c r="Z628" i="2" s="1"/>
  <c r="Z631" i="2" s="1"/>
  <c r="AA628" i="2" s="1"/>
  <c r="AA631" i="2" s="1"/>
  <c r="AB628" i="2" s="1"/>
  <c r="AB631" i="2" s="1"/>
  <c r="AC628" i="2" s="1"/>
  <c r="AC631" i="2" s="1"/>
  <c r="AD628" i="2" s="1"/>
  <c r="AD631" i="2" s="1"/>
  <c r="AE628" i="2" s="1"/>
  <c r="AE631" i="2" s="1"/>
  <c r="AF628" i="2" s="1"/>
  <c r="AF631" i="2" s="1"/>
  <c r="AG628" i="2" s="1"/>
  <c r="AG631" i="2" s="1"/>
  <c r="AH628" i="2" s="1"/>
  <c r="AH631" i="2" s="1"/>
  <c r="AI628" i="2" s="1"/>
  <c r="AI631" i="2" s="1"/>
  <c r="AJ628" i="2" s="1"/>
  <c r="AJ631" i="2" s="1"/>
  <c r="AK628" i="2" s="1"/>
  <c r="AK631" i="2" s="1"/>
  <c r="AL628" i="2" s="1"/>
  <c r="AL631" i="2" s="1"/>
  <c r="AM628" i="2" s="1"/>
  <c r="AM631" i="2" s="1"/>
  <c r="AN628" i="2" s="1"/>
  <c r="AN631" i="2" s="1"/>
  <c r="AO628" i="2" s="1"/>
  <c r="AO631" i="2" s="1"/>
  <c r="AP628" i="2" s="1"/>
  <c r="AP631" i="2" s="1"/>
  <c r="B633" i="2"/>
  <c r="P109" i="2" l="1"/>
  <c r="X146" i="8"/>
  <c r="X147" i="8" s="1"/>
  <c r="X150" i="8" s="1"/>
  <c r="B613" i="2"/>
  <c r="P669" i="2"/>
  <c r="X124" i="8"/>
  <c r="X165" i="8"/>
  <c r="X197" i="8"/>
  <c r="Y133" i="8" l="1"/>
  <c r="Y138" i="8"/>
  <c r="Y185" i="8" s="1"/>
  <c r="Y130" i="8"/>
  <c r="Y121" i="8" s="1"/>
  <c r="Y162" i="8" s="1"/>
  <c r="Y177" i="8" s="1"/>
  <c r="Y178" i="8" s="1"/>
  <c r="Y142" i="8"/>
  <c r="Y193" i="8" s="1"/>
  <c r="Y134" i="8"/>
  <c r="Y181" i="8" s="1"/>
  <c r="Y137" i="8"/>
  <c r="Y139" i="8" s="1"/>
  <c r="Y141" i="8"/>
  <c r="P667" i="2"/>
  <c r="P61" i="2" s="1"/>
  <c r="Q666" i="2"/>
  <c r="Q668" i="2" s="1"/>
  <c r="Q61" i="2" s="1"/>
  <c r="P774" i="2"/>
  <c r="Q775" i="2" s="1"/>
  <c r="Y180" i="8"/>
  <c r="Y184" i="8"/>
  <c r="Y186" i="8" s="1"/>
  <c r="Y131" i="8" l="1"/>
  <c r="Y182" i="8"/>
  <c r="Y143" i="8"/>
  <c r="Y192" i="8"/>
  <c r="Y194" i="8" s="1"/>
  <c r="Y195" i="8" s="1"/>
  <c r="Y198" i="8" s="1"/>
  <c r="Y135" i="8"/>
  <c r="Q54" i="2"/>
  <c r="Q56" i="2" s="1"/>
  <c r="Q243" i="2"/>
  <c r="Q207" i="2"/>
  <c r="Q210" i="2" s="1"/>
  <c r="Q238" i="2" s="1"/>
  <c r="Q239" i="2" s="1"/>
  <c r="Y122" i="8"/>
  <c r="Y125" i="8" s="1"/>
  <c r="Y163" i="8"/>
  <c r="Y166" i="8" s="1"/>
  <c r="Y144" i="8" l="1"/>
  <c r="Y148" i="8" s="1"/>
  <c r="Q107" i="2"/>
  <c r="Q246" i="2"/>
  <c r="Q249" i="2" s="1"/>
  <c r="Q277" i="2" s="1"/>
  <c r="Q278" i="2" s="1"/>
  <c r="Q108" i="2" s="1"/>
  <c r="Y146" i="8"/>
  <c r="Y147" i="8" s="1"/>
  <c r="Y124" i="8"/>
  <c r="Y197" i="8"/>
  <c r="Y165" i="8"/>
  <c r="Q109" i="2" l="1"/>
  <c r="Y150" i="8"/>
  <c r="Z142" i="8"/>
  <c r="Z193" i="8" s="1"/>
  <c r="Z141" i="8"/>
  <c r="Z138" i="8"/>
  <c r="Z185" i="8" s="1"/>
  <c r="Z137" i="8"/>
  <c r="Z130" i="8"/>
  <c r="Z134" i="8"/>
  <c r="Z181" i="8" s="1"/>
  <c r="Z133" i="8"/>
  <c r="Z143" i="8" l="1"/>
  <c r="Z192" i="8"/>
  <c r="Z194" i="8" s="1"/>
  <c r="Z131" i="8"/>
  <c r="Z121" i="8"/>
  <c r="Z162" i="8" s="1"/>
  <c r="Z177" i="8" s="1"/>
  <c r="Z178" i="8" s="1"/>
  <c r="Z180" i="8"/>
  <c r="Z182" i="8" s="1"/>
  <c r="Z135" i="8"/>
  <c r="Z139" i="8"/>
  <c r="Z184" i="8"/>
  <c r="Z186" i="8" s="1"/>
  <c r="Z195" i="8" l="1"/>
  <c r="Z198" i="8" s="1"/>
  <c r="Z144" i="8"/>
  <c r="Z148" i="8" s="1"/>
  <c r="Z122" i="8"/>
  <c r="Z125" i="8" s="1"/>
  <c r="Z163" i="8"/>
  <c r="Z166" i="8" s="1"/>
  <c r="Z124" i="8" l="1"/>
  <c r="Z197" i="8"/>
  <c r="Z165" i="8"/>
  <c r="Z146" i="8"/>
  <c r="Z147" i="8" s="1"/>
  <c r="Z150" i="8" l="1"/>
  <c r="AA142" i="8"/>
  <c r="AA193" i="8" s="1"/>
  <c r="AA141" i="8"/>
  <c r="AA138" i="8"/>
  <c r="AA185" i="8" s="1"/>
  <c r="AA137" i="8"/>
  <c r="AA130" i="8"/>
  <c r="AA134" i="8"/>
  <c r="AA181" i="8" s="1"/>
  <c r="AA133" i="8"/>
  <c r="AA143" i="8" l="1"/>
  <c r="AA192" i="8"/>
  <c r="AA194" i="8" s="1"/>
  <c r="AA180" i="8"/>
  <c r="AA182" i="8" s="1"/>
  <c r="AA135" i="8"/>
  <c r="AA139" i="8"/>
  <c r="AA184" i="8"/>
  <c r="AA186" i="8" s="1"/>
  <c r="AA121" i="8"/>
  <c r="AA162" i="8" s="1"/>
  <c r="AA177" i="8" s="1"/>
  <c r="AA178" i="8" s="1"/>
  <c r="AA131" i="8"/>
  <c r="AA144" i="8" l="1"/>
  <c r="AA148" i="8" s="1"/>
  <c r="B120" i="1" s="1"/>
  <c r="AA122" i="8"/>
  <c r="AA125" i="8" s="1"/>
  <c r="B119" i="1" s="1"/>
  <c r="AA163" i="8"/>
  <c r="AA166" i="8" s="1"/>
  <c r="B132" i="1" s="1"/>
  <c r="AA195" i="8"/>
  <c r="AA198" i="8" s="1"/>
  <c r="B133" i="1" s="1"/>
  <c r="AA146" i="8" l="1"/>
  <c r="AA197" i="8"/>
  <c r="B127" i="1" s="1"/>
  <c r="AA124" i="8"/>
  <c r="B113" i="1" s="1"/>
  <c r="AA165" i="8"/>
  <c r="B126" i="1" s="1"/>
  <c r="AA147" i="8" l="1"/>
  <c r="AA150" i="8" s="1"/>
  <c r="B114" i="1"/>
  <c r="AB133" i="8" l="1"/>
  <c r="AB180" i="8" s="1"/>
  <c r="AB134" i="8"/>
  <c r="AB181" i="8" s="1"/>
  <c r="AB141" i="8"/>
  <c r="AB192" i="8" s="1"/>
  <c r="AB130" i="8"/>
  <c r="AB137" i="8"/>
  <c r="AB184" i="8" s="1"/>
  <c r="AB142" i="8"/>
  <c r="AB193" i="8" s="1"/>
  <c r="AB138" i="8"/>
  <c r="AB185" i="8" s="1"/>
  <c r="AB135" i="8" l="1"/>
  <c r="AB182" i="8"/>
  <c r="AB139" i="8"/>
  <c r="AB194" i="8"/>
  <c r="AB131" i="8"/>
  <c r="AB121" i="8"/>
  <c r="AB143" i="8"/>
  <c r="AB186" i="8"/>
  <c r="AB144" i="8" l="1"/>
  <c r="AB148" i="8" s="1"/>
  <c r="AB162" i="8"/>
  <c r="AB122" i="8"/>
  <c r="AB146" i="8" l="1"/>
  <c r="AB147" i="8" s="1"/>
  <c r="AC142" i="8" s="1"/>
  <c r="AC193" i="8" s="1"/>
  <c r="AB177" i="8"/>
  <c r="AB178" i="8" s="1"/>
  <c r="AB195" i="8" s="1"/>
  <c r="AB163" i="8"/>
  <c r="AB125" i="8"/>
  <c r="AB124" i="8"/>
  <c r="AC130" i="8" l="1"/>
  <c r="AC131" i="8" s="1"/>
  <c r="AB150" i="8"/>
  <c r="AC141" i="8"/>
  <c r="AC143" i="8" s="1"/>
  <c r="AC138" i="8"/>
  <c r="AC185" i="8" s="1"/>
  <c r="AC133" i="8"/>
  <c r="AC137" i="8"/>
  <c r="AC184" i="8" s="1"/>
  <c r="AC134" i="8"/>
  <c r="AC181" i="8" s="1"/>
  <c r="AB198" i="8"/>
  <c r="AB197" i="8"/>
  <c r="AB166" i="8"/>
  <c r="AB165" i="8"/>
  <c r="AC121" i="8" l="1"/>
  <c r="AC162" i="8" s="1"/>
  <c r="AC177" i="8" s="1"/>
  <c r="AC178" i="8" s="1"/>
  <c r="AC186" i="8"/>
  <c r="AC122" i="8"/>
  <c r="AC125" i="8" s="1"/>
  <c r="AC139" i="8"/>
  <c r="AC192" i="8"/>
  <c r="AC194" i="8" s="1"/>
  <c r="AC135" i="8"/>
  <c r="AC180" i="8"/>
  <c r="AC182" i="8" s="1"/>
  <c r="AC144" i="8" l="1"/>
  <c r="AC163" i="8"/>
  <c r="AC166" i="8" s="1"/>
  <c r="AC195" i="8"/>
  <c r="AC198" i="8" s="1"/>
  <c r="AC124" i="8"/>
  <c r="AC148" i="8"/>
  <c r="AC146" i="8"/>
  <c r="AC147" i="8" s="1"/>
  <c r="AD142" i="8" s="1"/>
  <c r="AD193" i="8" s="1"/>
  <c r="AC197" i="8" l="1"/>
  <c r="AC165" i="8"/>
  <c r="AD138" i="8"/>
  <c r="AD185" i="8" s="1"/>
  <c r="AD134" i="8"/>
  <c r="AD181" i="8" s="1"/>
  <c r="AD133" i="8"/>
  <c r="AD180" i="8" s="1"/>
  <c r="AC150" i="8"/>
  <c r="AD130" i="8"/>
  <c r="AD121" i="8" s="1"/>
  <c r="AD162" i="8" s="1"/>
  <c r="AD177" i="8" s="1"/>
  <c r="AD178" i="8" s="1"/>
  <c r="AD141" i="8"/>
  <c r="AD192" i="8" s="1"/>
  <c r="AD194" i="8" s="1"/>
  <c r="AD137" i="8"/>
  <c r="AD184" i="8" s="1"/>
  <c r="AD143" i="8" l="1"/>
  <c r="AD122" i="8"/>
  <c r="AD125" i="8" s="1"/>
  <c r="AD182" i="8"/>
  <c r="AD195" i="8" s="1"/>
  <c r="AD198" i="8" s="1"/>
  <c r="AD135" i="8"/>
  <c r="AD186" i="8"/>
  <c r="AD163" i="8"/>
  <c r="AD166" i="8" s="1"/>
  <c r="AD131" i="8"/>
  <c r="AD139" i="8"/>
  <c r="AD124" i="8"/>
  <c r="AD165" i="8" l="1"/>
  <c r="AD144" i="8"/>
  <c r="AD146" i="8" s="1"/>
  <c r="AD147" i="8" s="1"/>
  <c r="AD150" i="8" s="1"/>
  <c r="AD197" i="8"/>
  <c r="AD148" i="8"/>
  <c r="AE133" i="8" l="1"/>
  <c r="AE180" i="8" s="1"/>
  <c r="AE130" i="8"/>
  <c r="AE121" i="8" s="1"/>
  <c r="AE162" i="8" s="1"/>
  <c r="AE177" i="8" s="1"/>
  <c r="AE178" i="8" s="1"/>
  <c r="AE138" i="8"/>
  <c r="AE185" i="8" s="1"/>
  <c r="AE142" i="8"/>
  <c r="AE193" i="8" s="1"/>
  <c r="AE134" i="8"/>
  <c r="AE181" i="8" s="1"/>
  <c r="AE137" i="8"/>
  <c r="AE184" i="8" s="1"/>
  <c r="AE141" i="8"/>
  <c r="AE192" i="8" s="1"/>
  <c r="AE182" i="8" l="1"/>
  <c r="AE131" i="8"/>
  <c r="AE139" i="8"/>
  <c r="AE143" i="8"/>
  <c r="AE194" i="8"/>
  <c r="AE135" i="8"/>
  <c r="AE186" i="8"/>
  <c r="AE195" i="8" s="1"/>
  <c r="AE122" i="8"/>
  <c r="AE125" i="8" s="1"/>
  <c r="AE163" i="8"/>
  <c r="AE166" i="8" s="1"/>
  <c r="AE144" i="8" l="1"/>
  <c r="AE148" i="8" s="1"/>
  <c r="AE197" i="8"/>
  <c r="AE198" i="8"/>
  <c r="AE124" i="8"/>
  <c r="AE165" i="8"/>
  <c r="AE146" i="8" l="1"/>
  <c r="AE147" i="8" s="1"/>
  <c r="AF142" i="8" s="1"/>
  <c r="AF193" i="8" s="1"/>
  <c r="AF130" i="8" l="1"/>
  <c r="AF131" i="8" s="1"/>
  <c r="AF141" i="8"/>
  <c r="AF143" i="8" s="1"/>
  <c r="AF137" i="8"/>
  <c r="AF184" i="8" s="1"/>
  <c r="AF138" i="8"/>
  <c r="AF185" i="8" s="1"/>
  <c r="AF133" i="8"/>
  <c r="AF134" i="8"/>
  <c r="AF181" i="8" s="1"/>
  <c r="AE150" i="8"/>
  <c r="AF139" i="8" l="1"/>
  <c r="AF121" i="8"/>
  <c r="AF162" i="8" s="1"/>
  <c r="AF177" i="8" s="1"/>
  <c r="AF178" i="8" s="1"/>
  <c r="AF186" i="8"/>
  <c r="AF192" i="8"/>
  <c r="AF194" i="8" s="1"/>
  <c r="AF135" i="8"/>
  <c r="AF180" i="8"/>
  <c r="AF182" i="8" s="1"/>
  <c r="AF144" i="8"/>
  <c r="AF148" i="8" s="1"/>
  <c r="AF163" i="8"/>
  <c r="AF166" i="8" s="1"/>
  <c r="AF195" i="8" l="1"/>
  <c r="AF198" i="8" s="1"/>
  <c r="AF197" i="8"/>
  <c r="AF122" i="8"/>
  <c r="AF125" i="8" s="1"/>
  <c r="AF146" i="8"/>
  <c r="AF147" i="8" s="1"/>
  <c r="AG142" i="8" s="1"/>
  <c r="AG193" i="8" s="1"/>
  <c r="AF165" i="8"/>
  <c r="AF124" i="8" l="1"/>
  <c r="AF150" i="8"/>
  <c r="AG137" i="8"/>
  <c r="AG184" i="8" s="1"/>
  <c r="AG134" i="8"/>
  <c r="AG181" i="8" s="1"/>
  <c r="AG141" i="8"/>
  <c r="AG192" i="8" s="1"/>
  <c r="AG194" i="8" s="1"/>
  <c r="AG133" i="8"/>
  <c r="AG180" i="8" s="1"/>
  <c r="AG130" i="8"/>
  <c r="AG121" i="8" s="1"/>
  <c r="AG162" i="8" s="1"/>
  <c r="AG177" i="8" s="1"/>
  <c r="AG178" i="8" s="1"/>
  <c r="AG138" i="8"/>
  <c r="AG185" i="8" s="1"/>
  <c r="AG182" i="8" l="1"/>
  <c r="AG143" i="8"/>
  <c r="AG131" i="8"/>
  <c r="AG186" i="8"/>
  <c r="AG135" i="8"/>
  <c r="AG139" i="8"/>
  <c r="AG122" i="8"/>
  <c r="AG125" i="8" s="1"/>
  <c r="AG163" i="8"/>
  <c r="AG166" i="8" s="1"/>
  <c r="AG195" i="8" l="1"/>
  <c r="AG198" i="8" s="1"/>
  <c r="AG144" i="8"/>
  <c r="AG148" i="8" s="1"/>
  <c r="AG124" i="8"/>
  <c r="AG165" i="8"/>
  <c r="AG197" i="8" l="1"/>
  <c r="AG146" i="8"/>
  <c r="AG147" i="8" s="1"/>
  <c r="AG150" i="8" s="1"/>
  <c r="AH137" i="8" l="1"/>
  <c r="AH142" i="8"/>
  <c r="AH193" i="8" s="1"/>
  <c r="AH138" i="8"/>
  <c r="AH185" i="8" s="1"/>
  <c r="AH141" i="8"/>
  <c r="AH192" i="8" s="1"/>
  <c r="AH134" i="8"/>
  <c r="AH181" i="8" s="1"/>
  <c r="AH130" i="8"/>
  <c r="AH131" i="8" s="1"/>
  <c r="AH133" i="8"/>
  <c r="AH180" i="8" s="1"/>
  <c r="AH182" i="8" l="1"/>
  <c r="AH121" i="8"/>
  <c r="AH162" i="8" s="1"/>
  <c r="AH177" i="8" s="1"/>
  <c r="AH178" i="8" s="1"/>
  <c r="AH143" i="8"/>
  <c r="AH194" i="8"/>
  <c r="AH135" i="8"/>
  <c r="AH184" i="8"/>
  <c r="AH186" i="8" s="1"/>
  <c r="AH139" i="8"/>
  <c r="AH144" i="8" l="1"/>
  <c r="AH148" i="8" s="1"/>
  <c r="AH195" i="8"/>
  <c r="AH198" i="8" s="1"/>
  <c r="AH163" i="8"/>
  <c r="AH166" i="8" s="1"/>
  <c r="AH122" i="8"/>
  <c r="AH125" i="8" s="1"/>
  <c r="AH146" i="8" l="1"/>
  <c r="AH147" i="8" s="1"/>
  <c r="AI142" i="8" s="1"/>
  <c r="AI193" i="8" s="1"/>
  <c r="AH124" i="8"/>
  <c r="AH197" i="8"/>
  <c r="AH165" i="8"/>
  <c r="AI138" i="8" l="1"/>
  <c r="AI185" i="8" s="1"/>
  <c r="AI133" i="8"/>
  <c r="AI180" i="8" s="1"/>
  <c r="AI141" i="8"/>
  <c r="AI143" i="8" s="1"/>
  <c r="AI134" i="8"/>
  <c r="AI181" i="8" s="1"/>
  <c r="AI182" i="8" s="1"/>
  <c r="AI130" i="8"/>
  <c r="AI121" i="8" s="1"/>
  <c r="AI162" i="8" s="1"/>
  <c r="AI177" i="8" s="1"/>
  <c r="AI178" i="8" s="1"/>
  <c r="AH150" i="8"/>
  <c r="AI137" i="8"/>
  <c r="AI184" i="8" s="1"/>
  <c r="AI186" i="8" s="1"/>
  <c r="AI122" i="8"/>
  <c r="AI125" i="8" s="1"/>
  <c r="AI163" i="8" l="1"/>
  <c r="AI166" i="8" s="1"/>
  <c r="AI192" i="8"/>
  <c r="AI194" i="8" s="1"/>
  <c r="AI139" i="8"/>
  <c r="AI131" i="8"/>
  <c r="AI135" i="8"/>
  <c r="AI195" i="8"/>
  <c r="AI197" i="8" s="1"/>
  <c r="AI124" i="8"/>
  <c r="AI165" i="8"/>
  <c r="AI144" i="8" l="1"/>
  <c r="AI148" i="8" s="1"/>
  <c r="AI146" i="8"/>
  <c r="AI147" i="8" s="1"/>
  <c r="AI150" i="8" s="1"/>
  <c r="AI198" i="8"/>
  <c r="AJ141" i="8" l="1"/>
  <c r="AJ192" i="8" s="1"/>
  <c r="AJ134" i="8"/>
  <c r="AJ181" i="8" s="1"/>
  <c r="AJ138" i="8"/>
  <c r="AJ185" i="8" s="1"/>
  <c r="AJ133" i="8"/>
  <c r="AJ180" i="8" s="1"/>
  <c r="AJ182" i="8" s="1"/>
  <c r="AJ137" i="8"/>
  <c r="AJ142" i="8"/>
  <c r="AJ193" i="8" s="1"/>
  <c r="AJ194" i="8" s="1"/>
  <c r="AJ130" i="8"/>
  <c r="AJ121" i="8" s="1"/>
  <c r="AJ162" i="8" s="1"/>
  <c r="AJ177" i="8" s="1"/>
  <c r="AJ178" i="8" s="1"/>
  <c r="AJ184" i="8"/>
  <c r="AJ186" i="8" l="1"/>
  <c r="AJ139" i="8"/>
  <c r="AJ135" i="8"/>
  <c r="AJ122" i="8"/>
  <c r="AJ125" i="8" s="1"/>
  <c r="AJ143" i="8"/>
  <c r="AJ131" i="8"/>
  <c r="AJ163" i="8"/>
  <c r="AJ166" i="8" s="1"/>
  <c r="AJ144" i="8"/>
  <c r="AJ195" i="8"/>
  <c r="AJ165" i="8"/>
  <c r="AJ124" i="8" l="1"/>
  <c r="AJ146" i="8"/>
  <c r="AJ147" i="8" s="1"/>
  <c r="AK142" i="8" s="1"/>
  <c r="AK193" i="8" s="1"/>
  <c r="AJ148" i="8"/>
  <c r="AJ197" i="8"/>
  <c r="AJ198" i="8"/>
  <c r="AJ150" i="8" l="1"/>
  <c r="AK137" i="8"/>
  <c r="AK184" i="8" s="1"/>
  <c r="AK134" i="8"/>
  <c r="AK181" i="8" s="1"/>
  <c r="AK141" i="8"/>
  <c r="AK192" i="8" s="1"/>
  <c r="AK194" i="8" s="1"/>
  <c r="AK133" i="8"/>
  <c r="AK180" i="8" s="1"/>
  <c r="AK130" i="8"/>
  <c r="AK121" i="8" s="1"/>
  <c r="AK162" i="8" s="1"/>
  <c r="AK177" i="8" s="1"/>
  <c r="AK178" i="8" s="1"/>
  <c r="AK138" i="8"/>
  <c r="AK185" i="8" s="1"/>
  <c r="AK143" i="8" l="1"/>
  <c r="AK182" i="8"/>
  <c r="AK131" i="8"/>
  <c r="AK135" i="8"/>
  <c r="AK186" i="8"/>
  <c r="AK139" i="8"/>
  <c r="AK122" i="8"/>
  <c r="AK125" i="8" s="1"/>
  <c r="AK163" i="8"/>
  <c r="AK166" i="8" s="1"/>
  <c r="AK195" i="8" l="1"/>
  <c r="AK197" i="8" s="1"/>
  <c r="AK144" i="8"/>
  <c r="AK148" i="8" s="1"/>
  <c r="AK124" i="8"/>
  <c r="AK165" i="8"/>
  <c r="AK198" i="8" l="1"/>
  <c r="AK146" i="8"/>
  <c r="AK147" i="8" s="1"/>
  <c r="AK150" i="8" s="1"/>
  <c r="AL137" i="8" l="1"/>
  <c r="AL184" i="8" s="1"/>
  <c r="AL142" i="8"/>
  <c r="AL193" i="8" s="1"/>
  <c r="AL130" i="8"/>
  <c r="AL121" i="8" s="1"/>
  <c r="AL162" i="8" s="1"/>
  <c r="AL177" i="8" s="1"/>
  <c r="AL178" i="8" s="1"/>
  <c r="AL141" i="8"/>
  <c r="AL192" i="8" s="1"/>
  <c r="AL134" i="8"/>
  <c r="AL181" i="8" s="1"/>
  <c r="AL138" i="8"/>
  <c r="AL185" i="8" s="1"/>
  <c r="AL133" i="8"/>
  <c r="AL180" i="8" s="1"/>
  <c r="AL194" i="8" l="1"/>
  <c r="AL182" i="8"/>
  <c r="AL139" i="8"/>
  <c r="AL122" i="8"/>
  <c r="AL125" i="8" s="1"/>
  <c r="AL163" i="8"/>
  <c r="AL166" i="8" s="1"/>
  <c r="AL131" i="8"/>
  <c r="AL186" i="8"/>
  <c r="AL143" i="8"/>
  <c r="AL135" i="8"/>
  <c r="AL165" i="8"/>
  <c r="AL124" i="8" l="1"/>
  <c r="AL195" i="8"/>
  <c r="AL198" i="8" s="1"/>
  <c r="AL144" i="8"/>
  <c r="AL148" i="8" s="1"/>
  <c r="AL197" i="8"/>
  <c r="AL146" i="8" l="1"/>
  <c r="AL147" i="8" s="1"/>
  <c r="AM142" i="8" s="1"/>
  <c r="AM193" i="8" s="1"/>
  <c r="AM130" i="8" l="1"/>
  <c r="AM121" i="8" s="1"/>
  <c r="AM162" i="8" s="1"/>
  <c r="AM177" i="8" s="1"/>
  <c r="AM178" i="8" s="1"/>
  <c r="AL150" i="8"/>
  <c r="AM137" i="8"/>
  <c r="AM184" i="8" s="1"/>
  <c r="AM138" i="8"/>
  <c r="AM185" i="8" s="1"/>
  <c r="AM133" i="8"/>
  <c r="AM180" i="8" s="1"/>
  <c r="AM141" i="8"/>
  <c r="AM143" i="8" s="1"/>
  <c r="AM134" i="8"/>
  <c r="AM181" i="8" s="1"/>
  <c r="AM163" i="8" l="1"/>
  <c r="AM166" i="8" s="1"/>
  <c r="AM192" i="8"/>
  <c r="AM194" i="8" s="1"/>
  <c r="AM186" i="8"/>
  <c r="AM182" i="8"/>
  <c r="AM139" i="8"/>
  <c r="AM122" i="8"/>
  <c r="AM125" i="8" s="1"/>
  <c r="AM131" i="8"/>
  <c r="AM135" i="8"/>
  <c r="AM165" i="8" l="1"/>
  <c r="AM195" i="8"/>
  <c r="AM197" i="8" s="1"/>
  <c r="AM124" i="8"/>
  <c r="AM144" i="8"/>
  <c r="AM146" i="8" s="1"/>
  <c r="AM147" i="8" s="1"/>
  <c r="AM150" i="8" s="1"/>
  <c r="AM148" i="8" l="1"/>
  <c r="AM198" i="8"/>
  <c r="AN141" i="8"/>
  <c r="AN192" i="8" s="1"/>
  <c r="AN137" i="8"/>
  <c r="AN184" i="8" s="1"/>
  <c r="AN138" i="8"/>
  <c r="AN185" i="8" s="1"/>
  <c r="AN133" i="8"/>
  <c r="AN180" i="8" s="1"/>
  <c r="AN142" i="8"/>
  <c r="AN193" i="8" s="1"/>
  <c r="AN134" i="8"/>
  <c r="AN181" i="8" s="1"/>
  <c r="AN130" i="8"/>
  <c r="AN121" i="8" s="1"/>
  <c r="AN162" i="8" s="1"/>
  <c r="AN177" i="8" s="1"/>
  <c r="AN178" i="8" s="1"/>
  <c r="AN182" i="8" l="1"/>
  <c r="AN194" i="8"/>
  <c r="AN122" i="8"/>
  <c r="AN125" i="8" s="1"/>
  <c r="AN163" i="8"/>
  <c r="AN166" i="8" s="1"/>
  <c r="AN143" i="8"/>
  <c r="AN186" i="8"/>
  <c r="AN135" i="8"/>
  <c r="AN131" i="8"/>
  <c r="AN139" i="8"/>
  <c r="AN124" i="8" l="1"/>
  <c r="AN195" i="8"/>
  <c r="AN198" i="8" s="1"/>
  <c r="AN165" i="8"/>
  <c r="AN144" i="8"/>
  <c r="AN148" i="8" s="1"/>
  <c r="AN197" i="8" l="1"/>
  <c r="AN146" i="8"/>
  <c r="AN147" i="8" s="1"/>
  <c r="AN150" i="8" s="1"/>
  <c r="AO142" i="8" l="1"/>
  <c r="AO193" i="8" s="1"/>
  <c r="AO137" i="8"/>
  <c r="AO184" i="8" s="1"/>
  <c r="AO130" i="8"/>
  <c r="AO121" i="8" s="1"/>
  <c r="AO162" i="8" s="1"/>
  <c r="AO177" i="8" s="1"/>
  <c r="AO178" i="8" s="1"/>
  <c r="AO141" i="8"/>
  <c r="AO192" i="8" s="1"/>
  <c r="AO134" i="8"/>
  <c r="AO181" i="8" s="1"/>
  <c r="AO138" i="8"/>
  <c r="AO185" i="8" s="1"/>
  <c r="AO133" i="8"/>
  <c r="AO186" i="8" l="1"/>
  <c r="AO122" i="8"/>
  <c r="AO125" i="8" s="1"/>
  <c r="AO163" i="8"/>
  <c r="AO166" i="8" s="1"/>
  <c r="AO131" i="8"/>
  <c r="AO194" i="8"/>
  <c r="AO143" i="8"/>
  <c r="AO135" i="8"/>
  <c r="AO180" i="8"/>
  <c r="AO182" i="8" s="1"/>
  <c r="AO139" i="8"/>
  <c r="AO124" i="8"/>
  <c r="AO165" i="8"/>
  <c r="AO144" i="8" l="1"/>
  <c r="AO148" i="8" s="1"/>
  <c r="AO195" i="8"/>
  <c r="AO146" i="8" l="1"/>
  <c r="AO147" i="8" s="1"/>
  <c r="AP142" i="8" s="1"/>
  <c r="AP193" i="8" s="1"/>
  <c r="AO197" i="8"/>
  <c r="AO198" i="8"/>
  <c r="AP138" i="8" l="1"/>
  <c r="AP185" i="8" s="1"/>
  <c r="AP130" i="8"/>
  <c r="AP121" i="8" s="1"/>
  <c r="AP162" i="8" s="1"/>
  <c r="AP177" i="8" s="1"/>
  <c r="AP178" i="8" s="1"/>
  <c r="AP137" i="8"/>
  <c r="AP184" i="8" s="1"/>
  <c r="AP134" i="8"/>
  <c r="AP181" i="8" s="1"/>
  <c r="AP141" i="8"/>
  <c r="AP192" i="8" s="1"/>
  <c r="AP194" i="8" s="1"/>
  <c r="AO150" i="8"/>
  <c r="AP133" i="8"/>
  <c r="AP180" i="8" s="1"/>
  <c r="AP186" i="8" l="1"/>
  <c r="AP131" i="8"/>
  <c r="AP143" i="8"/>
  <c r="AP135" i="8"/>
  <c r="AP163" i="8"/>
  <c r="B170" i="8" s="1"/>
  <c r="AP139" i="8"/>
  <c r="AP182" i="8"/>
  <c r="AP195" i="8" s="1"/>
  <c r="AP198" i="8" s="1"/>
  <c r="AP122" i="8"/>
  <c r="AP125" i="8" s="1"/>
  <c r="AP197" i="8" l="1"/>
  <c r="B169" i="8"/>
  <c r="AP124" i="8"/>
  <c r="AP144" i="8"/>
  <c r="AP148" i="8" s="1"/>
  <c r="B200" i="8"/>
  <c r="AP165" i="8"/>
  <c r="AP166" i="8"/>
  <c r="B201" i="8"/>
  <c r="AP146" i="8" l="1"/>
  <c r="AP147" i="8" s="1"/>
  <c r="AP150" i="8" s="1"/>
  <c r="B150" i="8" s="1"/>
  <c r="B86" i="1" s="1"/>
  <c r="C63" i="10" l="1"/>
  <c r="C69" i="10" s="1"/>
  <c r="C101" i="10" l="1"/>
  <c r="C109" i="10"/>
  <c r="C110" i="10" l="1"/>
  <c r="C123" i="10" s="1"/>
  <c r="AF101" i="10" l="1"/>
  <c r="AF109" i="10" l="1"/>
  <c r="AF110" i="10" s="1"/>
  <c r="AF123" i="10" s="1"/>
  <c r="B108" i="10"/>
  <c r="B109" i="10" l="1"/>
  <c r="B110" i="10" s="1"/>
  <c r="B123" i="10" s="1"/>
  <c r="AN126" i="10" s="1"/>
  <c r="AG126" i="10" l="1"/>
  <c r="AO126" i="10"/>
  <c r="AL126" i="10"/>
  <c r="AI126" i="10"/>
  <c r="AF126" i="10"/>
  <c r="AB126" i="10"/>
  <c r="X126" i="10"/>
  <c r="T126" i="10"/>
  <c r="P126" i="10"/>
  <c r="L126" i="10"/>
  <c r="H126" i="10"/>
  <c r="D126" i="10"/>
  <c r="AE126" i="10"/>
  <c r="AA126" i="10"/>
  <c r="W126" i="10"/>
  <c r="S126" i="10"/>
  <c r="O126" i="10"/>
  <c r="K126" i="10"/>
  <c r="G126" i="10"/>
  <c r="C126" i="10"/>
  <c r="AD126" i="10"/>
  <c r="Z126" i="10"/>
  <c r="V126" i="10"/>
  <c r="R126" i="10"/>
  <c r="N126" i="10"/>
  <c r="J126" i="10"/>
  <c r="F126" i="10"/>
  <c r="AC126" i="10"/>
  <c r="Y126" i="10"/>
  <c r="U126" i="10"/>
  <c r="Q126" i="10"/>
  <c r="M126" i="10"/>
  <c r="I126" i="10"/>
  <c r="E126" i="10"/>
  <c r="AK126" i="10"/>
  <c r="AH126" i="10"/>
  <c r="AP126" i="10"/>
  <c r="AM126" i="10"/>
  <c r="AJ126" i="10"/>
  <c r="B101" i="10"/>
  <c r="AP103" i="10" s="1"/>
  <c r="E125" i="10"/>
  <c r="M125" i="10"/>
  <c r="AB125" i="10"/>
  <c r="AJ125" i="10"/>
  <c r="AO125" i="10"/>
  <c r="R125" i="10"/>
  <c r="Z125" i="10"/>
  <c r="Y125" i="10"/>
  <c r="AA125" i="10"/>
  <c r="N125" i="10"/>
  <c r="AL125" i="10"/>
  <c r="AH125" i="10"/>
  <c r="AN125" i="10"/>
  <c r="J125" i="10"/>
  <c r="W125" i="10"/>
  <c r="V125" i="10"/>
  <c r="U125" i="10"/>
  <c r="F125" i="10"/>
  <c r="AG125" i="10"/>
  <c r="AP125" i="10"/>
  <c r="AF125" i="10"/>
  <c r="G125" i="10"/>
  <c r="O125" i="10"/>
  <c r="S125" i="10"/>
  <c r="C125" i="10"/>
  <c r="AD125" i="10"/>
  <c r="B126" i="10"/>
  <c r="B125" i="10"/>
  <c r="K125" i="10"/>
  <c r="I125" i="10"/>
  <c r="AM125" i="10"/>
  <c r="AE125" i="10"/>
  <c r="AI125" i="10"/>
  <c r="Q125" i="10"/>
  <c r="T125" i="10"/>
  <c r="H125" i="10"/>
  <c r="D125" i="10"/>
  <c r="AK125" i="10"/>
  <c r="P125" i="10"/>
  <c r="AC125" i="10"/>
  <c r="X125" i="10"/>
  <c r="L125" i="10"/>
  <c r="AN103" i="10" l="1"/>
  <c r="AG103" i="10"/>
  <c r="AB104" i="10"/>
  <c r="X104" i="10"/>
  <c r="T104" i="10"/>
  <c r="P104" i="10"/>
  <c r="L104" i="10"/>
  <c r="H104" i="10"/>
  <c r="D104" i="10"/>
  <c r="AE104" i="10"/>
  <c r="AA104" i="10"/>
  <c r="W104" i="10"/>
  <c r="S104" i="10"/>
  <c r="O104" i="10"/>
  <c r="K104" i="10"/>
  <c r="G104" i="10"/>
  <c r="C104" i="10"/>
  <c r="AD104" i="10"/>
  <c r="Z104" i="10"/>
  <c r="V104" i="10"/>
  <c r="R104" i="10"/>
  <c r="N104" i="10"/>
  <c r="J104" i="10"/>
  <c r="F104" i="10"/>
  <c r="AC104" i="10"/>
  <c r="Y104" i="10"/>
  <c r="U104" i="10"/>
  <c r="Q104" i="10"/>
  <c r="M104" i="10"/>
  <c r="I104" i="10"/>
  <c r="E104" i="10"/>
  <c r="AJ104" i="10"/>
  <c r="AM104" i="10"/>
  <c r="AP104" i="10"/>
  <c r="AH104" i="10"/>
  <c r="AK104" i="10"/>
  <c r="AN104" i="10"/>
  <c r="AF104" i="10"/>
  <c r="AI104" i="10"/>
  <c r="AL104" i="10"/>
  <c r="AO104" i="10"/>
  <c r="AG104" i="10"/>
  <c r="D103" i="10"/>
  <c r="AE103" i="10"/>
  <c r="Z103" i="10"/>
  <c r="Y103" i="10"/>
  <c r="K103" i="10"/>
  <c r="AD103" i="10"/>
  <c r="AL103" i="10"/>
  <c r="AC103" i="10"/>
  <c r="J103" i="10"/>
  <c r="AH103" i="10"/>
  <c r="N103" i="10"/>
  <c r="AM103" i="10"/>
  <c r="U103" i="10"/>
  <c r="S103" i="10"/>
  <c r="B103" i="10"/>
  <c r="AJ103" i="10"/>
  <c r="AB103" i="10"/>
  <c r="B104" i="10"/>
  <c r="P103" i="10"/>
  <c r="F103" i="10"/>
  <c r="AA103" i="10"/>
  <c r="AF103" i="10"/>
  <c r="E103" i="10"/>
  <c r="X103" i="10"/>
  <c r="V103" i="10"/>
  <c r="AK103" i="10"/>
  <c r="H103" i="10"/>
  <c r="AI103" i="10"/>
  <c r="L103" i="10"/>
  <c r="AO103" i="10"/>
  <c r="O103" i="10"/>
  <c r="W103" i="10"/>
  <c r="R103" i="10"/>
  <c r="Q103" i="10"/>
  <c r="T103" i="10"/>
  <c r="M103" i="10"/>
  <c r="I103" i="10"/>
  <c r="C103" i="10"/>
  <c r="G103" i="10"/>
  <c r="D163" i="10" l="1"/>
  <c r="D155" i="10"/>
  <c r="D159" i="10"/>
  <c r="D143" i="10" l="1"/>
  <c r="E159" i="10" l="1"/>
  <c r="E155" i="10"/>
  <c r="E163" i="10"/>
  <c r="E143" i="10" l="1"/>
  <c r="F159" i="10" l="1"/>
  <c r="F155" i="10"/>
  <c r="F163" i="10"/>
  <c r="F143" i="10" l="1"/>
  <c r="G163" i="10" l="1"/>
  <c r="G155" i="10"/>
  <c r="G159" i="10"/>
  <c r="G143" i="10" l="1"/>
  <c r="H155" i="10" l="1"/>
  <c r="H163" i="10"/>
  <c r="H159" i="10"/>
  <c r="H143" i="10" l="1"/>
  <c r="I159" i="10" l="1"/>
  <c r="I155" i="10"/>
  <c r="I163" i="10"/>
  <c r="I143" i="10" l="1"/>
  <c r="J163" i="10" l="1"/>
  <c r="J159" i="10"/>
  <c r="J155" i="10"/>
  <c r="J143" i="10" l="1"/>
  <c r="K155" i="10" l="1"/>
  <c r="K163" i="10"/>
  <c r="K159" i="10"/>
  <c r="K143" i="10" l="1"/>
  <c r="L155" i="10" l="1"/>
  <c r="L159" i="10"/>
  <c r="L163" i="10"/>
  <c r="L143" i="10" l="1"/>
  <c r="M155" i="10" l="1"/>
  <c r="M159" i="10"/>
  <c r="M163" i="10"/>
  <c r="M143" i="10" l="1"/>
  <c r="N163" i="10" l="1"/>
  <c r="N159" i="10"/>
  <c r="N155" i="10"/>
  <c r="N143" i="10" l="1"/>
  <c r="O163" i="10" l="1"/>
  <c r="O159" i="10"/>
  <c r="O155" i="10"/>
  <c r="O143" i="10" l="1"/>
  <c r="P155" i="10" l="1"/>
  <c r="P159" i="10" l="1"/>
  <c r="P163" i="10"/>
  <c r="P143" i="10"/>
  <c r="Q155" i="10" l="1"/>
  <c r="Q163" i="10" l="1"/>
  <c r="Q159" i="10"/>
  <c r="Q143" i="10"/>
  <c r="R163" i="10" l="1"/>
  <c r="R155" i="10"/>
  <c r="R159" i="10"/>
  <c r="R143" i="10" l="1"/>
  <c r="S163" i="10" l="1"/>
  <c r="S155" i="10"/>
  <c r="S159" i="10"/>
  <c r="S143" i="10" l="1"/>
  <c r="T155" i="10" l="1"/>
  <c r="T159" i="10"/>
  <c r="T163" i="10"/>
  <c r="T143" i="10" l="1"/>
  <c r="U163" i="10" l="1"/>
  <c r="U159" i="10"/>
  <c r="U155" i="10"/>
  <c r="U143" i="10" l="1"/>
  <c r="V155" i="10" l="1"/>
  <c r="V159" i="10"/>
  <c r="V163" i="10"/>
  <c r="V143" i="10" l="1"/>
  <c r="W159" i="10" l="1"/>
  <c r="W163" i="10"/>
  <c r="W155" i="10"/>
  <c r="W143" i="10" l="1"/>
  <c r="X159" i="10" l="1"/>
  <c r="X163" i="10"/>
  <c r="X155" i="10"/>
  <c r="X143" i="10" l="1"/>
  <c r="Y159" i="10" l="1"/>
  <c r="Y155" i="10"/>
  <c r="Y163" i="10" l="1"/>
  <c r="Y143" i="10"/>
  <c r="Z155" i="10" l="1"/>
  <c r="Z159" i="10"/>
  <c r="Z163" i="10"/>
  <c r="Z143" i="10" l="1"/>
  <c r="AA163" i="10" l="1"/>
  <c r="AA155" i="10"/>
  <c r="AA159" i="10"/>
  <c r="AA143" i="10" l="1"/>
  <c r="AB163" i="10" l="1"/>
  <c r="AB155" i="10"/>
  <c r="AB159" i="10"/>
  <c r="AB143" i="10" l="1"/>
  <c r="AC155" i="10" l="1"/>
  <c r="AC163" i="10"/>
  <c r="AC159" i="10"/>
  <c r="AC143" i="10" l="1"/>
  <c r="AD163" i="10" l="1"/>
  <c r="AD159" i="10"/>
  <c r="AD155" i="10"/>
  <c r="AD143" i="10" l="1"/>
  <c r="AE155" i="10" l="1"/>
  <c r="AE163" i="10" l="1"/>
  <c r="AE159" i="10"/>
  <c r="AE143" i="10"/>
  <c r="AF159" i="10" l="1"/>
  <c r="AF163" i="10"/>
  <c r="AG163" i="10" l="1"/>
  <c r="AG155" i="10"/>
  <c r="AG159" i="10"/>
  <c r="AG143" i="10" l="1"/>
  <c r="AH155" i="10" l="1"/>
  <c r="AH159" i="10"/>
  <c r="AH163" i="10"/>
  <c r="AH143" i="10" l="1"/>
  <c r="AI155" i="10" l="1"/>
  <c r="AI159" i="10"/>
  <c r="AI163" i="10"/>
  <c r="AI143" i="10" l="1"/>
  <c r="AJ159" i="10" l="1"/>
  <c r="AJ155" i="10"/>
  <c r="AJ163" i="10"/>
  <c r="AJ143" i="10" l="1"/>
  <c r="AK155" i="10" l="1"/>
  <c r="AK163" i="10"/>
  <c r="AK159" i="10"/>
  <c r="AK143" i="10" l="1"/>
  <c r="AL163" i="10" l="1"/>
  <c r="AL159" i="10"/>
  <c r="AL155" i="10"/>
  <c r="AL143" i="10" l="1"/>
  <c r="AM155" i="10" l="1"/>
  <c r="AM159" i="10"/>
  <c r="AM163" i="10"/>
  <c r="AM143" i="10" l="1"/>
  <c r="AN163" i="10" l="1"/>
  <c r="AN159" i="10" l="1"/>
  <c r="AN155" i="10"/>
  <c r="AN143" i="10"/>
  <c r="AO159" i="10" l="1"/>
  <c r="AO163" i="10"/>
  <c r="AO155" i="10"/>
  <c r="AO143" i="10" l="1"/>
  <c r="AP159" i="10" l="1"/>
  <c r="AP163" i="10"/>
  <c r="C746" i="10" l="1"/>
  <c r="C49" i="10" s="1"/>
  <c r="C281" i="10" l="1"/>
  <c r="C50" i="10"/>
  <c r="C74" i="10" s="1"/>
  <c r="C76" i="10" s="1"/>
  <c r="C80" i="10" s="1"/>
  <c r="C81" i="10" s="1"/>
  <c r="C95" i="10" s="1"/>
  <c r="C284" i="10" l="1"/>
  <c r="C300" i="10" s="1"/>
  <c r="C142" i="10"/>
  <c r="B644" i="10"/>
  <c r="C220" i="10"/>
  <c r="C297" i="10"/>
  <c r="B59" i="10" l="1"/>
  <c r="B63" i="10" s="1"/>
  <c r="B646" i="10"/>
  <c r="D178" i="1"/>
  <c r="C248" i="10"/>
  <c r="C143" i="10"/>
  <c r="C154" i="10"/>
  <c r="C155" i="10" s="1"/>
  <c r="D213" i="1" l="1"/>
  <c r="B72" i="10" s="1"/>
  <c r="D182" i="1"/>
  <c r="D187" i="1" s="1"/>
  <c r="D188" i="1" s="1"/>
  <c r="B94" i="10" s="1"/>
  <c r="B177" i="10"/>
  <c r="B184" i="10" s="1"/>
  <c r="C643" i="10"/>
  <c r="C646" i="10" s="1"/>
  <c r="B749" i="10"/>
  <c r="C750" i="10" s="1"/>
  <c r="B194" i="10" l="1"/>
  <c r="B186" i="10"/>
  <c r="B187" i="10"/>
  <c r="D192" i="1"/>
  <c r="D189" i="1"/>
  <c r="B69" i="10"/>
  <c r="C455" i="10"/>
  <c r="C450" i="10"/>
  <c r="C451" i="10"/>
  <c r="C319" i="10"/>
  <c r="B86" i="10"/>
  <c r="C182" i="10"/>
  <c r="C199" i="10" s="1"/>
  <c r="C201" i="10" s="1"/>
  <c r="C282" i="10"/>
  <c r="C298" i="10" s="1"/>
  <c r="D643" i="10"/>
  <c r="D646" i="10" s="1"/>
  <c r="C749" i="10"/>
  <c r="D750" i="10" s="1"/>
  <c r="C321" i="10"/>
  <c r="B73" i="10"/>
  <c r="C184" i="10" l="1"/>
  <c r="C187" i="10" s="1"/>
  <c r="B74" i="10"/>
  <c r="B76" i="10" s="1"/>
  <c r="C452" i="10"/>
  <c r="C453" i="10"/>
  <c r="D197" i="1"/>
  <c r="D201" i="1" s="1"/>
  <c r="C317" i="10"/>
  <c r="C186" i="10"/>
  <c r="C316" i="10"/>
  <c r="C454" i="10"/>
  <c r="C320" i="10"/>
  <c r="C318" i="10"/>
  <c r="C285" i="10"/>
  <c r="C292" i="10" s="1"/>
  <c r="C293" i="10" s="1"/>
  <c r="D182" i="10"/>
  <c r="D199" i="10" s="1"/>
  <c r="D201" i="10" s="1"/>
  <c r="D282" i="10"/>
  <c r="E643" i="10"/>
  <c r="E646" i="10" s="1"/>
  <c r="D749" i="10"/>
  <c r="E750" i="10" s="1"/>
  <c r="B150" i="10"/>
  <c r="D184" i="10" l="1"/>
  <c r="C301" i="10"/>
  <c r="C302" i="10" s="1"/>
  <c r="C309" i="10" s="1"/>
  <c r="C310" i="10" s="1"/>
  <c r="C204" i="10" s="1"/>
  <c r="C203" i="10"/>
  <c r="D202" i="1"/>
  <c r="D187" i="10"/>
  <c r="B142" i="10"/>
  <c r="B154" i="10" s="1"/>
  <c r="B155" i="10" s="1"/>
  <c r="B168" i="10" s="1"/>
  <c r="B284" i="10"/>
  <c r="C457" i="10"/>
  <c r="B454" i="10" s="1"/>
  <c r="B80" i="10"/>
  <c r="B81" i="10" s="1"/>
  <c r="B95" i="10" s="1"/>
  <c r="D199" i="1"/>
  <c r="D203" i="1"/>
  <c r="C323" i="10"/>
  <c r="B321" i="10" s="1"/>
  <c r="D186" i="10"/>
  <c r="D285" i="10"/>
  <c r="D292" i="10" s="1"/>
  <c r="D293" i="10" s="1"/>
  <c r="D298" i="10"/>
  <c r="E182" i="10"/>
  <c r="E199" i="10" s="1"/>
  <c r="E201" i="10" s="1"/>
  <c r="E282" i="10"/>
  <c r="F643" i="10"/>
  <c r="F646" i="10" s="1"/>
  <c r="E749" i="10"/>
  <c r="F750" i="10" s="1"/>
  <c r="B450" i="10"/>
  <c r="B201" i="10"/>
  <c r="C205" i="10" l="1"/>
  <c r="C210" i="10" s="1"/>
  <c r="D301" i="10"/>
  <c r="D302" i="10" s="1"/>
  <c r="D309" i="10" s="1"/>
  <c r="D310" i="10" s="1"/>
  <c r="D204" i="10" s="1"/>
  <c r="D203" i="10"/>
  <c r="B143" i="10"/>
  <c r="C145" i="10" s="1"/>
  <c r="B285" i="10"/>
  <c r="B292" i="10" s="1"/>
  <c r="B293" i="10" s="1"/>
  <c r="B203" i="10" s="1"/>
  <c r="B300" i="10"/>
  <c r="B320" i="10"/>
  <c r="D320" i="10" s="1"/>
  <c r="B451" i="10"/>
  <c r="E321" i="10"/>
  <c r="D321" i="10"/>
  <c r="B455" i="10"/>
  <c r="B453" i="10"/>
  <c r="B452" i="10"/>
  <c r="B317" i="10"/>
  <c r="D204" i="1"/>
  <c r="B316" i="10"/>
  <c r="B318" i="10"/>
  <c r="B319" i="10"/>
  <c r="E184" i="10"/>
  <c r="E285" i="10"/>
  <c r="E292" i="10" s="1"/>
  <c r="E293" i="10" s="1"/>
  <c r="E298" i="10"/>
  <c r="F182" i="10"/>
  <c r="F199" i="10" s="1"/>
  <c r="F201" i="10" s="1"/>
  <c r="F282" i="10"/>
  <c r="G643" i="10"/>
  <c r="G646" i="10" s="1"/>
  <c r="F749" i="10"/>
  <c r="G750" i="10" s="1"/>
  <c r="F450" i="10"/>
  <c r="G450" i="10" s="1"/>
  <c r="G457" i="10" s="1"/>
  <c r="F454" i="10"/>
  <c r="B172" i="10"/>
  <c r="B170" i="10"/>
  <c r="I457" i="10" l="1"/>
  <c r="H452" i="10"/>
  <c r="K452" i="10" s="1"/>
  <c r="L452" i="10" s="1"/>
  <c r="H454" i="10"/>
  <c r="H450" i="10"/>
  <c r="K450" i="10" s="1"/>
  <c r="L450" i="10" s="1"/>
  <c r="H451" i="10"/>
  <c r="H453" i="10"/>
  <c r="H455" i="10"/>
  <c r="S145" i="10"/>
  <c r="T146" i="10"/>
  <c r="E301" i="10"/>
  <c r="E203" i="10"/>
  <c r="F321" i="10"/>
  <c r="P146" i="10"/>
  <c r="C146" i="10"/>
  <c r="N145" i="10"/>
  <c r="AB146" i="10"/>
  <c r="X145" i="10"/>
  <c r="J146" i="10"/>
  <c r="D116" i="1" s="1"/>
  <c r="T145" i="10"/>
  <c r="J145" i="10"/>
  <c r="D110" i="1" s="1"/>
  <c r="V146" i="10"/>
  <c r="R145" i="10"/>
  <c r="AE145" i="10"/>
  <c r="B145" i="10"/>
  <c r="D145" i="10"/>
  <c r="I145" i="10"/>
  <c r="M145" i="10"/>
  <c r="O146" i="10"/>
  <c r="Z146" i="10"/>
  <c r="AA146" i="10"/>
  <c r="D119" i="1" s="1"/>
  <c r="E146" i="10"/>
  <c r="W145" i="10"/>
  <c r="V145" i="10"/>
  <c r="X146" i="10"/>
  <c r="I146" i="10"/>
  <c r="D205" i="10"/>
  <c r="D210" i="10" s="1"/>
  <c r="E145" i="10"/>
  <c r="R146" i="10"/>
  <c r="AD146" i="10"/>
  <c r="K145" i="10"/>
  <c r="AA145" i="10"/>
  <c r="D113" i="1" s="1"/>
  <c r="L145" i="10"/>
  <c r="AB145" i="10"/>
  <c r="Y145" i="10"/>
  <c r="AD145" i="10"/>
  <c r="AC145" i="10"/>
  <c r="Z145" i="10"/>
  <c r="AE146" i="10"/>
  <c r="Q146" i="10"/>
  <c r="AC146" i="10"/>
  <c r="K146" i="10"/>
  <c r="L146" i="10"/>
  <c r="Y146" i="10"/>
  <c r="N146" i="10"/>
  <c r="G145" i="10"/>
  <c r="H145" i="10"/>
  <c r="Q145" i="10"/>
  <c r="U145" i="10"/>
  <c r="W146" i="10"/>
  <c r="M146" i="10"/>
  <c r="D146" i="10"/>
  <c r="U146" i="10"/>
  <c r="B146" i="10"/>
  <c r="G146" i="10"/>
  <c r="S146" i="10"/>
  <c r="P145" i="10"/>
  <c r="F146" i="10"/>
  <c r="F145" i="10"/>
  <c r="H146" i="10"/>
  <c r="O145" i="10"/>
  <c r="B301" i="10"/>
  <c r="B302" i="10" s="1"/>
  <c r="B309" i="10" s="1"/>
  <c r="B310" i="10" s="1"/>
  <c r="B204" i="10" s="1"/>
  <c r="E320" i="10"/>
  <c r="F320" i="10" s="1"/>
  <c r="K453" i="10"/>
  <c r="L453" i="10" s="1"/>
  <c r="K451" i="10"/>
  <c r="L451" i="10" s="1"/>
  <c r="K455" i="10"/>
  <c r="L455" i="10" s="1"/>
  <c r="K454" i="10"/>
  <c r="L454" i="10" s="1"/>
  <c r="E319" i="10"/>
  <c r="D319" i="10"/>
  <c r="E316" i="10"/>
  <c r="D316" i="10"/>
  <c r="D317" i="10"/>
  <c r="E317" i="10"/>
  <c r="E318" i="10"/>
  <c r="D318" i="10"/>
  <c r="B457" i="10"/>
  <c r="B323" i="10"/>
  <c r="F184" i="10"/>
  <c r="F186" i="10" s="1"/>
  <c r="E186" i="10"/>
  <c r="E187" i="10"/>
  <c r="F285" i="10"/>
  <c r="F292" i="10" s="1"/>
  <c r="F293" i="10" s="1"/>
  <c r="F203" i="10" s="1"/>
  <c r="F298" i="10"/>
  <c r="E302" i="10"/>
  <c r="E309" i="10" s="1"/>
  <c r="E310" i="10" s="1"/>
  <c r="E204" i="10" s="1"/>
  <c r="G182" i="10"/>
  <c r="G199" i="10" s="1"/>
  <c r="G201" i="10" s="1"/>
  <c r="G282" i="10"/>
  <c r="H643" i="10"/>
  <c r="H646" i="10" s="1"/>
  <c r="G749" i="10"/>
  <c r="H750" i="10" s="1"/>
  <c r="F452" i="10"/>
  <c r="F453" i="10"/>
  <c r="F455" i="10"/>
  <c r="F451" i="10"/>
  <c r="B171" i="10"/>
  <c r="G184" i="10" l="1"/>
  <c r="G187" i="10" s="1"/>
  <c r="F318" i="10"/>
  <c r="H457" i="10"/>
  <c r="F317" i="10"/>
  <c r="B205" i="10"/>
  <c r="B210" i="10" s="1"/>
  <c r="F316" i="10"/>
  <c r="G316" i="10" s="1"/>
  <c r="G323" i="10" s="1"/>
  <c r="F319" i="10"/>
  <c r="E205" i="10"/>
  <c r="E210" i="10" s="1"/>
  <c r="G186" i="10"/>
  <c r="F187" i="10"/>
  <c r="F301" i="10"/>
  <c r="F302" i="10" s="1"/>
  <c r="F309" i="10" s="1"/>
  <c r="F310" i="10" s="1"/>
  <c r="G285" i="10"/>
  <c r="G292" i="10" s="1"/>
  <c r="G293" i="10" s="1"/>
  <c r="G298" i="10"/>
  <c r="H182" i="10"/>
  <c r="H184" i="10" s="1"/>
  <c r="H282" i="10"/>
  <c r="I643" i="10"/>
  <c r="I646" i="10" s="1"/>
  <c r="H749" i="10"/>
  <c r="I750" i="10" s="1"/>
  <c r="F457" i="10"/>
  <c r="L457" i="10"/>
  <c r="H318" i="10" l="1"/>
  <c r="H320" i="10"/>
  <c r="H316" i="10"/>
  <c r="K316" i="10" s="1"/>
  <c r="L316" i="10" s="1"/>
  <c r="H317" i="10"/>
  <c r="K317" i="10" s="1"/>
  <c r="L317" i="10" s="1"/>
  <c r="H319" i="10"/>
  <c r="H321" i="10"/>
  <c r="F204" i="10"/>
  <c r="F205" i="10" s="1"/>
  <c r="F210" i="10" s="1"/>
  <c r="F213" i="10" s="1"/>
  <c r="G301" i="10"/>
  <c r="G302" i="10" s="1"/>
  <c r="G309" i="10" s="1"/>
  <c r="G310" i="10" s="1"/>
  <c r="G204" i="10" s="1"/>
  <c r="G203" i="10"/>
  <c r="F323" i="10"/>
  <c r="E213" i="10"/>
  <c r="B213" i="10"/>
  <c r="B212" i="10"/>
  <c r="C212" i="10"/>
  <c r="C213" i="10"/>
  <c r="D213" i="10"/>
  <c r="D212" i="10"/>
  <c r="I323" i="10"/>
  <c r="C157" i="10" s="1"/>
  <c r="C252" i="10" s="1"/>
  <c r="K320" i="10"/>
  <c r="L320" i="10" s="1"/>
  <c r="K319" i="10"/>
  <c r="L319" i="10" s="1"/>
  <c r="K321" i="10"/>
  <c r="L321" i="10" s="1"/>
  <c r="K318" i="10"/>
  <c r="L318" i="10" s="1"/>
  <c r="E212" i="10"/>
  <c r="C158" i="10"/>
  <c r="H199" i="10"/>
  <c r="H201" i="10" s="1"/>
  <c r="H187" i="10"/>
  <c r="H186" i="10"/>
  <c r="H285" i="10"/>
  <c r="H292" i="10" s="1"/>
  <c r="H293" i="10" s="1"/>
  <c r="H298" i="10"/>
  <c r="I182" i="10"/>
  <c r="I184" i="10" s="1"/>
  <c r="I282" i="10"/>
  <c r="J643" i="10"/>
  <c r="J646" i="10" s="1"/>
  <c r="I749" i="10"/>
  <c r="J750" i="10" s="1"/>
  <c r="F212" i="10" l="1"/>
  <c r="H301" i="10"/>
  <c r="H203" i="10"/>
  <c r="L323" i="10"/>
  <c r="H323" i="10"/>
  <c r="I454" i="10"/>
  <c r="J454" i="10" s="1"/>
  <c r="I452" i="10"/>
  <c r="J452" i="10" s="1"/>
  <c r="I451" i="10"/>
  <c r="J451" i="10" s="1"/>
  <c r="I199" i="10"/>
  <c r="I201" i="10" s="1"/>
  <c r="G205" i="10"/>
  <c r="I450" i="10"/>
  <c r="J450" i="10" s="1"/>
  <c r="N316" i="10" s="1"/>
  <c r="I455" i="10"/>
  <c r="J455" i="10" s="1"/>
  <c r="I453" i="10"/>
  <c r="J453" i="10" s="1"/>
  <c r="H302" i="10"/>
  <c r="H309" i="10" s="1"/>
  <c r="H310" i="10" s="1"/>
  <c r="I186" i="10"/>
  <c r="I187" i="10"/>
  <c r="I285" i="10"/>
  <c r="I292" i="10" s="1"/>
  <c r="I293" i="10" s="1"/>
  <c r="I298" i="10"/>
  <c r="J182" i="10"/>
  <c r="J199" i="10" s="1"/>
  <c r="J201" i="10" s="1"/>
  <c r="J282" i="10"/>
  <c r="K643" i="10"/>
  <c r="K646" i="10" s="1"/>
  <c r="J749" i="10"/>
  <c r="K750" i="10" s="1"/>
  <c r="I319" i="10"/>
  <c r="J319" i="10" s="1"/>
  <c r="I318" i="10"/>
  <c r="J318" i="10" s="1"/>
  <c r="I321" i="10"/>
  <c r="J321" i="10" s="1"/>
  <c r="I316" i="10"/>
  <c r="J316" i="10" s="1"/>
  <c r="I320" i="10"/>
  <c r="J320" i="10" s="1"/>
  <c r="I317" i="10"/>
  <c r="J317" i="10" s="1"/>
  <c r="C159" i="10"/>
  <c r="G210" i="10" l="1"/>
  <c r="G212" i="10" s="1"/>
  <c r="H204" i="10"/>
  <c r="H205" i="10" s="1"/>
  <c r="H210" i="10" s="1"/>
  <c r="I301" i="10"/>
  <c r="I302" i="10" s="1"/>
  <c r="I309" i="10" s="1"/>
  <c r="I310" i="10" s="1"/>
  <c r="I203" i="10"/>
  <c r="M320" i="10"/>
  <c r="M454" i="10"/>
  <c r="M321" i="10"/>
  <c r="M455" i="10"/>
  <c r="M317" i="10"/>
  <c r="M451" i="10"/>
  <c r="M316" i="10"/>
  <c r="O316" i="10" s="1"/>
  <c r="M450" i="10"/>
  <c r="M318" i="10"/>
  <c r="M452" i="10"/>
  <c r="M319" i="10"/>
  <c r="M453" i="10"/>
  <c r="N450" i="10"/>
  <c r="N455" i="10"/>
  <c r="N321" i="10"/>
  <c r="N451" i="10"/>
  <c r="N317" i="10"/>
  <c r="N454" i="10"/>
  <c r="N320" i="10"/>
  <c r="N453" i="10"/>
  <c r="N319" i="10"/>
  <c r="N452" i="10"/>
  <c r="N318" i="10"/>
  <c r="J184" i="10"/>
  <c r="J457" i="10"/>
  <c r="J285" i="10"/>
  <c r="J292" i="10" s="1"/>
  <c r="J293" i="10" s="1"/>
  <c r="J298" i="10"/>
  <c r="K182" i="10"/>
  <c r="K199" i="10" s="1"/>
  <c r="K201" i="10" s="1"/>
  <c r="K282" i="10"/>
  <c r="L643" i="10"/>
  <c r="L646" i="10" s="1"/>
  <c r="K749" i="10"/>
  <c r="L750" i="10" s="1"/>
  <c r="J323" i="10"/>
  <c r="G213" i="10" l="1"/>
  <c r="K184" i="10"/>
  <c r="K186" i="10" s="1"/>
  <c r="H213" i="10"/>
  <c r="H212" i="10"/>
  <c r="M323" i="10"/>
  <c r="J301" i="10"/>
  <c r="J302" i="10" s="1"/>
  <c r="J309" i="10" s="1"/>
  <c r="J310" i="10" s="1"/>
  <c r="J204" i="10" s="1"/>
  <c r="J203" i="10"/>
  <c r="I204" i="10"/>
  <c r="I205" i="10" s="1"/>
  <c r="I210" i="10" s="1"/>
  <c r="O450" i="10"/>
  <c r="P450" i="10" s="1"/>
  <c r="O318" i="10"/>
  <c r="Q318" i="10" s="1"/>
  <c r="AJ358" i="10" s="1"/>
  <c r="O320" i="10"/>
  <c r="Q320" i="10" s="1"/>
  <c r="AE360" i="10" s="1"/>
  <c r="O317" i="10"/>
  <c r="O321" i="10"/>
  <c r="Q321" i="10" s="1"/>
  <c r="AA361" i="10" s="1"/>
  <c r="O454" i="10"/>
  <c r="Q454" i="10" s="1"/>
  <c r="AL494" i="10" s="1"/>
  <c r="O452" i="10"/>
  <c r="Q452" i="10" s="1"/>
  <c r="T492" i="10" s="1"/>
  <c r="O451" i="10"/>
  <c r="O455" i="10"/>
  <c r="Q455" i="10" s="1"/>
  <c r="R495" i="10" s="1"/>
  <c r="O453" i="10"/>
  <c r="Q453" i="10" s="1"/>
  <c r="I493" i="10" s="1"/>
  <c r="O319" i="10"/>
  <c r="Q319" i="10" s="1"/>
  <c r="H359" i="10" s="1"/>
  <c r="M457" i="10"/>
  <c r="AK495" i="10"/>
  <c r="T493" i="10"/>
  <c r="N457" i="10"/>
  <c r="AC493" i="10"/>
  <c r="I361" i="10"/>
  <c r="AI361" i="10"/>
  <c r="H361" i="10"/>
  <c r="N323" i="10"/>
  <c r="J186" i="10"/>
  <c r="D123" i="1" s="1"/>
  <c r="J187" i="10"/>
  <c r="D129" i="1" s="1"/>
  <c r="K285" i="10"/>
  <c r="K292" i="10" s="1"/>
  <c r="K293" i="10" s="1"/>
  <c r="K298" i="10"/>
  <c r="L182" i="10"/>
  <c r="L184" i="10" s="1"/>
  <c r="L282" i="10"/>
  <c r="M643" i="10"/>
  <c r="M646" i="10" s="1"/>
  <c r="L749" i="10"/>
  <c r="M750" i="10" s="1"/>
  <c r="P316" i="10"/>
  <c r="H492" i="10" l="1"/>
  <c r="E494" i="10"/>
  <c r="W358" i="10"/>
  <c r="K495" i="10"/>
  <c r="K187" i="10"/>
  <c r="I360" i="10"/>
  <c r="AA360" i="10"/>
  <c r="AK360" i="10"/>
  <c r="R360" i="10"/>
  <c r="P360" i="10"/>
  <c r="Y359" i="10"/>
  <c r="AE493" i="10"/>
  <c r="AO494" i="10"/>
  <c r="AB494" i="10"/>
  <c r="F361" i="10"/>
  <c r="AA494" i="10"/>
  <c r="AH494" i="10"/>
  <c r="U493" i="10"/>
  <c r="M493" i="10"/>
  <c r="O457" i="10"/>
  <c r="M495" i="10"/>
  <c r="T359" i="10"/>
  <c r="X359" i="10"/>
  <c r="AP361" i="10"/>
  <c r="W361" i="10"/>
  <c r="X360" i="10"/>
  <c r="AP360" i="10"/>
  <c r="M360" i="10"/>
  <c r="AL360" i="10"/>
  <c r="C360" i="10"/>
  <c r="AM361" i="10"/>
  <c r="L361" i="10"/>
  <c r="K492" i="10"/>
  <c r="O492" i="10"/>
  <c r="AF359" i="10"/>
  <c r="C359" i="10"/>
  <c r="E495" i="10"/>
  <c r="G492" i="10"/>
  <c r="F492" i="10"/>
  <c r="P361" i="10"/>
  <c r="R361" i="10"/>
  <c r="Q361" i="10"/>
  <c r="AD361" i="10"/>
  <c r="T361" i="10"/>
  <c r="Z360" i="10"/>
  <c r="E360" i="10"/>
  <c r="S360" i="10"/>
  <c r="W360" i="10"/>
  <c r="L360" i="10"/>
  <c r="D360" i="10"/>
  <c r="AN360" i="10"/>
  <c r="AB360" i="10"/>
  <c r="G360" i="10"/>
  <c r="Q360" i="10"/>
  <c r="U361" i="10"/>
  <c r="AK361" i="10"/>
  <c r="E361" i="10"/>
  <c r="O323" i="10"/>
  <c r="I494" i="10"/>
  <c r="V494" i="10"/>
  <c r="AJ494" i="10"/>
  <c r="AK494" i="10"/>
  <c r="W494" i="10"/>
  <c r="N358" i="10"/>
  <c r="AD493" i="10"/>
  <c r="O493" i="10"/>
  <c r="N493" i="10"/>
  <c r="E358" i="10"/>
  <c r="AH358" i="10"/>
  <c r="X358" i="10"/>
  <c r="AK358" i="10"/>
  <c r="F493" i="10"/>
  <c r="Y494" i="10"/>
  <c r="AF494" i="10"/>
  <c r="K494" i="10"/>
  <c r="D494" i="10"/>
  <c r="F494" i="10"/>
  <c r="U494" i="10"/>
  <c r="X494" i="10"/>
  <c r="G494" i="10"/>
  <c r="AM494" i="10"/>
  <c r="AP494" i="10"/>
  <c r="W493" i="10"/>
  <c r="K493" i="10"/>
  <c r="T358" i="10"/>
  <c r="Q358" i="10"/>
  <c r="L493" i="10"/>
  <c r="Z493" i="10"/>
  <c r="AM358" i="10"/>
  <c r="AC358" i="10"/>
  <c r="L358" i="10"/>
  <c r="AG493" i="10"/>
  <c r="C493" i="10"/>
  <c r="X493" i="10"/>
  <c r="D493" i="10"/>
  <c r="I358" i="10"/>
  <c r="F358" i="10"/>
  <c r="P358" i="10"/>
  <c r="AI358" i="10"/>
  <c r="G358" i="10"/>
  <c r="P493" i="10"/>
  <c r="V493" i="10"/>
  <c r="AE358" i="10"/>
  <c r="J358" i="10"/>
  <c r="H358" i="10"/>
  <c r="AN358" i="10"/>
  <c r="AB358" i="10"/>
  <c r="I212" i="10"/>
  <c r="I213" i="10"/>
  <c r="K301" i="10"/>
  <c r="K302" i="10" s="1"/>
  <c r="K309" i="10" s="1"/>
  <c r="K310" i="10" s="1"/>
  <c r="K203" i="10"/>
  <c r="X361" i="10"/>
  <c r="Y361" i="10"/>
  <c r="V361" i="10"/>
  <c r="J361" i="10"/>
  <c r="P451" i="10"/>
  <c r="P457" i="10" s="1"/>
  <c r="C496" i="10" s="1"/>
  <c r="B496" i="10" s="1"/>
  <c r="P317" i="10"/>
  <c r="Q317" i="10" s="1"/>
  <c r="O361" i="10"/>
  <c r="Z492" i="10"/>
  <c r="AO492" i="10"/>
  <c r="AM495" i="10"/>
  <c r="AL359" i="10"/>
  <c r="AE359" i="10"/>
  <c r="AB359" i="10"/>
  <c r="O359" i="10"/>
  <c r="Q359" i="10"/>
  <c r="AL495" i="10"/>
  <c r="AP495" i="10"/>
  <c r="Y492" i="10"/>
  <c r="AF361" i="10"/>
  <c r="K361" i="10"/>
  <c r="AN361" i="10"/>
  <c r="N361" i="10"/>
  <c r="C361" i="10"/>
  <c r="AG361" i="10"/>
  <c r="AJ361" i="10"/>
  <c r="AC361" i="10"/>
  <c r="AD360" i="10"/>
  <c r="T360" i="10"/>
  <c r="U360" i="10"/>
  <c r="V360" i="10"/>
  <c r="AI360" i="10"/>
  <c r="AO360" i="10"/>
  <c r="AF360" i="10"/>
  <c r="N360" i="10"/>
  <c r="O360" i="10"/>
  <c r="F360" i="10"/>
  <c r="AJ360" i="10"/>
  <c r="AC360" i="10"/>
  <c r="J360" i="10"/>
  <c r="H360" i="10"/>
  <c r="K360" i="10"/>
  <c r="Y360" i="10"/>
  <c r="AM360" i="10"/>
  <c r="AG360" i="10"/>
  <c r="AH360" i="10"/>
  <c r="AB361" i="10"/>
  <c r="AL361" i="10"/>
  <c r="D361" i="10"/>
  <c r="AH361" i="10"/>
  <c r="AO361" i="10"/>
  <c r="G361" i="10"/>
  <c r="S361" i="10"/>
  <c r="AE361" i="10"/>
  <c r="M361" i="10"/>
  <c r="Z361" i="10"/>
  <c r="Q493" i="10"/>
  <c r="AN493" i="10"/>
  <c r="AO493" i="10"/>
  <c r="Q494" i="10"/>
  <c r="AG494" i="10"/>
  <c r="P494" i="10"/>
  <c r="R494" i="10"/>
  <c r="N494" i="10"/>
  <c r="S494" i="10"/>
  <c r="AI494" i="10"/>
  <c r="T494" i="10"/>
  <c r="Z494" i="10"/>
  <c r="C494" i="10"/>
  <c r="M494" i="10"/>
  <c r="AC494" i="10"/>
  <c r="H494" i="10"/>
  <c r="AN494" i="10"/>
  <c r="AD494" i="10"/>
  <c r="O494" i="10"/>
  <c r="AE494" i="10"/>
  <c r="L494" i="10"/>
  <c r="J494" i="10"/>
  <c r="C358" i="10"/>
  <c r="Y493" i="10"/>
  <c r="AL493" i="10"/>
  <c r="R493" i="10"/>
  <c r="AB493" i="10"/>
  <c r="E493" i="10"/>
  <c r="AK493" i="10"/>
  <c r="AH493" i="10"/>
  <c r="AA493" i="10"/>
  <c r="AJ493" i="10"/>
  <c r="AD358" i="10"/>
  <c r="Y358" i="10"/>
  <c r="AL358" i="10"/>
  <c r="AF358" i="10"/>
  <c r="O358" i="10"/>
  <c r="R358" i="10"/>
  <c r="M358" i="10"/>
  <c r="K358" i="10"/>
  <c r="AO358" i="10"/>
  <c r="AM493" i="10"/>
  <c r="H493" i="10"/>
  <c r="AI493" i="10"/>
  <c r="S358" i="10"/>
  <c r="U358" i="10"/>
  <c r="AG358" i="10"/>
  <c r="AP358" i="10"/>
  <c r="AA358" i="10"/>
  <c r="D358" i="10"/>
  <c r="Z358" i="10"/>
  <c r="V358" i="10"/>
  <c r="J493" i="10"/>
  <c r="AP493" i="10"/>
  <c r="S493" i="10"/>
  <c r="G493" i="10"/>
  <c r="AF493" i="10"/>
  <c r="G495" i="10"/>
  <c r="P492" i="10"/>
  <c r="U492" i="10"/>
  <c r="AE492" i="10"/>
  <c r="AN492" i="10"/>
  <c r="R492" i="10"/>
  <c r="D492" i="10"/>
  <c r="AD495" i="10"/>
  <c r="W359" i="10"/>
  <c r="U359" i="10"/>
  <c r="F359" i="10"/>
  <c r="K359" i="10"/>
  <c r="J359" i="10"/>
  <c r="AM359" i="10"/>
  <c r="I359" i="10"/>
  <c r="N359" i="10"/>
  <c r="E359" i="10"/>
  <c r="AA359" i="10"/>
  <c r="AJ492" i="10"/>
  <c r="C495" i="10"/>
  <c r="P495" i="10"/>
  <c r="J495" i="10"/>
  <c r="AO495" i="10"/>
  <c r="AB492" i="10"/>
  <c r="N492" i="10"/>
  <c r="C492" i="10"/>
  <c r="AG492" i="10"/>
  <c r="M492" i="10"/>
  <c r="AN495" i="10"/>
  <c r="AF492" i="10"/>
  <c r="I492" i="10"/>
  <c r="J492" i="10"/>
  <c r="AP492" i="10"/>
  <c r="AC492" i="10"/>
  <c r="X492" i="10"/>
  <c r="AA492" i="10"/>
  <c r="E492" i="10"/>
  <c r="AH492" i="10"/>
  <c r="Q492" i="10"/>
  <c r="AG495" i="10"/>
  <c r="AJ495" i="10"/>
  <c r="D495" i="10"/>
  <c r="AC359" i="10"/>
  <c r="AJ359" i="10"/>
  <c r="AG359" i="10"/>
  <c r="S359" i="10"/>
  <c r="V359" i="10"/>
  <c r="M359" i="10"/>
  <c r="AO359" i="10"/>
  <c r="R359" i="10"/>
  <c r="AK359" i="10"/>
  <c r="AN359" i="10"/>
  <c r="Z359" i="10"/>
  <c r="G359" i="10"/>
  <c r="L359" i="10"/>
  <c r="AI359" i="10"/>
  <c r="AD359" i="10"/>
  <c r="D359" i="10"/>
  <c r="P359" i="10"/>
  <c r="AH359" i="10"/>
  <c r="AP359" i="10"/>
  <c r="L492" i="10"/>
  <c r="N495" i="10"/>
  <c r="L495" i="10"/>
  <c r="F495" i="10"/>
  <c r="Y495" i="10"/>
  <c r="AF495" i="10"/>
  <c r="Q495" i="10"/>
  <c r="Z495" i="10"/>
  <c r="AE495" i="10"/>
  <c r="S492" i="10"/>
  <c r="AK492" i="10"/>
  <c r="AD492" i="10"/>
  <c r="AM492" i="10"/>
  <c r="AI492" i="10"/>
  <c r="AL492" i="10"/>
  <c r="W492" i="10"/>
  <c r="W495" i="10"/>
  <c r="AH495" i="10"/>
  <c r="V492" i="10"/>
  <c r="AC495" i="10"/>
  <c r="O495" i="10"/>
  <c r="X495" i="10"/>
  <c r="AI495" i="10"/>
  <c r="H495" i="10"/>
  <c r="U495" i="10"/>
  <c r="I495" i="10"/>
  <c r="AB495" i="10"/>
  <c r="AA495" i="10"/>
  <c r="V495" i="10"/>
  <c r="T495" i="10"/>
  <c r="S495" i="10"/>
  <c r="J205" i="10"/>
  <c r="L199" i="10"/>
  <c r="L201" i="10" s="1"/>
  <c r="L187" i="10"/>
  <c r="L186" i="10"/>
  <c r="L285" i="10"/>
  <c r="L292" i="10" s="1"/>
  <c r="L293" i="10" s="1"/>
  <c r="L298" i="10"/>
  <c r="M182" i="10"/>
  <c r="M199" i="10" s="1"/>
  <c r="M201" i="10" s="1"/>
  <c r="M282" i="10"/>
  <c r="N643" i="10"/>
  <c r="N646" i="10" s="1"/>
  <c r="M749" i="10"/>
  <c r="N750" i="10" s="1"/>
  <c r="Q316" i="10"/>
  <c r="C356" i="10" s="1"/>
  <c r="Q450" i="10"/>
  <c r="B360" i="10" l="1"/>
  <c r="J210" i="10"/>
  <c r="J213" i="10" s="1"/>
  <c r="D130" i="1" s="1"/>
  <c r="L301" i="10"/>
  <c r="L302" i="10" s="1"/>
  <c r="L309" i="10" s="1"/>
  <c r="L310" i="10" s="1"/>
  <c r="L204" i="10" s="1"/>
  <c r="L203" i="10"/>
  <c r="K204" i="10"/>
  <c r="K205" i="10" s="1"/>
  <c r="K210" i="10" s="1"/>
  <c r="Q451" i="10"/>
  <c r="AB491" i="10" s="1"/>
  <c r="M357" i="10"/>
  <c r="W357" i="10"/>
  <c r="H357" i="10"/>
  <c r="AG357" i="10"/>
  <c r="AK357" i="10"/>
  <c r="I357" i="10"/>
  <c r="P357" i="10"/>
  <c r="X357" i="10"/>
  <c r="AI357" i="10"/>
  <c r="AA357" i="10"/>
  <c r="Y357" i="10"/>
  <c r="D357" i="10"/>
  <c r="R357" i="10"/>
  <c r="O357" i="10"/>
  <c r="AB357" i="10"/>
  <c r="N357" i="10"/>
  <c r="AE357" i="10"/>
  <c r="K357" i="10"/>
  <c r="J357" i="10"/>
  <c r="AJ357" i="10"/>
  <c r="V357" i="10"/>
  <c r="AL357" i="10"/>
  <c r="U357" i="10"/>
  <c r="AP357" i="10"/>
  <c r="Q357" i="10"/>
  <c r="AH357" i="10"/>
  <c r="AD357" i="10"/>
  <c r="E357" i="10"/>
  <c r="Z357" i="10"/>
  <c r="G357" i="10"/>
  <c r="S357" i="10"/>
  <c r="F357" i="10"/>
  <c r="T357" i="10"/>
  <c r="AC357" i="10"/>
  <c r="C357" i="10"/>
  <c r="AO357" i="10"/>
  <c r="AM357" i="10"/>
  <c r="L357" i="10"/>
  <c r="AN357" i="10"/>
  <c r="AF357" i="10"/>
  <c r="P323" i="10"/>
  <c r="C362" i="10" s="1"/>
  <c r="B362" i="10" s="1"/>
  <c r="B361" i="10"/>
  <c r="B358" i="10"/>
  <c r="B359" i="10"/>
  <c r="B493" i="10"/>
  <c r="B494" i="10"/>
  <c r="B492" i="10"/>
  <c r="B495" i="10"/>
  <c r="M184" i="10"/>
  <c r="M186" i="10" s="1"/>
  <c r="M285" i="10"/>
  <c r="M292" i="10" s="1"/>
  <c r="M293" i="10" s="1"/>
  <c r="M298" i="10"/>
  <c r="N182" i="10"/>
  <c r="N184" i="10" s="1"/>
  <c r="N282" i="10"/>
  <c r="AJ356" i="10"/>
  <c r="AN356" i="10"/>
  <c r="AF356" i="10"/>
  <c r="O643" i="10"/>
  <c r="O646" i="10" s="1"/>
  <c r="N749" i="10"/>
  <c r="O750" i="10" s="1"/>
  <c r="AB356" i="10"/>
  <c r="X356" i="10"/>
  <c r="T356" i="10"/>
  <c r="P356" i="10"/>
  <c r="L356" i="10"/>
  <c r="H356" i="10"/>
  <c r="H363" i="10" s="1"/>
  <c r="H222" i="10" s="1"/>
  <c r="H223" i="10" s="1"/>
  <c r="H244" i="10" s="1"/>
  <c r="H245" i="10" s="1"/>
  <c r="H165" i="10" s="1"/>
  <c r="D356" i="10"/>
  <c r="AO356" i="10"/>
  <c r="AP356" i="10"/>
  <c r="AL356" i="10"/>
  <c r="AH356" i="10"/>
  <c r="AD356" i="10"/>
  <c r="Z356" i="10"/>
  <c r="V356" i="10"/>
  <c r="R356" i="10"/>
  <c r="N356" i="10"/>
  <c r="J356" i="10"/>
  <c r="F356" i="10"/>
  <c r="Q323" i="10"/>
  <c r="AK356" i="10"/>
  <c r="AM356" i="10"/>
  <c r="AI356" i="10"/>
  <c r="AG356" i="10"/>
  <c r="AE356" i="10"/>
  <c r="AC356" i="10"/>
  <c r="AA356" i="10"/>
  <c r="Y356" i="10"/>
  <c r="W356" i="10"/>
  <c r="U356" i="10"/>
  <c r="S356" i="10"/>
  <c r="Q356" i="10"/>
  <c r="O356" i="10"/>
  <c r="M356" i="10"/>
  <c r="K356" i="10"/>
  <c r="I356" i="10"/>
  <c r="G356" i="10"/>
  <c r="E356" i="10"/>
  <c r="D490" i="10"/>
  <c r="F490" i="10"/>
  <c r="H490" i="10"/>
  <c r="J490" i="10"/>
  <c r="L490" i="10"/>
  <c r="N490" i="10"/>
  <c r="P490" i="10"/>
  <c r="R490" i="10"/>
  <c r="T490" i="10"/>
  <c r="V490" i="10"/>
  <c r="X490" i="10"/>
  <c r="Z490" i="10"/>
  <c r="AB490" i="10"/>
  <c r="AD490" i="10"/>
  <c r="AF490" i="10"/>
  <c r="AH490" i="10"/>
  <c r="AJ490" i="10"/>
  <c r="AL490" i="10"/>
  <c r="AN490" i="10"/>
  <c r="AP490" i="10"/>
  <c r="C490" i="10"/>
  <c r="E490" i="10"/>
  <c r="G490" i="10"/>
  <c r="I490" i="10"/>
  <c r="K490" i="10"/>
  <c r="M490" i="10"/>
  <c r="O490" i="10"/>
  <c r="Q490" i="10"/>
  <c r="S490" i="10"/>
  <c r="U490" i="10"/>
  <c r="W490" i="10"/>
  <c r="Y490" i="10"/>
  <c r="AA490" i="10"/>
  <c r="AC490" i="10"/>
  <c r="AE490" i="10"/>
  <c r="AG490" i="10"/>
  <c r="AI490" i="10"/>
  <c r="AK490" i="10"/>
  <c r="AM490" i="10"/>
  <c r="AO490" i="10"/>
  <c r="S363" i="10" l="1"/>
  <c r="S222" i="10" s="1"/>
  <c r="S223" i="10" s="1"/>
  <c r="S244" i="10" s="1"/>
  <c r="S245" i="10" s="1"/>
  <c r="S165" i="10" s="1"/>
  <c r="AE363" i="10"/>
  <c r="AE222" i="10" s="1"/>
  <c r="AE223" i="10" s="1"/>
  <c r="AE244" i="10" s="1"/>
  <c r="AE245" i="10" s="1"/>
  <c r="AE251" i="10" s="1"/>
  <c r="AI363" i="10"/>
  <c r="AI222" i="10" s="1"/>
  <c r="AI223" i="10" s="1"/>
  <c r="AI244" i="10" s="1"/>
  <c r="AI245" i="10" s="1"/>
  <c r="AK363" i="10"/>
  <c r="AK222" i="10" s="1"/>
  <c r="AK223" i="10" s="1"/>
  <c r="AK244" i="10" s="1"/>
  <c r="AK245" i="10" s="1"/>
  <c r="V363" i="10"/>
  <c r="V222" i="10" s="1"/>
  <c r="V223" i="10" s="1"/>
  <c r="V244" i="10" s="1"/>
  <c r="V245" i="10" s="1"/>
  <c r="V165" i="10" s="1"/>
  <c r="AD363" i="10"/>
  <c r="AD222" i="10" s="1"/>
  <c r="AD223" i="10" s="1"/>
  <c r="AD244" i="10" s="1"/>
  <c r="AD245" i="10" s="1"/>
  <c r="P363" i="10"/>
  <c r="P222" i="10" s="1"/>
  <c r="P223" i="10" s="1"/>
  <c r="P244" i="10" s="1"/>
  <c r="P245" i="10" s="1"/>
  <c r="P165" i="10" s="1"/>
  <c r="E363" i="10"/>
  <c r="E222" i="10" s="1"/>
  <c r="E223" i="10" s="1"/>
  <c r="E244" i="10" s="1"/>
  <c r="E245" i="10" s="1"/>
  <c r="E251" i="10" s="1"/>
  <c r="I363" i="10"/>
  <c r="I222" i="10" s="1"/>
  <c r="I223" i="10" s="1"/>
  <c r="I244" i="10" s="1"/>
  <c r="I245" i="10" s="1"/>
  <c r="I251" i="10" s="1"/>
  <c r="AC363" i="10"/>
  <c r="AC222" i="10" s="1"/>
  <c r="AC223" i="10" s="1"/>
  <c r="AC244" i="10" s="1"/>
  <c r="AC245" i="10" s="1"/>
  <c r="AC165" i="10" s="1"/>
  <c r="AG363" i="10"/>
  <c r="AG222" i="10" s="1"/>
  <c r="AG223" i="10" s="1"/>
  <c r="AG244" i="10" s="1"/>
  <c r="AG245" i="10" s="1"/>
  <c r="AH363" i="10"/>
  <c r="AH222" i="10" s="1"/>
  <c r="AH223" i="10" s="1"/>
  <c r="AH244" i="10" s="1"/>
  <c r="AH245" i="10" s="1"/>
  <c r="AP363" i="10"/>
  <c r="AP222" i="10" s="1"/>
  <c r="D363" i="10"/>
  <c r="D222" i="10" s="1"/>
  <c r="D223" i="10" s="1"/>
  <c r="D244" i="10" s="1"/>
  <c r="D245" i="10" s="1"/>
  <c r="D251" i="10" s="1"/>
  <c r="L363" i="10"/>
  <c r="L222" i="10" s="1"/>
  <c r="L223" i="10" s="1"/>
  <c r="L244" i="10" s="1"/>
  <c r="L245" i="10" s="1"/>
  <c r="L165" i="10" s="1"/>
  <c r="K212" i="10"/>
  <c r="C363" i="10"/>
  <c r="K213" i="10"/>
  <c r="J212" i="10"/>
  <c r="D124" i="1" s="1"/>
  <c r="G363" i="10"/>
  <c r="G222" i="10" s="1"/>
  <c r="G223" i="10" s="1"/>
  <c r="G244" i="10" s="1"/>
  <c r="G245" i="10" s="1"/>
  <c r="G165" i="10" s="1"/>
  <c r="K363" i="10"/>
  <c r="K222" i="10" s="1"/>
  <c r="K223" i="10" s="1"/>
  <c r="K244" i="10" s="1"/>
  <c r="K245" i="10" s="1"/>
  <c r="K165" i="10" s="1"/>
  <c r="O363" i="10"/>
  <c r="O222" i="10" s="1"/>
  <c r="O223" i="10" s="1"/>
  <c r="O244" i="10" s="1"/>
  <c r="O245" i="10" s="1"/>
  <c r="O165" i="10" s="1"/>
  <c r="W363" i="10"/>
  <c r="W222" i="10" s="1"/>
  <c r="W223" i="10" s="1"/>
  <c r="W244" i="10" s="1"/>
  <c r="W245" i="10" s="1"/>
  <c r="W165" i="10" s="1"/>
  <c r="AA363" i="10"/>
  <c r="AA222" i="10" s="1"/>
  <c r="AA223" i="10" s="1"/>
  <c r="AA244" i="10" s="1"/>
  <c r="AA245" i="10" s="1"/>
  <c r="AA165" i="10" s="1"/>
  <c r="F363" i="10"/>
  <c r="F222" i="10" s="1"/>
  <c r="F223" i="10" s="1"/>
  <c r="F244" i="10" s="1"/>
  <c r="F245" i="10" s="1"/>
  <c r="F165" i="10" s="1"/>
  <c r="N363" i="10"/>
  <c r="N222" i="10" s="1"/>
  <c r="N223" i="10" s="1"/>
  <c r="N244" i="10" s="1"/>
  <c r="N245" i="10" s="1"/>
  <c r="N165" i="10" s="1"/>
  <c r="AL363" i="10"/>
  <c r="AL222" i="10" s="1"/>
  <c r="AL223" i="10" s="1"/>
  <c r="AL244" i="10" s="1"/>
  <c r="AL245" i="10" s="1"/>
  <c r="AO363" i="10"/>
  <c r="AO222" i="10" s="1"/>
  <c r="AO223" i="10" s="1"/>
  <c r="AO244" i="10" s="1"/>
  <c r="AO245" i="10" s="1"/>
  <c r="X363" i="10"/>
  <c r="X222" i="10" s="1"/>
  <c r="X223" i="10" s="1"/>
  <c r="X244" i="10" s="1"/>
  <c r="X245" i="10" s="1"/>
  <c r="X165" i="10" s="1"/>
  <c r="AF363" i="10"/>
  <c r="AF222" i="10" s="1"/>
  <c r="AJ363" i="10"/>
  <c r="AJ222" i="10" s="1"/>
  <c r="AJ223" i="10" s="1"/>
  <c r="AJ244" i="10" s="1"/>
  <c r="AJ245" i="10" s="1"/>
  <c r="B357" i="10"/>
  <c r="Q457" i="10"/>
  <c r="M363" i="10"/>
  <c r="M222" i="10" s="1"/>
  <c r="M223" i="10" s="1"/>
  <c r="M244" i="10" s="1"/>
  <c r="M245" i="10" s="1"/>
  <c r="M251" i="10" s="1"/>
  <c r="Q363" i="10"/>
  <c r="Q222" i="10" s="1"/>
  <c r="Q223" i="10" s="1"/>
  <c r="Q244" i="10" s="1"/>
  <c r="Q245" i="10" s="1"/>
  <c r="Q251" i="10" s="1"/>
  <c r="U363" i="10"/>
  <c r="U222" i="10" s="1"/>
  <c r="U223" i="10" s="1"/>
  <c r="U244" i="10" s="1"/>
  <c r="U245" i="10" s="1"/>
  <c r="U251" i="10" s="1"/>
  <c r="Y363" i="10"/>
  <c r="Y222" i="10" s="1"/>
  <c r="Y223" i="10" s="1"/>
  <c r="Y244" i="10" s="1"/>
  <c r="Y245" i="10" s="1"/>
  <c r="Y251" i="10" s="1"/>
  <c r="AM363" i="10"/>
  <c r="AM222" i="10" s="1"/>
  <c r="AM223" i="10" s="1"/>
  <c r="AM244" i="10" s="1"/>
  <c r="AM245" i="10" s="1"/>
  <c r="J363" i="10"/>
  <c r="J222" i="10" s="1"/>
  <c r="J223" i="10" s="1"/>
  <c r="J244" i="10" s="1"/>
  <c r="J245" i="10" s="1"/>
  <c r="J251" i="10" s="1"/>
  <c r="R363" i="10"/>
  <c r="R222" i="10" s="1"/>
  <c r="R223" i="10" s="1"/>
  <c r="R244" i="10" s="1"/>
  <c r="R245" i="10" s="1"/>
  <c r="R165" i="10" s="1"/>
  <c r="Z363" i="10"/>
  <c r="Z222" i="10" s="1"/>
  <c r="Z223" i="10" s="1"/>
  <c r="Z244" i="10" s="1"/>
  <c r="Z245" i="10" s="1"/>
  <c r="T363" i="10"/>
  <c r="T222" i="10" s="1"/>
  <c r="T223" i="10" s="1"/>
  <c r="T244" i="10" s="1"/>
  <c r="T245" i="10" s="1"/>
  <c r="T251" i="10" s="1"/>
  <c r="AB363" i="10"/>
  <c r="AB222" i="10" s="1"/>
  <c r="AB223" i="10" s="1"/>
  <c r="AB244" i="10" s="1"/>
  <c r="AB245" i="10" s="1"/>
  <c r="AB165" i="10" s="1"/>
  <c r="AN363" i="10"/>
  <c r="AN222" i="10" s="1"/>
  <c r="AN223" i="10" s="1"/>
  <c r="AN244" i="10" s="1"/>
  <c r="AN245" i="10" s="1"/>
  <c r="Y491" i="10"/>
  <c r="Y497" i="10" s="1"/>
  <c r="Y250" i="10" s="1"/>
  <c r="H491" i="10"/>
  <c r="H497" i="10" s="1"/>
  <c r="H250" i="10" s="1"/>
  <c r="AI491" i="10"/>
  <c r="AI497" i="10" s="1"/>
  <c r="AI250" i="10" s="1"/>
  <c r="Z491" i="10"/>
  <c r="Z497" i="10" s="1"/>
  <c r="Z250" i="10" s="1"/>
  <c r="O491" i="10"/>
  <c r="O497" i="10" s="1"/>
  <c r="O250" i="10" s="1"/>
  <c r="AJ491" i="10"/>
  <c r="AJ497" i="10" s="1"/>
  <c r="AJ250" i="10" s="1"/>
  <c r="W491" i="10"/>
  <c r="W497" i="10" s="1"/>
  <c r="W250" i="10" s="1"/>
  <c r="AG491" i="10"/>
  <c r="AG497" i="10" s="1"/>
  <c r="AG250" i="10" s="1"/>
  <c r="AN491" i="10"/>
  <c r="AN497" i="10" s="1"/>
  <c r="AN250" i="10" s="1"/>
  <c r="V491" i="10"/>
  <c r="V497" i="10" s="1"/>
  <c r="V250" i="10" s="1"/>
  <c r="G491" i="10"/>
  <c r="G497" i="10" s="1"/>
  <c r="G250" i="10" s="1"/>
  <c r="J491" i="10"/>
  <c r="J497" i="10" s="1"/>
  <c r="J250" i="10" s="1"/>
  <c r="AL491" i="10"/>
  <c r="AL497" i="10" s="1"/>
  <c r="AL250" i="10" s="1"/>
  <c r="K491" i="10"/>
  <c r="K497" i="10" s="1"/>
  <c r="K250" i="10" s="1"/>
  <c r="M301" i="10"/>
  <c r="M302" i="10" s="1"/>
  <c r="M309" i="10" s="1"/>
  <c r="M310" i="10" s="1"/>
  <c r="M204" i="10" s="1"/>
  <c r="M203" i="10"/>
  <c r="AC491" i="10"/>
  <c r="AC497" i="10" s="1"/>
  <c r="AC250" i="10" s="1"/>
  <c r="T491" i="10"/>
  <c r="T497" i="10" s="1"/>
  <c r="T250" i="10" s="1"/>
  <c r="AM491" i="10"/>
  <c r="AM497" i="10" s="1"/>
  <c r="AM250" i="10" s="1"/>
  <c r="I491" i="10"/>
  <c r="I497" i="10" s="1"/>
  <c r="I250" i="10" s="1"/>
  <c r="AB497" i="10"/>
  <c r="AB250" i="10" s="1"/>
  <c r="R491" i="10"/>
  <c r="R497" i="10" s="1"/>
  <c r="R250" i="10" s="1"/>
  <c r="AH491" i="10"/>
  <c r="AH497" i="10" s="1"/>
  <c r="AH250" i="10" s="1"/>
  <c r="P491" i="10"/>
  <c r="P497" i="10" s="1"/>
  <c r="P250" i="10" s="1"/>
  <c r="D491" i="10"/>
  <c r="AO491" i="10"/>
  <c r="AO497" i="10" s="1"/>
  <c r="AO250" i="10" s="1"/>
  <c r="E491" i="10"/>
  <c r="E497" i="10" s="1"/>
  <c r="E250" i="10" s="1"/>
  <c r="C491" i="10"/>
  <c r="C497" i="10" s="1"/>
  <c r="M491" i="10"/>
  <c r="M497" i="10" s="1"/>
  <c r="M250" i="10" s="1"/>
  <c r="AD491" i="10"/>
  <c r="L491" i="10"/>
  <c r="L497" i="10" s="1"/>
  <c r="L250" i="10" s="1"/>
  <c r="AD497" i="10"/>
  <c r="AD250" i="10" s="1"/>
  <c r="D497" i="10"/>
  <c r="D250" i="10" s="1"/>
  <c r="AA491" i="10"/>
  <c r="AA497" i="10" s="1"/>
  <c r="AA250" i="10" s="1"/>
  <c r="AP491" i="10"/>
  <c r="AP497" i="10" s="1"/>
  <c r="AP250" i="10" s="1"/>
  <c r="X491" i="10"/>
  <c r="X497" i="10" s="1"/>
  <c r="X250" i="10" s="1"/>
  <c r="F491" i="10"/>
  <c r="F497" i="10" s="1"/>
  <c r="F250" i="10" s="1"/>
  <c r="S491" i="10"/>
  <c r="S497" i="10" s="1"/>
  <c r="S250" i="10" s="1"/>
  <c r="U491" i="10"/>
  <c r="U497" i="10" s="1"/>
  <c r="U250" i="10" s="1"/>
  <c r="Q491" i="10"/>
  <c r="Q497" i="10" s="1"/>
  <c r="Q250" i="10" s="1"/>
  <c r="AF491" i="10"/>
  <c r="AF497" i="10" s="1"/>
  <c r="AF250" i="10" s="1"/>
  <c r="N491" i="10"/>
  <c r="N497" i="10" s="1"/>
  <c r="N250" i="10" s="1"/>
  <c r="AE491" i="10"/>
  <c r="AE497" i="10" s="1"/>
  <c r="AE250" i="10" s="1"/>
  <c r="AK491" i="10"/>
  <c r="AK497" i="10" s="1"/>
  <c r="AK250" i="10" s="1"/>
  <c r="L205" i="10"/>
  <c r="L210" i="10" s="1"/>
  <c r="L213" i="10" s="1"/>
  <c r="D165" i="10"/>
  <c r="I165" i="10"/>
  <c r="AC251" i="10"/>
  <c r="H251" i="10"/>
  <c r="AE165" i="10"/>
  <c r="M187" i="10"/>
  <c r="N199" i="10"/>
  <c r="N201" i="10" s="1"/>
  <c r="N187" i="10"/>
  <c r="N186" i="10"/>
  <c r="N285" i="10"/>
  <c r="N292" i="10" s="1"/>
  <c r="N293" i="10" s="1"/>
  <c r="N298" i="10"/>
  <c r="O182" i="10"/>
  <c r="O199" i="10" s="1"/>
  <c r="O201" i="10" s="1"/>
  <c r="O282" i="10"/>
  <c r="P643" i="10"/>
  <c r="P646" i="10" s="1"/>
  <c r="O749" i="10"/>
  <c r="P750" i="10" s="1"/>
  <c r="B356" i="10"/>
  <c r="B490" i="10"/>
  <c r="C222" i="10"/>
  <c r="C223" i="10" s="1"/>
  <c r="C244" i="10" s="1"/>
  <c r="C245" i="10" s="1"/>
  <c r="E165" i="10" l="1"/>
  <c r="L251" i="10"/>
  <c r="L254" i="10" s="1"/>
  <c r="L275" i="10" s="1"/>
  <c r="L276" i="10" s="1"/>
  <c r="L166" i="10" s="1"/>
  <c r="L167" i="10" s="1"/>
  <c r="L168" i="10" s="1"/>
  <c r="AJ165" i="10"/>
  <c r="AJ251" i="10"/>
  <c r="AJ254" i="10" s="1"/>
  <c r="AJ275" i="10" s="1"/>
  <c r="AJ276" i="10" s="1"/>
  <c r="AJ166" i="10" s="1"/>
  <c r="AL165" i="10"/>
  <c r="AL251" i="10"/>
  <c r="AL254" i="10" s="1"/>
  <c r="AL275" i="10" s="1"/>
  <c r="AL276" i="10" s="1"/>
  <c r="AL166" i="10" s="1"/>
  <c r="AG251" i="10"/>
  <c r="AG254" i="10" s="1"/>
  <c r="AG275" i="10" s="1"/>
  <c r="AG276" i="10" s="1"/>
  <c r="AG166" i="10" s="1"/>
  <c r="AG165" i="10"/>
  <c r="AI251" i="10"/>
  <c r="AI254" i="10" s="1"/>
  <c r="AI275" i="10" s="1"/>
  <c r="AI276" i="10" s="1"/>
  <c r="AI166" i="10" s="1"/>
  <c r="AI165" i="10"/>
  <c r="AN165" i="10"/>
  <c r="AN251" i="10"/>
  <c r="AN254" i="10" s="1"/>
  <c r="AN275" i="10" s="1"/>
  <c r="AN276" i="10" s="1"/>
  <c r="AN166" i="10" s="1"/>
  <c r="AM251" i="10"/>
  <c r="AM254" i="10" s="1"/>
  <c r="AM275" i="10" s="1"/>
  <c r="AM276" i="10" s="1"/>
  <c r="AM166" i="10" s="1"/>
  <c r="AM165" i="10"/>
  <c r="AO251" i="10"/>
  <c r="AO254" i="10" s="1"/>
  <c r="AO275" i="10" s="1"/>
  <c r="AO276" i="10" s="1"/>
  <c r="AO166" i="10" s="1"/>
  <c r="AO165" i="10"/>
  <c r="AH251" i="10"/>
  <c r="AH254" i="10" s="1"/>
  <c r="AH275" i="10" s="1"/>
  <c r="AH276" i="10" s="1"/>
  <c r="AH166" i="10" s="1"/>
  <c r="AH165" i="10"/>
  <c r="AK165" i="10"/>
  <c r="AK251" i="10"/>
  <c r="AK254" i="10" s="1"/>
  <c r="AK275" i="10" s="1"/>
  <c r="AK276" i="10" s="1"/>
  <c r="AK166" i="10" s="1"/>
  <c r="N251" i="10"/>
  <c r="N254" i="10" s="1"/>
  <c r="N275" i="10" s="1"/>
  <c r="N276" i="10" s="1"/>
  <c r="N166" i="10" s="1"/>
  <c r="N167" i="10" s="1"/>
  <c r="N168" i="10" s="1"/>
  <c r="D254" i="10"/>
  <c r="D275" i="10" s="1"/>
  <c r="D276" i="10" s="1"/>
  <c r="D166" i="10" s="1"/>
  <c r="D167" i="10" s="1"/>
  <c r="D168" i="10" s="1"/>
  <c r="S251" i="10"/>
  <c r="S254" i="10" s="1"/>
  <c r="S275" i="10" s="1"/>
  <c r="S276" i="10" s="1"/>
  <c r="S166" i="10" s="1"/>
  <c r="S167" i="10" s="1"/>
  <c r="S168" i="10" s="1"/>
  <c r="V251" i="10"/>
  <c r="V254" i="10" s="1"/>
  <c r="V275" i="10" s="1"/>
  <c r="V276" i="10" s="1"/>
  <c r="V166" i="10" s="1"/>
  <c r="V167" i="10" s="1"/>
  <c r="V168" i="10" s="1"/>
  <c r="P251" i="10"/>
  <c r="P254" i="10" s="1"/>
  <c r="P275" i="10" s="1"/>
  <c r="P276" i="10" s="1"/>
  <c r="P166" i="10" s="1"/>
  <c r="P167" i="10" s="1"/>
  <c r="P168" i="10" s="1"/>
  <c r="AD165" i="10"/>
  <c r="AD251" i="10"/>
  <c r="AD254" i="10" s="1"/>
  <c r="AD275" i="10" s="1"/>
  <c r="AD276" i="10" s="1"/>
  <c r="AD166" i="10" s="1"/>
  <c r="G251" i="10"/>
  <c r="G254" i="10" s="1"/>
  <c r="G275" i="10" s="1"/>
  <c r="G276" i="10" s="1"/>
  <c r="G166" i="10" s="1"/>
  <c r="G167" i="10" s="1"/>
  <c r="G168" i="10" s="1"/>
  <c r="O251" i="10"/>
  <c r="O254" i="10" s="1"/>
  <c r="O275" i="10" s="1"/>
  <c r="O276" i="10" s="1"/>
  <c r="O166" i="10" s="1"/>
  <c r="O167" i="10" s="1"/>
  <c r="O168" i="10" s="1"/>
  <c r="W251" i="10"/>
  <c r="W254" i="10" s="1"/>
  <c r="W275" i="10" s="1"/>
  <c r="W276" i="10" s="1"/>
  <c r="W166" i="10" s="1"/>
  <c r="W167" i="10" s="1"/>
  <c r="W168" i="10" s="1"/>
  <c r="U254" i="10"/>
  <c r="U275" i="10" s="1"/>
  <c r="U276" i="10" s="1"/>
  <c r="U166" i="10" s="1"/>
  <c r="M254" i="10"/>
  <c r="M275" i="10" s="1"/>
  <c r="M276" i="10" s="1"/>
  <c r="M166" i="10" s="1"/>
  <c r="X251" i="10"/>
  <c r="X254" i="10" s="1"/>
  <c r="X275" i="10" s="1"/>
  <c r="X276" i="10" s="1"/>
  <c r="X166" i="10" s="1"/>
  <c r="X167" i="10" s="1"/>
  <c r="X168" i="10" s="1"/>
  <c r="Q165" i="10"/>
  <c r="K251" i="10"/>
  <c r="K254" i="10" s="1"/>
  <c r="K275" i="10" s="1"/>
  <c r="K276" i="10" s="1"/>
  <c r="K166" i="10" s="1"/>
  <c r="K167" i="10" s="1"/>
  <c r="K168" i="10" s="1"/>
  <c r="F251" i="10"/>
  <c r="J165" i="10"/>
  <c r="Y165" i="10"/>
  <c r="L212" i="10"/>
  <c r="AB251" i="10"/>
  <c r="AB254" i="10" s="1"/>
  <c r="AB275" i="10" s="1"/>
  <c r="AB276" i="10" s="1"/>
  <c r="AB166" i="10" s="1"/>
  <c r="AB167" i="10" s="1"/>
  <c r="AB168" i="10" s="1"/>
  <c r="AE254" i="10"/>
  <c r="AE275" i="10" s="1"/>
  <c r="AE276" i="10" s="1"/>
  <c r="AE166" i="10" s="1"/>
  <c r="AE167" i="10" s="1"/>
  <c r="AE168" i="10" s="1"/>
  <c r="E254" i="10"/>
  <c r="E275" i="10" s="1"/>
  <c r="E276" i="10" s="1"/>
  <c r="E166" i="10" s="1"/>
  <c r="Y254" i="10"/>
  <c r="Y275" i="10" s="1"/>
  <c r="Y276" i="10" s="1"/>
  <c r="Y166" i="10" s="1"/>
  <c r="F254" i="10"/>
  <c r="F275" i="10" s="1"/>
  <c r="F276" i="10" s="1"/>
  <c r="F166" i="10" s="1"/>
  <c r="F167" i="10" s="1"/>
  <c r="F168" i="10" s="1"/>
  <c r="AC254" i="10"/>
  <c r="AC275" i="10" s="1"/>
  <c r="AC276" i="10" s="1"/>
  <c r="AC166" i="10" s="1"/>
  <c r="AC167" i="10" s="1"/>
  <c r="AC168" i="10" s="1"/>
  <c r="Q254" i="10"/>
  <c r="Q275" i="10" s="1"/>
  <c r="Q276" i="10" s="1"/>
  <c r="Q166" i="10" s="1"/>
  <c r="I254" i="10"/>
  <c r="I275" i="10" s="1"/>
  <c r="I276" i="10" s="1"/>
  <c r="I166" i="10" s="1"/>
  <c r="I167" i="10" s="1"/>
  <c r="I168" i="10" s="1"/>
  <c r="T254" i="10"/>
  <c r="T275" i="10" s="1"/>
  <c r="T276" i="10" s="1"/>
  <c r="T166" i="10" s="1"/>
  <c r="J254" i="10"/>
  <c r="J275" i="10" s="1"/>
  <c r="J276" i="10" s="1"/>
  <c r="J166" i="10" s="1"/>
  <c r="H254" i="10"/>
  <c r="H275" i="10" s="1"/>
  <c r="H276" i="10" s="1"/>
  <c r="H166" i="10" s="1"/>
  <c r="H167" i="10" s="1"/>
  <c r="H168" i="10" s="1"/>
  <c r="AA251" i="10"/>
  <c r="AA254" i="10" s="1"/>
  <c r="AA275" i="10" s="1"/>
  <c r="AA276" i="10" s="1"/>
  <c r="AA166" i="10" s="1"/>
  <c r="AA167" i="10" s="1"/>
  <c r="AA168" i="10" s="1"/>
  <c r="U165" i="10"/>
  <c r="T165" i="10"/>
  <c r="Z165" i="10"/>
  <c r="Z251" i="10"/>
  <c r="B363" i="10"/>
  <c r="M165" i="10"/>
  <c r="R251" i="10"/>
  <c r="N301" i="10"/>
  <c r="N302" i="10" s="1"/>
  <c r="N309" i="10" s="1"/>
  <c r="N310" i="10" s="1"/>
  <c r="N203" i="10"/>
  <c r="B491" i="10"/>
  <c r="M205" i="10"/>
  <c r="O184" i="10"/>
  <c r="O186" i="10" s="1"/>
  <c r="O285" i="10"/>
  <c r="O292" i="10" s="1"/>
  <c r="O293" i="10" s="1"/>
  <c r="O203" i="10" s="1"/>
  <c r="O298" i="10"/>
  <c r="P182" i="10"/>
  <c r="P199" i="10" s="1"/>
  <c r="P201" i="10" s="1"/>
  <c r="P282" i="10"/>
  <c r="Q643" i="10"/>
  <c r="Q646" i="10" s="1"/>
  <c r="P749" i="10"/>
  <c r="Q750" i="10" s="1"/>
  <c r="C251" i="10"/>
  <c r="C165" i="10"/>
  <c r="B497" i="10"/>
  <c r="C250" i="10"/>
  <c r="E167" i="10" l="1"/>
  <c r="E168" i="10" s="1"/>
  <c r="AG167" i="10"/>
  <c r="AG168" i="10" s="1"/>
  <c r="AM167" i="10"/>
  <c r="AM168" i="10" s="1"/>
  <c r="AI167" i="10"/>
  <c r="AI168" i="10" s="1"/>
  <c r="AK167" i="10"/>
  <c r="AK168" i="10" s="1"/>
  <c r="AN167" i="10"/>
  <c r="AN168" i="10" s="1"/>
  <c r="AL167" i="10"/>
  <c r="AL168" i="10" s="1"/>
  <c r="AJ167" i="10"/>
  <c r="AJ168" i="10" s="1"/>
  <c r="AH167" i="10"/>
  <c r="AH168" i="10" s="1"/>
  <c r="AO167" i="10"/>
  <c r="AO168" i="10" s="1"/>
  <c r="AD167" i="10"/>
  <c r="AD168" i="10" s="1"/>
  <c r="J167" i="10"/>
  <c r="J168" i="10" s="1"/>
  <c r="M167" i="10"/>
  <c r="M168" i="10" s="1"/>
  <c r="Q167" i="10"/>
  <c r="Q168" i="10" s="1"/>
  <c r="Y167" i="10"/>
  <c r="Y168" i="10" s="1"/>
  <c r="C254" i="10"/>
  <c r="C275" i="10" s="1"/>
  <c r="C276" i="10" s="1"/>
  <c r="C166" i="10" s="1"/>
  <c r="C167" i="10" s="1"/>
  <c r="C168" i="10" s="1"/>
  <c r="T167" i="10"/>
  <c r="T168" i="10" s="1"/>
  <c r="R254" i="10"/>
  <c r="R275" i="10" s="1"/>
  <c r="R276" i="10" s="1"/>
  <c r="R166" i="10" s="1"/>
  <c r="R167" i="10" s="1"/>
  <c r="R168" i="10" s="1"/>
  <c r="Z254" i="10"/>
  <c r="Z275" i="10" s="1"/>
  <c r="Z276" i="10" s="1"/>
  <c r="Z166" i="10" s="1"/>
  <c r="Z167" i="10" s="1"/>
  <c r="Z168" i="10" s="1"/>
  <c r="U167" i="10"/>
  <c r="U168" i="10" s="1"/>
  <c r="M210" i="10"/>
  <c r="M213" i="10" s="1"/>
  <c r="O187" i="10"/>
  <c r="N204" i="10"/>
  <c r="N205" i="10" s="1"/>
  <c r="N210" i="10" s="1"/>
  <c r="P184" i="10"/>
  <c r="P186" i="10" s="1"/>
  <c r="O301" i="10"/>
  <c r="O302" i="10" s="1"/>
  <c r="O309" i="10" s="1"/>
  <c r="O310" i="10" s="1"/>
  <c r="P285" i="10"/>
  <c r="P292" i="10" s="1"/>
  <c r="P293" i="10" s="1"/>
  <c r="P203" i="10" s="1"/>
  <c r="P298" i="10"/>
  <c r="Q182" i="10"/>
  <c r="Q199" i="10" s="1"/>
  <c r="Q201" i="10" s="1"/>
  <c r="Q282" i="10"/>
  <c r="R643" i="10"/>
  <c r="R646" i="10" s="1"/>
  <c r="Q749" i="10"/>
  <c r="R750" i="10" s="1"/>
  <c r="Q184" i="10" l="1"/>
  <c r="M212" i="10"/>
  <c r="N213" i="10"/>
  <c r="N212" i="10"/>
  <c r="O204" i="10"/>
  <c r="O205" i="10" s="1"/>
  <c r="O210" i="10" s="1"/>
  <c r="Q186" i="10"/>
  <c r="P187" i="10"/>
  <c r="Q187" i="10"/>
  <c r="P301" i="10"/>
  <c r="P302" i="10" s="1"/>
  <c r="P309" i="10" s="1"/>
  <c r="P310" i="10" s="1"/>
  <c r="P204" i="10" s="1"/>
  <c r="P205" i="10" s="1"/>
  <c r="P210" i="10" s="1"/>
  <c r="Q285" i="10"/>
  <c r="Q292" i="10" s="1"/>
  <c r="Q293" i="10" s="1"/>
  <c r="Q203" i="10" s="1"/>
  <c r="Q298" i="10"/>
  <c r="R182" i="10"/>
  <c r="R199" i="10" s="1"/>
  <c r="R201" i="10" s="1"/>
  <c r="R282" i="10"/>
  <c r="S643" i="10"/>
  <c r="S646" i="10" s="1"/>
  <c r="R749" i="10"/>
  <c r="S750" i="10" s="1"/>
  <c r="C170" i="10"/>
  <c r="K170" i="10"/>
  <c r="S170" i="10"/>
  <c r="AA170" i="10"/>
  <c r="D114" i="1" s="1"/>
  <c r="J170" i="10"/>
  <c r="D111" i="1" s="1"/>
  <c r="R170" i="10"/>
  <c r="Z170" i="10"/>
  <c r="M170" i="10"/>
  <c r="AC170" i="10"/>
  <c r="L170" i="10"/>
  <c r="AB170" i="10"/>
  <c r="Q170" i="10"/>
  <c r="H170" i="10"/>
  <c r="X170" i="10"/>
  <c r="O172" i="10"/>
  <c r="AE172" i="10"/>
  <c r="P172" i="10"/>
  <c r="Q172" i="10"/>
  <c r="Z172" i="10"/>
  <c r="C172" i="10"/>
  <c r="S172" i="10"/>
  <c r="D172" i="10"/>
  <c r="T172" i="10"/>
  <c r="I172" i="10"/>
  <c r="R172" i="10"/>
  <c r="U172" i="10"/>
  <c r="AD172" i="10"/>
  <c r="F172" i="10"/>
  <c r="G170" i="10"/>
  <c r="O170" i="10"/>
  <c r="W170" i="10"/>
  <c r="AE170" i="10"/>
  <c r="F170" i="10"/>
  <c r="N170" i="10"/>
  <c r="V170" i="10"/>
  <c r="D87" i="1" s="1"/>
  <c r="AD170" i="10"/>
  <c r="E170" i="10"/>
  <c r="U170" i="10"/>
  <c r="D170" i="10"/>
  <c r="T170" i="10"/>
  <c r="I170" i="10"/>
  <c r="Y170" i="10"/>
  <c r="P170" i="10"/>
  <c r="G172" i="10"/>
  <c r="W172" i="10"/>
  <c r="H172" i="10"/>
  <c r="X172" i="10"/>
  <c r="J172" i="10"/>
  <c r="D117" i="1" s="1"/>
  <c r="AC172" i="10"/>
  <c r="K172" i="10"/>
  <c r="AA172" i="10"/>
  <c r="D120" i="1" s="1"/>
  <c r="L172" i="10"/>
  <c r="AB172" i="10"/>
  <c r="Y172" i="10"/>
  <c r="E172" i="10"/>
  <c r="N172" i="10"/>
  <c r="M172" i="10"/>
  <c r="V172" i="10"/>
  <c r="R184" i="10" l="1"/>
  <c r="R186" i="10" s="1"/>
  <c r="Q301" i="10"/>
  <c r="O212" i="10"/>
  <c r="O213" i="10"/>
  <c r="R187" i="10"/>
  <c r="Q302" i="10"/>
  <c r="Q309" i="10" s="1"/>
  <c r="Q310" i="10" s="1"/>
  <c r="R285" i="10"/>
  <c r="R292" i="10" s="1"/>
  <c r="R293" i="10" s="1"/>
  <c r="R203" i="10" s="1"/>
  <c r="R298" i="10"/>
  <c r="S182" i="10"/>
  <c r="S199" i="10" s="1"/>
  <c r="S201" i="10" s="1"/>
  <c r="S282" i="10"/>
  <c r="P213" i="10"/>
  <c r="P212" i="10"/>
  <c r="S184" i="10"/>
  <c r="S186" i="10" s="1"/>
  <c r="T643" i="10"/>
  <c r="T646" i="10" s="1"/>
  <c r="S749" i="10"/>
  <c r="T750" i="10" s="1"/>
  <c r="U171" i="10"/>
  <c r="N171" i="10"/>
  <c r="AD171" i="10"/>
  <c r="H171" i="10"/>
  <c r="AE171" i="10"/>
  <c r="F171" i="10"/>
  <c r="K171" i="10"/>
  <c r="O171" i="10"/>
  <c r="S171" i="10"/>
  <c r="W171" i="10"/>
  <c r="AA171" i="10"/>
  <c r="C171" i="10"/>
  <c r="G171" i="10"/>
  <c r="L171" i="10"/>
  <c r="P171" i="10"/>
  <c r="T171" i="10"/>
  <c r="X171" i="10"/>
  <c r="AB171" i="10"/>
  <c r="D171" i="10"/>
  <c r="I171" i="10"/>
  <c r="M171" i="10"/>
  <c r="Q171" i="10"/>
  <c r="Y171" i="10"/>
  <c r="AC171" i="10"/>
  <c r="E171" i="10"/>
  <c r="J171" i="10"/>
  <c r="R171" i="10"/>
  <c r="V171" i="10"/>
  <c r="Z171" i="10"/>
  <c r="W174" i="10" l="1"/>
  <c r="S174" i="10"/>
  <c r="AA174" i="10"/>
  <c r="Q204" i="10"/>
  <c r="Q205" i="10" s="1"/>
  <c r="Q210" i="10" s="1"/>
  <c r="S187" i="10"/>
  <c r="R301" i="10"/>
  <c r="R302" i="10" s="1"/>
  <c r="R309" i="10" s="1"/>
  <c r="R310" i="10" s="1"/>
  <c r="S285" i="10"/>
  <c r="S292" i="10" s="1"/>
  <c r="S293" i="10" s="1"/>
  <c r="S203" i="10" s="1"/>
  <c r="S298" i="10"/>
  <c r="T182" i="10"/>
  <c r="T199" i="10" s="1"/>
  <c r="T201" i="10" s="1"/>
  <c r="T282" i="10"/>
  <c r="U643" i="10"/>
  <c r="U646" i="10" s="1"/>
  <c r="T749" i="10"/>
  <c r="U750" i="10" s="1"/>
  <c r="F174" i="10"/>
  <c r="N174" i="10"/>
  <c r="H174" i="10"/>
  <c r="K174" i="10"/>
  <c r="AD174" i="10"/>
  <c r="U174" i="10"/>
  <c r="Z174" i="10"/>
  <c r="E174" i="10"/>
  <c r="Y174" i="10"/>
  <c r="Q174" i="10"/>
  <c r="AB174" i="10"/>
  <c r="T174" i="10"/>
  <c r="L174" i="10"/>
  <c r="AE174" i="10"/>
  <c r="V174" i="10"/>
  <c r="D174" i="10"/>
  <c r="C174" i="10"/>
  <c r="R174" i="10"/>
  <c r="J174" i="10"/>
  <c r="AC174" i="10"/>
  <c r="M174" i="10"/>
  <c r="X174" i="10"/>
  <c r="P174" i="10"/>
  <c r="G174" i="10"/>
  <c r="I174" i="10"/>
  <c r="O174" i="10"/>
  <c r="S301" i="10" l="1"/>
  <c r="S302" i="10" s="1"/>
  <c r="S309" i="10" s="1"/>
  <c r="S310" i="10" s="1"/>
  <c r="Q212" i="10"/>
  <c r="Q213" i="10"/>
  <c r="R204" i="10"/>
  <c r="R205" i="10" s="1"/>
  <c r="T184" i="10"/>
  <c r="T186" i="10" s="1"/>
  <c r="T285" i="10"/>
  <c r="T292" i="10" s="1"/>
  <c r="T293" i="10" s="1"/>
  <c r="T298" i="10"/>
  <c r="U182" i="10"/>
  <c r="U184" i="10" s="1"/>
  <c r="U282" i="10"/>
  <c r="V643" i="10"/>
  <c r="V646" i="10" s="1"/>
  <c r="U749" i="10"/>
  <c r="V750" i="10" s="1"/>
  <c r="T187" i="10" l="1"/>
  <c r="R210" i="10"/>
  <c r="R213" i="10" s="1"/>
  <c r="T301" i="10"/>
  <c r="T203" i="10"/>
  <c r="S204" i="10"/>
  <c r="S205" i="10" s="1"/>
  <c r="S210" i="10" s="1"/>
  <c r="U199" i="10"/>
  <c r="U201" i="10" s="1"/>
  <c r="T302" i="10"/>
  <c r="T309" i="10" s="1"/>
  <c r="T310" i="10" s="1"/>
  <c r="T204" i="10" s="1"/>
  <c r="U186" i="10"/>
  <c r="U187" i="10"/>
  <c r="U285" i="10"/>
  <c r="U292" i="10" s="1"/>
  <c r="U293" i="10" s="1"/>
  <c r="U203" i="10" s="1"/>
  <c r="U298" i="10"/>
  <c r="V182" i="10"/>
  <c r="V199" i="10" s="1"/>
  <c r="V201" i="10" s="1"/>
  <c r="V282" i="10"/>
  <c r="W643" i="10"/>
  <c r="W646" i="10" s="1"/>
  <c r="V749" i="10"/>
  <c r="W750" i="10" s="1"/>
  <c r="R212" i="10" l="1"/>
  <c r="T205" i="10"/>
  <c r="T210" i="10" s="1"/>
  <c r="T213" i="10" s="1"/>
  <c r="S212" i="10"/>
  <c r="S213" i="10"/>
  <c r="V184" i="10"/>
  <c r="U301" i="10"/>
  <c r="U302" i="10" s="1"/>
  <c r="U309" i="10" s="1"/>
  <c r="U310" i="10" s="1"/>
  <c r="V285" i="10"/>
  <c r="V292" i="10" s="1"/>
  <c r="V293" i="10" s="1"/>
  <c r="V203" i="10" s="1"/>
  <c r="V298" i="10"/>
  <c r="W182" i="10"/>
  <c r="W199" i="10" s="1"/>
  <c r="W201" i="10" s="1"/>
  <c r="W282" i="10"/>
  <c r="X643" i="10"/>
  <c r="X646" i="10" s="1"/>
  <c r="W749" i="10"/>
  <c r="X750" i="10" s="1"/>
  <c r="T212" i="10" l="1"/>
  <c r="W184" i="10"/>
  <c r="W186" i="10" s="1"/>
  <c r="U204" i="10"/>
  <c r="U205" i="10" s="1"/>
  <c r="U210" i="10" s="1"/>
  <c r="V186" i="10"/>
  <c r="V187" i="10"/>
  <c r="V301" i="10"/>
  <c r="V302" i="10" s="1"/>
  <c r="V309" i="10" s="1"/>
  <c r="V310" i="10" s="1"/>
  <c r="W285" i="10"/>
  <c r="W292" i="10" s="1"/>
  <c r="W293" i="10" s="1"/>
  <c r="W203" i="10" s="1"/>
  <c r="W298" i="10"/>
  <c r="X182" i="10"/>
  <c r="X184" i="10" s="1"/>
  <c r="X282" i="10"/>
  <c r="Y643" i="10"/>
  <c r="Y646" i="10" s="1"/>
  <c r="X749" i="10"/>
  <c r="Y750" i="10" s="1"/>
  <c r="W187" i="10" l="1"/>
  <c r="W301" i="10"/>
  <c r="U213" i="10"/>
  <c r="U212" i="10"/>
  <c r="V204" i="10"/>
  <c r="V205" i="10" s="1"/>
  <c r="V210" i="10" s="1"/>
  <c r="W302" i="10"/>
  <c r="W309" i="10" s="1"/>
  <c r="W310" i="10" s="1"/>
  <c r="W204" i="10" s="1"/>
  <c r="W205" i="10" s="1"/>
  <c r="W210" i="10" s="1"/>
  <c r="X199" i="10"/>
  <c r="X201" i="10" s="1"/>
  <c r="X187" i="10"/>
  <c r="X186" i="10"/>
  <c r="X285" i="10"/>
  <c r="X292" i="10" s="1"/>
  <c r="X293" i="10" s="1"/>
  <c r="X298" i="10"/>
  <c r="Y182" i="10"/>
  <c r="Y199" i="10" s="1"/>
  <c r="Y201" i="10" s="1"/>
  <c r="Y282" i="10"/>
  <c r="Z643" i="10"/>
  <c r="Z646" i="10" s="1"/>
  <c r="Y749" i="10"/>
  <c r="Z750" i="10" s="1"/>
  <c r="V212" i="10" l="1"/>
  <c r="V213" i="10"/>
  <c r="X301" i="10"/>
  <c r="X302" i="10" s="1"/>
  <c r="X309" i="10" s="1"/>
  <c r="X310" i="10" s="1"/>
  <c r="X204" i="10" s="1"/>
  <c r="X203" i="10"/>
  <c r="Y184" i="10"/>
  <c r="Y186" i="10" s="1"/>
  <c r="Y285" i="10"/>
  <c r="Y292" i="10" s="1"/>
  <c r="Y293" i="10" s="1"/>
  <c r="Y203" i="10" s="1"/>
  <c r="Y298" i="10"/>
  <c r="W212" i="10"/>
  <c r="W213" i="10"/>
  <c r="Z182" i="10"/>
  <c r="Z199" i="10" s="1"/>
  <c r="Z201" i="10" s="1"/>
  <c r="Z282" i="10"/>
  <c r="AA643" i="10"/>
  <c r="AA646" i="10" s="1"/>
  <c r="Z749" i="10"/>
  <c r="AA750" i="10" s="1"/>
  <c r="Z184" i="10" l="1"/>
  <c r="Z187" i="10" s="1"/>
  <c r="Y301" i="10"/>
  <c r="Y187" i="10"/>
  <c r="X205" i="10"/>
  <c r="Z186" i="10"/>
  <c r="Y302" i="10"/>
  <c r="Y309" i="10" s="1"/>
  <c r="Y310" i="10" s="1"/>
  <c r="Z285" i="10"/>
  <c r="Z292" i="10" s="1"/>
  <c r="Z293" i="10" s="1"/>
  <c r="Z203" i="10" s="1"/>
  <c r="Z298" i="10"/>
  <c r="AA182" i="10"/>
  <c r="AA199" i="10" s="1"/>
  <c r="AA201" i="10" s="1"/>
  <c r="AA282" i="10"/>
  <c r="AB643" i="10"/>
  <c r="AB646" i="10" s="1"/>
  <c r="AA749" i="10"/>
  <c r="AB750" i="10" s="1"/>
  <c r="X210" i="10" l="1"/>
  <c r="X212" i="10" s="1"/>
  <c r="Y204" i="10"/>
  <c r="Y205" i="10" s="1"/>
  <c r="Y210" i="10" s="1"/>
  <c r="Z301" i="10"/>
  <c r="Z302" i="10" s="1"/>
  <c r="Z309" i="10" s="1"/>
  <c r="Z310" i="10" s="1"/>
  <c r="AA184" i="10"/>
  <c r="AA186" i="10" s="1"/>
  <c r="D126" i="1" s="1"/>
  <c r="AA285" i="10"/>
  <c r="AA292" i="10" s="1"/>
  <c r="AA293" i="10" s="1"/>
  <c r="AA203" i="10" s="1"/>
  <c r="AA298" i="10"/>
  <c r="AB182" i="10"/>
  <c r="AB199" i="10" s="1"/>
  <c r="AB201" i="10" s="1"/>
  <c r="AB282" i="10"/>
  <c r="AB184" i="10"/>
  <c r="AC643" i="10"/>
  <c r="AC646" i="10" s="1"/>
  <c r="AB749" i="10"/>
  <c r="AC750" i="10" s="1"/>
  <c r="X213" i="10" l="1"/>
  <c r="AB186" i="10"/>
  <c r="Y213" i="10"/>
  <c r="Y212" i="10"/>
  <c r="Z204" i="10"/>
  <c r="Z205" i="10" s="1"/>
  <c r="Z210" i="10" s="1"/>
  <c r="AA187" i="10"/>
  <c r="D132" i="1" s="1"/>
  <c r="AB187" i="10"/>
  <c r="AA301" i="10"/>
  <c r="AA302" i="10" s="1"/>
  <c r="AA309" i="10" s="1"/>
  <c r="AA310" i="10" s="1"/>
  <c r="AB285" i="10"/>
  <c r="AB292" i="10" s="1"/>
  <c r="AB293" i="10" s="1"/>
  <c r="AB203" i="10" s="1"/>
  <c r="AB298" i="10"/>
  <c r="AC182" i="10"/>
  <c r="AC199" i="10" s="1"/>
  <c r="AC201" i="10" s="1"/>
  <c r="AC282" i="10"/>
  <c r="AD643" i="10"/>
  <c r="AD646" i="10" s="1"/>
  <c r="AC749" i="10"/>
  <c r="AD750" i="10" s="1"/>
  <c r="AC184" i="10" l="1"/>
  <c r="AC186" i="10" s="1"/>
  <c r="Z212" i="10"/>
  <c r="Z213" i="10"/>
  <c r="AA204" i="10"/>
  <c r="AA205" i="10" s="1"/>
  <c r="AB301" i="10"/>
  <c r="AB302" i="10" s="1"/>
  <c r="AB309" i="10" s="1"/>
  <c r="AB310" i="10" s="1"/>
  <c r="AB204" i="10" s="1"/>
  <c r="AB205" i="10" s="1"/>
  <c r="AC187" i="10"/>
  <c r="AC285" i="10"/>
  <c r="AC292" i="10" s="1"/>
  <c r="AC293" i="10" s="1"/>
  <c r="AC298" i="10"/>
  <c r="AD182" i="10"/>
  <c r="AD199" i="10" s="1"/>
  <c r="AD201" i="10" s="1"/>
  <c r="AD282" i="10"/>
  <c r="AE643" i="10"/>
  <c r="AE646" i="10" s="1"/>
  <c r="AD749" i="10"/>
  <c r="AE750" i="10" s="1"/>
  <c r="AD184" i="10" l="1"/>
  <c r="AD186" i="10" s="1"/>
  <c r="AA210" i="10"/>
  <c r="AA212" i="10" s="1"/>
  <c r="D127" i="1" s="1"/>
  <c r="AB210" i="10"/>
  <c r="AC301" i="10"/>
  <c r="AC302" i="10" s="1"/>
  <c r="AC309" i="10" s="1"/>
  <c r="AC310" i="10" s="1"/>
  <c r="AC204" i="10" s="1"/>
  <c r="AC203" i="10"/>
  <c r="AD187" i="10"/>
  <c r="AD285" i="10"/>
  <c r="AD292" i="10" s="1"/>
  <c r="AD293" i="10" s="1"/>
  <c r="AD298" i="10"/>
  <c r="AE182" i="10"/>
  <c r="AE199" i="10" s="1"/>
  <c r="AE201" i="10" s="1"/>
  <c r="AE282" i="10"/>
  <c r="AF643" i="10"/>
  <c r="AE749" i="10"/>
  <c r="AF750" i="10" s="1"/>
  <c r="AA213" i="10" l="1"/>
  <c r="D133" i="1" s="1"/>
  <c r="AE184" i="10"/>
  <c r="AE186" i="10" s="1"/>
  <c r="AB212" i="10"/>
  <c r="AB213" i="10"/>
  <c r="AD301" i="10"/>
  <c r="AD302" i="10" s="1"/>
  <c r="AD309" i="10" s="1"/>
  <c r="AD310" i="10" s="1"/>
  <c r="AD204" i="10" s="1"/>
  <c r="AD203" i="10"/>
  <c r="AC205" i="10"/>
  <c r="AE285" i="10"/>
  <c r="AE292" i="10" s="1"/>
  <c r="AE293" i="10" s="1"/>
  <c r="AE203" i="10" s="1"/>
  <c r="AE298" i="10"/>
  <c r="AF182" i="10"/>
  <c r="AF199" i="10" s="1"/>
  <c r="AF282" i="10"/>
  <c r="AF298" i="10" s="1"/>
  <c r="AF645" i="10"/>
  <c r="AF75" i="10" s="1"/>
  <c r="AE187" i="10" l="1"/>
  <c r="AC210" i="10"/>
  <c r="AC213" i="10" s="1"/>
  <c r="AD205" i="10"/>
  <c r="AE301" i="10"/>
  <c r="AE302" i="10" s="1"/>
  <c r="AE309" i="10" s="1"/>
  <c r="AE310" i="10" s="1"/>
  <c r="AF181" i="10"/>
  <c r="AF59" i="10"/>
  <c r="AF63" i="10" s="1"/>
  <c r="AF69" i="10" s="1"/>
  <c r="AF74" i="10" s="1"/>
  <c r="AF646" i="10"/>
  <c r="AC212" i="10" l="1"/>
  <c r="AD210" i="10"/>
  <c r="AE204" i="10"/>
  <c r="AE205" i="10" s="1"/>
  <c r="AE210" i="10" s="1"/>
  <c r="AF76" i="10"/>
  <c r="AF80" i="10" s="1"/>
  <c r="AF81" i="10" s="1"/>
  <c r="AF95" i="10" s="1"/>
  <c r="AF184" i="10"/>
  <c r="AF198" i="10"/>
  <c r="AF201" i="10" s="1"/>
  <c r="AG643" i="10"/>
  <c r="AG646" i="10" s="1"/>
  <c r="AF749" i="10"/>
  <c r="AG750" i="10" s="1"/>
  <c r="AG282" i="10" l="1"/>
  <c r="AG182" i="10"/>
  <c r="AD213" i="10"/>
  <c r="AD212" i="10"/>
  <c r="AE212" i="10"/>
  <c r="AE213" i="10"/>
  <c r="AF220" i="10"/>
  <c r="AF223" i="10" s="1"/>
  <c r="AF244" i="10" s="1"/>
  <c r="AF245" i="10" s="1"/>
  <c r="AF284" i="10"/>
  <c r="AF285" i="10" s="1"/>
  <c r="AF292" i="10" s="1"/>
  <c r="AF293" i="10" s="1"/>
  <c r="AF203" i="10" s="1"/>
  <c r="AF142" i="10"/>
  <c r="AF154" i="10" s="1"/>
  <c r="AF155" i="10" s="1"/>
  <c r="AH643" i="10"/>
  <c r="AH646" i="10" s="1"/>
  <c r="AG749" i="10"/>
  <c r="AH750" i="10" s="1"/>
  <c r="AF187" i="10"/>
  <c r="AF186" i="10"/>
  <c r="AF300" i="10" l="1"/>
  <c r="AH182" i="10"/>
  <c r="AH282" i="10"/>
  <c r="AG298" i="10"/>
  <c r="AG285" i="10"/>
  <c r="AG292" i="10" s="1"/>
  <c r="AG293" i="10" s="1"/>
  <c r="AG199" i="10"/>
  <c r="AG201" i="10" s="1"/>
  <c r="AG184" i="10"/>
  <c r="AF248" i="10"/>
  <c r="AF143" i="10"/>
  <c r="AH145" i="10" s="1"/>
  <c r="AI643" i="10"/>
  <c r="AI646" i="10" s="1"/>
  <c r="AH749" i="10"/>
  <c r="AI750" i="10" s="1"/>
  <c r="AF301" i="10"/>
  <c r="AF165" i="10"/>
  <c r="AF251" i="10"/>
  <c r="AF254" i="10" l="1"/>
  <c r="AF275" i="10" s="1"/>
  <c r="AF276" i="10" s="1"/>
  <c r="AF166" i="10" s="1"/>
  <c r="AF167" i="10" s="1"/>
  <c r="AF168" i="10" s="1"/>
  <c r="AF302" i="10"/>
  <c r="AF309" i="10" s="1"/>
  <c r="AF310" i="10" s="1"/>
  <c r="AF204" i="10" s="1"/>
  <c r="AI182" i="10"/>
  <c r="AI282" i="10"/>
  <c r="AH199" i="10"/>
  <c r="AH201" i="10" s="1"/>
  <c r="AH184" i="10"/>
  <c r="AH186" i="10" s="1"/>
  <c r="AG187" i="10"/>
  <c r="AG186" i="10"/>
  <c r="AG301" i="10"/>
  <c r="AG302" i="10" s="1"/>
  <c r="AG309" i="10" s="1"/>
  <c r="AG310" i="10" s="1"/>
  <c r="AG204" i="10" s="1"/>
  <c r="AG203" i="10"/>
  <c r="AH298" i="10"/>
  <c r="AH285" i="10"/>
  <c r="AH292" i="10" s="1"/>
  <c r="AH293" i="10" s="1"/>
  <c r="AF146" i="10"/>
  <c r="AM145" i="10"/>
  <c r="AK145" i="10"/>
  <c r="AO145" i="10"/>
  <c r="AN145" i="10"/>
  <c r="AL145" i="10"/>
  <c r="AM146" i="10"/>
  <c r="AI145" i="10"/>
  <c r="AN146" i="10"/>
  <c r="AH146" i="10"/>
  <c r="AK146" i="10"/>
  <c r="AG146" i="10"/>
  <c r="AG145" i="10"/>
  <c r="AF145" i="10"/>
  <c r="AL146" i="10"/>
  <c r="AJ146" i="10"/>
  <c r="AO146" i="10"/>
  <c r="AJ145" i="10"/>
  <c r="AI146" i="10"/>
  <c r="AJ643" i="10"/>
  <c r="AJ646" i="10" s="1"/>
  <c r="AI749" i="10"/>
  <c r="AJ750" i="10" s="1"/>
  <c r="AF205" i="10"/>
  <c r="AF210" i="10" s="1"/>
  <c r="AH187" i="10" l="1"/>
  <c r="AJ182" i="10"/>
  <c r="AJ282" i="10"/>
  <c r="AH203" i="10"/>
  <c r="AH301" i="10"/>
  <c r="AH302" i="10" s="1"/>
  <c r="AH309" i="10" s="1"/>
  <c r="AH310" i="10" s="1"/>
  <c r="AH204" i="10" s="1"/>
  <c r="AI199" i="10"/>
  <c r="AI201" i="10" s="1"/>
  <c r="AI184" i="10"/>
  <c r="AG205" i="10"/>
  <c r="AG210" i="10" s="1"/>
  <c r="AG212" i="10" s="1"/>
  <c r="AI298" i="10"/>
  <c r="AI285" i="10"/>
  <c r="AI292" i="10" s="1"/>
  <c r="AI293" i="10" s="1"/>
  <c r="AH170" i="10"/>
  <c r="AL170" i="10"/>
  <c r="AH172" i="10"/>
  <c r="AJ172" i="10"/>
  <c r="AJ170" i="10"/>
  <c r="AF172" i="10"/>
  <c r="AM170" i="10"/>
  <c r="AG170" i="10"/>
  <c r="AO170" i="10"/>
  <c r="AM172" i="10"/>
  <c r="AK170" i="10"/>
  <c r="AN172" i="10"/>
  <c r="AN170" i="10"/>
  <c r="AK172" i="10"/>
  <c r="AI170" i="10"/>
  <c r="AL172" i="10"/>
  <c r="AO172" i="10"/>
  <c r="AF170" i="10"/>
  <c r="AI172" i="10"/>
  <c r="AG172" i="10"/>
  <c r="AF212" i="10"/>
  <c r="AF213" i="10"/>
  <c r="AK643" i="10"/>
  <c r="AK646" i="10" s="1"/>
  <c r="AJ749" i="10"/>
  <c r="AK750" i="10" s="1"/>
  <c r="AG213" i="10" l="1"/>
  <c r="AJ199" i="10"/>
  <c r="AJ201" i="10" s="1"/>
  <c r="AJ184" i="10"/>
  <c r="AJ186" i="10" s="1"/>
  <c r="AH205" i="10"/>
  <c r="AH210" i="10" s="1"/>
  <c r="AK182" i="10"/>
  <c r="AK282" i="10"/>
  <c r="AI203" i="10"/>
  <c r="AI301" i="10"/>
  <c r="AI302" i="10" s="1"/>
  <c r="AI309" i="10" s="1"/>
  <c r="AI310" i="10" s="1"/>
  <c r="AI204" i="10" s="1"/>
  <c r="AI187" i="10"/>
  <c r="AI186" i="10"/>
  <c r="AJ187" i="10"/>
  <c r="AJ298" i="10"/>
  <c r="AJ285" i="10"/>
  <c r="AJ292" i="10" s="1"/>
  <c r="AJ293" i="10" s="1"/>
  <c r="AH171" i="10"/>
  <c r="AF171" i="10"/>
  <c r="AG171" i="10"/>
  <c r="AM171" i="10"/>
  <c r="AO171" i="10"/>
  <c r="AI171" i="10"/>
  <c r="AK171" i="10"/>
  <c r="AN171" i="10"/>
  <c r="AJ171" i="10"/>
  <c r="AL171" i="10"/>
  <c r="AL643" i="10"/>
  <c r="AL646" i="10" s="1"/>
  <c r="AK749" i="10"/>
  <c r="AL750" i="10" s="1"/>
  <c r="AK174" i="10" l="1"/>
  <c r="AO174" i="10"/>
  <c r="AL282" i="10"/>
  <c r="AL182" i="10"/>
  <c r="AK199" i="10"/>
  <c r="AK201" i="10" s="1"/>
  <c r="AK184" i="10"/>
  <c r="AI205" i="10"/>
  <c r="AI210" i="10" s="1"/>
  <c r="AI212" i="10" s="1"/>
  <c r="AJ203" i="10"/>
  <c r="AJ301" i="10"/>
  <c r="AJ302" i="10" s="1"/>
  <c r="AJ309" i="10" s="1"/>
  <c r="AJ310" i="10" s="1"/>
  <c r="AJ204" i="10" s="1"/>
  <c r="AK298" i="10"/>
  <c r="AK285" i="10"/>
  <c r="AK292" i="10" s="1"/>
  <c r="AK293" i="10" s="1"/>
  <c r="AH212" i="10"/>
  <c r="AH213" i="10"/>
  <c r="AI174" i="10"/>
  <c r="AH174" i="10"/>
  <c r="AG174" i="10"/>
  <c r="AF174" i="10"/>
  <c r="AJ174" i="10"/>
  <c r="AM174" i="10"/>
  <c r="AN174" i="10"/>
  <c r="AL174" i="10"/>
  <c r="AM643" i="10"/>
  <c r="AM646" i="10" s="1"/>
  <c r="AL749" i="10"/>
  <c r="AM750" i="10" s="1"/>
  <c r="AI213" i="10" l="1"/>
  <c r="AM282" i="10"/>
  <c r="AM182" i="10"/>
  <c r="AL298" i="10"/>
  <c r="AL285" i="10"/>
  <c r="AL292" i="10" s="1"/>
  <c r="AL293" i="10" s="1"/>
  <c r="AJ205" i="10"/>
  <c r="AJ210" i="10" s="1"/>
  <c r="AK301" i="10"/>
  <c r="AK302" i="10" s="1"/>
  <c r="AK309" i="10" s="1"/>
  <c r="AK310" i="10" s="1"/>
  <c r="AK204" i="10" s="1"/>
  <c r="AK203" i="10"/>
  <c r="AK186" i="10"/>
  <c r="AK187" i="10"/>
  <c r="AL199" i="10"/>
  <c r="AL201" i="10" s="1"/>
  <c r="AL184" i="10"/>
  <c r="AL187" i="10" s="1"/>
  <c r="AN643" i="10"/>
  <c r="AN646" i="10" s="1"/>
  <c r="AM749" i="10"/>
  <c r="AN750" i="10" s="1"/>
  <c r="AL186" i="10" l="1"/>
  <c r="AN282" i="10"/>
  <c r="AN182" i="10"/>
  <c r="AJ212" i="10"/>
  <c r="AJ213" i="10"/>
  <c r="AM298" i="10"/>
  <c r="AM285" i="10"/>
  <c r="AM292" i="10" s="1"/>
  <c r="AM293" i="10" s="1"/>
  <c r="AL203" i="10"/>
  <c r="AL301" i="10"/>
  <c r="AL302" i="10" s="1"/>
  <c r="AL309" i="10" s="1"/>
  <c r="AL310" i="10" s="1"/>
  <c r="AL204" i="10" s="1"/>
  <c r="AM199" i="10"/>
  <c r="AM201" i="10" s="1"/>
  <c r="AM184" i="10"/>
  <c r="AM187" i="10" s="1"/>
  <c r="AK205" i="10"/>
  <c r="AK210" i="10" s="1"/>
  <c r="AO643" i="10"/>
  <c r="AO646" i="10" s="1"/>
  <c r="AN749" i="10"/>
  <c r="AO750" i="10" s="1"/>
  <c r="AM186" i="10" l="1"/>
  <c r="AO282" i="10"/>
  <c r="AO182" i="10"/>
  <c r="AM301" i="10"/>
  <c r="AM302" i="10" s="1"/>
  <c r="AM309" i="10" s="1"/>
  <c r="AM310" i="10" s="1"/>
  <c r="AM204" i="10" s="1"/>
  <c r="AM203" i="10"/>
  <c r="AN199" i="10"/>
  <c r="AN201" i="10" s="1"/>
  <c r="AN184" i="10"/>
  <c r="AN187" i="10" s="1"/>
  <c r="AL205" i="10"/>
  <c r="AL210" i="10" s="1"/>
  <c r="AL213" i="10" s="1"/>
  <c r="AK212" i="10"/>
  <c r="AN298" i="10"/>
  <c r="AN285" i="10"/>
  <c r="AN292" i="10" s="1"/>
  <c r="AN293" i="10" s="1"/>
  <c r="AK213" i="10"/>
  <c r="AP643" i="10"/>
  <c r="AO749" i="10"/>
  <c r="AP750" i="10" s="1"/>
  <c r="AL212" i="10" l="1"/>
  <c r="AP282" i="10"/>
  <c r="AP182" i="10"/>
  <c r="AP199" i="10" s="1"/>
  <c r="AO199" i="10"/>
  <c r="AO201" i="10" s="1"/>
  <c r="AO184" i="10"/>
  <c r="AM205" i="10"/>
  <c r="AM210" i="10" s="1"/>
  <c r="AN186" i="10"/>
  <c r="AP645" i="10"/>
  <c r="AN203" i="10"/>
  <c r="AN301" i="10"/>
  <c r="AN302" i="10" s="1"/>
  <c r="AN309" i="10" s="1"/>
  <c r="AN310" i="10" s="1"/>
  <c r="AN204" i="10" s="1"/>
  <c r="AO298" i="10"/>
  <c r="AO285" i="10"/>
  <c r="AO292" i="10" s="1"/>
  <c r="AO293" i="10" s="1"/>
  <c r="B62" i="2"/>
  <c r="B66" i="2" s="1"/>
  <c r="B72" i="2" s="1"/>
  <c r="B82" i="2" s="1"/>
  <c r="B87" i="2" s="1"/>
  <c r="AO203" i="10" l="1"/>
  <c r="AO301" i="10"/>
  <c r="AO302" i="10" s="1"/>
  <c r="AO309" i="10" s="1"/>
  <c r="AO310" i="10" s="1"/>
  <c r="AO204" i="10" s="1"/>
  <c r="AP181" i="10"/>
  <c r="AP59" i="10"/>
  <c r="AP63" i="10" s="1"/>
  <c r="AP69" i="10" s="1"/>
  <c r="AP74" i="10" s="1"/>
  <c r="AP75" i="10"/>
  <c r="AP298" i="10"/>
  <c r="AN205" i="10"/>
  <c r="AN210" i="10" s="1"/>
  <c r="AN213" i="10" s="1"/>
  <c r="AP646" i="10"/>
  <c r="AP749" i="10" s="1"/>
  <c r="AM213" i="10"/>
  <c r="AM212" i="10"/>
  <c r="AO187" i="10"/>
  <c r="AO186" i="10"/>
  <c r="B88" i="2"/>
  <c r="B96" i="2"/>
  <c r="AN212" i="10" l="1"/>
  <c r="AP76" i="10"/>
  <c r="AP220" i="10" s="1"/>
  <c r="AP198" i="10"/>
  <c r="AP201" i="10" s="1"/>
  <c r="AP184" i="10"/>
  <c r="AO205" i="10"/>
  <c r="AO210" i="10" s="1"/>
  <c r="B97" i="2"/>
  <c r="B110" i="2" s="1"/>
  <c r="B164" i="2"/>
  <c r="B165" i="2" s="1"/>
  <c r="B178" i="2"/>
  <c r="B179" i="2" s="1"/>
  <c r="B196" i="2" s="1"/>
  <c r="B91" i="2"/>
  <c r="B90" i="2"/>
  <c r="AP80" i="10" l="1"/>
  <c r="AP81" i="10" s="1"/>
  <c r="AP95" i="10" s="1"/>
  <c r="AP142" i="10"/>
  <c r="AP143" i="10" s="1"/>
  <c r="AP284" i="10"/>
  <c r="AP300" i="10" s="1"/>
  <c r="AP248" i="10"/>
  <c r="AP223" i="10"/>
  <c r="AP244" i="10" s="1"/>
  <c r="AP245" i="10" s="1"/>
  <c r="AO212" i="10"/>
  <c r="B190" i="10"/>
  <c r="AP187" i="10"/>
  <c r="B189" i="10"/>
  <c r="AP186" i="10"/>
  <c r="AO213" i="10"/>
  <c r="B199" i="2"/>
  <c r="B198" i="2"/>
  <c r="B112" i="2"/>
  <c r="B113" i="2"/>
  <c r="B168" i="2"/>
  <c r="B167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C66" i="2"/>
  <c r="D66" i="2"/>
  <c r="E66" i="2"/>
  <c r="F66" i="2"/>
  <c r="G66" i="2"/>
  <c r="H66" i="2"/>
  <c r="H72" i="2" s="1"/>
  <c r="H82" i="2" s="1"/>
  <c r="H87" i="2" s="1"/>
  <c r="I66" i="2"/>
  <c r="I72" i="2" s="1"/>
  <c r="I82" i="2" s="1"/>
  <c r="I87" i="2" s="1"/>
  <c r="J66" i="2"/>
  <c r="J72" i="2" s="1"/>
  <c r="J82" i="2" s="1"/>
  <c r="J87" i="2" s="1"/>
  <c r="K66" i="2"/>
  <c r="K72" i="2" s="1"/>
  <c r="K82" i="2" s="1"/>
  <c r="K87" i="2" s="1"/>
  <c r="L66" i="2"/>
  <c r="L72" i="2" s="1"/>
  <c r="L82" i="2" s="1"/>
  <c r="L87" i="2" s="1"/>
  <c r="M66" i="2"/>
  <c r="M72" i="2" s="1"/>
  <c r="M82" i="2" s="1"/>
  <c r="M87" i="2" s="1"/>
  <c r="N66" i="2"/>
  <c r="N72" i="2" s="1"/>
  <c r="N82" i="2" s="1"/>
  <c r="N87" i="2" s="1"/>
  <c r="O66" i="2"/>
  <c r="O72" i="2" s="1"/>
  <c r="O82" i="2" s="1"/>
  <c r="O87" i="2" s="1"/>
  <c r="P66" i="2"/>
  <c r="P72" i="2" s="1"/>
  <c r="P82" i="2" s="1"/>
  <c r="P87" i="2" s="1"/>
  <c r="Q66" i="2"/>
  <c r="Q72" i="2" s="1"/>
  <c r="Q82" i="2" s="1"/>
  <c r="Q87" i="2" s="1"/>
  <c r="R66" i="2"/>
  <c r="R72" i="2" s="1"/>
  <c r="R82" i="2" s="1"/>
  <c r="R87" i="2" s="1"/>
  <c r="S66" i="2"/>
  <c r="S72" i="2" s="1"/>
  <c r="S82" i="2" s="1"/>
  <c r="S87" i="2" s="1"/>
  <c r="T66" i="2"/>
  <c r="T72" i="2" s="1"/>
  <c r="T82" i="2" s="1"/>
  <c r="T87" i="2" s="1"/>
  <c r="U66" i="2"/>
  <c r="U72" i="2" s="1"/>
  <c r="U82" i="2" s="1"/>
  <c r="U87" i="2" s="1"/>
  <c r="V66" i="2"/>
  <c r="V72" i="2" s="1"/>
  <c r="V82" i="2" s="1"/>
  <c r="V87" i="2" s="1"/>
  <c r="W66" i="2"/>
  <c r="W72" i="2" s="1"/>
  <c r="W82" i="2" s="1"/>
  <c r="W87" i="2" s="1"/>
  <c r="X66" i="2"/>
  <c r="X72" i="2" s="1"/>
  <c r="X82" i="2" s="1"/>
  <c r="X87" i="2" s="1"/>
  <c r="Y66" i="2"/>
  <c r="Y72" i="2" s="1"/>
  <c r="Y82" i="2" s="1"/>
  <c r="Y87" i="2" s="1"/>
  <c r="Z66" i="2"/>
  <c r="Z72" i="2" s="1"/>
  <c r="Z82" i="2" s="1"/>
  <c r="Z87" i="2" s="1"/>
  <c r="AA66" i="2"/>
  <c r="AA72" i="2" s="1"/>
  <c r="AA82" i="2" s="1"/>
  <c r="AA87" i="2" s="1"/>
  <c r="AB66" i="2"/>
  <c r="AB72" i="2" s="1"/>
  <c r="AB82" i="2" s="1"/>
  <c r="AB87" i="2" s="1"/>
  <c r="AC66" i="2"/>
  <c r="AC72" i="2" s="1"/>
  <c r="AC82" i="2" s="1"/>
  <c r="AC87" i="2" s="1"/>
  <c r="AD66" i="2"/>
  <c r="AD72" i="2" s="1"/>
  <c r="AD82" i="2" s="1"/>
  <c r="AD87" i="2" s="1"/>
  <c r="AE66" i="2"/>
  <c r="AE72" i="2" s="1"/>
  <c r="AE82" i="2" s="1"/>
  <c r="AE87" i="2" s="1"/>
  <c r="AF66" i="2"/>
  <c r="AF72" i="2" s="1"/>
  <c r="AF82" i="2" s="1"/>
  <c r="AF87" i="2" s="1"/>
  <c r="AG66" i="2"/>
  <c r="AG72" i="2" s="1"/>
  <c r="AG82" i="2" s="1"/>
  <c r="AG87" i="2" s="1"/>
  <c r="AH66" i="2"/>
  <c r="AH72" i="2" s="1"/>
  <c r="AH82" i="2" s="1"/>
  <c r="AH87" i="2" s="1"/>
  <c r="AI66" i="2"/>
  <c r="AI72" i="2" s="1"/>
  <c r="AI82" i="2" s="1"/>
  <c r="AI87" i="2" s="1"/>
  <c r="AJ66" i="2"/>
  <c r="AJ72" i="2" s="1"/>
  <c r="AJ82" i="2" s="1"/>
  <c r="AJ87" i="2" s="1"/>
  <c r="AK66" i="2"/>
  <c r="AK72" i="2" s="1"/>
  <c r="AK82" i="2" s="1"/>
  <c r="AK87" i="2" s="1"/>
  <c r="AL66" i="2"/>
  <c r="AL72" i="2" s="1"/>
  <c r="AL82" i="2" s="1"/>
  <c r="AL87" i="2" s="1"/>
  <c r="AM66" i="2"/>
  <c r="AM72" i="2" s="1"/>
  <c r="AM82" i="2" s="1"/>
  <c r="AM87" i="2" s="1"/>
  <c r="AN66" i="2"/>
  <c r="AN72" i="2" s="1"/>
  <c r="AN82" i="2" s="1"/>
  <c r="AN87" i="2" s="1"/>
  <c r="AO66" i="2"/>
  <c r="AO72" i="2" s="1"/>
  <c r="AO82" i="2" s="1"/>
  <c r="AO87" i="2" s="1"/>
  <c r="AP66" i="2"/>
  <c r="AP72" i="2" s="1"/>
  <c r="AP82" i="2" s="1"/>
  <c r="AP87" i="2" s="1"/>
  <c r="C72" i="2"/>
  <c r="C82" i="2" s="1"/>
  <c r="C87" i="2" s="1"/>
  <c r="D72" i="2"/>
  <c r="D82" i="2" s="1"/>
  <c r="D87" i="2" s="1"/>
  <c r="E72" i="2"/>
  <c r="E82" i="2" s="1"/>
  <c r="E87" i="2" s="1"/>
  <c r="F72" i="2"/>
  <c r="F82" i="2" s="1"/>
  <c r="F87" i="2" s="1"/>
  <c r="G72" i="2"/>
  <c r="G82" i="2" s="1"/>
  <c r="G87" i="2" s="1"/>
  <c r="AP154" i="10" l="1"/>
  <c r="AP155" i="10" s="1"/>
  <c r="AP285" i="10"/>
  <c r="AP292" i="10" s="1"/>
  <c r="AP293" i="10" s="1"/>
  <c r="AP203" i="10" s="1"/>
  <c r="U96" i="2"/>
  <c r="U97" i="2" s="1"/>
  <c r="U110" i="2" s="1"/>
  <c r="U116" i="2" s="1"/>
  <c r="U88" i="2"/>
  <c r="Q96" i="2"/>
  <c r="Q97" i="2" s="1"/>
  <c r="Q110" i="2" s="1"/>
  <c r="Q116" i="2" s="1"/>
  <c r="Q88" i="2"/>
  <c r="M96" i="2"/>
  <c r="M97" i="2" s="1"/>
  <c r="M110" i="2" s="1"/>
  <c r="M116" i="2" s="1"/>
  <c r="M88" i="2"/>
  <c r="I96" i="2"/>
  <c r="I97" i="2" s="1"/>
  <c r="I110" i="2" s="1"/>
  <c r="I116" i="2" s="1"/>
  <c r="I88" i="2"/>
  <c r="E96" i="2"/>
  <c r="E97" i="2" s="1"/>
  <c r="E110" i="2" s="1"/>
  <c r="E116" i="2" s="1"/>
  <c r="E88" i="2"/>
  <c r="AO96" i="2"/>
  <c r="AO97" i="2" s="1"/>
  <c r="AO110" i="2" s="1"/>
  <c r="AO116" i="2" s="1"/>
  <c r="AO88" i="2"/>
  <c r="AK96" i="2"/>
  <c r="AK97" i="2" s="1"/>
  <c r="AK110" i="2" s="1"/>
  <c r="AK116" i="2" s="1"/>
  <c r="AK88" i="2"/>
  <c r="AG96" i="2"/>
  <c r="AG97" i="2" s="1"/>
  <c r="AG110" i="2" s="1"/>
  <c r="AG116" i="2" s="1"/>
  <c r="AG88" i="2"/>
  <c r="AC96" i="2"/>
  <c r="AC97" i="2" s="1"/>
  <c r="AC110" i="2" s="1"/>
  <c r="AC116" i="2" s="1"/>
  <c r="AC88" i="2"/>
  <c r="Y96" i="2"/>
  <c r="Y97" i="2" s="1"/>
  <c r="Y110" i="2" s="1"/>
  <c r="Y116" i="2" s="1"/>
  <c r="Y88" i="2"/>
  <c r="S96" i="2"/>
  <c r="S97" i="2" s="1"/>
  <c r="S110" i="2" s="1"/>
  <c r="S116" i="2" s="1"/>
  <c r="S88" i="2"/>
  <c r="O88" i="2"/>
  <c r="O96" i="2"/>
  <c r="O97" i="2" s="1"/>
  <c r="O110" i="2" s="1"/>
  <c r="O116" i="2" s="1"/>
  <c r="K96" i="2"/>
  <c r="K97" i="2" s="1"/>
  <c r="K110" i="2" s="1"/>
  <c r="K116" i="2" s="1"/>
  <c r="K88" i="2"/>
  <c r="G88" i="2"/>
  <c r="G96" i="2"/>
  <c r="G97" i="2" s="1"/>
  <c r="G110" i="2" s="1"/>
  <c r="G116" i="2" s="1"/>
  <c r="C96" i="2"/>
  <c r="C88" i="2"/>
  <c r="AM88" i="2"/>
  <c r="AM96" i="2"/>
  <c r="AM97" i="2" s="1"/>
  <c r="AM110" i="2" s="1"/>
  <c r="AI88" i="2"/>
  <c r="AI96" i="2"/>
  <c r="AI97" i="2" s="1"/>
  <c r="AI110" i="2" s="1"/>
  <c r="AI116" i="2" s="1"/>
  <c r="AE88" i="2"/>
  <c r="AE96" i="2"/>
  <c r="AE97" i="2" s="1"/>
  <c r="AE110" i="2" s="1"/>
  <c r="AA88" i="2"/>
  <c r="AA96" i="2"/>
  <c r="AA97" i="2" s="1"/>
  <c r="AA110" i="2" s="1"/>
  <c r="AA116" i="2" s="1"/>
  <c r="V96" i="2"/>
  <c r="V97" i="2" s="1"/>
  <c r="V110" i="2" s="1"/>
  <c r="V116" i="2" s="1"/>
  <c r="V88" i="2"/>
  <c r="T96" i="2"/>
  <c r="T97" i="2" s="1"/>
  <c r="T110" i="2" s="1"/>
  <c r="T116" i="2" s="1"/>
  <c r="T88" i="2"/>
  <c r="R96" i="2"/>
  <c r="R97" i="2" s="1"/>
  <c r="R110" i="2" s="1"/>
  <c r="R116" i="2" s="1"/>
  <c r="R88" i="2"/>
  <c r="P96" i="2"/>
  <c r="P97" i="2" s="1"/>
  <c r="P110" i="2" s="1"/>
  <c r="P116" i="2" s="1"/>
  <c r="P88" i="2"/>
  <c r="N96" i="2"/>
  <c r="N97" i="2" s="1"/>
  <c r="N110" i="2" s="1"/>
  <c r="N116" i="2" s="1"/>
  <c r="N88" i="2"/>
  <c r="L96" i="2"/>
  <c r="L97" i="2" s="1"/>
  <c r="L110" i="2" s="1"/>
  <c r="L116" i="2" s="1"/>
  <c r="L88" i="2"/>
  <c r="J96" i="2"/>
  <c r="J97" i="2" s="1"/>
  <c r="J110" i="2" s="1"/>
  <c r="J116" i="2" s="1"/>
  <c r="J88" i="2"/>
  <c r="H96" i="2"/>
  <c r="H97" i="2" s="1"/>
  <c r="H110" i="2" s="1"/>
  <c r="H116" i="2" s="1"/>
  <c r="H88" i="2"/>
  <c r="F96" i="2"/>
  <c r="F97" i="2" s="1"/>
  <c r="F110" i="2" s="1"/>
  <c r="F116" i="2" s="1"/>
  <c r="F88" i="2"/>
  <c r="D96" i="2"/>
  <c r="D97" i="2" s="1"/>
  <c r="D110" i="2" s="1"/>
  <c r="D116" i="2" s="1"/>
  <c r="D88" i="2"/>
  <c r="AP96" i="2"/>
  <c r="AP97" i="2" s="1"/>
  <c r="AP110" i="2" s="1"/>
  <c r="AP116" i="2" s="1"/>
  <c r="AP88" i="2"/>
  <c r="AN96" i="2"/>
  <c r="AN97" i="2" s="1"/>
  <c r="AN110" i="2" s="1"/>
  <c r="AN116" i="2" s="1"/>
  <c r="AN88" i="2"/>
  <c r="AL96" i="2"/>
  <c r="AL97" i="2" s="1"/>
  <c r="AL110" i="2" s="1"/>
  <c r="AL116" i="2" s="1"/>
  <c r="AL88" i="2"/>
  <c r="AJ96" i="2"/>
  <c r="AJ97" i="2" s="1"/>
  <c r="AJ110" i="2" s="1"/>
  <c r="AJ116" i="2" s="1"/>
  <c r="AJ88" i="2"/>
  <c r="AH96" i="2"/>
  <c r="AH97" i="2" s="1"/>
  <c r="AH110" i="2" s="1"/>
  <c r="AH116" i="2" s="1"/>
  <c r="AH88" i="2"/>
  <c r="AF96" i="2"/>
  <c r="AF97" i="2" s="1"/>
  <c r="AF110" i="2" s="1"/>
  <c r="AF116" i="2" s="1"/>
  <c r="AF88" i="2"/>
  <c r="AD96" i="2"/>
  <c r="AD97" i="2" s="1"/>
  <c r="AD110" i="2" s="1"/>
  <c r="AD116" i="2" s="1"/>
  <c r="AD88" i="2"/>
  <c r="AB96" i="2"/>
  <c r="AB97" i="2" s="1"/>
  <c r="AB110" i="2" s="1"/>
  <c r="AB116" i="2" s="1"/>
  <c r="AB88" i="2"/>
  <c r="Z96" i="2"/>
  <c r="Z97" i="2" s="1"/>
  <c r="Z110" i="2" s="1"/>
  <c r="Z116" i="2" s="1"/>
  <c r="Z88" i="2"/>
  <c r="X96" i="2"/>
  <c r="X97" i="2" s="1"/>
  <c r="X110" i="2" s="1"/>
  <c r="X116" i="2" s="1"/>
  <c r="X88" i="2"/>
  <c r="W88" i="2"/>
  <c r="W96" i="2"/>
  <c r="W97" i="2" s="1"/>
  <c r="W110" i="2" s="1"/>
  <c r="AP145" i="10"/>
  <c r="AP146" i="10"/>
  <c r="AP251" i="10"/>
  <c r="AP254" i="10" s="1"/>
  <c r="AP275" i="10" s="1"/>
  <c r="AP276" i="10" s="1"/>
  <c r="AP166" i="10" s="1"/>
  <c r="AP165" i="10"/>
  <c r="AP301" i="10" l="1"/>
  <c r="AP302" i="10" s="1"/>
  <c r="AP309" i="10" s="1"/>
  <c r="AP310" i="10" s="1"/>
  <c r="AP204" i="10" s="1"/>
  <c r="AP205" i="10" s="1"/>
  <c r="AP210" i="10" s="1"/>
  <c r="B216" i="10" s="1"/>
  <c r="S117" i="2"/>
  <c r="Q117" i="2"/>
  <c r="L117" i="2"/>
  <c r="T117" i="2"/>
  <c r="J117" i="2"/>
  <c r="N117" i="2"/>
  <c r="R117" i="2"/>
  <c r="V117" i="2"/>
  <c r="U117" i="2"/>
  <c r="F117" i="2"/>
  <c r="U90" i="2"/>
  <c r="U91" i="2"/>
  <c r="H90" i="2"/>
  <c r="P91" i="2"/>
  <c r="X90" i="2"/>
  <c r="P117" i="2"/>
  <c r="AF91" i="2"/>
  <c r="AN90" i="2"/>
  <c r="AL117" i="2"/>
  <c r="AP117" i="2"/>
  <c r="M117" i="2"/>
  <c r="AH117" i="2"/>
  <c r="AJ117" i="2"/>
  <c r="K117" i="2"/>
  <c r="Z117" i="2"/>
  <c r="AD117" i="2"/>
  <c r="G90" i="2"/>
  <c r="P90" i="2"/>
  <c r="AF90" i="2"/>
  <c r="H91" i="2"/>
  <c r="X91" i="2"/>
  <c r="AN91" i="2"/>
  <c r="AB117" i="2"/>
  <c r="E90" i="2"/>
  <c r="E91" i="2"/>
  <c r="O90" i="2"/>
  <c r="E117" i="2"/>
  <c r="AC117" i="2"/>
  <c r="AK117" i="2"/>
  <c r="X117" i="2"/>
  <c r="AF117" i="2"/>
  <c r="AN117" i="2"/>
  <c r="AM91" i="2"/>
  <c r="L90" i="2"/>
  <c r="T90" i="2"/>
  <c r="AB90" i="2"/>
  <c r="AJ90" i="2"/>
  <c r="D91" i="2"/>
  <c r="L91" i="2"/>
  <c r="T91" i="2"/>
  <c r="AB91" i="2"/>
  <c r="AJ91" i="2"/>
  <c r="H117" i="2"/>
  <c r="M90" i="2"/>
  <c r="AK90" i="2"/>
  <c r="M91" i="2"/>
  <c r="AC91" i="2"/>
  <c r="K90" i="2"/>
  <c r="O117" i="2"/>
  <c r="AI117" i="2"/>
  <c r="AE90" i="2"/>
  <c r="AC90" i="2"/>
  <c r="AK91" i="2"/>
  <c r="I117" i="2"/>
  <c r="Y117" i="2"/>
  <c r="AG117" i="2"/>
  <c r="AO117" i="2"/>
  <c r="G117" i="2"/>
  <c r="AA117" i="2"/>
  <c r="W117" i="2"/>
  <c r="K91" i="2"/>
  <c r="AE117" i="2"/>
  <c r="AM117" i="2"/>
  <c r="AA91" i="2"/>
  <c r="C106" i="1" s="1"/>
  <c r="F90" i="2"/>
  <c r="J90" i="2"/>
  <c r="C97" i="1" s="1"/>
  <c r="N90" i="2"/>
  <c r="R90" i="2"/>
  <c r="V90" i="2"/>
  <c r="Z90" i="2"/>
  <c r="AD90" i="2"/>
  <c r="AH90" i="2"/>
  <c r="AL90" i="2"/>
  <c r="AP90" i="2"/>
  <c r="F91" i="2"/>
  <c r="J91" i="2"/>
  <c r="C103" i="1" s="1"/>
  <c r="N91" i="2"/>
  <c r="R91" i="2"/>
  <c r="V91" i="2"/>
  <c r="Z91" i="2"/>
  <c r="AD91" i="2"/>
  <c r="AH91" i="2"/>
  <c r="AL91" i="2"/>
  <c r="AP91" i="2"/>
  <c r="W116" i="2"/>
  <c r="AE116" i="2"/>
  <c r="AM116" i="2"/>
  <c r="I90" i="2"/>
  <c r="Q90" i="2"/>
  <c r="Y90" i="2"/>
  <c r="AG90" i="2"/>
  <c r="AO90" i="2"/>
  <c r="I91" i="2"/>
  <c r="Q91" i="2"/>
  <c r="Y91" i="2"/>
  <c r="AG91" i="2"/>
  <c r="AO91" i="2"/>
  <c r="W90" i="2"/>
  <c r="AM90" i="2"/>
  <c r="AA90" i="2"/>
  <c r="C100" i="1" s="1"/>
  <c r="G91" i="2"/>
  <c r="AI91" i="2"/>
  <c r="W91" i="2"/>
  <c r="C139" i="2"/>
  <c r="C97" i="2"/>
  <c r="C110" i="2" s="1"/>
  <c r="D90" i="2"/>
  <c r="O91" i="2"/>
  <c r="AE91" i="2"/>
  <c r="S91" i="2"/>
  <c r="AI90" i="2"/>
  <c r="S90" i="2"/>
  <c r="C90" i="2"/>
  <c r="C91" i="2"/>
  <c r="AP167" i="10"/>
  <c r="AP168" i="10" s="1"/>
  <c r="B215" i="10" l="1"/>
  <c r="AP213" i="10"/>
  <c r="AP212" i="10"/>
  <c r="C130" i="2"/>
  <c r="C178" i="2"/>
  <c r="C179" i="2" s="1"/>
  <c r="C196" i="2" s="1"/>
  <c r="C140" i="2"/>
  <c r="C153" i="2" s="1"/>
  <c r="I112" i="2"/>
  <c r="Q112" i="2"/>
  <c r="Y112" i="2"/>
  <c r="AG112" i="2"/>
  <c r="AO112" i="2"/>
  <c r="I113" i="2"/>
  <c r="Q113" i="2"/>
  <c r="Y113" i="2"/>
  <c r="AG113" i="2"/>
  <c r="AO113" i="2"/>
  <c r="G112" i="2"/>
  <c r="S112" i="2"/>
  <c r="AA112" i="2"/>
  <c r="C101" i="1" s="1"/>
  <c r="AM112" i="2"/>
  <c r="O113" i="2"/>
  <c r="AA113" i="2"/>
  <c r="C107" i="1" s="1"/>
  <c r="C117" i="2"/>
  <c r="AE112" i="2"/>
  <c r="K113" i="2"/>
  <c r="AE113" i="2"/>
  <c r="F112" i="2"/>
  <c r="J112" i="2"/>
  <c r="C98" i="1" s="1"/>
  <c r="N112" i="2"/>
  <c r="R112" i="2"/>
  <c r="V112" i="2"/>
  <c r="Z112" i="2"/>
  <c r="AD112" i="2"/>
  <c r="AH112" i="2"/>
  <c r="AL112" i="2"/>
  <c r="AP112" i="2"/>
  <c r="F113" i="2"/>
  <c r="J113" i="2"/>
  <c r="C104" i="1" s="1"/>
  <c r="N113" i="2"/>
  <c r="R113" i="2"/>
  <c r="V113" i="2"/>
  <c r="Z113" i="2"/>
  <c r="AD113" i="2"/>
  <c r="AH113" i="2"/>
  <c r="AL113" i="2"/>
  <c r="AP113" i="2"/>
  <c r="D117" i="2"/>
  <c r="E112" i="2"/>
  <c r="M112" i="2"/>
  <c r="U112" i="2"/>
  <c r="AC112" i="2"/>
  <c r="AK112" i="2"/>
  <c r="E113" i="2"/>
  <c r="M113" i="2"/>
  <c r="U113" i="2"/>
  <c r="AC113" i="2"/>
  <c r="AK113" i="2"/>
  <c r="C112" i="2"/>
  <c r="K112" i="2"/>
  <c r="W112" i="2"/>
  <c r="AI112" i="2"/>
  <c r="G113" i="2"/>
  <c r="W113" i="2"/>
  <c r="AI113" i="2"/>
  <c r="O112" i="2"/>
  <c r="C113" i="2"/>
  <c r="S113" i="2"/>
  <c r="AM113" i="2"/>
  <c r="D112" i="2"/>
  <c r="H112" i="2"/>
  <c r="L112" i="2"/>
  <c r="P112" i="2"/>
  <c r="T112" i="2"/>
  <c r="X112" i="2"/>
  <c r="AB112" i="2"/>
  <c r="AF112" i="2"/>
  <c r="AJ112" i="2"/>
  <c r="AN112" i="2"/>
  <c r="D113" i="2"/>
  <c r="H113" i="2"/>
  <c r="L113" i="2"/>
  <c r="P113" i="2"/>
  <c r="T113" i="2"/>
  <c r="X113" i="2"/>
  <c r="AB113" i="2"/>
  <c r="AF113" i="2"/>
  <c r="AJ113" i="2"/>
  <c r="AN113" i="2"/>
  <c r="C116" i="2"/>
  <c r="B116" i="2" s="1"/>
  <c r="AP172" i="10"/>
  <c r="AP170" i="10"/>
  <c r="AP171" i="10" s="1"/>
  <c r="AP174" i="10" s="1"/>
  <c r="B174" i="10" s="1"/>
  <c r="D86" i="1" s="1"/>
  <c r="C157" i="2" l="1"/>
  <c r="C155" i="2"/>
  <c r="C156" i="2" s="1"/>
  <c r="C164" i="2"/>
  <c r="C165" i="2" s="1"/>
  <c r="C131" i="2"/>
  <c r="C90" i="1"/>
  <c r="B117" i="2"/>
  <c r="C91" i="1" s="1"/>
  <c r="C198" i="2"/>
  <c r="C199" i="2"/>
  <c r="C168" i="2" l="1"/>
  <c r="C167" i="2"/>
  <c r="C134" i="2"/>
  <c r="C133" i="2"/>
  <c r="C159" i="2"/>
  <c r="D147" i="2"/>
  <c r="D186" i="2" s="1"/>
  <c r="D151" i="2"/>
  <c r="D194" i="2" s="1"/>
  <c r="D150" i="2"/>
  <c r="D142" i="2"/>
  <c r="D146" i="2"/>
  <c r="D143" i="2"/>
  <c r="D182" i="2" s="1"/>
  <c r="D139" i="2"/>
  <c r="D178" i="2" l="1"/>
  <c r="D179" i="2" s="1"/>
  <c r="D130" i="2"/>
  <c r="D140" i="2"/>
  <c r="D148" i="2"/>
  <c r="D185" i="2"/>
  <c r="D187" i="2" s="1"/>
  <c r="D144" i="2"/>
  <c r="D181" i="2"/>
  <c r="D183" i="2" s="1"/>
  <c r="D152" i="2"/>
  <c r="D193" i="2"/>
  <c r="D195" i="2" s="1"/>
  <c r="D153" i="2" l="1"/>
  <c r="D196" i="2"/>
  <c r="D164" i="2"/>
  <c r="D165" i="2" s="1"/>
  <c r="D131" i="2"/>
  <c r="D167" i="2" l="1"/>
  <c r="D168" i="2"/>
  <c r="D155" i="2"/>
  <c r="D156" i="2" s="1"/>
  <c r="D157" i="2"/>
  <c r="D133" i="2"/>
  <c r="D134" i="2"/>
  <c r="D198" i="2"/>
  <c r="D199" i="2"/>
  <c r="E146" i="2" l="1"/>
  <c r="E147" i="2"/>
  <c r="E186" i="2" s="1"/>
  <c r="D159" i="2"/>
  <c r="E139" i="2"/>
  <c r="E150" i="2"/>
  <c r="E142" i="2"/>
  <c r="E151" i="2"/>
  <c r="E194" i="2" s="1"/>
  <c r="E143" i="2"/>
  <c r="E182" i="2" s="1"/>
  <c r="E152" i="2" l="1"/>
  <c r="E193" i="2"/>
  <c r="E195" i="2" s="1"/>
  <c r="E185" i="2"/>
  <c r="E187" i="2" s="1"/>
  <c r="E148" i="2"/>
  <c r="E144" i="2"/>
  <c r="E181" i="2"/>
  <c r="E183" i="2" s="1"/>
  <c r="E130" i="2"/>
  <c r="E140" i="2"/>
  <c r="E178" i="2"/>
  <c r="E179" i="2" s="1"/>
  <c r="E153" i="2" l="1"/>
  <c r="E164" i="2"/>
  <c r="E165" i="2" s="1"/>
  <c r="E131" i="2"/>
  <c r="E196" i="2"/>
  <c r="E157" i="2" l="1"/>
  <c r="E155" i="2"/>
  <c r="E156" i="2" s="1"/>
  <c r="E198" i="2"/>
  <c r="E199" i="2"/>
  <c r="E167" i="2"/>
  <c r="E168" i="2"/>
  <c r="E133" i="2"/>
  <c r="E134" i="2"/>
  <c r="F139" i="2" l="1"/>
  <c r="F150" i="2"/>
  <c r="F142" i="2"/>
  <c r="F146" i="2"/>
  <c r="E159" i="2"/>
  <c r="F151" i="2"/>
  <c r="F194" i="2" s="1"/>
  <c r="F143" i="2"/>
  <c r="F182" i="2" s="1"/>
  <c r="F147" i="2"/>
  <c r="F186" i="2" s="1"/>
  <c r="F181" i="2" l="1"/>
  <c r="F183" i="2" s="1"/>
  <c r="F144" i="2"/>
  <c r="F130" i="2"/>
  <c r="F178" i="2"/>
  <c r="F179" i="2" s="1"/>
  <c r="F140" i="2"/>
  <c r="F185" i="2"/>
  <c r="F187" i="2" s="1"/>
  <c r="F148" i="2"/>
  <c r="F193" i="2"/>
  <c r="F195" i="2" s="1"/>
  <c r="F152" i="2"/>
  <c r="F164" i="2" l="1"/>
  <c r="F165" i="2" s="1"/>
  <c r="F131" i="2"/>
  <c r="F153" i="2"/>
  <c r="F196" i="2"/>
  <c r="F155" i="2" l="1"/>
  <c r="F156" i="2" s="1"/>
  <c r="F157" i="2"/>
  <c r="F168" i="2"/>
  <c r="F167" i="2"/>
  <c r="F199" i="2"/>
  <c r="F198" i="2"/>
  <c r="F133" i="2"/>
  <c r="F134" i="2"/>
  <c r="G146" i="2" l="1"/>
  <c r="G139" i="2"/>
  <c r="G147" i="2"/>
  <c r="G186" i="2" s="1"/>
  <c r="F159" i="2"/>
  <c r="G143" i="2"/>
  <c r="G182" i="2" s="1"/>
  <c r="G151" i="2"/>
  <c r="G194" i="2" s="1"/>
  <c r="G142" i="2"/>
  <c r="G150" i="2"/>
  <c r="G144" i="2" l="1"/>
  <c r="G181" i="2"/>
  <c r="G183" i="2" s="1"/>
  <c r="G148" i="2"/>
  <c r="G185" i="2"/>
  <c r="G187" i="2" s="1"/>
  <c r="G193" i="2"/>
  <c r="G195" i="2" s="1"/>
  <c r="G152" i="2"/>
  <c r="G140" i="2"/>
  <c r="G130" i="2"/>
  <c r="G178" i="2"/>
  <c r="G179" i="2" s="1"/>
  <c r="G196" i="2" l="1"/>
  <c r="G153" i="2"/>
  <c r="G164" i="2"/>
  <c r="G165" i="2" s="1"/>
  <c r="G131" i="2"/>
  <c r="G199" i="2" l="1"/>
  <c r="G198" i="2"/>
  <c r="G155" i="2"/>
  <c r="G156" i="2" s="1"/>
  <c r="H142" i="2" s="1"/>
  <c r="G157" i="2"/>
  <c r="G168" i="2"/>
  <c r="G167" i="2"/>
  <c r="G134" i="2"/>
  <c r="G133" i="2"/>
  <c r="H151" i="2" l="1"/>
  <c r="H194" i="2" s="1"/>
  <c r="H143" i="2"/>
  <c r="H182" i="2" s="1"/>
  <c r="H147" i="2"/>
  <c r="H186" i="2" s="1"/>
  <c r="H139" i="2"/>
  <c r="H130" i="2" s="1"/>
  <c r="G159" i="2"/>
  <c r="H146" i="2"/>
  <c r="H185" i="2" s="1"/>
  <c r="H150" i="2"/>
  <c r="H193" i="2" s="1"/>
  <c r="H181" i="2"/>
  <c r="H144" i="2" l="1"/>
  <c r="H140" i="2"/>
  <c r="H195" i="2"/>
  <c r="H183" i="2"/>
  <c r="H178" i="2"/>
  <c r="H179" i="2" s="1"/>
  <c r="H187" i="2"/>
  <c r="H152" i="2"/>
  <c r="H148" i="2"/>
  <c r="H131" i="2"/>
  <c r="H164" i="2"/>
  <c r="H165" i="2" s="1"/>
  <c r="H153" i="2" l="1"/>
  <c r="H157" i="2" s="1"/>
  <c r="H196" i="2"/>
  <c r="H198" i="2" s="1"/>
  <c r="H155" i="2"/>
  <c r="H133" i="2"/>
  <c r="H134" i="2"/>
  <c r="H167" i="2"/>
  <c r="H168" i="2"/>
  <c r="H199" i="2" l="1"/>
  <c r="H156" i="2"/>
  <c r="I139" i="2" l="1"/>
  <c r="I143" i="2"/>
  <c r="I182" i="2" s="1"/>
  <c r="I146" i="2"/>
  <c r="I151" i="2"/>
  <c r="I194" i="2" s="1"/>
  <c r="I150" i="2"/>
  <c r="I142" i="2"/>
  <c r="I147" i="2"/>
  <c r="I186" i="2" s="1"/>
  <c r="H159" i="2"/>
  <c r="I152" i="2" l="1"/>
  <c r="I193" i="2"/>
  <c r="I195" i="2" s="1"/>
  <c r="I148" i="2"/>
  <c r="I185" i="2"/>
  <c r="I187" i="2" s="1"/>
  <c r="I130" i="2"/>
  <c r="I140" i="2"/>
  <c r="I178" i="2"/>
  <c r="I179" i="2" s="1"/>
  <c r="I144" i="2"/>
  <c r="I181" i="2"/>
  <c r="I183" i="2" s="1"/>
  <c r="I153" i="2" l="1"/>
  <c r="I155" i="2" s="1"/>
  <c r="I156" i="2" s="1"/>
  <c r="I131" i="2"/>
  <c r="I164" i="2"/>
  <c r="I165" i="2" s="1"/>
  <c r="I196" i="2"/>
  <c r="I157" i="2"/>
  <c r="J139" i="2" l="1"/>
  <c r="J142" i="2"/>
  <c r="J147" i="2"/>
  <c r="J186" i="2" s="1"/>
  <c r="J150" i="2"/>
  <c r="J146" i="2"/>
  <c r="J151" i="2"/>
  <c r="J194" i="2" s="1"/>
  <c r="J143" i="2"/>
  <c r="J182" i="2" s="1"/>
  <c r="I159" i="2"/>
  <c r="I198" i="2"/>
  <c r="I199" i="2"/>
  <c r="I134" i="2"/>
  <c r="I133" i="2"/>
  <c r="I167" i="2"/>
  <c r="I168" i="2"/>
  <c r="J148" i="2" l="1"/>
  <c r="J185" i="2"/>
  <c r="J187" i="2" s="1"/>
  <c r="J130" i="2"/>
  <c r="J140" i="2"/>
  <c r="J178" i="2"/>
  <c r="J179" i="2" s="1"/>
  <c r="J152" i="2"/>
  <c r="J193" i="2"/>
  <c r="J195" i="2" s="1"/>
  <c r="J144" i="2"/>
  <c r="J181" i="2"/>
  <c r="J183" i="2" s="1"/>
  <c r="J131" i="2" l="1"/>
  <c r="J164" i="2"/>
  <c r="J165" i="2" s="1"/>
  <c r="J196" i="2"/>
  <c r="J153" i="2"/>
  <c r="J155" i="2" l="1"/>
  <c r="J157" i="2"/>
  <c r="C117" i="1" s="1"/>
  <c r="J198" i="2"/>
  <c r="C124" i="1" s="1"/>
  <c r="J199" i="2"/>
  <c r="C130" i="1" s="1"/>
  <c r="J134" i="2"/>
  <c r="C116" i="1" s="1"/>
  <c r="J133" i="2"/>
  <c r="C110" i="1" s="1"/>
  <c r="J167" i="2"/>
  <c r="C123" i="1" s="1"/>
  <c r="J168" i="2"/>
  <c r="C129" i="1" s="1"/>
  <c r="C87" i="1" l="1"/>
  <c r="C111" i="1"/>
  <c r="J156" i="2"/>
  <c r="K143" i="2" l="1"/>
  <c r="K182" i="2" s="1"/>
  <c r="K146" i="2"/>
  <c r="K151" i="2"/>
  <c r="K194" i="2" s="1"/>
  <c r="K142" i="2"/>
  <c r="K147" i="2"/>
  <c r="K186" i="2" s="1"/>
  <c r="K139" i="2"/>
  <c r="K150" i="2"/>
  <c r="J159" i="2"/>
  <c r="K152" i="2" l="1"/>
  <c r="K193" i="2"/>
  <c r="K195" i="2" s="1"/>
  <c r="K130" i="2"/>
  <c r="K140" i="2"/>
  <c r="K178" i="2"/>
  <c r="K179" i="2" s="1"/>
  <c r="K181" i="2"/>
  <c r="K183" i="2" s="1"/>
  <c r="K144" i="2"/>
  <c r="K148" i="2"/>
  <c r="K185" i="2"/>
  <c r="K187" i="2" s="1"/>
  <c r="K131" i="2" l="1"/>
  <c r="K164" i="2"/>
  <c r="K165" i="2" s="1"/>
  <c r="K196" i="2"/>
  <c r="K153" i="2"/>
  <c r="K198" i="2" l="1"/>
  <c r="K199" i="2"/>
  <c r="K134" i="2"/>
  <c r="K133" i="2"/>
  <c r="K155" i="2"/>
  <c r="K156" i="2" s="1"/>
  <c r="K157" i="2"/>
  <c r="K168" i="2"/>
  <c r="K167" i="2"/>
  <c r="L139" i="2" l="1"/>
  <c r="L142" i="2"/>
  <c r="L147" i="2"/>
  <c r="L186" i="2" s="1"/>
  <c r="L150" i="2"/>
  <c r="L143" i="2"/>
  <c r="L182" i="2" s="1"/>
  <c r="L146" i="2"/>
  <c r="L151" i="2"/>
  <c r="L194" i="2" s="1"/>
  <c r="K159" i="2"/>
  <c r="L148" i="2" l="1"/>
  <c r="L185" i="2"/>
  <c r="L187" i="2" s="1"/>
  <c r="L130" i="2"/>
  <c r="L140" i="2"/>
  <c r="L178" i="2"/>
  <c r="L179" i="2" s="1"/>
  <c r="L152" i="2"/>
  <c r="L193" i="2"/>
  <c r="L195" i="2" s="1"/>
  <c r="L144" i="2"/>
  <c r="L181" i="2"/>
  <c r="L183" i="2" s="1"/>
  <c r="L131" i="2" l="1"/>
  <c r="L164" i="2"/>
  <c r="L165" i="2" s="1"/>
  <c r="L196" i="2"/>
  <c r="L153" i="2"/>
  <c r="L155" i="2" l="1"/>
  <c r="L156" i="2" s="1"/>
  <c r="L157" i="2"/>
  <c r="L199" i="2"/>
  <c r="L198" i="2"/>
  <c r="L134" i="2"/>
  <c r="L133" i="2"/>
  <c r="L168" i="2"/>
  <c r="L167" i="2"/>
  <c r="M139" i="2" l="1"/>
  <c r="M143" i="2"/>
  <c r="M182" i="2" s="1"/>
  <c r="M146" i="2"/>
  <c r="M151" i="2"/>
  <c r="M194" i="2" s="1"/>
  <c r="M150" i="2"/>
  <c r="M142" i="2"/>
  <c r="M147" i="2"/>
  <c r="M186" i="2" s="1"/>
  <c r="L159" i="2"/>
  <c r="M152" i="2" l="1"/>
  <c r="M193" i="2"/>
  <c r="M195" i="2" s="1"/>
  <c r="M148" i="2"/>
  <c r="M185" i="2"/>
  <c r="M187" i="2" s="1"/>
  <c r="M130" i="2"/>
  <c r="M140" i="2"/>
  <c r="M178" i="2"/>
  <c r="M179" i="2" s="1"/>
  <c r="M144" i="2"/>
  <c r="M181" i="2"/>
  <c r="M183" i="2" s="1"/>
  <c r="M131" i="2" l="1"/>
  <c r="M164" i="2"/>
  <c r="M165" i="2" s="1"/>
  <c r="M196" i="2"/>
  <c r="M153" i="2"/>
  <c r="M198" i="2" l="1"/>
  <c r="M199" i="2"/>
  <c r="M134" i="2"/>
  <c r="M133" i="2"/>
  <c r="M155" i="2"/>
  <c r="M156" i="2" s="1"/>
  <c r="M157" i="2"/>
  <c r="M167" i="2"/>
  <c r="M168" i="2"/>
  <c r="N139" i="2" l="1"/>
  <c r="N142" i="2"/>
  <c r="N147" i="2"/>
  <c r="N186" i="2" s="1"/>
  <c r="N150" i="2"/>
  <c r="N146" i="2"/>
  <c r="N151" i="2"/>
  <c r="N194" i="2" s="1"/>
  <c r="N143" i="2"/>
  <c r="N182" i="2" s="1"/>
  <c r="M159" i="2"/>
  <c r="N148" i="2" l="1"/>
  <c r="N185" i="2"/>
  <c r="N187" i="2" s="1"/>
  <c r="N130" i="2"/>
  <c r="N140" i="2"/>
  <c r="N178" i="2"/>
  <c r="N179" i="2" s="1"/>
  <c r="N152" i="2"/>
  <c r="N193" i="2"/>
  <c r="N195" i="2" s="1"/>
  <c r="N144" i="2"/>
  <c r="N181" i="2"/>
  <c r="N183" i="2" s="1"/>
  <c r="N131" i="2" l="1"/>
  <c r="N164" i="2"/>
  <c r="N165" i="2" s="1"/>
  <c r="N196" i="2"/>
  <c r="N153" i="2"/>
  <c r="N155" i="2" l="1"/>
  <c r="N156" i="2" s="1"/>
  <c r="N157" i="2"/>
  <c r="N199" i="2"/>
  <c r="N198" i="2"/>
  <c r="N133" i="2"/>
  <c r="N134" i="2"/>
  <c r="N167" i="2"/>
  <c r="N168" i="2"/>
  <c r="O143" i="2" l="1"/>
  <c r="O182" i="2" s="1"/>
  <c r="O146" i="2"/>
  <c r="O151" i="2"/>
  <c r="O194" i="2" s="1"/>
  <c r="O139" i="2"/>
  <c r="O142" i="2"/>
  <c r="O147" i="2"/>
  <c r="O186" i="2" s="1"/>
  <c r="O150" i="2"/>
  <c r="N159" i="2"/>
  <c r="O152" i="2" l="1"/>
  <c r="O193" i="2"/>
  <c r="O195" i="2" s="1"/>
  <c r="O181" i="2"/>
  <c r="O183" i="2" s="1"/>
  <c r="O144" i="2"/>
  <c r="O130" i="2"/>
  <c r="O140" i="2"/>
  <c r="O178" i="2"/>
  <c r="O179" i="2" s="1"/>
  <c r="O148" i="2"/>
  <c r="O185" i="2"/>
  <c r="O187" i="2" s="1"/>
  <c r="O131" i="2" l="1"/>
  <c r="O164" i="2"/>
  <c r="O165" i="2" s="1"/>
  <c r="O196" i="2"/>
  <c r="O153" i="2"/>
  <c r="O157" i="2" l="1"/>
  <c r="O155" i="2"/>
  <c r="O156" i="2" s="1"/>
  <c r="O198" i="2"/>
  <c r="O199" i="2"/>
  <c r="O133" i="2"/>
  <c r="O134" i="2"/>
  <c r="O167" i="2"/>
  <c r="O168" i="2"/>
  <c r="P139" i="2" l="1"/>
  <c r="P142" i="2"/>
  <c r="P147" i="2"/>
  <c r="P186" i="2" s="1"/>
  <c r="P150" i="2"/>
  <c r="P143" i="2"/>
  <c r="P182" i="2" s="1"/>
  <c r="P146" i="2"/>
  <c r="P151" i="2"/>
  <c r="P194" i="2" s="1"/>
  <c r="O159" i="2"/>
  <c r="P148" i="2" l="1"/>
  <c r="P185" i="2"/>
  <c r="P187" i="2" s="1"/>
  <c r="P130" i="2"/>
  <c r="P140" i="2"/>
  <c r="P178" i="2"/>
  <c r="P179" i="2" s="1"/>
  <c r="P152" i="2"/>
  <c r="P193" i="2"/>
  <c r="P195" i="2" s="1"/>
  <c r="P144" i="2"/>
  <c r="P181" i="2"/>
  <c r="P183" i="2" s="1"/>
  <c r="P131" i="2" l="1"/>
  <c r="P164" i="2"/>
  <c r="P165" i="2" s="1"/>
  <c r="P196" i="2"/>
  <c r="P153" i="2"/>
  <c r="P155" i="2" l="1"/>
  <c r="P156" i="2" s="1"/>
  <c r="P157" i="2"/>
  <c r="P198" i="2"/>
  <c r="P199" i="2"/>
  <c r="P134" i="2"/>
  <c r="P133" i="2"/>
  <c r="P167" i="2"/>
  <c r="P168" i="2"/>
  <c r="Q139" i="2" l="1"/>
  <c r="Q143" i="2"/>
  <c r="Q182" i="2" s="1"/>
  <c r="Q146" i="2"/>
  <c r="Q151" i="2"/>
  <c r="Q194" i="2" s="1"/>
  <c r="Q150" i="2"/>
  <c r="Q142" i="2"/>
  <c r="Q147" i="2"/>
  <c r="Q186" i="2" s="1"/>
  <c r="P159" i="2"/>
  <c r="Q152" i="2" l="1"/>
  <c r="Q193" i="2"/>
  <c r="Q195" i="2" s="1"/>
  <c r="Q148" i="2"/>
  <c r="Q185" i="2"/>
  <c r="Q187" i="2" s="1"/>
  <c r="Q130" i="2"/>
  <c r="Q140" i="2"/>
  <c r="Q178" i="2"/>
  <c r="Q179" i="2" s="1"/>
  <c r="Q144" i="2"/>
  <c r="Q181" i="2"/>
  <c r="Q183" i="2" s="1"/>
  <c r="Q131" i="2" l="1"/>
  <c r="Q164" i="2"/>
  <c r="Q165" i="2" s="1"/>
  <c r="Q196" i="2"/>
  <c r="Q153" i="2"/>
  <c r="Q157" i="2" l="1"/>
  <c r="Q155" i="2"/>
  <c r="Q156" i="2" s="1"/>
  <c r="Q198" i="2"/>
  <c r="Q199" i="2"/>
  <c r="Q133" i="2"/>
  <c r="Q134" i="2"/>
  <c r="Q167" i="2"/>
  <c r="Q168" i="2"/>
  <c r="R139" i="2" l="1"/>
  <c r="R142" i="2"/>
  <c r="R147" i="2"/>
  <c r="R186" i="2" s="1"/>
  <c r="R150" i="2"/>
  <c r="R146" i="2"/>
  <c r="R151" i="2"/>
  <c r="R194" i="2" s="1"/>
  <c r="R143" i="2"/>
  <c r="R182" i="2" s="1"/>
  <c r="Q159" i="2"/>
  <c r="R152" i="2" l="1"/>
  <c r="R193" i="2"/>
  <c r="R195" i="2" s="1"/>
  <c r="R148" i="2"/>
  <c r="R185" i="2"/>
  <c r="R187" i="2" s="1"/>
  <c r="R130" i="2"/>
  <c r="R140" i="2"/>
  <c r="R178" i="2"/>
  <c r="R179" i="2" s="1"/>
  <c r="R144" i="2"/>
  <c r="R181" i="2"/>
  <c r="R183" i="2" s="1"/>
  <c r="R153" i="2" l="1"/>
  <c r="R155" i="2" s="1"/>
  <c r="R156" i="2" s="1"/>
  <c r="R131" i="2"/>
  <c r="R164" i="2"/>
  <c r="R165" i="2" s="1"/>
  <c r="R196" i="2"/>
  <c r="R157" i="2"/>
  <c r="S143" i="2" l="1"/>
  <c r="S182" i="2" s="1"/>
  <c r="S146" i="2"/>
  <c r="S151" i="2"/>
  <c r="S194" i="2" s="1"/>
  <c r="S142" i="2"/>
  <c r="S147" i="2"/>
  <c r="S186" i="2" s="1"/>
  <c r="S139" i="2"/>
  <c r="S150" i="2"/>
  <c r="R159" i="2"/>
  <c r="R198" i="2"/>
  <c r="R199" i="2"/>
  <c r="R134" i="2"/>
  <c r="R133" i="2"/>
  <c r="R168" i="2"/>
  <c r="R167" i="2"/>
  <c r="S152" i="2" l="1"/>
  <c r="S193" i="2"/>
  <c r="S195" i="2" s="1"/>
  <c r="S130" i="2"/>
  <c r="S140" i="2"/>
  <c r="S178" i="2"/>
  <c r="S179" i="2" s="1"/>
  <c r="S181" i="2"/>
  <c r="S183" i="2" s="1"/>
  <c r="S144" i="2"/>
  <c r="S148" i="2"/>
  <c r="S185" i="2"/>
  <c r="S187" i="2" s="1"/>
  <c r="S131" i="2" l="1"/>
  <c r="S164" i="2"/>
  <c r="S165" i="2" s="1"/>
  <c r="S196" i="2"/>
  <c r="S153" i="2"/>
  <c r="S155" i="2" l="1"/>
  <c r="S156" i="2" s="1"/>
  <c r="S157" i="2"/>
  <c r="S198" i="2"/>
  <c r="S199" i="2"/>
  <c r="S134" i="2"/>
  <c r="S133" i="2"/>
  <c r="S167" i="2"/>
  <c r="S168" i="2"/>
  <c r="T139" i="2" l="1"/>
  <c r="T142" i="2"/>
  <c r="T147" i="2"/>
  <c r="T186" i="2" s="1"/>
  <c r="T150" i="2"/>
  <c r="T143" i="2"/>
  <c r="T182" i="2" s="1"/>
  <c r="T146" i="2"/>
  <c r="T151" i="2"/>
  <c r="T194" i="2" s="1"/>
  <c r="S159" i="2"/>
  <c r="T130" i="2" l="1"/>
  <c r="T140" i="2"/>
  <c r="T178" i="2"/>
  <c r="T179" i="2" s="1"/>
  <c r="T148" i="2"/>
  <c r="T185" i="2"/>
  <c r="T187" i="2" s="1"/>
  <c r="T152" i="2"/>
  <c r="T193" i="2"/>
  <c r="T195" i="2" s="1"/>
  <c r="T144" i="2"/>
  <c r="T181" i="2"/>
  <c r="T183" i="2" s="1"/>
  <c r="T131" i="2" l="1"/>
  <c r="T164" i="2"/>
  <c r="T165" i="2" s="1"/>
  <c r="T196" i="2"/>
  <c r="T153" i="2"/>
  <c r="T155" i="2" l="1"/>
  <c r="T156" i="2" s="1"/>
  <c r="T157" i="2"/>
  <c r="T199" i="2"/>
  <c r="T198" i="2"/>
  <c r="T133" i="2"/>
  <c r="T134" i="2"/>
  <c r="T168" i="2"/>
  <c r="T167" i="2"/>
  <c r="U139" i="2" l="1"/>
  <c r="U143" i="2"/>
  <c r="U182" i="2" s="1"/>
  <c r="U146" i="2"/>
  <c r="U151" i="2"/>
  <c r="U194" i="2" s="1"/>
  <c r="U150" i="2"/>
  <c r="U142" i="2"/>
  <c r="U147" i="2"/>
  <c r="U186" i="2" s="1"/>
  <c r="T159" i="2"/>
  <c r="U144" i="2" l="1"/>
  <c r="U181" i="2"/>
  <c r="U183" i="2" s="1"/>
  <c r="U152" i="2"/>
  <c r="U193" i="2"/>
  <c r="U195" i="2" s="1"/>
  <c r="U148" i="2"/>
  <c r="U185" i="2"/>
  <c r="U187" i="2" s="1"/>
  <c r="U130" i="2"/>
  <c r="U140" i="2"/>
  <c r="U178" i="2"/>
  <c r="U179" i="2" s="1"/>
  <c r="U153" i="2" l="1"/>
  <c r="U155" i="2" s="1"/>
  <c r="U156" i="2" s="1"/>
  <c r="U131" i="2"/>
  <c r="U164" i="2"/>
  <c r="U165" i="2" s="1"/>
  <c r="U196" i="2"/>
  <c r="U157" i="2" l="1"/>
  <c r="V139" i="2"/>
  <c r="V142" i="2"/>
  <c r="V147" i="2"/>
  <c r="V186" i="2" s="1"/>
  <c r="V150" i="2"/>
  <c r="V146" i="2"/>
  <c r="V151" i="2"/>
  <c r="V194" i="2" s="1"/>
  <c r="V143" i="2"/>
  <c r="V182" i="2" s="1"/>
  <c r="U159" i="2"/>
  <c r="U198" i="2"/>
  <c r="U199" i="2"/>
  <c r="U133" i="2"/>
  <c r="U134" i="2"/>
  <c r="U168" i="2"/>
  <c r="U167" i="2"/>
  <c r="V148" i="2" l="1"/>
  <c r="V185" i="2"/>
  <c r="V187" i="2" s="1"/>
  <c r="V130" i="2"/>
  <c r="V140" i="2"/>
  <c r="V178" i="2"/>
  <c r="V179" i="2" s="1"/>
  <c r="V152" i="2"/>
  <c r="V193" i="2"/>
  <c r="V195" i="2" s="1"/>
  <c r="V144" i="2"/>
  <c r="V181" i="2"/>
  <c r="V183" i="2" s="1"/>
  <c r="V153" i="2" l="1"/>
  <c r="V157" i="2" s="1"/>
  <c r="V131" i="2"/>
  <c r="V164" i="2"/>
  <c r="V165" i="2" s="1"/>
  <c r="V196" i="2"/>
  <c r="V155" i="2"/>
  <c r="V156" i="2" s="1"/>
  <c r="V199" i="2" l="1"/>
  <c r="V198" i="2"/>
  <c r="V134" i="2"/>
  <c r="V133" i="2"/>
  <c r="W143" i="2"/>
  <c r="W182" i="2" s="1"/>
  <c r="W146" i="2"/>
  <c r="W151" i="2"/>
  <c r="W194" i="2" s="1"/>
  <c r="W139" i="2"/>
  <c r="W142" i="2"/>
  <c r="W147" i="2"/>
  <c r="W186" i="2" s="1"/>
  <c r="W150" i="2"/>
  <c r="V159" i="2"/>
  <c r="V167" i="2"/>
  <c r="V168" i="2"/>
  <c r="W152" i="2" l="1"/>
  <c r="W193" i="2"/>
  <c r="W195" i="2" s="1"/>
  <c r="W181" i="2"/>
  <c r="W183" i="2" s="1"/>
  <c r="W144" i="2"/>
  <c r="W130" i="2"/>
  <c r="W140" i="2"/>
  <c r="W178" i="2"/>
  <c r="W179" i="2" s="1"/>
  <c r="W148" i="2"/>
  <c r="W185" i="2"/>
  <c r="W187" i="2" s="1"/>
  <c r="W131" i="2" l="1"/>
  <c r="W164" i="2"/>
  <c r="W165" i="2" s="1"/>
  <c r="W153" i="2"/>
  <c r="W196" i="2"/>
  <c r="W198" i="2" l="1"/>
  <c r="W199" i="2"/>
  <c r="W155" i="2"/>
  <c r="W156" i="2" s="1"/>
  <c r="W157" i="2"/>
  <c r="W133" i="2"/>
  <c r="W134" i="2"/>
  <c r="W167" i="2"/>
  <c r="W168" i="2"/>
  <c r="X139" i="2" l="1"/>
  <c r="X142" i="2"/>
  <c r="X147" i="2"/>
  <c r="X186" i="2" s="1"/>
  <c r="X150" i="2"/>
  <c r="X143" i="2"/>
  <c r="X182" i="2" s="1"/>
  <c r="X146" i="2"/>
  <c r="X151" i="2"/>
  <c r="X194" i="2" s="1"/>
  <c r="W159" i="2"/>
  <c r="X148" i="2" l="1"/>
  <c r="X185" i="2"/>
  <c r="X187" i="2" s="1"/>
  <c r="X130" i="2"/>
  <c r="X140" i="2"/>
  <c r="X178" i="2"/>
  <c r="X179" i="2" s="1"/>
  <c r="X152" i="2"/>
  <c r="X193" i="2"/>
  <c r="X195" i="2" s="1"/>
  <c r="X144" i="2"/>
  <c r="X181" i="2"/>
  <c r="X183" i="2" s="1"/>
  <c r="X131" i="2" l="1"/>
  <c r="X164" i="2"/>
  <c r="X165" i="2" s="1"/>
  <c r="X196" i="2"/>
  <c r="X153" i="2"/>
  <c r="X155" i="2" l="1"/>
  <c r="X156" i="2" s="1"/>
  <c r="X157" i="2"/>
  <c r="X198" i="2"/>
  <c r="X199" i="2"/>
  <c r="X133" i="2"/>
  <c r="X134" i="2"/>
  <c r="X167" i="2"/>
  <c r="X168" i="2"/>
  <c r="Y139" i="2" l="1"/>
  <c r="Y143" i="2"/>
  <c r="Y182" i="2" s="1"/>
  <c r="Y146" i="2"/>
  <c r="Y151" i="2"/>
  <c r="Y194" i="2" s="1"/>
  <c r="Y150" i="2"/>
  <c r="Y142" i="2"/>
  <c r="Y147" i="2"/>
  <c r="Y186" i="2" s="1"/>
  <c r="X159" i="2"/>
  <c r="Y144" i="2" l="1"/>
  <c r="Y181" i="2"/>
  <c r="Y183" i="2" s="1"/>
  <c r="Y152" i="2"/>
  <c r="Y193" i="2"/>
  <c r="Y195" i="2" s="1"/>
  <c r="Y148" i="2"/>
  <c r="Y185" i="2"/>
  <c r="Y187" i="2" s="1"/>
  <c r="Y130" i="2"/>
  <c r="Y140" i="2"/>
  <c r="Y178" i="2"/>
  <c r="Y179" i="2" s="1"/>
  <c r="Y153" i="2" l="1"/>
  <c r="Y155" i="2" s="1"/>
  <c r="Y156" i="2" s="1"/>
  <c r="Y131" i="2"/>
  <c r="Y164" i="2"/>
  <c r="Y165" i="2" s="1"/>
  <c r="Y196" i="2"/>
  <c r="Y157" i="2"/>
  <c r="Z139" i="2" l="1"/>
  <c r="Z142" i="2"/>
  <c r="Z147" i="2"/>
  <c r="Z186" i="2" s="1"/>
  <c r="Z150" i="2"/>
  <c r="Z146" i="2"/>
  <c r="Z151" i="2"/>
  <c r="Z194" i="2" s="1"/>
  <c r="Z143" i="2"/>
  <c r="Z182" i="2" s="1"/>
  <c r="Y159" i="2"/>
  <c r="Y198" i="2"/>
  <c r="Y199" i="2"/>
  <c r="Y134" i="2"/>
  <c r="Y133" i="2"/>
  <c r="Y167" i="2"/>
  <c r="Y168" i="2"/>
  <c r="Z148" i="2" l="1"/>
  <c r="Z185" i="2"/>
  <c r="Z187" i="2" s="1"/>
  <c r="Z130" i="2"/>
  <c r="Z140" i="2"/>
  <c r="Z178" i="2"/>
  <c r="Z179" i="2" s="1"/>
  <c r="Z152" i="2"/>
  <c r="Z193" i="2"/>
  <c r="Z195" i="2" s="1"/>
  <c r="Z144" i="2"/>
  <c r="Z181" i="2"/>
  <c r="Z183" i="2" s="1"/>
  <c r="Z131" i="2" l="1"/>
  <c r="Z164" i="2"/>
  <c r="Z165" i="2" s="1"/>
  <c r="Z196" i="2"/>
  <c r="Z153" i="2"/>
  <c r="Z198" i="2" l="1"/>
  <c r="Z199" i="2"/>
  <c r="Z133" i="2"/>
  <c r="Z134" i="2"/>
  <c r="Z155" i="2"/>
  <c r="Z156" i="2" s="1"/>
  <c r="Z157" i="2"/>
  <c r="Z168" i="2"/>
  <c r="Z167" i="2"/>
  <c r="AA143" i="2" l="1"/>
  <c r="AA182" i="2" s="1"/>
  <c r="AA146" i="2"/>
  <c r="AA151" i="2"/>
  <c r="AA194" i="2" s="1"/>
  <c r="AA142" i="2"/>
  <c r="AA147" i="2"/>
  <c r="AA186" i="2" s="1"/>
  <c r="AA139" i="2"/>
  <c r="AA150" i="2"/>
  <c r="Z159" i="2"/>
  <c r="AA181" i="2" l="1"/>
  <c r="AA183" i="2" s="1"/>
  <c r="AA144" i="2"/>
  <c r="AA152" i="2"/>
  <c r="AA193" i="2"/>
  <c r="AA195" i="2" s="1"/>
  <c r="AA130" i="2"/>
  <c r="AA140" i="2"/>
  <c r="AA178" i="2"/>
  <c r="AA179" i="2" s="1"/>
  <c r="AA148" i="2"/>
  <c r="AA185" i="2"/>
  <c r="AA187" i="2" s="1"/>
  <c r="AA153" i="2" l="1"/>
  <c r="AA155" i="2" s="1"/>
  <c r="AA131" i="2"/>
  <c r="AA164" i="2"/>
  <c r="AA165" i="2" s="1"/>
  <c r="AA196" i="2"/>
  <c r="AA157" i="2" l="1"/>
  <c r="C120" i="1" s="1"/>
  <c r="AA199" i="2"/>
  <c r="C133" i="1" s="1"/>
  <c r="AA198" i="2"/>
  <c r="C127" i="1" s="1"/>
  <c r="C114" i="1"/>
  <c r="AA156" i="2"/>
  <c r="AA134" i="2"/>
  <c r="C119" i="1" s="1"/>
  <c r="AA133" i="2"/>
  <c r="C113" i="1" s="1"/>
  <c r="AA168" i="2"/>
  <c r="C132" i="1" s="1"/>
  <c r="AA167" i="2"/>
  <c r="C126" i="1" s="1"/>
  <c r="AB139" i="2" l="1"/>
  <c r="AB142" i="2"/>
  <c r="AB147" i="2"/>
  <c r="AB186" i="2" s="1"/>
  <c r="AB150" i="2"/>
  <c r="AB143" i="2"/>
  <c r="AB182" i="2" s="1"/>
  <c r="AB146" i="2"/>
  <c r="AB151" i="2"/>
  <c r="AB194" i="2" s="1"/>
  <c r="AA159" i="2"/>
  <c r="AB152" i="2" l="1"/>
  <c r="AB193" i="2"/>
  <c r="AB195" i="2" s="1"/>
  <c r="AB148" i="2"/>
  <c r="AB185" i="2"/>
  <c r="AB187" i="2" s="1"/>
  <c r="AB130" i="2"/>
  <c r="AB140" i="2"/>
  <c r="AB178" i="2"/>
  <c r="AB179" i="2" s="1"/>
  <c r="AB144" i="2"/>
  <c r="AB181" i="2"/>
  <c r="AB183" i="2" s="1"/>
  <c r="AB153" i="2" l="1"/>
  <c r="AB155" i="2" s="1"/>
  <c r="AB156" i="2" s="1"/>
  <c r="AB131" i="2"/>
  <c r="AB164" i="2"/>
  <c r="AB165" i="2" s="1"/>
  <c r="AB196" i="2"/>
  <c r="AB157" i="2" l="1"/>
  <c r="AC139" i="2"/>
  <c r="AC143" i="2"/>
  <c r="AC182" i="2" s="1"/>
  <c r="AC146" i="2"/>
  <c r="AC151" i="2"/>
  <c r="AC194" i="2" s="1"/>
  <c r="AC150" i="2"/>
  <c r="AC142" i="2"/>
  <c r="AC147" i="2"/>
  <c r="AC186" i="2" s="1"/>
  <c r="AB159" i="2"/>
  <c r="AB199" i="2"/>
  <c r="AB198" i="2"/>
  <c r="AB133" i="2"/>
  <c r="AB134" i="2"/>
  <c r="AB167" i="2"/>
  <c r="AB168" i="2"/>
  <c r="AC152" i="2" l="1"/>
  <c r="AC193" i="2"/>
  <c r="AC195" i="2" s="1"/>
  <c r="AC148" i="2"/>
  <c r="AC185" i="2"/>
  <c r="AC187" i="2" s="1"/>
  <c r="AC130" i="2"/>
  <c r="AC140" i="2"/>
  <c r="AC178" i="2"/>
  <c r="AC179" i="2" s="1"/>
  <c r="AC144" i="2"/>
  <c r="AC181" i="2"/>
  <c r="AC183" i="2" s="1"/>
  <c r="AC131" i="2" l="1"/>
  <c r="AC164" i="2"/>
  <c r="AC165" i="2" s="1"/>
  <c r="AC196" i="2"/>
  <c r="AC153" i="2"/>
  <c r="AC157" i="2" l="1"/>
  <c r="AC155" i="2"/>
  <c r="AC156" i="2" s="1"/>
  <c r="AC198" i="2"/>
  <c r="AC199" i="2"/>
  <c r="AC134" i="2"/>
  <c r="AC133" i="2"/>
  <c r="AC168" i="2"/>
  <c r="AC167" i="2"/>
  <c r="AD139" i="2" l="1"/>
  <c r="AD142" i="2"/>
  <c r="AD147" i="2"/>
  <c r="AD186" i="2" s="1"/>
  <c r="AD150" i="2"/>
  <c r="AD146" i="2"/>
  <c r="AD151" i="2"/>
  <c r="AD194" i="2" s="1"/>
  <c r="AD143" i="2"/>
  <c r="AD182" i="2" s="1"/>
  <c r="AC159" i="2"/>
  <c r="AD148" i="2" l="1"/>
  <c r="AD185" i="2"/>
  <c r="AD187" i="2" s="1"/>
  <c r="AD130" i="2"/>
  <c r="AD140" i="2"/>
  <c r="AD178" i="2"/>
  <c r="AD179" i="2" s="1"/>
  <c r="AD152" i="2"/>
  <c r="AD193" i="2"/>
  <c r="AD195" i="2" s="1"/>
  <c r="AD144" i="2"/>
  <c r="AD181" i="2"/>
  <c r="AD183" i="2" s="1"/>
  <c r="AD131" i="2" l="1"/>
  <c r="AD164" i="2"/>
  <c r="AD165" i="2" s="1"/>
  <c r="AD196" i="2"/>
  <c r="AD153" i="2"/>
  <c r="AD155" i="2" l="1"/>
  <c r="AD156" i="2" s="1"/>
  <c r="AD157" i="2"/>
  <c r="AD198" i="2"/>
  <c r="AD199" i="2"/>
  <c r="AD134" i="2"/>
  <c r="AD133" i="2"/>
  <c r="AD168" i="2"/>
  <c r="AD167" i="2"/>
  <c r="AE143" i="2" l="1"/>
  <c r="AE182" i="2" s="1"/>
  <c r="AE146" i="2"/>
  <c r="AE151" i="2"/>
  <c r="AE194" i="2" s="1"/>
  <c r="AE139" i="2"/>
  <c r="AE142" i="2"/>
  <c r="AE147" i="2"/>
  <c r="AE186" i="2" s="1"/>
  <c r="AE150" i="2"/>
  <c r="AD159" i="2"/>
  <c r="AE130" i="2" l="1"/>
  <c r="AE140" i="2"/>
  <c r="AE178" i="2"/>
  <c r="AE179" i="2" s="1"/>
  <c r="AE148" i="2"/>
  <c r="AE185" i="2"/>
  <c r="AE187" i="2" s="1"/>
  <c r="AE152" i="2"/>
  <c r="AE193" i="2"/>
  <c r="AE195" i="2" s="1"/>
  <c r="AE181" i="2"/>
  <c r="AE183" i="2" s="1"/>
  <c r="AE144" i="2"/>
  <c r="AE131" i="2" l="1"/>
  <c r="AE164" i="2"/>
  <c r="AE165" i="2" s="1"/>
  <c r="AE196" i="2"/>
  <c r="AE153" i="2"/>
  <c r="AE157" i="2" l="1"/>
  <c r="AE155" i="2"/>
  <c r="AE156" i="2" s="1"/>
  <c r="AE198" i="2"/>
  <c r="AE199" i="2"/>
  <c r="AE134" i="2"/>
  <c r="AE133" i="2"/>
  <c r="AE168" i="2"/>
  <c r="AE167" i="2"/>
  <c r="AF139" i="2" l="1"/>
  <c r="AF142" i="2"/>
  <c r="AF147" i="2"/>
  <c r="AF186" i="2" s="1"/>
  <c r="AF150" i="2"/>
  <c r="AF143" i="2"/>
  <c r="AF182" i="2" s="1"/>
  <c r="AF146" i="2"/>
  <c r="AF151" i="2"/>
  <c r="AF194" i="2" s="1"/>
  <c r="AE159" i="2"/>
  <c r="AF148" i="2" l="1"/>
  <c r="AF185" i="2"/>
  <c r="AF187" i="2" s="1"/>
  <c r="AF130" i="2"/>
  <c r="AF140" i="2"/>
  <c r="AF178" i="2"/>
  <c r="AF179" i="2" s="1"/>
  <c r="AF152" i="2"/>
  <c r="AF193" i="2"/>
  <c r="AF195" i="2" s="1"/>
  <c r="AF144" i="2"/>
  <c r="AF181" i="2"/>
  <c r="AF183" i="2" s="1"/>
  <c r="AF131" i="2" l="1"/>
  <c r="AF164" i="2"/>
  <c r="AF165" i="2" s="1"/>
  <c r="AF196" i="2"/>
  <c r="AF153" i="2"/>
  <c r="AF157" i="2" l="1"/>
  <c r="AF155" i="2"/>
  <c r="AF156" i="2" s="1"/>
  <c r="AF198" i="2"/>
  <c r="AF199" i="2"/>
  <c r="AF133" i="2"/>
  <c r="AF134" i="2"/>
  <c r="AF167" i="2"/>
  <c r="AF168" i="2"/>
  <c r="AG139" i="2" l="1"/>
  <c r="AG143" i="2"/>
  <c r="AG182" i="2" s="1"/>
  <c r="AG146" i="2"/>
  <c r="AG151" i="2"/>
  <c r="AG194" i="2" s="1"/>
  <c r="AG150" i="2"/>
  <c r="AG142" i="2"/>
  <c r="AG147" i="2"/>
  <c r="AG186" i="2" s="1"/>
  <c r="AF159" i="2"/>
  <c r="AG152" i="2" l="1"/>
  <c r="AG193" i="2"/>
  <c r="AG195" i="2" s="1"/>
  <c r="AG148" i="2"/>
  <c r="AG185" i="2"/>
  <c r="AG187" i="2" s="1"/>
  <c r="AG130" i="2"/>
  <c r="AG140" i="2"/>
  <c r="AG178" i="2"/>
  <c r="AG179" i="2" s="1"/>
  <c r="AG144" i="2"/>
  <c r="AG181" i="2"/>
  <c r="AG183" i="2" s="1"/>
  <c r="AG131" i="2" l="1"/>
  <c r="AG164" i="2"/>
  <c r="AG165" i="2" s="1"/>
  <c r="AG196" i="2"/>
  <c r="AG153" i="2"/>
  <c r="AG155" i="2" l="1"/>
  <c r="AG156" i="2" s="1"/>
  <c r="AG157" i="2"/>
  <c r="AG198" i="2"/>
  <c r="AG199" i="2"/>
  <c r="AG134" i="2"/>
  <c r="AG133" i="2"/>
  <c r="AG168" i="2"/>
  <c r="AG167" i="2"/>
  <c r="AH139" i="2" l="1"/>
  <c r="AH142" i="2"/>
  <c r="AH147" i="2"/>
  <c r="AH186" i="2" s="1"/>
  <c r="AH150" i="2"/>
  <c r="AH146" i="2"/>
  <c r="AH151" i="2"/>
  <c r="AH194" i="2" s="1"/>
  <c r="AH143" i="2"/>
  <c r="AH182" i="2" s="1"/>
  <c r="AG159" i="2"/>
  <c r="AH148" i="2" l="1"/>
  <c r="AH185" i="2"/>
  <c r="AH187" i="2" s="1"/>
  <c r="AH130" i="2"/>
  <c r="AH140" i="2"/>
  <c r="AH178" i="2"/>
  <c r="AH179" i="2" s="1"/>
  <c r="AH152" i="2"/>
  <c r="AH193" i="2"/>
  <c r="AH195" i="2" s="1"/>
  <c r="AH144" i="2"/>
  <c r="AH181" i="2"/>
  <c r="AH183" i="2" s="1"/>
  <c r="AH131" i="2" l="1"/>
  <c r="AH164" i="2"/>
  <c r="AH165" i="2" s="1"/>
  <c r="AH196" i="2"/>
  <c r="AH153" i="2"/>
  <c r="AH155" i="2" l="1"/>
  <c r="AH156" i="2" s="1"/>
  <c r="AH157" i="2"/>
  <c r="AH199" i="2"/>
  <c r="AH198" i="2"/>
  <c r="AH133" i="2"/>
  <c r="AH134" i="2"/>
  <c r="AH168" i="2"/>
  <c r="AH167" i="2"/>
  <c r="AI143" i="2" l="1"/>
  <c r="AI182" i="2" s="1"/>
  <c r="AI146" i="2"/>
  <c r="AI151" i="2"/>
  <c r="AI194" i="2" s="1"/>
  <c r="AI142" i="2"/>
  <c r="AI147" i="2"/>
  <c r="AI186" i="2" s="1"/>
  <c r="AI139" i="2"/>
  <c r="AI150" i="2"/>
  <c r="AH159" i="2"/>
  <c r="AI130" i="2" l="1"/>
  <c r="AI140" i="2"/>
  <c r="AI178" i="2"/>
  <c r="AI179" i="2" s="1"/>
  <c r="AI181" i="2"/>
  <c r="AI183" i="2" s="1"/>
  <c r="AI144" i="2"/>
  <c r="AI152" i="2"/>
  <c r="AI193" i="2"/>
  <c r="AI195" i="2" s="1"/>
  <c r="AI148" i="2"/>
  <c r="AI185" i="2"/>
  <c r="AI187" i="2" s="1"/>
  <c r="AI131" i="2" l="1"/>
  <c r="AI164" i="2"/>
  <c r="AI165" i="2" s="1"/>
  <c r="AI196" i="2"/>
  <c r="AI153" i="2"/>
  <c r="AI199" i="2" l="1"/>
  <c r="AI198" i="2"/>
  <c r="AI133" i="2"/>
  <c r="AI134" i="2"/>
  <c r="AI155" i="2"/>
  <c r="AI156" i="2" s="1"/>
  <c r="AI157" i="2"/>
  <c r="AI168" i="2"/>
  <c r="AI167" i="2"/>
  <c r="AJ139" i="2" l="1"/>
  <c r="AJ142" i="2"/>
  <c r="AJ147" i="2"/>
  <c r="AJ186" i="2" s="1"/>
  <c r="AJ150" i="2"/>
  <c r="AJ143" i="2"/>
  <c r="AJ182" i="2" s="1"/>
  <c r="AJ146" i="2"/>
  <c r="AJ151" i="2"/>
  <c r="AJ194" i="2" s="1"/>
  <c r="AI159" i="2"/>
  <c r="AJ148" i="2" l="1"/>
  <c r="AJ185" i="2"/>
  <c r="AJ187" i="2" s="1"/>
  <c r="AJ130" i="2"/>
  <c r="AJ140" i="2"/>
  <c r="AJ178" i="2"/>
  <c r="AJ179" i="2" s="1"/>
  <c r="AJ152" i="2"/>
  <c r="AJ193" i="2"/>
  <c r="AJ195" i="2" s="1"/>
  <c r="AJ144" i="2"/>
  <c r="AJ181" i="2"/>
  <c r="AJ183" i="2" s="1"/>
  <c r="AJ131" i="2" l="1"/>
  <c r="AJ164" i="2"/>
  <c r="AJ165" i="2" s="1"/>
  <c r="AJ196" i="2"/>
  <c r="AJ153" i="2"/>
  <c r="AJ199" i="2" l="1"/>
  <c r="AJ198" i="2"/>
  <c r="AJ134" i="2"/>
  <c r="AJ133" i="2"/>
  <c r="AJ155" i="2"/>
  <c r="AJ156" i="2" s="1"/>
  <c r="AJ157" i="2"/>
  <c r="AJ168" i="2"/>
  <c r="AJ167" i="2"/>
  <c r="AK139" i="2" l="1"/>
  <c r="AK143" i="2"/>
  <c r="AK182" i="2" s="1"/>
  <c r="AK146" i="2"/>
  <c r="AK151" i="2"/>
  <c r="AK194" i="2" s="1"/>
  <c r="AK150" i="2"/>
  <c r="AK142" i="2"/>
  <c r="AK147" i="2"/>
  <c r="AK186" i="2" s="1"/>
  <c r="AJ159" i="2"/>
  <c r="AK152" i="2" l="1"/>
  <c r="AK193" i="2"/>
  <c r="AK195" i="2" s="1"/>
  <c r="AK148" i="2"/>
  <c r="AK185" i="2"/>
  <c r="AK187" i="2" s="1"/>
  <c r="AK130" i="2"/>
  <c r="AK140" i="2"/>
  <c r="AK178" i="2"/>
  <c r="AK179" i="2" s="1"/>
  <c r="AK144" i="2"/>
  <c r="AK181" i="2"/>
  <c r="AK183" i="2" s="1"/>
  <c r="AK131" i="2" l="1"/>
  <c r="AK164" i="2"/>
  <c r="AK165" i="2" s="1"/>
  <c r="AK196" i="2"/>
  <c r="AK153" i="2"/>
  <c r="AK199" i="2" l="1"/>
  <c r="AK198" i="2"/>
  <c r="AK133" i="2"/>
  <c r="AK134" i="2"/>
  <c r="AK155" i="2"/>
  <c r="AK156" i="2" s="1"/>
  <c r="AK157" i="2"/>
  <c r="AK168" i="2"/>
  <c r="AK167" i="2"/>
  <c r="AL139" i="2" l="1"/>
  <c r="AL142" i="2"/>
  <c r="AL147" i="2"/>
  <c r="AL186" i="2" s="1"/>
  <c r="AL150" i="2"/>
  <c r="AL146" i="2"/>
  <c r="AL151" i="2"/>
  <c r="AL194" i="2" s="1"/>
  <c r="AL143" i="2"/>
  <c r="AL182" i="2" s="1"/>
  <c r="AK159" i="2"/>
  <c r="AL148" i="2" l="1"/>
  <c r="AL185" i="2"/>
  <c r="AL187" i="2" s="1"/>
  <c r="AL130" i="2"/>
  <c r="AL140" i="2"/>
  <c r="AL178" i="2"/>
  <c r="AL179" i="2" s="1"/>
  <c r="AL152" i="2"/>
  <c r="AL193" i="2"/>
  <c r="AL195" i="2" s="1"/>
  <c r="AL144" i="2"/>
  <c r="AL181" i="2"/>
  <c r="AL183" i="2" s="1"/>
  <c r="AL131" i="2" l="1"/>
  <c r="AL164" i="2"/>
  <c r="AL165" i="2" s="1"/>
  <c r="AL196" i="2"/>
  <c r="AL153" i="2"/>
  <c r="AL199" i="2" l="1"/>
  <c r="AL198" i="2"/>
  <c r="AL133" i="2"/>
  <c r="AL134" i="2"/>
  <c r="AL157" i="2"/>
  <c r="AL155" i="2"/>
  <c r="AL156" i="2" s="1"/>
  <c r="AL167" i="2"/>
  <c r="AL168" i="2"/>
  <c r="AM143" i="2" l="1"/>
  <c r="AM182" i="2" s="1"/>
  <c r="AM146" i="2"/>
  <c r="AM151" i="2"/>
  <c r="AM194" i="2" s="1"/>
  <c r="AM139" i="2"/>
  <c r="AM142" i="2"/>
  <c r="AM147" i="2"/>
  <c r="AM186" i="2" s="1"/>
  <c r="AM150" i="2"/>
  <c r="AL159" i="2"/>
  <c r="AM152" i="2" l="1"/>
  <c r="AM193" i="2"/>
  <c r="AM195" i="2" s="1"/>
  <c r="AM181" i="2"/>
  <c r="AM183" i="2" s="1"/>
  <c r="AM144" i="2"/>
  <c r="AM130" i="2"/>
  <c r="AM140" i="2"/>
  <c r="AM178" i="2"/>
  <c r="AM179" i="2" s="1"/>
  <c r="AM148" i="2"/>
  <c r="AM185" i="2"/>
  <c r="AM187" i="2" s="1"/>
  <c r="AM131" i="2" l="1"/>
  <c r="AM164" i="2"/>
  <c r="AM165" i="2" s="1"/>
  <c r="AM196" i="2"/>
  <c r="AM153" i="2"/>
  <c r="AM155" i="2" l="1"/>
  <c r="AM156" i="2" s="1"/>
  <c r="AM157" i="2"/>
  <c r="AM198" i="2"/>
  <c r="AM199" i="2"/>
  <c r="AM133" i="2"/>
  <c r="AM134" i="2"/>
  <c r="AM168" i="2"/>
  <c r="AM167" i="2"/>
  <c r="AN139" i="2" l="1"/>
  <c r="AN142" i="2"/>
  <c r="AN147" i="2"/>
  <c r="AN186" i="2" s="1"/>
  <c r="AN150" i="2"/>
  <c r="AN143" i="2"/>
  <c r="AN182" i="2" s="1"/>
  <c r="AN146" i="2"/>
  <c r="AN151" i="2"/>
  <c r="AN194" i="2" s="1"/>
  <c r="AM159" i="2"/>
  <c r="AN148" i="2" l="1"/>
  <c r="AN185" i="2"/>
  <c r="AN187" i="2" s="1"/>
  <c r="AN130" i="2"/>
  <c r="AN140" i="2"/>
  <c r="AN178" i="2"/>
  <c r="AN179" i="2" s="1"/>
  <c r="AN152" i="2"/>
  <c r="AN193" i="2"/>
  <c r="AN195" i="2" s="1"/>
  <c r="AN144" i="2"/>
  <c r="AN181" i="2"/>
  <c r="AN183" i="2" s="1"/>
  <c r="AN131" i="2" l="1"/>
  <c r="AN164" i="2"/>
  <c r="AN165" i="2" s="1"/>
  <c r="AN196" i="2"/>
  <c r="AN153" i="2"/>
  <c r="AN199" i="2" l="1"/>
  <c r="AN198" i="2"/>
  <c r="AN133" i="2"/>
  <c r="AN134" i="2"/>
  <c r="AN155" i="2"/>
  <c r="AN156" i="2" s="1"/>
  <c r="AN157" i="2"/>
  <c r="AN168" i="2"/>
  <c r="AN167" i="2"/>
  <c r="AO139" i="2" l="1"/>
  <c r="AO143" i="2"/>
  <c r="AO182" i="2" s="1"/>
  <c r="AO146" i="2"/>
  <c r="AO151" i="2"/>
  <c r="AO194" i="2" s="1"/>
  <c r="AO150" i="2"/>
  <c r="AO142" i="2"/>
  <c r="AO147" i="2"/>
  <c r="AO186" i="2" s="1"/>
  <c r="AN159" i="2"/>
  <c r="AO152" i="2" l="1"/>
  <c r="AO193" i="2"/>
  <c r="AO195" i="2" s="1"/>
  <c r="AO148" i="2"/>
  <c r="AO185" i="2"/>
  <c r="AO187" i="2" s="1"/>
  <c r="AO130" i="2"/>
  <c r="AO140" i="2"/>
  <c r="AO178" i="2"/>
  <c r="AO179" i="2" s="1"/>
  <c r="AO144" i="2"/>
  <c r="AO181" i="2"/>
  <c r="AO183" i="2" s="1"/>
  <c r="AO131" i="2" l="1"/>
  <c r="AO164" i="2"/>
  <c r="AO165" i="2" s="1"/>
  <c r="AO196" i="2"/>
  <c r="AO153" i="2"/>
  <c r="AO199" i="2" l="1"/>
  <c r="AO198" i="2"/>
  <c r="AO133" i="2"/>
  <c r="AO134" i="2"/>
  <c r="AO155" i="2"/>
  <c r="AO156" i="2" s="1"/>
  <c r="AO157" i="2"/>
  <c r="AO167" i="2"/>
  <c r="AO168" i="2"/>
  <c r="AP139" i="2" l="1"/>
  <c r="AP142" i="2"/>
  <c r="AP147" i="2"/>
  <c r="AP186" i="2" s="1"/>
  <c r="AP150" i="2"/>
  <c r="AP146" i="2"/>
  <c r="AP151" i="2"/>
  <c r="AP194" i="2" s="1"/>
  <c r="AP143" i="2"/>
  <c r="AP182" i="2" s="1"/>
  <c r="AO159" i="2"/>
  <c r="AP148" i="2" l="1"/>
  <c r="AP185" i="2"/>
  <c r="AP187" i="2" s="1"/>
  <c r="AP130" i="2"/>
  <c r="AP140" i="2"/>
  <c r="AP178" i="2"/>
  <c r="AP179" i="2" s="1"/>
  <c r="AP152" i="2"/>
  <c r="AP193" i="2"/>
  <c r="AP195" i="2" s="1"/>
  <c r="AP144" i="2"/>
  <c r="AP181" i="2"/>
  <c r="AP183" i="2" s="1"/>
  <c r="AP131" i="2" l="1"/>
  <c r="AP164" i="2"/>
  <c r="AP165" i="2" s="1"/>
  <c r="AP196" i="2"/>
  <c r="AP153" i="2"/>
  <c r="B201" i="2" l="1"/>
  <c r="AP199" i="2"/>
  <c r="B202" i="2"/>
  <c r="AP198" i="2"/>
  <c r="AP133" i="2"/>
  <c r="AP134" i="2"/>
  <c r="AP155" i="2"/>
  <c r="AP156" i="2" s="1"/>
  <c r="AP159" i="2" s="1"/>
  <c r="B159" i="2" s="1"/>
  <c r="C86" i="1" s="1"/>
  <c r="AP157" i="2"/>
  <c r="AP167" i="2"/>
  <c r="AP168" i="2"/>
  <c r="B171" i="2"/>
  <c r="B172" i="2"/>
</calcChain>
</file>

<file path=xl/sharedStrings.xml><?xml version="1.0" encoding="utf-8"?>
<sst xmlns="http://schemas.openxmlformats.org/spreadsheetml/2006/main" count="2002" uniqueCount="485">
  <si>
    <t>Contingency (%)</t>
  </si>
  <si>
    <t>Contingency ($)</t>
  </si>
  <si>
    <t>Sales Tax</t>
  </si>
  <si>
    <t>Total Sales Tax</t>
  </si>
  <si>
    <t>OPERATIONS AND MAINTENANCE COSTS</t>
  </si>
  <si>
    <t>Fixed Annual Cost</t>
  </si>
  <si>
    <t>Escalation (above inflation)</t>
  </si>
  <si>
    <t>Fixed Cost by Capacity</t>
  </si>
  <si>
    <t>First Year Cost ($)</t>
  </si>
  <si>
    <t>Variable Cost by Generation</t>
  </si>
  <si>
    <t>First Year Cost ($/MWh)</t>
  </si>
  <si>
    <t>Note: fossil fuel costs not included</t>
  </si>
  <si>
    <t>SYSTEM</t>
  </si>
  <si>
    <t>Capacity (kW-DC)</t>
  </si>
  <si>
    <t>DC to AC Derate Factor</t>
  </si>
  <si>
    <t>Capacity (kW-AC)</t>
  </si>
  <si>
    <t>Note: Total Installed Cost does not include financing costs.</t>
  </si>
  <si>
    <t>GENERAL</t>
  </si>
  <si>
    <t>Inflation Rate</t>
  </si>
  <si>
    <t>Analysis Period (yrs-40 max)</t>
  </si>
  <si>
    <t>TAXES AND INSURANCE</t>
  </si>
  <si>
    <t>Federal Tax Rate</t>
  </si>
  <si>
    <t>Property Tax</t>
  </si>
  <si>
    <t>CAPITAL COSTS - PRE FINANCING</t>
  </si>
  <si>
    <t>PROJECT SPECIFIC INPUTS</t>
  </si>
  <si>
    <t>All Equity Partnership Flip</t>
  </si>
  <si>
    <t>Leveraged Partnership Flip</t>
  </si>
  <si>
    <t>Sale Leaseback</t>
  </si>
  <si>
    <t>Single Owner</t>
  </si>
  <si>
    <t>Total Pre-Financing Installed Cost ($/Watt-DC)</t>
  </si>
  <si>
    <t>Total Pre-Financing Installed Cost ($)</t>
  </si>
  <si>
    <t>Operating Year</t>
  </si>
  <si>
    <t>TAX CREDIT INCENTIVES</t>
  </si>
  <si>
    <t>Investment Tax Credit</t>
  </si>
  <si>
    <t>Amount</t>
  </si>
  <si>
    <t>Amount ($)</t>
  </si>
  <si>
    <t>Federal</t>
  </si>
  <si>
    <t>State</t>
  </si>
  <si>
    <t>Production Tax Credit</t>
  </si>
  <si>
    <t>Escalation</t>
  </si>
  <si>
    <t>Amount (%)</t>
  </si>
  <si>
    <t>%</t>
  </si>
  <si>
    <t>Maximum</t>
  </si>
  <si>
    <t>Amount ($/kWh)</t>
  </si>
  <si>
    <t>Term (yrs)</t>
  </si>
  <si>
    <t>Initial Year</t>
  </si>
  <si>
    <t>Production (AC-kWh)</t>
  </si>
  <si>
    <t>Net Production (AC-kWh)</t>
  </si>
  <si>
    <t>Price  (¢/kWh)</t>
  </si>
  <si>
    <t>Expenses</t>
  </si>
  <si>
    <t>First Year Cost ($/DC kW-yr)</t>
  </si>
  <si>
    <t>Capacity (DC kW)</t>
  </si>
  <si>
    <t>Fixed Cost ($/DC kW-yr)</t>
  </si>
  <si>
    <t>Total</t>
  </si>
  <si>
    <t>Financing</t>
  </si>
  <si>
    <t>Generation (AC-MWh)</t>
  </si>
  <si>
    <t>Variable Cost ($/AC-MWh)</t>
  </si>
  <si>
    <t>PAYMENT INCENTIVES</t>
  </si>
  <si>
    <t>Investment Based Incentive (IBI)</t>
  </si>
  <si>
    <t>Utility</t>
  </si>
  <si>
    <t>Other</t>
  </si>
  <si>
    <t>Taxable Incentive</t>
  </si>
  <si>
    <t>Reduces Depreciation Basis</t>
  </si>
  <si>
    <t>Percentage of Pre-Financing Costs</t>
  </si>
  <si>
    <t>Capacity Based Incentive (CBI) ($/DC-Watt)</t>
  </si>
  <si>
    <t>Available for Debt Service</t>
  </si>
  <si>
    <t>Fixed Amount ($)</t>
  </si>
  <si>
    <t>Yes</t>
  </si>
  <si>
    <t>No</t>
  </si>
  <si>
    <t>Amount ($/DC-Watt)</t>
  </si>
  <si>
    <t>Percentage (% of Pre-Finance Costs)</t>
  </si>
  <si>
    <t>Production Based Incentive (PBI) ($/kWh)</t>
  </si>
  <si>
    <t>Term (Yrs)</t>
  </si>
  <si>
    <t>Total Expenses</t>
  </si>
  <si>
    <t>Total PPA Revenue</t>
  </si>
  <si>
    <t>Revenues</t>
  </si>
  <si>
    <t>PPA</t>
  </si>
  <si>
    <t>Production Based Incentive (included if available for debt service)</t>
  </si>
  <si>
    <t>Total PBI</t>
  </si>
  <si>
    <t>EBITDA (cash available for debt service)</t>
  </si>
  <si>
    <t>Capital Costs</t>
  </si>
  <si>
    <t>Total Pre-Financing</t>
  </si>
  <si>
    <t>Summary</t>
  </si>
  <si>
    <t>Equity Closing Costs</t>
  </si>
  <si>
    <t>Debt Service Reserve</t>
  </si>
  <si>
    <t>Construction Financing</t>
  </si>
  <si>
    <t>Total Financing</t>
  </si>
  <si>
    <t>Debt Closing Costs (costs &amp; fees)</t>
  </si>
  <si>
    <t>Construction Period (months)</t>
  </si>
  <si>
    <t>Interest During Construction</t>
  </si>
  <si>
    <t>Interest Rate (%)</t>
  </si>
  <si>
    <t>Up-Front Fee ($)</t>
  </si>
  <si>
    <t>Total Construction Financing Cost</t>
  </si>
  <si>
    <t>Term Financing</t>
  </si>
  <si>
    <t>Tenor (Yrs)</t>
  </si>
  <si>
    <t>Debt</t>
  </si>
  <si>
    <t>Beginning Balance</t>
  </si>
  <si>
    <t>Funding</t>
  </si>
  <si>
    <t>Repayment</t>
  </si>
  <si>
    <t>Ending Balance</t>
  </si>
  <si>
    <t>Principal</t>
  </si>
  <si>
    <t>Interest</t>
  </si>
  <si>
    <t>Total P&amp;I</t>
  </si>
  <si>
    <t>Release of Funds</t>
  </si>
  <si>
    <t>Financing Costs</t>
  </si>
  <si>
    <t>DSCR</t>
  </si>
  <si>
    <t>Cash Available for Debt Service</t>
  </si>
  <si>
    <t>Total Debt Payment</t>
  </si>
  <si>
    <t>Average</t>
  </si>
  <si>
    <t>Min</t>
  </si>
  <si>
    <t>Debt Service Reserve Account (months P&amp;I)</t>
  </si>
  <si>
    <t>Taxes</t>
  </si>
  <si>
    <t>EBITDA</t>
  </si>
  <si>
    <t>Less: Interest Payment</t>
  </si>
  <si>
    <t>Taxable Income Prior to Incentives</t>
  </si>
  <si>
    <t>Federal Income Taxes</t>
  </si>
  <si>
    <t>Less: Tax Depreciation</t>
  </si>
  <si>
    <t>Production Based Incentive (PBI)</t>
  </si>
  <si>
    <t>Incentive ($/kWh)</t>
  </si>
  <si>
    <t>Generation (kWh)</t>
  </si>
  <si>
    <t>Capacity Based Incentive (CBI)</t>
  </si>
  <si>
    <t>Plus: Interest Earned</t>
  </si>
  <si>
    <t>State Tax Benefit/(Liability)</t>
  </si>
  <si>
    <t>Total Taxable Incentives</t>
  </si>
  <si>
    <t>Taxable Income Including Incentives</t>
  </si>
  <si>
    <t>State Income Taxes</t>
  </si>
  <si>
    <t>Insurance</t>
  </si>
  <si>
    <t>State Tax Rate</t>
  </si>
  <si>
    <t>Allocations (%)</t>
  </si>
  <si>
    <t>5-yr MACRS</t>
  </si>
  <si>
    <t>15-yr MACRS</t>
  </si>
  <si>
    <t>5-yr SL</t>
  </si>
  <si>
    <t>15-yr SL</t>
  </si>
  <si>
    <t>20-yr SL</t>
  </si>
  <si>
    <t>39-yr SL</t>
  </si>
  <si>
    <t>Non-Depreciable</t>
  </si>
  <si>
    <t>Allocations ($)</t>
  </si>
  <si>
    <t>DEPRECIATION SCHEDULES - Half Year</t>
  </si>
  <si>
    <t>Salvage Value</t>
  </si>
  <si>
    <t>Gross Amount Allocated</t>
  </si>
  <si>
    <t>Total Basis Reduction</t>
  </si>
  <si>
    <t>Reduction: IBI</t>
  </si>
  <si>
    <t>Reduction: CBI</t>
  </si>
  <si>
    <t>% of Total Depreciable Basis</t>
  </si>
  <si>
    <t>Depreciable Basis Prior to ITC</t>
  </si>
  <si>
    <t>Depreciable Basis After ITC Reduction</t>
  </si>
  <si>
    <t>Applicable %</t>
  </si>
  <si>
    <t>State ITC</t>
  </si>
  <si>
    <t>ITC Qualifying Costs</t>
  </si>
  <si>
    <t>ITC Amount</t>
  </si>
  <si>
    <t>% of ITC Qualifying Costs</t>
  </si>
  <si>
    <t>ITC Basis Disallowance</t>
  </si>
  <si>
    <t>Depreciable Basis Incentive Reductions</t>
  </si>
  <si>
    <t>ITC as % of Project Cost</t>
  </si>
  <si>
    <t>ITC as Fixed Amount</t>
  </si>
  <si>
    <t>ITC Reduction: State</t>
  </si>
  <si>
    <t>ITC Reduction: Federal</t>
  </si>
  <si>
    <t>Federal ITC</t>
  </si>
  <si>
    <t>Production Tax Credit (PTC)</t>
  </si>
  <si>
    <t>Unadjusted PTC value ($/kWh)</t>
  </si>
  <si>
    <t>Adjusted PTC Value ($/MWh)</t>
  </si>
  <si>
    <t>Production (MWh)</t>
  </si>
  <si>
    <t>Capital Structure</t>
  </si>
  <si>
    <t>Equity</t>
  </si>
  <si>
    <t>IBI - Percent of Direct Cost</t>
  </si>
  <si>
    <t>IBI - Fixed Amount</t>
  </si>
  <si>
    <t>CBI</t>
  </si>
  <si>
    <t>Total($/DC-Watt)</t>
  </si>
  <si>
    <t>Cash Flows from Investing Activities</t>
  </si>
  <si>
    <t>(Purchase)/Sale of Property</t>
  </si>
  <si>
    <t>(Increase)/Decrease in Reserve Accounts</t>
  </si>
  <si>
    <t>DSRA</t>
  </si>
  <si>
    <t>Cash Flows from Financing Activities</t>
  </si>
  <si>
    <t>Borrowing/(Redemption) of Long-Term Debt</t>
  </si>
  <si>
    <t>Pre-Tax Cashflow</t>
  </si>
  <si>
    <t>Cash Flow from Operating Activities</t>
  </si>
  <si>
    <t>Less: Interest Expense</t>
  </si>
  <si>
    <t>Working Capital Reserve Account</t>
  </si>
  <si>
    <t>Reserve Accounts</t>
  </si>
  <si>
    <t>MAJOR EQUIPMENT REPLACEMENT RESERVE</t>
  </si>
  <si>
    <t>Cost of Replacement (in year 1 $/DC-Watt)</t>
  </si>
  <si>
    <t>Timing of Funding</t>
  </si>
  <si>
    <t>Cost of Each Occurrence</t>
  </si>
  <si>
    <t>Funding (through operations)</t>
  </si>
  <si>
    <t>Funding of Each Occurrence</t>
  </si>
  <si>
    <t>Interest on Reserves</t>
  </si>
  <si>
    <t>Total Reserves</t>
  </si>
  <si>
    <t>Major Equipment Capital Spending</t>
  </si>
  <si>
    <t>SALVAGE VALUE</t>
  </si>
  <si>
    <t>Incentives</t>
  </si>
  <si>
    <t>IBI</t>
  </si>
  <si>
    <t>Major Equipment Replacement Depreciation</t>
  </si>
  <si>
    <t>Timing</t>
  </si>
  <si>
    <t>Depreciation Schedule Selected</t>
  </si>
  <si>
    <t>Year</t>
  </si>
  <si>
    <t>Depreciation Percent</t>
  </si>
  <si>
    <t>Depreciation Amount</t>
  </si>
  <si>
    <t>Plus: PBI (not included above)</t>
  </si>
  <si>
    <t>Total Project Returns: Pre-Tax</t>
  </si>
  <si>
    <t>Equity Investment</t>
  </si>
  <si>
    <t>Operating Cash Distributions/(Contributions)</t>
  </si>
  <si>
    <t>IRR</t>
  </si>
  <si>
    <t>NPV</t>
  </si>
  <si>
    <t>Total Project Returns: After-Tax</t>
  </si>
  <si>
    <t>Cash</t>
  </si>
  <si>
    <t xml:space="preserve">Total </t>
  </si>
  <si>
    <t>Tax Benefit/(Liability)</t>
  </si>
  <si>
    <t>Federal Tax Benefit/(Liability)</t>
  </si>
  <si>
    <t>Tax Investor</t>
  </si>
  <si>
    <t>Equity Structure</t>
  </si>
  <si>
    <t xml:space="preserve">Percent </t>
  </si>
  <si>
    <t>Sponsor</t>
  </si>
  <si>
    <t>Cash Sharing Ratio</t>
  </si>
  <si>
    <t>Pre-Flip</t>
  </si>
  <si>
    <t>Post-Flip</t>
  </si>
  <si>
    <t>Tax Benefit Sharing Ratio</t>
  </si>
  <si>
    <t>After-Tax Flip/Return Targets</t>
  </si>
  <si>
    <t>Return Targets</t>
  </si>
  <si>
    <t>Target Year</t>
  </si>
  <si>
    <t>Project Life (for reference)</t>
  </si>
  <si>
    <t>Max After-Tax IRR</t>
  </si>
  <si>
    <t>After-Tax IRR</t>
  </si>
  <si>
    <t>Returns</t>
  </si>
  <si>
    <t>Pre-Tax</t>
  </si>
  <si>
    <t>After-Tax</t>
  </si>
  <si>
    <t>Tax Investor: After-Tax</t>
  </si>
  <si>
    <t>Tax Investor: Pre-Tax</t>
  </si>
  <si>
    <t>Sponsor: Pre-Tax</t>
  </si>
  <si>
    <t>Sponsor: After-Tax</t>
  </si>
  <si>
    <t>Total Project Returns</t>
  </si>
  <si>
    <t>Partner Returns</t>
  </si>
  <si>
    <t>Target Return Reached</t>
  </si>
  <si>
    <t>Tax Equity/Lessor</t>
  </si>
  <si>
    <t>LCOE</t>
  </si>
  <si>
    <t>LCOE (c/kWh)</t>
  </si>
  <si>
    <t>State Depreciation Amounts</t>
  </si>
  <si>
    <t>Federal Depreciation Amounts</t>
  </si>
  <si>
    <t>Frequency (every X years)</t>
  </si>
  <si>
    <t>Total Revenue</t>
  </si>
  <si>
    <t>STRUCTURE SPECIFIC INPUTS &amp; RESULTS</t>
  </si>
  <si>
    <t>Percentage</t>
  </si>
  <si>
    <t>Assets in This Class Qualify for ITC</t>
  </si>
  <si>
    <t>Partial Income Statement: Project</t>
  </si>
  <si>
    <t>Cash Flow: Project</t>
  </si>
  <si>
    <t>Denotes input</t>
  </si>
  <si>
    <t>Denotes a formula or output</t>
  </si>
  <si>
    <t>KEY</t>
  </si>
  <si>
    <t xml:space="preserve">Note: the "Calculate" buttons for each structure will solve for an initial year PPA Price required to yield the required investor return. </t>
  </si>
  <si>
    <t>Nominal Discount Rate</t>
  </si>
  <si>
    <t>Net Pre-Tax Cash Salvage Value (% Pre-Finance Costs)</t>
  </si>
  <si>
    <t>Net Pre-Tax Cash Salvage Value ($ at end of project)</t>
  </si>
  <si>
    <t>Sizing</t>
  </si>
  <si>
    <t>Annual Rate</t>
  </si>
  <si>
    <t>Present Value Interest Factor</t>
  </si>
  <si>
    <t>Present Value of CAFDS</t>
  </si>
  <si>
    <t>Size of Debt</t>
  </si>
  <si>
    <t>Annual All-In Interest Rate</t>
  </si>
  <si>
    <t>Pre-Financing Costs</t>
  </si>
  <si>
    <t>% of Pre-Financing Costs Assessed</t>
  </si>
  <si>
    <t>Assessed Value of Property fo Tax Pursposes</t>
  </si>
  <si>
    <t>Assessed Value Annual Decline</t>
  </si>
  <si>
    <t>Annual Property Tax Rate</t>
  </si>
  <si>
    <t>Net Assessed Value</t>
  </si>
  <si>
    <t xml:space="preserve">ANNUAL PRODUCTION </t>
  </si>
  <si>
    <t>Yr</t>
  </si>
  <si>
    <t>kWh (AC)</t>
  </si>
  <si>
    <t>Federal &amp; State Depreciation Allocations</t>
  </si>
  <si>
    <t>Bonus Depreciation</t>
  </si>
  <si>
    <t>First Year Bonus Depreciation</t>
  </si>
  <si>
    <t>Depreciation Allocation</t>
  </si>
  <si>
    <t>State Bonus Depreciation</t>
  </si>
  <si>
    <t>Assets in This Class Qualify for Bonus Depreciation</t>
  </si>
  <si>
    <t>Federal Bonus Depreciation</t>
  </si>
  <si>
    <t>Depreciable Basis After Bonus Reduction</t>
  </si>
  <si>
    <t>Bonus Amount</t>
  </si>
  <si>
    <t>Generation Equipment</t>
  </si>
  <si>
    <t>Balance of Plant</t>
  </si>
  <si>
    <t>Network Upgrades</t>
  </si>
  <si>
    <t>Land Improvements</t>
  </si>
  <si>
    <t>Subtotal</t>
  </si>
  <si>
    <t>Contingency</t>
  </si>
  <si>
    <t>Hard Costs</t>
  </si>
  <si>
    <t>Soft Costs</t>
  </si>
  <si>
    <t>Total Hard Costs</t>
  </si>
  <si>
    <t>Sales Tax (% of Hard and Soft Costs)</t>
  </si>
  <si>
    <t>Taxable Costs (%)</t>
  </si>
  <si>
    <t>Total Soft Costs</t>
  </si>
  <si>
    <t>Power Purchase Agreement (¢/kWh)</t>
  </si>
  <si>
    <t>Total Pre-Financing Installed Costs</t>
  </si>
  <si>
    <t>Year Flip Target/Year Hurdle Rate Reached</t>
  </si>
  <si>
    <t>Actual Year 
(note, red highlight indicates further investigation required)</t>
  </si>
  <si>
    <t>Non-Depreciable 
(red higlight indicates invalid figure)</t>
  </si>
  <si>
    <t>Depreciation Treatment for All Capital Expenditure</t>
  </si>
  <si>
    <t>Major Equipment Reserve 1</t>
  </si>
  <si>
    <t>Major Equipment Reserve 2</t>
  </si>
  <si>
    <t>Major Equipment Reserve 3</t>
  </si>
  <si>
    <t>Major Equipment Replacement Reserve 1</t>
  </si>
  <si>
    <t>Major Equipment Replacement Reserve 2</t>
  </si>
  <si>
    <t>Cost or Replacement (year 1 $)</t>
  </si>
  <si>
    <t>Major Equipment Replacement Reserve 3</t>
  </si>
  <si>
    <t>Major Equipment Spending 1</t>
  </si>
  <si>
    <t>Major Equipment Spending 2</t>
  </si>
  <si>
    <t>Major Equipment Spending 3</t>
  </si>
  <si>
    <t>Major Equipment Replacement 1</t>
  </si>
  <si>
    <t>Major Equipment Replacement - 2</t>
  </si>
  <si>
    <t>Major Equipment Replacement - 3</t>
  </si>
  <si>
    <t>Major Equipment Replacement 2</t>
  </si>
  <si>
    <t>Major Equipment Replacement 3</t>
  </si>
  <si>
    <t>Assessed Value of Property For Tax Purposes</t>
  </si>
  <si>
    <t>LCOE ($/kWh)</t>
  </si>
  <si>
    <t>Issuance of Equity</t>
  </si>
  <si>
    <t xml:space="preserve">Non-Depreciable </t>
  </si>
  <si>
    <t>Amount (% of Pre-Financing Costs)</t>
  </si>
  <si>
    <t>Development Fee</t>
  </si>
  <si>
    <t>Developer Fee Tax Liability</t>
  </si>
  <si>
    <t>Insurance (% of Pre-Financing Installed Costs)</t>
  </si>
  <si>
    <t>Year Target Return Reached</t>
  </si>
  <si>
    <t>Max IRR</t>
  </si>
  <si>
    <t>Sponsor Capital Recovery</t>
  </si>
  <si>
    <t>Duration of Recovery</t>
  </si>
  <si>
    <t>If "Time" - Duration (in years)</t>
  </si>
  <si>
    <t>Sponsor Capital Recovery (AEPF Structure Only)</t>
  </si>
  <si>
    <t>Note: 100% Cash to Sponsor During Recovery Period</t>
  </si>
  <si>
    <t>Cumulative IRR</t>
  </si>
  <si>
    <t>Cumulative NPV</t>
  </si>
  <si>
    <t>Annual Escalation</t>
  </si>
  <si>
    <t>Production Based Incentive</t>
  </si>
  <si>
    <t>Sale Leaseback Assumptions</t>
  </si>
  <si>
    <t>Amount ($/kW-DC)</t>
  </si>
  <si>
    <t>Lease Payment Reserve</t>
  </si>
  <si>
    <t>PPA Revenue</t>
  </si>
  <si>
    <t>Plus: Interest on Reserves</t>
  </si>
  <si>
    <t>Less: Operating Expenses</t>
  </si>
  <si>
    <t>Less: Lease Payment</t>
  </si>
  <si>
    <t>Plus: PBI</t>
  </si>
  <si>
    <t>Total Taxable Income</t>
  </si>
  <si>
    <t>Tax Equity (Lessor) - State</t>
  </si>
  <si>
    <t>Lease Payment</t>
  </si>
  <si>
    <t>Plus: IBI</t>
  </si>
  <si>
    <t>Plus: CBI</t>
  </si>
  <si>
    <t>Taxes - Tax Equity (Lessor)</t>
  </si>
  <si>
    <t>Tax Equity (Lessor) - Federal</t>
  </si>
  <si>
    <t>Tax Investor (Lessor): After-Tax</t>
  </si>
  <si>
    <t>Lease Payments</t>
  </si>
  <si>
    <t>Sponsor Tax Benefit/(Liability)</t>
  </si>
  <si>
    <t>Party Returns</t>
  </si>
  <si>
    <t>Share of Project Tax Benefit/(Liability)</t>
  </si>
  <si>
    <t>After-Tax Return in Target Year</t>
  </si>
  <si>
    <t>For additional information on depreciation schedules. Please refer to IRS publication 946.</t>
  </si>
  <si>
    <t>http://www.irs.gov/pub/irs-pdf/p946.pdf</t>
  </si>
  <si>
    <t>Sponsor Capital Investment</t>
  </si>
  <si>
    <t>Operating Cash to Sponsor During Recovery Period</t>
  </si>
  <si>
    <t>Operating Cash During Capital Recovery Period</t>
  </si>
  <si>
    <t>Operating Cash Distributions/(Contributions) Post Recovery Period</t>
  </si>
  <si>
    <t>NPV - Annual Payments ($)</t>
  </si>
  <si>
    <t>NPV - Generation (kWh)</t>
  </si>
  <si>
    <t>Annual PPA Revenue</t>
  </si>
  <si>
    <t>Adjustment for Salvage Value</t>
  </si>
  <si>
    <t>Pre-Tax Operating Cashflow (Effective Lease Payment)</t>
  </si>
  <si>
    <t>Plus: Pre-Tax Salvage Value</t>
  </si>
  <si>
    <t>Pre-Tax Salvage Value</t>
  </si>
  <si>
    <t>Release of Working Capital Reserve</t>
  </si>
  <si>
    <t>Release of Lease Payment Reserve</t>
  </si>
  <si>
    <t>Release of Major Equipment Replacement Reserves</t>
  </si>
  <si>
    <t>Adjustment for Release of Reserves</t>
  </si>
  <si>
    <t>Sponsor (Lessee): Pre-Tax</t>
  </si>
  <si>
    <t>Sponsor (Lessee): After-Tax</t>
  </si>
  <si>
    <t>Tax Equity (Lessor): Pre-Tax</t>
  </si>
  <si>
    <t>Other Financing Cost</t>
  </si>
  <si>
    <t>Annual Sponsor (Lessee) Margin</t>
  </si>
  <si>
    <t>Development Costs</t>
  </si>
  <si>
    <t>Taxes - Sponsor (Lessee)</t>
  </si>
  <si>
    <t>Purchase Price of Asset</t>
  </si>
  <si>
    <t>Cash Flow: Lessee</t>
  </si>
  <si>
    <t>Sale of Property</t>
  </si>
  <si>
    <t>Purchase of Plant and Equipment</t>
  </si>
  <si>
    <t>Distribution of Development Fee</t>
  </si>
  <si>
    <t>Cash Flow: Lessor</t>
  </si>
  <si>
    <t>Purchase of Property</t>
  </si>
  <si>
    <t>Interest on Reserves (all but Lease Payment Reserve)</t>
  </si>
  <si>
    <t>Interest on Lease Payment Reserve</t>
  </si>
  <si>
    <t>Interest Earned on Lease Payment Reserve</t>
  </si>
  <si>
    <t>Plus: Interest on Lease Payment Reserve</t>
  </si>
  <si>
    <t>Plus: Interest on Reserves (Non-Lease Payment Reserve)</t>
  </si>
  <si>
    <t>Partial Income Statement: Project (Lessee's Perspective)</t>
  </si>
  <si>
    <t>Sponsor (Lessee) - State</t>
  </si>
  <si>
    <t>Sponsor (Lessee) - Federal</t>
  </si>
  <si>
    <t>Less: Major Equipment Replacement Reserve Funding</t>
  </si>
  <si>
    <t>Sponsor Equity in Lessee LLC (funding of reserve accounts)</t>
  </si>
  <si>
    <t>Sponsor Investment in Lessee LLC (funding of reserve accounts)</t>
  </si>
  <si>
    <t>Depreciable Basis Reduction</t>
  </si>
  <si>
    <t xml:space="preserve">Method of Depreciation Reduction </t>
  </si>
  <si>
    <t>5-Yr MACRS</t>
  </si>
  <si>
    <t>Depreciation &amp; ITC</t>
  </si>
  <si>
    <t>State Depreciation &amp; ITC</t>
  </si>
  <si>
    <t>Federal Depreciation &amp; ITC</t>
  </si>
  <si>
    <t>Sponsor/Lessee</t>
  </si>
  <si>
    <t>Total Project/Single Owner</t>
  </si>
  <si>
    <t>Annual Sponsor (Lessee) Operating Margin</t>
  </si>
  <si>
    <t>Lessor Required Lease Payment Reserve (Months of Reserve)</t>
  </si>
  <si>
    <t>Pre-Tax Cashflow Including Release of Reserves</t>
  </si>
  <si>
    <t>Tax Investor (Lessor for Sale Leaseback)</t>
  </si>
  <si>
    <t>Sponsor (Lesee for Sale Leaseback)</t>
  </si>
  <si>
    <t>Development Fee (Gain on Sale of Project Assets)</t>
  </si>
  <si>
    <t>Sponsor (Lessee) Operating Margin</t>
  </si>
  <si>
    <t>Operating Margin Not Including Lease Payment</t>
  </si>
  <si>
    <t>Return (IRR &amp; NPV) Points of Time</t>
  </si>
  <si>
    <t>Return Time 1</t>
  </si>
  <si>
    <t>Return Time 2</t>
  </si>
  <si>
    <t>Working Capital Reserve</t>
  </si>
  <si>
    <t>Time</t>
  </si>
  <si>
    <t>State PTC</t>
  </si>
  <si>
    <t>Input Selected</t>
  </si>
  <si>
    <t>Annual Degradation</t>
  </si>
  <si>
    <t>Initial Year Input</t>
  </si>
  <si>
    <t>Annual Inputs</t>
  </si>
  <si>
    <t>Initial Year (NCF-AC)</t>
  </si>
  <si>
    <t>Debt Structure Selected</t>
  </si>
  <si>
    <t>Constant DSCR</t>
  </si>
  <si>
    <t>Debt Amount Based on Structure Selected</t>
  </si>
  <si>
    <t>Mortgage Style Amount (user Input)</t>
  </si>
  <si>
    <t>% of Pre-Financing Costs</t>
  </si>
  <si>
    <t>% of Total Project Cost</t>
  </si>
  <si>
    <t>Debt Selected</t>
  </si>
  <si>
    <t>Drawdowns</t>
  </si>
  <si>
    <t>Repayments</t>
  </si>
  <si>
    <t>Interest Rate</t>
  </si>
  <si>
    <t>Mortgage Style</t>
  </si>
  <si>
    <t>Is the Project Leveraged</t>
  </si>
  <si>
    <t>Amount of Debt</t>
  </si>
  <si>
    <t>Debt Amount as % of Total Project Cost</t>
  </si>
  <si>
    <t>Constant DSCR (calculated by model)</t>
  </si>
  <si>
    <t>Debt Service Coverage Ratio (if Constant DSCR Debt)</t>
  </si>
  <si>
    <t>DSCR For Debt Selected</t>
  </si>
  <si>
    <t>Minimum</t>
  </si>
  <si>
    <t>Negative Net Benefit</t>
  </si>
  <si>
    <t>First year of Negative Net Benefit</t>
  </si>
  <si>
    <t>Negative Net Benefit (after-tax negative return)</t>
  </si>
  <si>
    <t>Years with Negative Net Benefit</t>
  </si>
  <si>
    <t>First Year with Negative Net Benefit</t>
  </si>
  <si>
    <t>Debt Terms &amp; Costs</t>
  </si>
  <si>
    <t>Debt Closing Costs (legal, third party consultants, etc.)</t>
  </si>
  <si>
    <t>Up-Front Fee (% of Total Debt Amount)</t>
  </si>
  <si>
    <t>Closing Costs</t>
  </si>
  <si>
    <t>Fees</t>
  </si>
  <si>
    <t>Working Capital Reserve Account Sizing</t>
  </si>
  <si>
    <t>Months of Operating Costs</t>
  </si>
  <si>
    <t>Up-Front Fee (% of Pre-Financing Costs as 100% financing is assumed)</t>
  </si>
  <si>
    <t>This workbook is available for free download from the NREL SAM website:</t>
  </si>
  <si>
    <t>NREL does not provide user support for this workbook.</t>
  </si>
  <si>
    <t>The System Advisor Model ("Model") is provided by the National Renewable Energy Laboratory ("NREL"), which is</t>
  </si>
  <si>
    <t>operated by the Alliance for Sustainable Energy, LLC ("Alliance") for the U.S. Department Of Energy ("DOE") and</t>
  </si>
  <si>
    <t>may be used for any purpose whatsoever.</t>
  </si>
  <si>
    <t>The names DOE/NREL/ALLIANCE shall not be used in any representation, advertising, publicity or other manner</t>
  </si>
  <si>
    <t>whatsoever to endorse or promote any entity that adopts or uses the Model. DOE/NREL/ALLIANCE shall not</t>
  </si>
  <si>
    <t>provide any support, consulting, training or assistance of any kind with regard to the use of the Model or any</t>
  </si>
  <si>
    <t>updates, revisions or new versions of the Model.</t>
  </si>
  <si>
    <t>CONNECTION WITH THE USE OR PERFORMANCE OF THE MODEL.</t>
  </si>
  <si>
    <t>NREL adapted the equations and algorithms from these workbooks in 2011 to develop the financial models in SAM.</t>
  </si>
  <si>
    <t>To use this workbook:</t>
  </si>
  <si>
    <t>1. Review and modify the assumptions for the financial structure of interest on the Inputs and Results worksheet.</t>
  </si>
  <si>
    <t xml:space="preserve">     The assumptions in Rows 1-76 of the worksheet are similar to the inputs on SAM's input pages.</t>
  </si>
  <si>
    <t xml:space="preserve">     The results appear in the rows below the Calculate buttons.</t>
  </si>
  <si>
    <t xml:space="preserve">     You can see the cash flow details on the worksheet for each financial structure.</t>
  </si>
  <si>
    <t>2. In Cell M9 of the Inputs and Results worksheet, type the system's first year annual electrical output in kWh.</t>
  </si>
  <si>
    <t xml:space="preserve">     If you are comparing worksheet results to SAM, you can use SAM's Annual Energy value for this input.</t>
  </si>
  <si>
    <t>3. Click the Calculate PPA Price button in Row 79 of the Inputs and Results worksheet for the given financial structure.</t>
  </si>
  <si>
    <t xml:space="preserve">NREL is providing these workbooks as part of SAM's documentation package. NREL maintains and updates the financial models </t>
  </si>
  <si>
    <t>in SAM,  but does not maintain or update this workbook.</t>
  </si>
  <si>
    <t>For a description of the financial models, see SAM's Help system and the SAM website.</t>
  </si>
  <si>
    <t>These models were finalized during the first quarter of 2011. The costs and other assumptions are from that period.</t>
  </si>
  <si>
    <t>YOU AGREE TO INDEMNIFY DOE/NREL/ALLIANCE, AND ITS AFFILIATES, OFFICERS, AGENTS, CONTRACTORS, AND</t>
  </si>
  <si>
    <t>EMPLOYEES AGAINST ANY CLAIM OR DEMAND, INCLUDING REASONABLE ATTORNEYS' FEES, RELATED TO</t>
  </si>
  <si>
    <t>YOUR USE, RELIANCE, OR ADOPTION OF THE MODEL FOR ANY PURPOSE WHATSOEVER. THE MODEL IS</t>
  </si>
  <si>
    <t>PROVIDED BYDOE/NREL/ALLIANCE "AS IS" AND ANY EXPRESS OR IMPLIED WARRANTIES, INCLUDING BUT</t>
  </si>
  <si>
    <t>NOT LIMITED TO THE IMPLIED WARRANTIES OF MERCHANTABILITY AND FITNESS FOR APARTICULAR</t>
  </si>
  <si>
    <t>PURPOSE ARE EXPRESSLY DISCLAIMED. IN NO EVENT SHALL DOE/NREL/ALLIANCE BE LIABLE FOR ANY</t>
  </si>
  <si>
    <t>SPECIAL, INDIRECT OR CONSEQUENTIAL DAMAGES OR ANY DAMAGES WHATSOEVER, INCLUDING BUT NOT</t>
  </si>
  <si>
    <t>LIMITED TO CLAIMS ASSOCIATED WITH THE LOSS OF DATA OR PROFITS,WHICH MAY RESULT FROMANY</t>
  </si>
  <si>
    <t>ACTION IN CONTRACT, NEGLIGENCE OR OTHER TORTIOUS CLAIM THAT ARISES OUT OF OR IN</t>
  </si>
  <si>
    <t>This is the model on which SAM's PPA financial models were based.</t>
  </si>
  <si>
    <t>The workbook contains three Visual Basic (VBA) modules that calculate the PPA price for each of the financial models.</t>
  </si>
  <si>
    <t>This workbook contains a worksheet for each of the PPA financial models in NREL's System Advisor Model (SAM).</t>
  </si>
  <si>
    <t>https://sam.nrel.gov/financial-models/utility-scale-ppa</t>
  </si>
  <si>
    <t>NREL System Advisor Model (SAM) Power Purchase Agreement (PPA) Financial Models Workbook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</si>
</sst>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[Red]\(0\)"/>
    <numFmt numFmtId="165" formatCode="_(* #,##0.000_);_(* \(#,##0.000\);_(* &quot;-&quot;??_);_(@_)"/>
    <numFmt numFmtId="166" formatCode="_(* #,##0.000_);_(* \(#,##0.000\);_(* &quot;-&quot;???_);_(@_)"/>
    <numFmt numFmtId="167" formatCode="0.0%"/>
    <numFmt numFmtId="168" formatCode="_(* #,##0.00_);_(* \(#,##0.00\);_(* &quot;-&quot;_);_(@_)"/>
    <numFmt numFmtId="169" formatCode="0.000000"/>
    <numFmt numFmtId="170" formatCode="&quot;Yr&quot;\ #,##0"/>
    <numFmt numFmtId="171" formatCode="_(* #,##0.0000_);_(* \(#,##0.0000\);_(* &quot;-&quot;????_);_(@_)"/>
    <numFmt numFmtId="172" formatCode="0.000%"/>
    <numFmt numFmtId="173" formatCode="0.0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CC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rgb="FF0000FF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lightGray"/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lightGray">
        <bgColor auto="1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/>
      <diagonal/>
    </border>
    <border>
      <left/>
      <right/>
      <top style="medium">
        <color theme="4" tint="-0.499984740745262"/>
      </top>
      <bottom/>
      <diagonal/>
    </border>
    <border>
      <left/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/>
      <top/>
      <bottom/>
      <diagonal/>
    </border>
    <border>
      <left/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 style="medium">
        <color theme="4" tint="-0.499984740745262"/>
      </right>
      <top/>
      <bottom style="medium">
        <color theme="4" tint="-0.49998474074526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442">
    <xf numFmtId="0" fontId="0" fillId="0" borderId="0" xfId="0"/>
    <xf numFmtId="169" fontId="2" fillId="5" borderId="4" xfId="0" applyNumberFormat="1" applyFont="1" applyFill="1" applyBorder="1" applyAlignment="1">
      <alignment horizontal="left"/>
    </xf>
    <xf numFmtId="0" fontId="3" fillId="5" borderId="2" xfId="0" applyNumberFormat="1" applyFont="1" applyFill="1" applyBorder="1" applyAlignment="1"/>
    <xf numFmtId="41" fontId="4" fillId="5" borderId="2" xfId="2" applyNumberFormat="1" applyFont="1" applyFill="1" applyBorder="1"/>
    <xf numFmtId="0" fontId="3" fillId="5" borderId="5" xfId="0" applyNumberFormat="1" applyFont="1" applyFill="1" applyBorder="1" applyAlignment="1"/>
    <xf numFmtId="0" fontId="3" fillId="0" borderId="0" xfId="0" applyNumberFormat="1" applyFont="1" applyFill="1" applyAlignment="1"/>
    <xf numFmtId="0" fontId="3" fillId="0" borderId="6" xfId="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center"/>
    </xf>
    <xf numFmtId="170" fontId="3" fillId="0" borderId="13" xfId="0" applyNumberFormat="1" applyFont="1" applyFill="1" applyBorder="1" applyAlignment="1">
      <alignment horizontal="center"/>
    </xf>
    <xf numFmtId="10" fontId="5" fillId="0" borderId="13" xfId="0" applyNumberFormat="1" applyFont="1" applyFill="1" applyBorder="1" applyAlignment="1"/>
    <xf numFmtId="10" fontId="5" fillId="0" borderId="13" xfId="2" applyNumberFormat="1" applyFont="1" applyFill="1" applyBorder="1"/>
    <xf numFmtId="170" fontId="3" fillId="0" borderId="14" xfId="0" applyNumberFormat="1" applyFont="1" applyFill="1" applyBorder="1" applyAlignment="1">
      <alignment horizontal="center"/>
    </xf>
    <xf numFmtId="10" fontId="5" fillId="0" borderId="14" xfId="0" applyNumberFormat="1" applyFont="1" applyFill="1" applyBorder="1" applyAlignment="1"/>
    <xf numFmtId="10" fontId="5" fillId="0" borderId="14" xfId="2" applyNumberFormat="1" applyFont="1" applyFill="1" applyBorder="1"/>
    <xf numFmtId="10" fontId="5" fillId="0" borderId="14" xfId="0" applyNumberFormat="1" applyFont="1" applyFill="1" applyBorder="1" applyAlignment="1">
      <alignment horizontal="right"/>
    </xf>
    <xf numFmtId="170" fontId="3" fillId="0" borderId="15" xfId="0" applyNumberFormat="1" applyFont="1" applyFill="1" applyBorder="1" applyAlignment="1">
      <alignment horizontal="center"/>
    </xf>
    <xf numFmtId="10" fontId="5" fillId="0" borderId="15" xfId="0" applyNumberFormat="1" applyFont="1" applyFill="1" applyBorder="1" applyAlignment="1"/>
    <xf numFmtId="0" fontId="7" fillId="2" borderId="21" xfId="0" applyFont="1" applyFill="1" applyBorder="1"/>
    <xf numFmtId="0" fontId="7" fillId="2" borderId="23" xfId="0" applyFont="1" applyFill="1" applyBorder="1"/>
    <xf numFmtId="0" fontId="7" fillId="2" borderId="22" xfId="0" applyFont="1" applyFill="1" applyBorder="1"/>
    <xf numFmtId="0" fontId="8" fillId="0" borderId="0" xfId="0" applyFont="1"/>
    <xf numFmtId="0" fontId="9" fillId="3" borderId="21" xfId="0" applyFont="1" applyFill="1" applyBorder="1"/>
    <xf numFmtId="0" fontId="8" fillId="3" borderId="22" xfId="0" applyFont="1" applyFill="1" applyBorder="1"/>
    <xf numFmtId="0" fontId="8" fillId="0" borderId="0" xfId="0" applyFont="1" applyBorder="1"/>
    <xf numFmtId="0" fontId="8" fillId="3" borderId="23" xfId="0" applyFont="1" applyFill="1" applyBorder="1"/>
    <xf numFmtId="0" fontId="8" fillId="0" borderId="0" xfId="0" applyFont="1" applyFill="1" applyBorder="1"/>
    <xf numFmtId="0" fontId="8" fillId="0" borderId="6" xfId="0" applyFont="1" applyBorder="1"/>
    <xf numFmtId="0" fontId="8" fillId="0" borderId="7" xfId="0" applyFont="1" applyBorder="1"/>
    <xf numFmtId="0" fontId="8" fillId="6" borderId="21" xfId="0" applyFont="1" applyFill="1" applyBorder="1"/>
    <xf numFmtId="0" fontId="8" fillId="6" borderId="22" xfId="0" applyFont="1" applyFill="1" applyBorder="1"/>
    <xf numFmtId="10" fontId="3" fillId="0" borderId="7" xfId="1" applyNumberFormat="1" applyFont="1" applyBorder="1"/>
    <xf numFmtId="0" fontId="9" fillId="0" borderId="20" xfId="0" applyFont="1" applyBorder="1" applyAlignment="1">
      <alignment horizontal="center"/>
    </xf>
    <xf numFmtId="0" fontId="8" fillId="0" borderId="6" xfId="0" applyFont="1" applyFill="1" applyBorder="1" applyAlignment="1">
      <alignment horizontal="left" indent="2"/>
    </xf>
    <xf numFmtId="41" fontId="3" fillId="0" borderId="7" xfId="0" applyNumberFormat="1" applyFont="1" applyFill="1" applyBorder="1"/>
    <xf numFmtId="0" fontId="3" fillId="7" borderId="21" xfId="0" applyFont="1" applyFill="1" applyBorder="1"/>
    <xf numFmtId="0" fontId="3" fillId="7" borderId="22" xfId="0" applyFont="1" applyFill="1" applyBorder="1"/>
    <xf numFmtId="41" fontId="3" fillId="0" borderId="0" xfId="0" applyNumberFormat="1" applyFont="1" applyBorder="1"/>
    <xf numFmtId="41" fontId="3" fillId="0" borderId="7" xfId="0" applyNumberFormat="1" applyFont="1" applyBorder="1"/>
    <xf numFmtId="0" fontId="8" fillId="0" borderId="6" xfId="0" applyFont="1" applyFill="1" applyBorder="1"/>
    <xf numFmtId="41" fontId="3" fillId="0" borderId="8" xfId="0" applyNumberFormat="1" applyFont="1" applyFill="1" applyBorder="1"/>
    <xf numFmtId="0" fontId="8" fillId="0" borderId="6" xfId="0" applyFont="1" applyBorder="1" applyAlignment="1">
      <alignment horizontal="left" indent="3"/>
    </xf>
    <xf numFmtId="41" fontId="3" fillId="6" borderId="7" xfId="0" applyNumberFormat="1" applyFont="1" applyFill="1" applyBorder="1"/>
    <xf numFmtId="0" fontId="8" fillId="0" borderId="6" xfId="0" applyFont="1" applyBorder="1" applyAlignment="1">
      <alignment horizontal="left" indent="2"/>
    </xf>
    <xf numFmtId="41" fontId="8" fillId="6" borderId="7" xfId="0" applyNumberFormat="1" applyFont="1" applyFill="1" applyBorder="1"/>
    <xf numFmtId="43" fontId="3" fillId="0" borderId="7" xfId="0" applyNumberFormat="1" applyFont="1" applyBorder="1"/>
    <xf numFmtId="172" fontId="8" fillId="0" borderId="8" xfId="1" applyNumberFormat="1" applyFont="1" applyBorder="1"/>
    <xf numFmtId="0" fontId="8" fillId="0" borderId="6" xfId="0" applyFont="1" applyBorder="1" applyAlignment="1">
      <alignment horizontal="left" indent="4"/>
    </xf>
    <xf numFmtId="10" fontId="3" fillId="0" borderId="8" xfId="1" applyNumberFormat="1" applyFont="1" applyBorder="1"/>
    <xf numFmtId="0" fontId="8" fillId="0" borderId="9" xfId="0" applyFont="1" applyBorder="1"/>
    <xf numFmtId="0" fontId="8" fillId="0" borderId="1" xfId="0" applyFont="1" applyBorder="1"/>
    <xf numFmtId="43" fontId="3" fillId="6" borderId="8" xfId="0" applyNumberFormat="1" applyFont="1" applyFill="1" applyBorder="1"/>
    <xf numFmtId="10" fontId="3" fillId="0" borderId="7" xfId="1" applyNumberFormat="1" applyFont="1" applyFill="1" applyBorder="1"/>
    <xf numFmtId="41" fontId="3" fillId="6" borderId="8" xfId="0" applyNumberFormat="1" applyFont="1" applyFill="1" applyBorder="1"/>
    <xf numFmtId="0" fontId="8" fillId="0" borderId="9" xfId="0" applyFont="1" applyFill="1" applyBorder="1"/>
    <xf numFmtId="0" fontId="8" fillId="0" borderId="1" xfId="0" applyFont="1" applyFill="1" applyBorder="1"/>
    <xf numFmtId="10" fontId="3" fillId="0" borderId="8" xfId="1" applyNumberFormat="1" applyFont="1" applyFill="1" applyBorder="1"/>
    <xf numFmtId="0" fontId="3" fillId="0" borderId="7" xfId="0" applyFont="1" applyBorder="1"/>
    <xf numFmtId="0" fontId="3" fillId="0" borderId="7" xfId="0" applyFont="1" applyBorder="1" applyAlignment="1">
      <alignment horizontal="right"/>
    </xf>
    <xf numFmtId="41" fontId="3" fillId="6" borderId="22" xfId="0" applyNumberFormat="1" applyFont="1" applyFill="1" applyBorder="1"/>
    <xf numFmtId="0" fontId="8" fillId="0" borderId="9" xfId="0" applyFont="1" applyBorder="1" applyAlignment="1">
      <alignment horizontal="left" indent="2"/>
    </xf>
    <xf numFmtId="0" fontId="3" fillId="0" borderId="8" xfId="0" applyFont="1" applyBorder="1" applyAlignment="1">
      <alignment horizontal="right"/>
    </xf>
    <xf numFmtId="41" fontId="8" fillId="6" borderId="22" xfId="0" applyNumberFormat="1" applyFont="1" applyFill="1" applyBorder="1"/>
    <xf numFmtId="0" fontId="10" fillId="0" borderId="9" xfId="0" applyFont="1" applyBorder="1"/>
    <xf numFmtId="0" fontId="3" fillId="0" borderId="8" xfId="0" applyFont="1" applyBorder="1"/>
    <xf numFmtId="43" fontId="8" fillId="6" borderId="7" xfId="0" applyNumberFormat="1" applyFont="1" applyFill="1" applyBorder="1"/>
    <xf numFmtId="0" fontId="8" fillId="0" borderId="8" xfId="0" applyFont="1" applyBorder="1"/>
    <xf numFmtId="0" fontId="8" fillId="0" borderId="9" xfId="0" applyFont="1" applyBorder="1" applyAlignment="1">
      <alignment horizontal="center"/>
    </xf>
    <xf numFmtId="41" fontId="3" fillId="0" borderId="1" xfId="0" applyNumberFormat="1" applyFont="1" applyBorder="1"/>
    <xf numFmtId="0" fontId="8" fillId="0" borderId="20" xfId="0" applyFont="1" applyBorder="1" applyAlignment="1">
      <alignment horizontal="center" wrapText="1"/>
    </xf>
    <xf numFmtId="0" fontId="8" fillId="0" borderId="27" xfId="0" applyFont="1" applyBorder="1"/>
    <xf numFmtId="0" fontId="8" fillId="0" borderId="20" xfId="0" applyFont="1" applyBorder="1" applyAlignment="1">
      <alignment horizontal="center"/>
    </xf>
    <xf numFmtId="0" fontId="3" fillId="0" borderId="16" xfId="0" applyFont="1" applyBorder="1"/>
    <xf numFmtId="0" fontId="3" fillId="0" borderId="0" xfId="0" applyFont="1" applyBorder="1"/>
    <xf numFmtId="0" fontId="3" fillId="0" borderId="1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67" fontId="3" fillId="0" borderId="0" xfId="1" applyNumberFormat="1" applyFont="1" applyBorder="1"/>
    <xf numFmtId="11" fontId="3" fillId="0" borderId="0" xfId="0" applyNumberFormat="1" applyFont="1" applyBorder="1"/>
    <xf numFmtId="0" fontId="3" fillId="0" borderId="20" xfId="0" applyFont="1" applyBorder="1" applyAlignment="1">
      <alignment horizontal="center" wrapText="1"/>
    </xf>
    <xf numFmtId="0" fontId="8" fillId="0" borderId="16" xfId="0" applyFont="1" applyBorder="1"/>
    <xf numFmtId="166" fontId="3" fillId="0" borderId="0" xfId="0" applyNumberFormat="1" applyFont="1" applyBorder="1"/>
    <xf numFmtId="43" fontId="3" fillId="0" borderId="0" xfId="0" applyNumberFormat="1" applyFont="1" applyBorder="1"/>
    <xf numFmtId="0" fontId="8" fillId="4" borderId="16" xfId="0" applyFont="1" applyFill="1" applyBorder="1"/>
    <xf numFmtId="0" fontId="8" fillId="4" borderId="7" xfId="0" applyFont="1" applyFill="1" applyBorder="1"/>
    <xf numFmtId="166" fontId="3" fillId="0" borderId="1" xfId="0" applyNumberFormat="1" applyFont="1" applyBorder="1"/>
    <xf numFmtId="43" fontId="3" fillId="0" borderId="1" xfId="0" applyNumberFormat="1" applyFont="1" applyBorder="1"/>
    <xf numFmtId="0" fontId="8" fillId="4" borderId="17" xfId="0" applyFont="1" applyFill="1" applyBorder="1"/>
    <xf numFmtId="0" fontId="8" fillId="4" borderId="8" xfId="0" applyFont="1" applyFill="1" applyBorder="1"/>
    <xf numFmtId="0" fontId="3" fillId="0" borderId="0" xfId="0" applyFont="1" applyFill="1" applyBorder="1"/>
    <xf numFmtId="0" fontId="3" fillId="0" borderId="7" xfId="0" applyFont="1" applyFill="1" applyBorder="1"/>
    <xf numFmtId="0" fontId="11" fillId="0" borderId="6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8" fillId="0" borderId="16" xfId="0" applyFont="1" applyFill="1" applyBorder="1"/>
    <xf numFmtId="0" fontId="3" fillId="4" borderId="0" xfId="0" applyFont="1" applyFill="1" applyBorder="1"/>
    <xf numFmtId="0" fontId="3" fillId="4" borderId="7" xfId="0" applyFont="1" applyFill="1" applyBorder="1"/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41" fontId="3" fillId="6" borderId="6" xfId="0" applyNumberFormat="1" applyFont="1" applyFill="1" applyBorder="1"/>
    <xf numFmtId="10" fontId="3" fillId="0" borderId="0" xfId="1" applyNumberFormat="1" applyFont="1" applyBorder="1"/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8" fillId="0" borderId="0" xfId="0" applyFont="1" applyFill="1"/>
    <xf numFmtId="0" fontId="8" fillId="4" borderId="6" xfId="0" applyFont="1" applyFill="1" applyBorder="1"/>
    <xf numFmtId="165" fontId="3" fillId="0" borderId="0" xfId="0" applyNumberFormat="1" applyFont="1" applyBorder="1"/>
    <xf numFmtId="0" fontId="3" fillId="4" borderId="6" xfId="0" applyFont="1" applyFill="1" applyBorder="1"/>
    <xf numFmtId="0" fontId="8" fillId="4" borderId="9" xfId="0" applyFont="1" applyFill="1" applyBorder="1"/>
    <xf numFmtId="0" fontId="3" fillId="4" borderId="1" xfId="0" applyFont="1" applyFill="1" applyBorder="1"/>
    <xf numFmtId="165" fontId="3" fillId="0" borderId="1" xfId="0" applyNumberFormat="1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4" borderId="9" xfId="0" applyFont="1" applyFill="1" applyBorder="1"/>
    <xf numFmtId="0" fontId="3" fillId="4" borderId="8" xfId="0" applyFont="1" applyFill="1" applyBorder="1"/>
    <xf numFmtId="0" fontId="8" fillId="0" borderId="3" xfId="0" applyFont="1" applyBorder="1" applyAlignment="1">
      <alignment horizontal="center" wrapText="1"/>
    </xf>
    <xf numFmtId="0" fontId="10" fillId="0" borderId="0" xfId="0" applyFont="1" applyAlignment="1">
      <alignment horizontal="left" wrapText="1"/>
    </xf>
    <xf numFmtId="0" fontId="8" fillId="0" borderId="16" xfId="0" applyFont="1" applyBorder="1" applyAlignment="1">
      <alignment horizontal="center" wrapText="1"/>
    </xf>
    <xf numFmtId="0" fontId="9" fillId="0" borderId="10" xfId="0" applyFont="1" applyBorder="1"/>
    <xf numFmtId="0" fontId="8" fillId="0" borderId="13" xfId="0" applyFont="1" applyBorder="1"/>
    <xf numFmtId="43" fontId="3" fillId="0" borderId="16" xfId="0" applyNumberFormat="1" applyFont="1" applyBorder="1"/>
    <xf numFmtId="10" fontId="3" fillId="0" borderId="17" xfId="1" applyNumberFormat="1" applyFont="1" applyBorder="1"/>
    <xf numFmtId="0" fontId="9" fillId="0" borderId="10" xfId="0" applyFont="1" applyBorder="1" applyAlignment="1">
      <alignment horizontal="left"/>
    </xf>
    <xf numFmtId="10" fontId="12" fillId="0" borderId="13" xfId="1" applyNumberFormat="1" applyFont="1" applyBorder="1"/>
    <xf numFmtId="0" fontId="9" fillId="0" borderId="6" xfId="0" applyFont="1" applyBorder="1" applyAlignment="1">
      <alignment horizontal="left" indent="3"/>
    </xf>
    <xf numFmtId="0" fontId="8" fillId="0" borderId="6" xfId="0" applyFont="1" applyBorder="1" applyAlignment="1">
      <alignment horizontal="left" indent="5"/>
    </xf>
    <xf numFmtId="41" fontId="8" fillId="6" borderId="16" xfId="0" applyNumberFormat="1" applyFont="1" applyFill="1" applyBorder="1"/>
    <xf numFmtId="41" fontId="8" fillId="0" borderId="0" xfId="0" applyNumberFormat="1" applyFont="1" applyFill="1" applyBorder="1"/>
    <xf numFmtId="10" fontId="8" fillId="6" borderId="16" xfId="1" applyNumberFormat="1" applyFont="1" applyFill="1" applyBorder="1"/>
    <xf numFmtId="10" fontId="8" fillId="0" borderId="0" xfId="1" applyNumberFormat="1" applyFont="1" applyFill="1" applyBorder="1"/>
    <xf numFmtId="43" fontId="8" fillId="6" borderId="16" xfId="0" applyNumberFormat="1" applyFont="1" applyFill="1" applyBorder="1"/>
    <xf numFmtId="10" fontId="12" fillId="0" borderId="16" xfId="1" applyNumberFormat="1" applyFont="1" applyBorder="1"/>
    <xf numFmtId="0" fontId="8" fillId="0" borderId="6" xfId="0" applyFont="1" applyBorder="1" applyAlignment="1">
      <alignment horizontal="left" indent="6"/>
    </xf>
    <xf numFmtId="10" fontId="3" fillId="6" borderId="16" xfId="1" applyNumberFormat="1" applyFont="1" applyFill="1" applyBorder="1"/>
    <xf numFmtId="41" fontId="3" fillId="6" borderId="16" xfId="1" applyNumberFormat="1" applyFont="1" applyFill="1" applyBorder="1"/>
    <xf numFmtId="10" fontId="12" fillId="0" borderId="16" xfId="1" applyNumberFormat="1" applyFont="1" applyFill="1" applyBorder="1"/>
    <xf numFmtId="10" fontId="3" fillId="0" borderId="16" xfId="1" applyNumberFormat="1" applyFont="1" applyBorder="1"/>
    <xf numFmtId="41" fontId="3" fillId="0" borderId="16" xfId="0" applyNumberFormat="1" applyFont="1" applyBorder="1"/>
    <xf numFmtId="41" fontId="8" fillId="0" borderId="0" xfId="0" applyNumberFormat="1" applyFont="1"/>
    <xf numFmtId="41" fontId="8" fillId="0" borderId="16" xfId="0" applyNumberFormat="1" applyFont="1" applyBorder="1"/>
    <xf numFmtId="41" fontId="8" fillId="0" borderId="7" xfId="0" applyNumberFormat="1" applyFont="1" applyBorder="1"/>
    <xf numFmtId="41" fontId="3" fillId="6" borderId="16" xfId="0" applyNumberFormat="1" applyFont="1" applyFill="1" applyBorder="1"/>
    <xf numFmtId="0" fontId="3" fillId="4" borderId="16" xfId="0" applyFont="1" applyFill="1" applyBorder="1"/>
    <xf numFmtId="167" fontId="3" fillId="6" borderId="16" xfId="1" applyNumberFormat="1" applyFont="1" applyFill="1" applyBorder="1"/>
    <xf numFmtId="10" fontId="3" fillId="0" borderId="16" xfId="1" applyNumberFormat="1" applyFont="1" applyFill="1" applyBorder="1"/>
    <xf numFmtId="41" fontId="3" fillId="6" borderId="17" xfId="0" applyNumberFormat="1" applyFont="1" applyFill="1" applyBorder="1"/>
    <xf numFmtId="0" fontId="8" fillId="0" borderId="9" xfId="0" applyFont="1" applyBorder="1" applyAlignment="1">
      <alignment horizontal="left" indent="4"/>
    </xf>
    <xf numFmtId="43" fontId="3" fillId="6" borderId="17" xfId="0" applyNumberFormat="1" applyFont="1" applyFill="1" applyBorder="1"/>
    <xf numFmtId="43" fontId="8" fillId="0" borderId="13" xfId="0" applyNumberFormat="1" applyFont="1" applyBorder="1"/>
    <xf numFmtId="43" fontId="8" fillId="0" borderId="16" xfId="0" applyNumberFormat="1" applyFont="1" applyBorder="1"/>
    <xf numFmtId="0" fontId="8" fillId="0" borderId="16" xfId="0" applyFont="1" applyBorder="1" applyAlignment="1">
      <alignment horizontal="left" indent="4"/>
    </xf>
    <xf numFmtId="167" fontId="8" fillId="4" borderId="16" xfId="0" applyNumberFormat="1" applyFont="1" applyFill="1" applyBorder="1"/>
    <xf numFmtId="167" fontId="3" fillId="6" borderId="17" xfId="1" applyNumberFormat="1" applyFont="1" applyFill="1" applyBorder="1"/>
    <xf numFmtId="41" fontId="3" fillId="0" borderId="13" xfId="0" applyNumberFormat="1" applyFont="1" applyBorder="1"/>
    <xf numFmtId="0" fontId="3" fillId="0" borderId="6" xfId="0" applyNumberFormat="1" applyFont="1" applyFill="1" applyBorder="1" applyAlignment="1">
      <alignment horizontal="left" indent="6"/>
    </xf>
    <xf numFmtId="10" fontId="3" fillId="6" borderId="17" xfId="1" applyNumberFormat="1" applyFont="1" applyFill="1" applyBorder="1"/>
    <xf numFmtId="41" fontId="3" fillId="6" borderId="20" xfId="0" applyNumberFormat="1" applyFont="1" applyFill="1" applyBorder="1"/>
    <xf numFmtId="0" fontId="8" fillId="0" borderId="6" xfId="0" applyFont="1" applyBorder="1" applyAlignment="1">
      <alignment horizontal="center"/>
    </xf>
    <xf numFmtId="0" fontId="3" fillId="0" borderId="6" xfId="0" applyNumberFormat="1" applyFont="1" applyFill="1" applyBorder="1" applyAlignment="1">
      <alignment horizontal="left" indent="7"/>
    </xf>
    <xf numFmtId="0" fontId="3" fillId="0" borderId="6" xfId="0" applyNumberFormat="1" applyFont="1" applyFill="1" applyBorder="1" applyAlignment="1">
      <alignment horizontal="left" indent="8"/>
    </xf>
    <xf numFmtId="0" fontId="3" fillId="0" borderId="9" xfId="0" applyNumberFormat="1" applyFont="1" applyFill="1" applyBorder="1" applyAlignment="1">
      <alignment horizontal="left" indent="8"/>
    </xf>
    <xf numFmtId="0" fontId="3" fillId="0" borderId="9" xfId="0" applyNumberFormat="1" applyFont="1" applyFill="1" applyBorder="1" applyAlignment="1">
      <alignment horizontal="left" indent="6"/>
    </xf>
    <xf numFmtId="0" fontId="7" fillId="0" borderId="0" xfId="0" applyFont="1"/>
    <xf numFmtId="164" fontId="9" fillId="3" borderId="2" xfId="0" applyNumberFormat="1" applyFont="1" applyFill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0" fontId="9" fillId="3" borderId="3" xfId="0" applyFont="1" applyFill="1" applyBorder="1"/>
    <xf numFmtId="0" fontId="8" fillId="0" borderId="0" xfId="0" applyFont="1" applyAlignment="1">
      <alignment horizontal="left"/>
    </xf>
    <xf numFmtId="10" fontId="8" fillId="0" borderId="0" xfId="1" applyNumberFormat="1" applyFont="1"/>
    <xf numFmtId="0" fontId="9" fillId="0" borderId="0" xfId="0" applyFont="1"/>
    <xf numFmtId="168" fontId="8" fillId="0" borderId="0" xfId="0" applyNumberFormat="1" applyFont="1"/>
    <xf numFmtId="0" fontId="8" fillId="0" borderId="0" xfId="0" applyFont="1" applyAlignment="1">
      <alignment horizontal="left" indent="2"/>
    </xf>
    <xf numFmtId="43" fontId="8" fillId="0" borderId="1" xfId="0" applyNumberFormat="1" applyFont="1" applyBorder="1"/>
    <xf numFmtId="41" fontId="8" fillId="0" borderId="0" xfId="0" applyNumberFormat="1" applyFont="1" applyBorder="1"/>
    <xf numFmtId="41" fontId="8" fillId="0" borderId="1" xfId="0" applyNumberFormat="1" applyFont="1" applyBorder="1"/>
    <xf numFmtId="41" fontId="8" fillId="0" borderId="12" xfId="0" applyNumberFormat="1" applyFont="1" applyBorder="1"/>
    <xf numFmtId="0" fontId="8" fillId="0" borderId="0" xfId="0" applyFont="1" applyAlignment="1">
      <alignment horizontal="left" indent="3"/>
    </xf>
    <xf numFmtId="10" fontId="8" fillId="0" borderId="1" xfId="1" applyNumberFormat="1" applyFont="1" applyBorder="1"/>
    <xf numFmtId="167" fontId="8" fillId="0" borderId="1" xfId="1" applyNumberFormat="1" applyFont="1" applyBorder="1"/>
    <xf numFmtId="167" fontId="8" fillId="0" borderId="1" xfId="0" applyNumberFormat="1" applyFont="1" applyBorder="1"/>
    <xf numFmtId="41" fontId="8" fillId="0" borderId="18" xfId="0" applyNumberFormat="1" applyFont="1" applyBorder="1"/>
    <xf numFmtId="41" fontId="8" fillId="0" borderId="2" xfId="0" applyNumberFormat="1" applyFont="1" applyBorder="1"/>
    <xf numFmtId="0" fontId="9" fillId="0" borderId="0" xfId="0" applyFont="1" applyFill="1" applyBorder="1"/>
    <xf numFmtId="41" fontId="8" fillId="0" borderId="3" xfId="0" applyNumberFormat="1" applyFont="1" applyBorder="1"/>
    <xf numFmtId="0" fontId="8" fillId="0" borderId="0" xfId="0" applyFont="1" applyFill="1" applyBorder="1" applyAlignment="1">
      <alignment horizontal="left"/>
    </xf>
    <xf numFmtId="41" fontId="8" fillId="0" borderId="0" xfId="0" applyNumberFormat="1" applyFont="1" applyFill="1"/>
    <xf numFmtId="43" fontId="8" fillId="0" borderId="3" xfId="0" applyNumberFormat="1" applyFont="1" applyBorder="1"/>
    <xf numFmtId="0" fontId="8" fillId="0" borderId="0" xfId="0" applyFont="1" applyAlignment="1">
      <alignment horizontal="left" indent="4"/>
    </xf>
    <xf numFmtId="10" fontId="8" fillId="0" borderId="12" xfId="0" applyNumberFormat="1" applyFont="1" applyBorder="1"/>
    <xf numFmtId="10" fontId="8" fillId="0" borderId="1" xfId="0" applyNumberFormat="1" applyFont="1" applyBorder="1"/>
    <xf numFmtId="41" fontId="8" fillId="0" borderId="1" xfId="0" applyNumberFormat="1" applyFont="1" applyFill="1" applyBorder="1"/>
    <xf numFmtId="0" fontId="8" fillId="0" borderId="0" xfId="0" applyFont="1" applyFill="1" applyBorder="1" applyAlignment="1">
      <alignment horizontal="left" indent="2"/>
    </xf>
    <xf numFmtId="0" fontId="8" fillId="0" borderId="0" xfId="0" applyFont="1" applyFill="1" applyBorder="1" applyAlignment="1">
      <alignment horizontal="left" indent="4"/>
    </xf>
    <xf numFmtId="0" fontId="8" fillId="0" borderId="4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23" xfId="0" applyFont="1" applyBorder="1" applyAlignment="1">
      <alignment horizontal="center" wrapText="1"/>
    </xf>
    <xf numFmtId="167" fontId="8" fillId="4" borderId="9" xfId="1" applyNumberFormat="1" applyFont="1" applyFill="1" applyBorder="1"/>
    <xf numFmtId="41" fontId="8" fillId="4" borderId="1" xfId="0" applyNumberFormat="1" applyFont="1" applyFill="1" applyBorder="1"/>
    <xf numFmtId="0" fontId="8" fillId="4" borderId="1" xfId="0" applyFont="1" applyFill="1" applyBorder="1"/>
    <xf numFmtId="41" fontId="8" fillId="0" borderId="17" xfId="0" applyNumberFormat="1" applyFont="1" applyBorder="1"/>
    <xf numFmtId="0" fontId="8" fillId="0" borderId="0" xfId="0" applyFont="1" applyAlignment="1">
      <alignment horizontal="left" indent="6"/>
    </xf>
    <xf numFmtId="167" fontId="8" fillId="0" borderId="13" xfId="0" applyNumberFormat="1" applyFont="1" applyBorder="1"/>
    <xf numFmtId="167" fontId="8" fillId="0" borderId="0" xfId="1" applyNumberFormat="1" applyFont="1" applyBorder="1"/>
    <xf numFmtId="167" fontId="8" fillId="0" borderId="16" xfId="0" applyNumberFormat="1" applyFont="1" applyBorder="1"/>
    <xf numFmtId="167" fontId="8" fillId="0" borderId="17" xfId="0" applyNumberFormat="1" applyFont="1" applyBorder="1"/>
    <xf numFmtId="41" fontId="8" fillId="0" borderId="13" xfId="0" applyNumberFormat="1" applyFont="1" applyBorder="1"/>
    <xf numFmtId="0" fontId="8" fillId="0" borderId="0" xfId="0" applyFont="1" applyAlignment="1">
      <alignment horizontal="right"/>
    </xf>
    <xf numFmtId="167" fontId="8" fillId="0" borderId="0" xfId="1" applyNumberFormat="1" applyFont="1"/>
    <xf numFmtId="41" fontId="8" fillId="0" borderId="9" xfId="0" applyNumberFormat="1" applyFont="1" applyBorder="1"/>
    <xf numFmtId="0" fontId="8" fillId="0" borderId="0" xfId="0" applyFont="1" applyFill="1" applyAlignment="1">
      <alignment horizontal="right"/>
    </xf>
    <xf numFmtId="41" fontId="8" fillId="0" borderId="16" xfId="0" applyNumberFormat="1" applyFont="1" applyFill="1" applyBorder="1"/>
    <xf numFmtId="41" fontId="8" fillId="0" borderId="17" xfId="0" applyNumberFormat="1" applyFont="1" applyFill="1" applyBorder="1"/>
    <xf numFmtId="41" fontId="8" fillId="0" borderId="6" xfId="0" applyNumberFormat="1" applyFont="1" applyBorder="1"/>
    <xf numFmtId="41" fontId="9" fillId="0" borderId="10" xfId="0" applyNumberFormat="1" applyFont="1" applyFill="1" applyBorder="1"/>
    <xf numFmtId="41" fontId="8" fillId="0" borderId="11" xfId="0" applyNumberFormat="1" applyFont="1" applyFill="1" applyBorder="1"/>
    <xf numFmtId="0" fontId="8" fillId="0" borderId="3" xfId="0" applyFont="1" applyFill="1" applyBorder="1" applyAlignment="1">
      <alignment horizontal="center" wrapText="1"/>
    </xf>
    <xf numFmtId="41" fontId="8" fillId="0" borderId="12" xfId="0" applyNumberFormat="1" applyFont="1" applyFill="1" applyBorder="1"/>
    <xf numFmtId="167" fontId="8" fillId="4" borderId="1" xfId="1" applyNumberFormat="1" applyFont="1" applyFill="1" applyBorder="1"/>
    <xf numFmtId="167" fontId="8" fillId="4" borderId="17" xfId="1" applyNumberFormat="1" applyFont="1" applyFill="1" applyBorder="1"/>
    <xf numFmtId="166" fontId="8" fillId="0" borderId="0" xfId="0" applyNumberFormat="1" applyFont="1"/>
    <xf numFmtId="43" fontId="8" fillId="0" borderId="0" xfId="0" applyNumberFormat="1" applyFont="1"/>
    <xf numFmtId="166" fontId="8" fillId="0" borderId="0" xfId="0" applyNumberFormat="1" applyFont="1" applyBorder="1"/>
    <xf numFmtId="10" fontId="8" fillId="0" borderId="0" xfId="1" applyNumberFormat="1" applyFont="1" applyFill="1"/>
    <xf numFmtId="171" fontId="8" fillId="0" borderId="0" xfId="1" applyNumberFormat="1" applyFont="1" applyFill="1"/>
    <xf numFmtId="171" fontId="8" fillId="0" borderId="0" xfId="1" applyNumberFormat="1" applyFont="1" applyFill="1" applyBorder="1"/>
    <xf numFmtId="41" fontId="8" fillId="0" borderId="19" xfId="0" applyNumberFormat="1" applyFont="1" applyBorder="1"/>
    <xf numFmtId="43" fontId="8" fillId="0" borderId="0" xfId="1" applyNumberFormat="1" applyFont="1" applyFill="1"/>
    <xf numFmtId="43" fontId="8" fillId="0" borderId="2" xfId="0" applyNumberFormat="1" applyFont="1" applyBorder="1"/>
    <xf numFmtId="0" fontId="9" fillId="3" borderId="9" xfId="0" applyFont="1" applyFill="1" applyBorder="1"/>
    <xf numFmtId="0" fontId="8" fillId="3" borderId="8" xfId="0" applyFont="1" applyFill="1" applyBorder="1"/>
    <xf numFmtId="0" fontId="8" fillId="3" borderId="1" xfId="0" applyFont="1" applyFill="1" applyBorder="1"/>
    <xf numFmtId="0" fontId="3" fillId="3" borderId="8" xfId="0" applyFont="1" applyFill="1" applyBorder="1"/>
    <xf numFmtId="0" fontId="8" fillId="0" borderId="7" xfId="0" applyFont="1" applyFill="1" applyBorder="1"/>
    <xf numFmtId="0" fontId="8" fillId="0" borderId="6" xfId="0" applyFont="1" applyBorder="1" applyAlignment="1">
      <alignment horizontal="left" wrapText="1" indent="5"/>
    </xf>
    <xf numFmtId="41" fontId="8" fillId="0" borderId="23" xfId="0" applyNumberFormat="1" applyFont="1" applyBorder="1"/>
    <xf numFmtId="0" fontId="8" fillId="0" borderId="21" xfId="0" applyFont="1" applyBorder="1" applyAlignment="1">
      <alignment horizontal="left" indent="6"/>
    </xf>
    <xf numFmtId="0" fontId="3" fillId="0" borderId="6" xfId="0" applyNumberFormat="1" applyFont="1" applyFill="1" applyBorder="1" applyAlignment="1">
      <alignment horizontal="left" wrapText="1" indent="6"/>
    </xf>
    <xf numFmtId="41" fontId="8" fillId="0" borderId="20" xfId="0" applyNumberFormat="1" applyFont="1" applyBorder="1"/>
    <xf numFmtId="0" fontId="8" fillId="0" borderId="0" xfId="0" applyFont="1" applyFill="1" applyAlignment="1">
      <alignment horizontal="left" indent="2"/>
    </xf>
    <xf numFmtId="0" fontId="8" fillId="0" borderId="0" xfId="0" applyFont="1" applyFill="1" applyAlignment="1">
      <alignment horizontal="left" indent="4"/>
    </xf>
    <xf numFmtId="0" fontId="8" fillId="0" borderId="0" xfId="0" applyFont="1" applyFill="1" applyAlignment="1">
      <alignment horizontal="left" indent="6"/>
    </xf>
    <xf numFmtId="0" fontId="3" fillId="0" borderId="17" xfId="0" applyFont="1" applyBorder="1" applyAlignment="1">
      <alignment horizontal="center"/>
    </xf>
    <xf numFmtId="0" fontId="8" fillId="0" borderId="0" xfId="0" applyFont="1" applyFill="1" applyAlignment="1">
      <alignment horizontal="left" wrapText="1" indent="2"/>
    </xf>
    <xf numFmtId="10" fontId="3" fillId="6" borderId="16" xfId="1" applyNumberFormat="1" applyFont="1" applyFill="1" applyBorder="1" applyAlignment="1">
      <alignment horizontal="right"/>
    </xf>
    <xf numFmtId="10" fontId="12" fillId="0" borderId="16" xfId="1" applyNumberFormat="1" applyFont="1" applyBorder="1" applyAlignment="1">
      <alignment horizontal="right"/>
    </xf>
    <xf numFmtId="10" fontId="8" fillId="0" borderId="3" xfId="0" applyNumberFormat="1" applyFont="1" applyBorder="1" applyAlignment="1">
      <alignment horizontal="right"/>
    </xf>
    <xf numFmtId="41" fontId="8" fillId="0" borderId="25" xfId="0" applyNumberFormat="1" applyFont="1" applyBorder="1"/>
    <xf numFmtId="0" fontId="8" fillId="0" borderId="0" xfId="0" applyFont="1" applyFill="1" applyAlignment="1">
      <alignment horizontal="left"/>
    </xf>
    <xf numFmtId="10" fontId="8" fillId="0" borderId="12" xfId="0" applyNumberFormat="1" applyFont="1" applyFill="1" applyBorder="1" applyAlignment="1">
      <alignment horizontal="right"/>
    </xf>
    <xf numFmtId="41" fontId="8" fillId="0" borderId="23" xfId="0" applyNumberFormat="1" applyFont="1" applyFill="1" applyBorder="1"/>
    <xf numFmtId="10" fontId="8" fillId="0" borderId="25" xfId="0" applyNumberFormat="1" applyFont="1" applyBorder="1"/>
    <xf numFmtId="10" fontId="3" fillId="8" borderId="16" xfId="1" applyNumberFormat="1" applyFont="1" applyFill="1" applyBorder="1"/>
    <xf numFmtId="41" fontId="3" fillId="0" borderId="16" xfId="0" applyNumberFormat="1" applyFont="1" applyFill="1" applyBorder="1"/>
    <xf numFmtId="41" fontId="8" fillId="0" borderId="2" xfId="0" applyNumberFormat="1" applyFont="1" applyFill="1" applyBorder="1"/>
    <xf numFmtId="0" fontId="9" fillId="0" borderId="0" xfId="0" applyFont="1" applyFill="1"/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 wrapText="1" indent="2"/>
    </xf>
    <xf numFmtId="0" fontId="9" fillId="4" borderId="0" xfId="0" applyFont="1" applyFill="1" applyBorder="1"/>
    <xf numFmtId="41" fontId="8" fillId="4" borderId="0" xfId="0" applyNumberFormat="1" applyFont="1" applyFill="1"/>
    <xf numFmtId="41" fontId="8" fillId="4" borderId="0" xfId="0" applyNumberFormat="1" applyFont="1" applyFill="1" applyBorder="1"/>
    <xf numFmtId="0" fontId="8" fillId="4" borderId="0" xfId="0" applyFont="1" applyFill="1" applyAlignment="1">
      <alignment horizontal="left"/>
    </xf>
    <xf numFmtId="10" fontId="8" fillId="4" borderId="12" xfId="0" applyNumberFormat="1" applyFont="1" applyFill="1" applyBorder="1"/>
    <xf numFmtId="41" fontId="8" fillId="4" borderId="23" xfId="0" applyNumberFormat="1" applyFont="1" applyFill="1" applyBorder="1"/>
    <xf numFmtId="0" fontId="8" fillId="4" borderId="0" xfId="0" applyFont="1" applyFill="1" applyBorder="1" applyAlignment="1">
      <alignment horizontal="left"/>
    </xf>
    <xf numFmtId="0" fontId="8" fillId="4" borderId="0" xfId="0" applyFont="1" applyFill="1" applyAlignment="1">
      <alignment horizontal="left" indent="2"/>
    </xf>
    <xf numFmtId="41" fontId="8" fillId="4" borderId="2" xfId="0" applyNumberFormat="1" applyFont="1" applyFill="1" applyBorder="1"/>
    <xf numFmtId="10" fontId="8" fillId="0" borderId="3" xfId="0" applyNumberFormat="1" applyFont="1" applyFill="1" applyBorder="1" applyAlignment="1">
      <alignment horizontal="right"/>
    </xf>
    <xf numFmtId="41" fontId="8" fillId="0" borderId="3" xfId="0" applyNumberFormat="1" applyFont="1" applyFill="1" applyBorder="1"/>
    <xf numFmtId="0" fontId="8" fillId="3" borderId="16" xfId="0" applyFont="1" applyFill="1" applyBorder="1" applyAlignment="1">
      <alignment horizontal="center" wrapText="1"/>
    </xf>
    <xf numFmtId="172" fontId="8" fillId="0" borderId="0" xfId="1" applyNumberFormat="1" applyFont="1"/>
    <xf numFmtId="41" fontId="8" fillId="0" borderId="20" xfId="0" applyNumberFormat="1" applyFont="1" applyFill="1" applyBorder="1"/>
    <xf numFmtId="0" fontId="9" fillId="0" borderId="21" xfId="0" applyFont="1" applyBorder="1"/>
    <xf numFmtId="0" fontId="8" fillId="0" borderId="23" xfId="0" applyFont="1" applyBorder="1"/>
    <xf numFmtId="0" fontId="8" fillId="0" borderId="22" xfId="0" applyFont="1" applyBorder="1"/>
    <xf numFmtId="167" fontId="8" fillId="4" borderId="8" xfId="1" applyNumberFormat="1" applyFont="1" applyFill="1" applyBorder="1"/>
    <xf numFmtId="10" fontId="8" fillId="0" borderId="1" xfId="0" applyNumberFormat="1" applyFont="1" applyFill="1" applyBorder="1"/>
    <xf numFmtId="0" fontId="8" fillId="0" borderId="21" xfId="0" applyFont="1" applyBorder="1" applyAlignment="1">
      <alignment horizontal="center" wrapText="1"/>
    </xf>
    <xf numFmtId="0" fontId="8" fillId="3" borderId="0" xfId="0" applyFont="1" applyFill="1" applyBorder="1" applyAlignment="1">
      <alignment horizontal="center" wrapText="1"/>
    </xf>
    <xf numFmtId="0" fontId="8" fillId="0" borderId="25" xfId="0" applyFont="1" applyBorder="1"/>
    <xf numFmtId="43" fontId="3" fillId="0" borderId="6" xfId="0" applyNumberFormat="1" applyFont="1" applyBorder="1"/>
    <xf numFmtId="10" fontId="3" fillId="0" borderId="9" xfId="1" applyNumberFormat="1" applyFont="1" applyBorder="1"/>
    <xf numFmtId="41" fontId="8" fillId="6" borderId="6" xfId="0" applyNumberFormat="1" applyFont="1" applyFill="1" applyBorder="1"/>
    <xf numFmtId="10" fontId="8" fillId="6" borderId="6" xfId="1" applyNumberFormat="1" applyFont="1" applyFill="1" applyBorder="1"/>
    <xf numFmtId="43" fontId="8" fillId="6" borderId="6" xfId="0" applyNumberFormat="1" applyFont="1" applyFill="1" applyBorder="1"/>
    <xf numFmtId="10" fontId="12" fillId="0" borderId="6" xfId="1" applyNumberFormat="1" applyFont="1" applyBorder="1"/>
    <xf numFmtId="10" fontId="3" fillId="6" borderId="6" xfId="1" applyNumberFormat="1" applyFont="1" applyFill="1" applyBorder="1"/>
    <xf numFmtId="10" fontId="3" fillId="0" borderId="6" xfId="1" applyNumberFormat="1" applyFont="1" applyFill="1" applyBorder="1"/>
    <xf numFmtId="41" fontId="3" fillId="6" borderId="6" xfId="1" applyNumberFormat="1" applyFont="1" applyFill="1" applyBorder="1"/>
    <xf numFmtId="10" fontId="12" fillId="0" borderId="6" xfId="1" applyNumberFormat="1" applyFont="1" applyFill="1" applyBorder="1"/>
    <xf numFmtId="10" fontId="3" fillId="8" borderId="6" xfId="1" applyNumberFormat="1" applyFont="1" applyFill="1" applyBorder="1"/>
    <xf numFmtId="167" fontId="3" fillId="6" borderId="6" xfId="1" applyNumberFormat="1" applyFont="1" applyFill="1" applyBorder="1"/>
    <xf numFmtId="41" fontId="3" fillId="0" borderId="6" xfId="0" applyNumberFormat="1" applyFont="1" applyBorder="1"/>
    <xf numFmtId="41" fontId="3" fillId="6" borderId="9" xfId="0" applyNumberFormat="1" applyFont="1" applyFill="1" applyBorder="1"/>
    <xf numFmtId="43" fontId="3" fillId="6" borderId="9" xfId="0" applyNumberFormat="1" applyFont="1" applyFill="1" applyBorder="1"/>
    <xf numFmtId="43" fontId="8" fillId="0" borderId="25" xfId="0" applyNumberFormat="1" applyFont="1" applyBorder="1"/>
    <xf numFmtId="43" fontId="8" fillId="0" borderId="0" xfId="0" applyNumberFormat="1" applyFont="1" applyBorder="1"/>
    <xf numFmtId="167" fontId="3" fillId="6" borderId="9" xfId="1" applyNumberFormat="1" applyFont="1" applyFill="1" applyBorder="1"/>
    <xf numFmtId="41" fontId="3" fillId="0" borderId="25" xfId="0" applyNumberFormat="1" applyFont="1" applyBorder="1"/>
    <xf numFmtId="41" fontId="3" fillId="6" borderId="0" xfId="0" applyNumberFormat="1" applyFont="1" applyFill="1" applyBorder="1"/>
    <xf numFmtId="41" fontId="3" fillId="0" borderId="0" xfId="0" applyNumberFormat="1" applyFont="1" applyFill="1" applyBorder="1"/>
    <xf numFmtId="41" fontId="3" fillId="6" borderId="1" xfId="0" applyNumberFormat="1" applyFont="1" applyFill="1" applyBorder="1"/>
    <xf numFmtId="10" fontId="3" fillId="6" borderId="1" xfId="1" applyNumberFormat="1" applyFont="1" applyFill="1" applyBorder="1"/>
    <xf numFmtId="10" fontId="3" fillId="6" borderId="0" xfId="1" applyNumberFormat="1" applyFont="1" applyFill="1" applyBorder="1"/>
    <xf numFmtId="41" fontId="3" fillId="6" borderId="23" xfId="0" applyNumberFormat="1" applyFont="1" applyFill="1" applyBorder="1"/>
    <xf numFmtId="41" fontId="8" fillId="0" borderId="7" xfId="0" applyNumberFormat="1" applyFont="1" applyFill="1" applyBorder="1"/>
    <xf numFmtId="10" fontId="8" fillId="0" borderId="7" xfId="1" applyNumberFormat="1" applyFont="1" applyFill="1" applyBorder="1"/>
    <xf numFmtId="43" fontId="8" fillId="0" borderId="7" xfId="0" applyNumberFormat="1" applyFont="1" applyFill="1" applyBorder="1"/>
    <xf numFmtId="10" fontId="12" fillId="0" borderId="7" xfId="1" applyNumberFormat="1" applyFont="1" applyFill="1" applyBorder="1"/>
    <xf numFmtId="41" fontId="3" fillId="0" borderId="7" xfId="1" applyNumberFormat="1" applyFont="1" applyFill="1" applyBorder="1"/>
    <xf numFmtId="0" fontId="8" fillId="0" borderId="6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9" fillId="0" borderId="6" xfId="0" applyFont="1" applyBorder="1" applyAlignment="1">
      <alignment horizontal="left"/>
    </xf>
    <xf numFmtId="0" fontId="3" fillId="0" borderId="16" xfId="0" applyFont="1" applyFill="1" applyBorder="1" applyAlignment="1">
      <alignment horizontal="center"/>
    </xf>
    <xf numFmtId="0" fontId="3" fillId="0" borderId="16" xfId="0" applyFont="1" applyFill="1" applyBorder="1"/>
    <xf numFmtId="0" fontId="8" fillId="0" borderId="6" xfId="0" applyFont="1" applyFill="1" applyBorder="1" applyAlignment="1">
      <alignment horizontal="left"/>
    </xf>
    <xf numFmtId="43" fontId="3" fillId="0" borderId="16" xfId="0" applyNumberFormat="1" applyFont="1" applyFill="1" applyBorder="1"/>
    <xf numFmtId="43" fontId="3" fillId="0" borderId="6" xfId="0" applyNumberFormat="1" applyFont="1" applyFill="1" applyBorder="1"/>
    <xf numFmtId="0" fontId="9" fillId="0" borderId="6" xfId="0" applyFont="1" applyFill="1" applyBorder="1" applyAlignment="1">
      <alignment horizontal="left" indent="2"/>
    </xf>
    <xf numFmtId="0" fontId="8" fillId="0" borderId="6" xfId="0" applyFont="1" applyFill="1" applyBorder="1" applyAlignment="1">
      <alignment horizontal="left" indent="4"/>
    </xf>
    <xf numFmtId="0" fontId="8" fillId="0" borderId="6" xfId="0" applyFont="1" applyFill="1" applyBorder="1" applyAlignment="1">
      <alignment horizontal="left" indent="6"/>
    </xf>
    <xf numFmtId="41" fontId="3" fillId="0" borderId="17" xfId="0" applyNumberFormat="1" applyFont="1" applyFill="1" applyBorder="1"/>
    <xf numFmtId="41" fontId="3" fillId="0" borderId="9" xfId="0" applyNumberFormat="1" applyFont="1" applyFill="1" applyBorder="1"/>
    <xf numFmtId="10" fontId="13" fillId="0" borderId="16" xfId="1" applyNumberFormat="1" applyFont="1" applyFill="1" applyBorder="1"/>
    <xf numFmtId="0" fontId="3" fillId="0" borderId="16" xfId="0" applyNumberFormat="1" applyFont="1" applyFill="1" applyBorder="1" applyAlignment="1">
      <alignment horizontal="right" wrapText="1"/>
    </xf>
    <xf numFmtId="41" fontId="3" fillId="0" borderId="16" xfId="0" applyNumberFormat="1" applyFont="1" applyFill="1" applyBorder="1" applyAlignment="1"/>
    <xf numFmtId="10" fontId="3" fillId="0" borderId="0" xfId="1" applyNumberFormat="1" applyFont="1" applyFill="1" applyBorder="1"/>
    <xf numFmtId="41" fontId="3" fillId="0" borderId="16" xfId="1" applyNumberFormat="1" applyFont="1" applyFill="1" applyBorder="1"/>
    <xf numFmtId="41" fontId="3" fillId="0" borderId="0" xfId="1" applyNumberFormat="1" applyFont="1" applyFill="1" applyBorder="1"/>
    <xf numFmtId="167" fontId="8" fillId="0" borderId="6" xfId="1" applyNumberFormat="1" applyFont="1" applyFill="1" applyBorder="1"/>
    <xf numFmtId="41" fontId="8" fillId="0" borderId="24" xfId="0" applyNumberFormat="1" applyFont="1" applyFill="1" applyBorder="1"/>
    <xf numFmtId="41" fontId="8" fillId="0" borderId="25" xfId="0" applyNumberFormat="1" applyFont="1" applyFill="1" applyBorder="1"/>
    <xf numFmtId="41" fontId="8" fillId="0" borderId="26" xfId="0" applyNumberFormat="1" applyFont="1" applyFill="1" applyBorder="1"/>
    <xf numFmtId="41" fontId="8" fillId="0" borderId="6" xfId="0" applyNumberFormat="1" applyFont="1" applyFill="1" applyBorder="1"/>
    <xf numFmtId="41" fontId="8" fillId="0" borderId="27" xfId="0" applyNumberFormat="1" applyFont="1" applyFill="1" applyBorder="1"/>
    <xf numFmtId="167" fontId="8" fillId="0" borderId="9" xfId="1" applyNumberFormat="1" applyFont="1" applyFill="1" applyBorder="1"/>
    <xf numFmtId="167" fontId="8" fillId="0" borderId="17" xfId="1" applyNumberFormat="1" applyFont="1" applyFill="1" applyBorder="1"/>
    <xf numFmtId="41" fontId="8" fillId="0" borderId="19" xfId="0" applyNumberFormat="1" applyFont="1" applyFill="1" applyBorder="1"/>
    <xf numFmtId="0" fontId="3" fillId="0" borderId="6" xfId="0" applyFont="1" applyFill="1" applyBorder="1"/>
    <xf numFmtId="0" fontId="8" fillId="0" borderId="17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2" borderId="23" xfId="0" applyFont="1" applyFill="1" applyBorder="1"/>
    <xf numFmtId="0" fontId="8" fillId="2" borderId="22" xfId="0" applyFont="1" applyFill="1" applyBorder="1"/>
    <xf numFmtId="0" fontId="8" fillId="0" borderId="0" xfId="0" applyFont="1" applyFill="1" applyAlignment="1">
      <alignment horizontal="left" wrapText="1"/>
    </xf>
    <xf numFmtId="41" fontId="8" fillId="0" borderId="18" xfId="0" applyNumberFormat="1" applyFont="1" applyFill="1" applyBorder="1"/>
    <xf numFmtId="167" fontId="3" fillId="0" borderId="0" xfId="1" applyNumberFormat="1" applyFont="1" applyFill="1" applyBorder="1"/>
    <xf numFmtId="0" fontId="8" fillId="0" borderId="0" xfId="0" applyFont="1" applyBorder="1" applyAlignment="1">
      <alignment horizontal="left" indent="2"/>
    </xf>
    <xf numFmtId="0" fontId="8" fillId="0" borderId="21" xfId="0" applyFont="1" applyBorder="1"/>
    <xf numFmtId="0" fontId="8" fillId="0" borderId="7" xfId="0" applyFont="1" applyBorder="1" applyAlignment="1">
      <alignment horizontal="right"/>
    </xf>
    <xf numFmtId="41" fontId="8" fillId="0" borderId="0" xfId="1" applyNumberFormat="1" applyFont="1"/>
    <xf numFmtId="173" fontId="8" fillId="0" borderId="0" xfId="1" applyNumberFormat="1" applyFont="1"/>
    <xf numFmtId="0" fontId="3" fillId="0" borderId="28" xfId="0" applyNumberFormat="1" applyFont="1" applyFill="1" applyBorder="1" applyAlignment="1">
      <alignment horizontal="right"/>
    </xf>
    <xf numFmtId="169" fontId="3" fillId="0" borderId="0" xfId="0" applyNumberFormat="1" applyFont="1" applyFill="1" applyAlignment="1">
      <alignment horizontal="left" indent="2"/>
    </xf>
    <xf numFmtId="169" fontId="3" fillId="0" borderId="0" xfId="0" applyNumberFormat="1" applyFont="1" applyFill="1" applyAlignment="1">
      <alignment horizontal="left" indent="3"/>
    </xf>
    <xf numFmtId="169" fontId="3" fillId="0" borderId="0" xfId="0" applyNumberFormat="1" applyFont="1" applyAlignment="1">
      <alignment horizontal="left" indent="2"/>
    </xf>
    <xf numFmtId="0" fontId="3" fillId="0" borderId="0" xfId="0" applyNumberFormat="1" applyFont="1" applyAlignment="1">
      <alignment horizontal="left" indent="2"/>
    </xf>
    <xf numFmtId="0" fontId="3" fillId="0" borderId="0" xfId="0" applyNumberFormat="1" applyFont="1" applyFill="1" applyAlignment="1">
      <alignment horizontal="left" indent="2"/>
    </xf>
    <xf numFmtId="0" fontId="3" fillId="0" borderId="0" xfId="0" applyNumberFormat="1" applyFont="1" applyAlignment="1">
      <alignment horizontal="left" indent="4"/>
    </xf>
    <xf numFmtId="41" fontId="8" fillId="0" borderId="16" xfId="0" applyNumberFormat="1" applyFont="1" applyBorder="1" applyAlignment="1">
      <alignment horizontal="right"/>
    </xf>
    <xf numFmtId="167" fontId="8" fillId="0" borderId="16" xfId="1" applyNumberFormat="1" applyFont="1" applyBorder="1"/>
    <xf numFmtId="10" fontId="8" fillId="0" borderId="20" xfId="0" applyNumberFormat="1" applyFont="1" applyBorder="1"/>
    <xf numFmtId="0" fontId="8" fillId="0" borderId="6" xfId="0" applyFont="1" applyBorder="1" applyAlignment="1">
      <alignment horizontal="left" indent="7"/>
    </xf>
    <xf numFmtId="0" fontId="8" fillId="0" borderId="0" xfId="0" applyFont="1" applyAlignment="1">
      <alignment horizontal="left" indent="7"/>
    </xf>
    <xf numFmtId="43" fontId="3" fillId="6" borderId="16" xfId="1" applyNumberFormat="1" applyFont="1" applyFill="1" applyBorder="1"/>
    <xf numFmtId="167" fontId="3" fillId="0" borderId="16" xfId="1" applyNumberFormat="1" applyFont="1" applyFill="1" applyBorder="1"/>
    <xf numFmtId="167" fontId="8" fillId="6" borderId="16" xfId="1" applyNumberFormat="1" applyFont="1" applyFill="1" applyBorder="1"/>
    <xf numFmtId="43" fontId="8" fillId="0" borderId="16" xfId="0" applyNumberFormat="1" applyFont="1" applyFill="1" applyBorder="1"/>
    <xf numFmtId="43" fontId="8" fillId="0" borderId="6" xfId="0" applyNumberFormat="1" applyFont="1" applyFill="1" applyBorder="1"/>
    <xf numFmtId="41" fontId="8" fillId="0" borderId="20" xfId="0" applyNumberFormat="1" applyFont="1" applyBorder="1" applyAlignment="1">
      <alignment horizontal="right"/>
    </xf>
    <xf numFmtId="41" fontId="8" fillId="6" borderId="16" xfId="0" applyNumberFormat="1" applyFont="1" applyFill="1" applyBorder="1" applyAlignment="1">
      <alignment horizontal="right"/>
    </xf>
    <xf numFmtId="0" fontId="8" fillId="0" borderId="6" xfId="0" applyFont="1" applyBorder="1" applyAlignment="1"/>
    <xf numFmtId="0" fontId="8" fillId="0" borderId="7" xfId="0" applyFont="1" applyBorder="1" applyAlignment="1"/>
    <xf numFmtId="0" fontId="8" fillId="0" borderId="6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167" fontId="8" fillId="0" borderId="25" xfId="1" applyNumberFormat="1" applyFont="1" applyFill="1" applyBorder="1"/>
    <xf numFmtId="167" fontId="8" fillId="0" borderId="0" xfId="1" applyNumberFormat="1" applyFont="1" applyFill="1" applyBorder="1"/>
    <xf numFmtId="0" fontId="8" fillId="0" borderId="6" xfId="0" applyFont="1" applyFill="1" applyBorder="1" applyAlignment="1">
      <alignment horizontal="left" wrapText="1"/>
    </xf>
    <xf numFmtId="0" fontId="8" fillId="0" borderId="7" xfId="0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left" indent="7"/>
    </xf>
    <xf numFmtId="0" fontId="0" fillId="9" borderId="0" xfId="0" applyFill="1"/>
    <xf numFmtId="0" fontId="0" fillId="9" borderId="29" xfId="0" applyFill="1" applyBorder="1"/>
    <xf numFmtId="0" fontId="0" fillId="9" borderId="30" xfId="0" applyFill="1" applyBorder="1"/>
    <xf numFmtId="0" fontId="0" fillId="9" borderId="31" xfId="0" applyFill="1" applyBorder="1"/>
    <xf numFmtId="0" fontId="0" fillId="9" borderId="32" xfId="0" applyFill="1" applyBorder="1"/>
    <xf numFmtId="0" fontId="6" fillId="9" borderId="0" xfId="0" applyFont="1" applyFill="1" applyBorder="1"/>
    <xf numFmtId="0" fontId="0" fillId="9" borderId="0" xfId="0" applyFill="1" applyBorder="1"/>
    <xf numFmtId="0" fontId="0" fillId="9" borderId="33" xfId="0" applyFill="1" applyBorder="1"/>
    <xf numFmtId="0" fontId="15" fillId="9" borderId="0" xfId="3" applyFill="1" applyBorder="1"/>
    <xf numFmtId="0" fontId="0" fillId="9" borderId="34" xfId="0" applyFill="1" applyBorder="1"/>
    <xf numFmtId="0" fontId="0" fillId="9" borderId="35" xfId="0" applyFill="1" applyBorder="1"/>
    <xf numFmtId="0" fontId="0" fillId="9" borderId="36" xfId="0" applyFill="1" applyBorder="1"/>
    <xf numFmtId="0" fontId="0" fillId="9" borderId="0" xfId="0" quotePrefix="1" applyFill="1" applyBorder="1"/>
    <xf numFmtId="0" fontId="16" fillId="9" borderId="0" xfId="0" applyFont="1" applyFill="1" applyBorder="1"/>
    <xf numFmtId="0" fontId="8" fillId="10" borderId="0" xfId="0" applyFont="1" applyFill="1"/>
    <xf numFmtId="37" fontId="8" fillId="0" borderId="6" xfId="0" applyNumberFormat="1" applyFont="1" applyFill="1" applyBorder="1" applyAlignment="1">
      <alignment horizontal="center"/>
    </xf>
    <xf numFmtId="37" fontId="8" fillId="0" borderId="0" xfId="0" applyNumberFormat="1" applyFont="1" applyFill="1" applyBorder="1" applyAlignment="1">
      <alignment horizontal="center"/>
    </xf>
    <xf numFmtId="37" fontId="8" fillId="0" borderId="7" xfId="0" applyNumberFormat="1" applyFont="1" applyFill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41" fontId="3" fillId="0" borderId="24" xfId="0" applyNumberFormat="1" applyFont="1" applyFill="1" applyBorder="1" applyAlignment="1">
      <alignment horizontal="center"/>
    </xf>
    <xf numFmtId="41" fontId="3" fillId="0" borderId="25" xfId="0" applyNumberFormat="1" applyFont="1" applyFill="1" applyBorder="1" applyAlignment="1">
      <alignment horizontal="center"/>
    </xf>
    <xf numFmtId="41" fontId="3" fillId="0" borderId="6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10" fontId="8" fillId="0" borderId="6" xfId="1" applyNumberFormat="1" applyFont="1" applyFill="1" applyBorder="1" applyAlignment="1">
      <alignment horizontal="center"/>
    </xf>
    <xf numFmtId="10" fontId="8" fillId="0" borderId="0" xfId="1" applyNumberFormat="1" applyFont="1" applyFill="1" applyBorder="1" applyAlignment="1">
      <alignment horizontal="center"/>
    </xf>
    <xf numFmtId="37" fontId="3" fillId="0" borderId="6" xfId="0" applyNumberFormat="1" applyFont="1" applyFill="1" applyBorder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10" fontId="3" fillId="0" borderId="9" xfId="1" applyNumberFormat="1" applyFont="1" applyFill="1" applyBorder="1" applyAlignment="1">
      <alignment horizontal="center"/>
    </xf>
    <xf numFmtId="10" fontId="3" fillId="0" borderId="1" xfId="1" applyNumberFormat="1" applyFont="1" applyFill="1" applyBorder="1" applyAlignment="1">
      <alignment horizontal="center"/>
    </xf>
    <xf numFmtId="37" fontId="8" fillId="6" borderId="6" xfId="0" applyNumberFormat="1" applyFont="1" applyFill="1" applyBorder="1" applyAlignment="1">
      <alignment horizontal="center"/>
    </xf>
    <xf numFmtId="37" fontId="8" fillId="6" borderId="0" xfId="0" applyNumberFormat="1" applyFont="1" applyFill="1" applyBorder="1" applyAlignment="1">
      <alignment horizontal="center"/>
    </xf>
    <xf numFmtId="10" fontId="3" fillId="0" borderId="6" xfId="1" applyNumberFormat="1" applyFont="1" applyFill="1" applyBorder="1" applyAlignment="1">
      <alignment horizontal="center"/>
    </xf>
    <xf numFmtId="10" fontId="3" fillId="0" borderId="0" xfId="1" applyNumberFormat="1" applyFont="1" applyFill="1" applyBorder="1" applyAlignment="1">
      <alignment horizontal="center"/>
    </xf>
    <xf numFmtId="37" fontId="8" fillId="6" borderId="9" xfId="0" applyNumberFormat="1" applyFont="1" applyFill="1" applyBorder="1" applyAlignment="1">
      <alignment horizontal="center"/>
    </xf>
    <xf numFmtId="37" fontId="8" fillId="6" borderId="1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left" wrapText="1"/>
    </xf>
    <xf numFmtId="0" fontId="8" fillId="0" borderId="7" xfId="0" applyFont="1" applyFill="1" applyBorder="1" applyAlignment="1">
      <alignment horizontal="left" wrapText="1"/>
    </xf>
    <xf numFmtId="0" fontId="8" fillId="0" borderId="6" xfId="0" applyFont="1" applyBorder="1" applyAlignment="1"/>
    <xf numFmtId="0" fontId="8" fillId="0" borderId="7" xfId="0" applyFont="1" applyBorder="1" applyAlignment="1"/>
    <xf numFmtId="0" fontId="8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0" fontId="14" fillId="0" borderId="24" xfId="0" applyFont="1" applyBorder="1" applyAlignment="1">
      <alignment horizontal="left" wrapText="1"/>
    </xf>
    <xf numFmtId="0" fontId="14" fillId="0" borderId="26" xfId="0" applyFont="1" applyBorder="1" applyAlignment="1">
      <alignment horizontal="left" wrapText="1"/>
    </xf>
    <xf numFmtId="0" fontId="8" fillId="0" borderId="9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6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9" xfId="0" applyFont="1" applyBorder="1" applyAlignment="1">
      <alignment horizontal="left" wrapText="1"/>
    </xf>
    <xf numFmtId="0" fontId="8" fillId="0" borderId="8" xfId="0" applyFont="1" applyBorder="1" applyAlignment="1">
      <alignment horizontal="left" wrapText="1"/>
    </xf>
    <xf numFmtId="0" fontId="8" fillId="0" borderId="9" xfId="0" applyFont="1" applyFill="1" applyBorder="1" applyAlignment="1">
      <alignment horizontal="left" wrapText="1"/>
    </xf>
    <xf numFmtId="0" fontId="8" fillId="0" borderId="8" xfId="0" applyFont="1" applyFill="1" applyBorder="1" applyAlignment="1">
      <alignment horizontal="left" wrapText="1"/>
    </xf>
  </cellXfs>
  <cellStyles count="4">
    <cellStyle name="Currency" xfId="2" builtinId="4"/>
    <cellStyle name="Hyperlink" xfId="3" builtinId="8"/>
    <cellStyle name="Normal" xfId="0" builtinId="0"/>
    <cellStyle name="Percent" xfId="1" builtinId="5"/>
  </cellStyles>
  <dxfs count="7"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CC"/>
      </font>
      <numFmt numFmtId="33" formatCode="_(* #,##0_);_(* \(#,##0\);_(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CC"/>
      </font>
      <numFmt numFmtId="33" formatCode="_(* #,##0_);_(* \(#,##0\);_(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CC"/>
      </font>
      <numFmt numFmtId="33" formatCode="_(* #,##0_);_(* \(#,##0\);_(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CC"/>
      </font>
      <numFmt numFmtId="33" formatCode="_(* #,##0_);_(* \(#,##0\);_(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colors>
    <mruColors>
      <color rgb="FFFF0000"/>
      <color rgb="FF0000CC"/>
      <color rgb="FF0000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78</xdr:row>
          <xdr:rowOff>0</xdr:rowOff>
        </xdr:from>
        <xdr:to>
          <xdr:col>2</xdr:col>
          <xdr:colOff>981075</xdr:colOff>
          <xdr:row>79</xdr:row>
          <xdr:rowOff>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Calculate PPA Price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285750</xdr:colOff>
          <xdr:row>78</xdr:row>
          <xdr:rowOff>0</xdr:rowOff>
        </xdr:from>
        <xdr:to>
          <xdr:col>4</xdr:col>
          <xdr:colOff>1257300</xdr:colOff>
          <xdr:row>79</xdr:row>
          <xdr:rowOff>0</xdr:rowOff>
        </xdr:to>
        <xdr:sp macro="" textlink="">
          <xdr:nvSpPr>
            <xdr:cNvPr id="1042" name="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Calculate PPA Price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78</xdr:row>
          <xdr:rowOff>9525</xdr:rowOff>
        </xdr:from>
        <xdr:to>
          <xdr:col>1</xdr:col>
          <xdr:colOff>990600</xdr:colOff>
          <xdr:row>79</xdr:row>
          <xdr:rowOff>9525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Calculate PPA Price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161925</xdr:colOff>
          <xdr:row>78</xdr:row>
          <xdr:rowOff>0</xdr:rowOff>
        </xdr:from>
        <xdr:to>
          <xdr:col>3</xdr:col>
          <xdr:colOff>1133475</xdr:colOff>
          <xdr:row>79</xdr:row>
          <xdr:rowOff>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Calculate PPA Price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am.nrel.gov/financial-models/utility-scale-pp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B1:O47"/>
  <sheetViews>
    <sheetView tabSelected="1" zoomScaleNormal="100" workbookViewId="0"/>
  </sheetViews>
  <sheetFormatPr defaultRowHeight="15" x14ac:dyDescent="0.25"/>
  <cols>
    <col min="3" max="3" width="9.140625" customWidth="1"/>
  </cols>
  <sheetData>
    <row r="1" spans="2:15" ht="15.75" thickBot="1" x14ac:dyDescent="0.3"/>
    <row r="2" spans="2:15" x14ac:dyDescent="0.25">
      <c r="B2" s="375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7"/>
    </row>
    <row r="3" spans="2:15" x14ac:dyDescent="0.25">
      <c r="B3" s="378"/>
      <c r="C3" s="379" t="s">
        <v>484</v>
      </c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1"/>
    </row>
    <row r="4" spans="2:15" x14ac:dyDescent="0.25">
      <c r="B4" s="378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1"/>
    </row>
    <row r="5" spans="2:15" x14ac:dyDescent="0.25">
      <c r="B5" s="378"/>
      <c r="C5" s="380" t="s">
        <v>482</v>
      </c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1"/>
    </row>
    <row r="6" spans="2:15" x14ac:dyDescent="0.25">
      <c r="B6" s="378"/>
      <c r="C6" s="380" t="s">
        <v>480</v>
      </c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1"/>
    </row>
    <row r="7" spans="2:15" x14ac:dyDescent="0.25">
      <c r="B7" s="378"/>
      <c r="C7" s="380" t="s">
        <v>481</v>
      </c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1"/>
    </row>
    <row r="8" spans="2:15" x14ac:dyDescent="0.25">
      <c r="B8" s="378"/>
      <c r="C8" s="380" t="s">
        <v>470</v>
      </c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1"/>
    </row>
    <row r="9" spans="2:15" x14ac:dyDescent="0.25">
      <c r="B9" s="378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1"/>
    </row>
    <row r="10" spans="2:15" x14ac:dyDescent="0.25">
      <c r="B10" s="378"/>
      <c r="C10" s="380" t="s">
        <v>448</v>
      </c>
      <c r="D10" s="380"/>
      <c r="E10" s="380"/>
      <c r="F10" s="380"/>
      <c r="G10" s="380"/>
      <c r="H10" s="380"/>
      <c r="I10" s="380"/>
      <c r="J10" s="380"/>
      <c r="K10" s="380"/>
      <c r="L10" s="380"/>
      <c r="M10" s="380"/>
      <c r="N10" s="380"/>
      <c r="O10" s="381"/>
    </row>
    <row r="11" spans="2:15" x14ac:dyDescent="0.25">
      <c r="B11" s="378"/>
      <c r="C11" s="380"/>
      <c r="D11" s="382" t="s">
        <v>483</v>
      </c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1"/>
    </row>
    <row r="12" spans="2:15" x14ac:dyDescent="0.25">
      <c r="B12" s="378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1"/>
    </row>
    <row r="13" spans="2:15" x14ac:dyDescent="0.25">
      <c r="B13" s="378"/>
      <c r="C13" s="380" t="s">
        <v>459</v>
      </c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381"/>
    </row>
    <row r="14" spans="2:15" x14ac:dyDescent="0.25">
      <c r="B14" s="378"/>
      <c r="C14" s="380"/>
      <c r="D14" s="380" t="s">
        <v>460</v>
      </c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1"/>
    </row>
    <row r="15" spans="2:15" x14ac:dyDescent="0.25">
      <c r="B15" s="378"/>
      <c r="C15" s="380"/>
      <c r="D15" s="386" t="s">
        <v>461</v>
      </c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1"/>
    </row>
    <row r="16" spans="2:15" x14ac:dyDescent="0.25">
      <c r="B16" s="378"/>
      <c r="C16" s="380"/>
      <c r="D16" s="386" t="s">
        <v>464</v>
      </c>
      <c r="E16" s="380"/>
      <c r="F16" s="380"/>
      <c r="G16" s="380"/>
      <c r="H16" s="380"/>
      <c r="I16" s="380"/>
      <c r="J16" s="380"/>
      <c r="K16" s="380"/>
      <c r="L16" s="380"/>
      <c r="M16" s="380"/>
      <c r="N16" s="380"/>
      <c r="O16" s="381"/>
    </row>
    <row r="17" spans="2:15" x14ac:dyDescent="0.25">
      <c r="B17" s="378"/>
      <c r="C17" s="380"/>
      <c r="D17" s="386" t="s">
        <v>465</v>
      </c>
      <c r="E17" s="380"/>
      <c r="F17" s="380"/>
      <c r="G17" s="380"/>
      <c r="H17" s="380"/>
      <c r="I17" s="380"/>
      <c r="J17" s="380"/>
      <c r="K17" s="380"/>
      <c r="L17" s="380"/>
      <c r="M17" s="380"/>
      <c r="N17" s="380"/>
      <c r="O17" s="381"/>
    </row>
    <row r="18" spans="2:15" x14ac:dyDescent="0.25">
      <c r="B18" s="378"/>
      <c r="C18" s="380"/>
      <c r="D18" s="380" t="s">
        <v>466</v>
      </c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381"/>
    </row>
    <row r="19" spans="2:15" x14ac:dyDescent="0.25">
      <c r="B19" s="378"/>
      <c r="C19" s="380"/>
      <c r="D19" s="374" t="s">
        <v>462</v>
      </c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1"/>
    </row>
    <row r="20" spans="2:15" x14ac:dyDescent="0.25">
      <c r="B20" s="378"/>
      <c r="C20" s="380"/>
      <c r="D20" s="380" t="s">
        <v>463</v>
      </c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1"/>
    </row>
    <row r="21" spans="2:15" x14ac:dyDescent="0.25">
      <c r="B21" s="378"/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1"/>
    </row>
    <row r="22" spans="2:15" x14ac:dyDescent="0.25">
      <c r="B22" s="378"/>
      <c r="C22" s="380" t="s">
        <v>458</v>
      </c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381"/>
    </row>
    <row r="23" spans="2:15" x14ac:dyDescent="0.25">
      <c r="B23" s="378"/>
      <c r="C23" s="380" t="s">
        <v>467</v>
      </c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381"/>
    </row>
    <row r="24" spans="2:15" x14ac:dyDescent="0.25">
      <c r="B24" s="378"/>
      <c r="C24" s="380" t="s">
        <v>468</v>
      </c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81"/>
    </row>
    <row r="25" spans="2:15" x14ac:dyDescent="0.25">
      <c r="B25" s="378"/>
      <c r="C25" s="380" t="s">
        <v>469</v>
      </c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1"/>
    </row>
    <row r="26" spans="2:15" x14ac:dyDescent="0.25">
      <c r="B26" s="378"/>
      <c r="C26" s="387" t="s">
        <v>449</v>
      </c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1"/>
    </row>
    <row r="27" spans="2:15" x14ac:dyDescent="0.25">
      <c r="B27" s="378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81"/>
    </row>
    <row r="28" spans="2:15" x14ac:dyDescent="0.25">
      <c r="B28" s="378"/>
      <c r="C28" s="380" t="s">
        <v>450</v>
      </c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1"/>
    </row>
    <row r="29" spans="2:15" x14ac:dyDescent="0.25">
      <c r="B29" s="378"/>
      <c r="C29" s="380" t="s">
        <v>451</v>
      </c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1"/>
    </row>
    <row r="30" spans="2:15" x14ac:dyDescent="0.25">
      <c r="B30" s="378"/>
      <c r="C30" s="380" t="s">
        <v>452</v>
      </c>
      <c r="D30" s="380"/>
      <c r="E30" s="380"/>
      <c r="F30" s="380"/>
      <c r="G30" s="380"/>
      <c r="H30" s="380"/>
      <c r="I30" s="380"/>
      <c r="J30" s="380"/>
      <c r="K30" s="380"/>
      <c r="L30" s="380"/>
      <c r="M30" s="380"/>
      <c r="N30" s="380"/>
      <c r="O30" s="381"/>
    </row>
    <row r="31" spans="2:15" x14ac:dyDescent="0.25">
      <c r="B31" s="378"/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  <c r="O31" s="381"/>
    </row>
    <row r="32" spans="2:15" x14ac:dyDescent="0.25">
      <c r="B32" s="378"/>
      <c r="C32" s="380" t="s">
        <v>453</v>
      </c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1"/>
    </row>
    <row r="33" spans="2:15" x14ac:dyDescent="0.25">
      <c r="B33" s="378"/>
      <c r="C33" s="380" t="s">
        <v>454</v>
      </c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  <c r="O33" s="381"/>
    </row>
    <row r="34" spans="2:15" x14ac:dyDescent="0.25">
      <c r="B34" s="378"/>
      <c r="C34" s="380" t="s">
        <v>455</v>
      </c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1"/>
    </row>
    <row r="35" spans="2:15" x14ac:dyDescent="0.25">
      <c r="B35" s="378"/>
      <c r="C35" s="380" t="s">
        <v>456</v>
      </c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1"/>
    </row>
    <row r="36" spans="2:15" x14ac:dyDescent="0.25">
      <c r="B36" s="378"/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381"/>
    </row>
    <row r="37" spans="2:15" x14ac:dyDescent="0.25">
      <c r="B37" s="378"/>
      <c r="C37" s="380" t="s">
        <v>471</v>
      </c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1"/>
    </row>
    <row r="38" spans="2:15" x14ac:dyDescent="0.25">
      <c r="B38" s="378"/>
      <c r="C38" s="380" t="s">
        <v>472</v>
      </c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1"/>
    </row>
    <row r="39" spans="2:15" x14ac:dyDescent="0.25">
      <c r="B39" s="378"/>
      <c r="C39" s="380" t="s">
        <v>473</v>
      </c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</row>
    <row r="40" spans="2:15" x14ac:dyDescent="0.25">
      <c r="B40" s="378"/>
      <c r="C40" s="380" t="s">
        <v>474</v>
      </c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1"/>
    </row>
    <row r="41" spans="2:15" x14ac:dyDescent="0.25">
      <c r="B41" s="378"/>
      <c r="C41" s="380" t="s">
        <v>475</v>
      </c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1"/>
    </row>
    <row r="42" spans="2:15" x14ac:dyDescent="0.25">
      <c r="B42" s="378"/>
      <c r="C42" s="380" t="s">
        <v>476</v>
      </c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1"/>
    </row>
    <row r="43" spans="2:15" x14ac:dyDescent="0.25">
      <c r="B43" s="378"/>
      <c r="C43" s="380" t="s">
        <v>477</v>
      </c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1"/>
    </row>
    <row r="44" spans="2:15" x14ac:dyDescent="0.25">
      <c r="B44" s="378"/>
      <c r="C44" s="380" t="s">
        <v>478</v>
      </c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1"/>
    </row>
    <row r="45" spans="2:15" x14ac:dyDescent="0.25">
      <c r="B45" s="378"/>
      <c r="C45" s="380" t="s">
        <v>479</v>
      </c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1"/>
    </row>
    <row r="46" spans="2:15" x14ac:dyDescent="0.25">
      <c r="B46" s="378"/>
      <c r="C46" s="380" t="s">
        <v>457</v>
      </c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1"/>
    </row>
    <row r="47" spans="2:15" ht="15.75" thickBot="1" x14ac:dyDescent="0.3">
      <c r="B47" s="383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5"/>
    </row>
  </sheetData>
  <hyperlinks>
    <hyperlink ref="D11" r:id="rId1" xr:uid="{00000000-0004-0000-0000-000000000000}"/>
  </hyperlinks>
  <pageMargins left="0.7" right="0.7" top="0.75" bottom="0.75" header="0.3" footer="0.3"/>
  <pageSetup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P297"/>
  <sheetViews>
    <sheetView zoomScale="90" zoomScaleNormal="90" workbookViewId="0"/>
  </sheetViews>
  <sheetFormatPr defaultRowHeight="12.75" x14ac:dyDescent="0.2"/>
  <cols>
    <col min="1" max="1" width="54.7109375" style="20" customWidth="1"/>
    <col min="2" max="2" width="15.28515625" style="20" customWidth="1"/>
    <col min="3" max="3" width="14.85546875" style="20" customWidth="1"/>
    <col min="4" max="4" width="18.7109375" style="20" customWidth="1"/>
    <col min="5" max="5" width="20.42578125" style="20" customWidth="1"/>
    <col min="6" max="6" width="32.140625" style="20" customWidth="1"/>
    <col min="7" max="7" width="31.42578125" style="20" customWidth="1"/>
    <col min="8" max="11" width="25.85546875" style="20" customWidth="1"/>
    <col min="12" max="12" width="21" style="20" customWidth="1"/>
    <col min="13" max="13" width="17" style="20" customWidth="1"/>
    <col min="14" max="250" width="13.7109375" style="20" customWidth="1"/>
    <col min="251" max="16384" width="9.140625" style="20"/>
  </cols>
  <sheetData>
    <row r="1" spans="1:15" ht="21" x14ac:dyDescent="0.35">
      <c r="A1" s="17" t="s">
        <v>24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</row>
    <row r="2" spans="1:15" x14ac:dyDescent="0.2">
      <c r="A2" s="224" t="s">
        <v>23</v>
      </c>
      <c r="B2" s="225"/>
      <c r="C2" s="23"/>
      <c r="D2" s="224" t="s">
        <v>246</v>
      </c>
      <c r="E2" s="225"/>
      <c r="F2" s="23"/>
      <c r="G2" s="23"/>
      <c r="H2" s="224" t="s">
        <v>20</v>
      </c>
      <c r="I2" s="226"/>
      <c r="J2" s="227"/>
      <c r="K2" s="23"/>
      <c r="L2" s="21" t="s">
        <v>263</v>
      </c>
      <c r="M2" s="22"/>
      <c r="O2" s="25"/>
    </row>
    <row r="3" spans="1:15" x14ac:dyDescent="0.2">
      <c r="A3" s="26" t="s">
        <v>281</v>
      </c>
      <c r="B3" s="27"/>
      <c r="C3" s="23"/>
      <c r="D3" s="28" t="s">
        <v>245</v>
      </c>
      <c r="E3" s="29"/>
      <c r="F3" s="23"/>
      <c r="G3" s="23"/>
      <c r="H3" s="26" t="s">
        <v>21</v>
      </c>
      <c r="I3" s="23"/>
      <c r="J3" s="30">
        <v>0.35</v>
      </c>
      <c r="K3" s="23"/>
      <c r="L3" s="26" t="s">
        <v>412</v>
      </c>
      <c r="M3" s="343" t="s">
        <v>414</v>
      </c>
      <c r="O3" s="25"/>
    </row>
    <row r="4" spans="1:15" x14ac:dyDescent="0.2">
      <c r="A4" s="32" t="s">
        <v>275</v>
      </c>
      <c r="B4" s="33">
        <v>24000000</v>
      </c>
      <c r="C4" s="23"/>
      <c r="D4" s="34" t="s">
        <v>244</v>
      </c>
      <c r="E4" s="35"/>
      <c r="F4" s="23"/>
      <c r="G4" s="23"/>
      <c r="H4" s="26" t="s">
        <v>127</v>
      </c>
      <c r="I4" s="23"/>
      <c r="J4" s="30">
        <v>5.5E-2</v>
      </c>
      <c r="K4" s="23"/>
      <c r="L4" s="26" t="s">
        <v>414</v>
      </c>
      <c r="M4" s="27"/>
      <c r="O4" s="25"/>
    </row>
    <row r="5" spans="1:15" x14ac:dyDescent="0.2">
      <c r="A5" s="32" t="s">
        <v>276</v>
      </c>
      <c r="B5" s="33">
        <v>8000000</v>
      </c>
      <c r="C5" s="23"/>
      <c r="D5" s="23"/>
      <c r="E5" s="23"/>
      <c r="F5" s="23"/>
      <c r="G5" s="23"/>
      <c r="H5" s="38" t="s">
        <v>22</v>
      </c>
      <c r="I5" s="25"/>
      <c r="J5" s="27"/>
      <c r="K5" s="23"/>
      <c r="L5" s="42" t="s">
        <v>416</v>
      </c>
      <c r="M5" s="30">
        <v>0.24</v>
      </c>
      <c r="O5" s="25"/>
    </row>
    <row r="6" spans="1:15" x14ac:dyDescent="0.2">
      <c r="A6" s="32" t="s">
        <v>277</v>
      </c>
      <c r="B6" s="39">
        <v>3500000</v>
      </c>
      <c r="C6" s="23"/>
      <c r="D6" s="21" t="s">
        <v>12</v>
      </c>
      <c r="E6" s="24"/>
      <c r="F6" s="22"/>
      <c r="G6" s="23"/>
      <c r="H6" s="40" t="s">
        <v>288</v>
      </c>
      <c r="I6" s="23"/>
      <c r="J6" s="41">
        <f>PreFinancingInstalledCostTotal</f>
        <v>40227150</v>
      </c>
      <c r="K6" s="23"/>
      <c r="L6" s="59" t="s">
        <v>413</v>
      </c>
      <c r="M6" s="47">
        <v>5.0000000000000001E-3</v>
      </c>
      <c r="O6" s="25"/>
    </row>
    <row r="7" spans="1:15" x14ac:dyDescent="0.2">
      <c r="A7" s="42" t="s">
        <v>279</v>
      </c>
      <c r="B7" s="43">
        <f>GenerationEquipment+BOP+NetworkUpgrades</f>
        <v>35500000</v>
      </c>
      <c r="C7" s="23"/>
      <c r="D7" s="26" t="s">
        <v>13</v>
      </c>
      <c r="E7" s="23"/>
      <c r="F7" s="44">
        <v>10000</v>
      </c>
      <c r="G7" s="23"/>
      <c r="H7" s="40" t="s">
        <v>258</v>
      </c>
      <c r="I7" s="23"/>
      <c r="J7" s="45">
        <v>0.95</v>
      </c>
      <c r="K7" s="23"/>
      <c r="L7" s="342" t="s">
        <v>415</v>
      </c>
      <c r="M7" s="269"/>
      <c r="O7" s="25"/>
    </row>
    <row r="8" spans="1:15" x14ac:dyDescent="0.2">
      <c r="A8" s="42" t="s">
        <v>280</v>
      </c>
      <c r="B8" s="27"/>
      <c r="C8" s="23"/>
      <c r="D8" s="26" t="s">
        <v>14</v>
      </c>
      <c r="E8" s="23"/>
      <c r="F8" s="30">
        <v>0.77</v>
      </c>
      <c r="G8" s="23"/>
      <c r="H8" s="40" t="s">
        <v>259</v>
      </c>
      <c r="I8" s="23"/>
      <c r="J8" s="41">
        <f>J6*J7</f>
        <v>38215792.5</v>
      </c>
      <c r="K8" s="23"/>
      <c r="L8" s="31" t="s">
        <v>264</v>
      </c>
      <c r="M8" s="31" t="s">
        <v>265</v>
      </c>
      <c r="O8" s="25"/>
    </row>
    <row r="9" spans="1:15" x14ac:dyDescent="0.2">
      <c r="A9" s="46" t="s">
        <v>0</v>
      </c>
      <c r="B9" s="47">
        <v>0.01</v>
      </c>
      <c r="C9" s="23"/>
      <c r="D9" s="48" t="s">
        <v>15</v>
      </c>
      <c r="E9" s="49"/>
      <c r="F9" s="50">
        <f>CapacityDC*CapacityConversion</f>
        <v>7700</v>
      </c>
      <c r="G9" s="23"/>
      <c r="H9" s="40" t="s">
        <v>260</v>
      </c>
      <c r="I9" s="23"/>
      <c r="J9" s="51">
        <v>0.05</v>
      </c>
      <c r="K9" s="23"/>
      <c r="L9" s="154">
        <v>1</v>
      </c>
      <c r="M9" s="33">
        <v>17000000</v>
      </c>
      <c r="N9" s="388"/>
      <c r="O9" s="23"/>
    </row>
    <row r="10" spans="1:15" x14ac:dyDescent="0.2">
      <c r="A10" s="46" t="s">
        <v>1</v>
      </c>
      <c r="B10" s="52">
        <f>B7*B9</f>
        <v>355000</v>
      </c>
      <c r="C10" s="23"/>
      <c r="D10" s="23"/>
      <c r="E10" s="23"/>
      <c r="F10" s="23"/>
      <c r="G10" s="23"/>
      <c r="H10" s="40" t="s">
        <v>261</v>
      </c>
      <c r="I10" s="23"/>
      <c r="J10" s="51">
        <v>7.4999999999999997E-3</v>
      </c>
      <c r="K10" s="23"/>
      <c r="L10" s="154">
        <f t="shared" ref="L10:L28" si="0">L9+1</f>
        <v>2</v>
      </c>
      <c r="M10" s="33">
        <f>M9*0.995</f>
        <v>16915000</v>
      </c>
      <c r="N10" s="23"/>
      <c r="O10" s="23"/>
    </row>
    <row r="11" spans="1:15" x14ac:dyDescent="0.2">
      <c r="A11" s="42" t="s">
        <v>283</v>
      </c>
      <c r="B11" s="43">
        <f>B7+ContingencyCost</f>
        <v>35855000</v>
      </c>
      <c r="C11" s="23"/>
      <c r="D11" s="21" t="s">
        <v>17</v>
      </c>
      <c r="E11" s="24"/>
      <c r="F11" s="22"/>
      <c r="G11" s="23"/>
      <c r="H11" s="38" t="s">
        <v>2</v>
      </c>
      <c r="I11" s="25"/>
      <c r="J11" s="51">
        <v>5.5E-2</v>
      </c>
      <c r="K11" s="23"/>
      <c r="L11" s="154">
        <f t="shared" si="0"/>
        <v>3</v>
      </c>
      <c r="M11" s="33">
        <f t="shared" ref="M11:M48" si="1">M10*0.995</f>
        <v>16830425</v>
      </c>
    </row>
    <row r="12" spans="1:15" x14ac:dyDescent="0.2">
      <c r="A12" s="26" t="s">
        <v>282</v>
      </c>
      <c r="B12" s="27"/>
      <c r="C12" s="25"/>
      <c r="D12" s="26" t="s">
        <v>19</v>
      </c>
      <c r="E12" s="23"/>
      <c r="F12" s="37">
        <v>40</v>
      </c>
      <c r="G12" s="23"/>
      <c r="H12" s="53" t="s">
        <v>315</v>
      </c>
      <c r="I12" s="54"/>
      <c r="J12" s="55">
        <v>5.0000000000000001E-3</v>
      </c>
      <c r="K12" s="23"/>
      <c r="L12" s="154">
        <f t="shared" si="0"/>
        <v>4</v>
      </c>
      <c r="M12" s="33">
        <f t="shared" si="1"/>
        <v>16746272.875</v>
      </c>
    </row>
    <row r="13" spans="1:15" x14ac:dyDescent="0.2">
      <c r="A13" s="32" t="s">
        <v>370</v>
      </c>
      <c r="B13" s="33">
        <v>2000000</v>
      </c>
      <c r="C13" s="23"/>
      <c r="D13" s="26" t="s">
        <v>18</v>
      </c>
      <c r="E13" s="23"/>
      <c r="F13" s="30">
        <v>1.4999999999999999E-2</v>
      </c>
      <c r="G13" s="23"/>
      <c r="H13" s="23"/>
      <c r="I13" s="23"/>
      <c r="J13" s="23"/>
      <c r="K13" s="23"/>
      <c r="L13" s="154">
        <f t="shared" si="0"/>
        <v>5</v>
      </c>
      <c r="M13" s="33">
        <f t="shared" si="1"/>
        <v>16662541.510624999</v>
      </c>
    </row>
    <row r="14" spans="1:15" x14ac:dyDescent="0.2">
      <c r="A14" s="32" t="s">
        <v>278</v>
      </c>
      <c r="B14" s="33">
        <v>200000</v>
      </c>
      <c r="C14" s="23"/>
      <c r="D14" s="26" t="s">
        <v>248</v>
      </c>
      <c r="E14" s="23"/>
      <c r="F14" s="51">
        <v>0.08</v>
      </c>
      <c r="G14" s="23"/>
      <c r="H14" s="21" t="s">
        <v>179</v>
      </c>
      <c r="I14" s="24"/>
      <c r="J14" s="22"/>
      <c r="K14" s="23"/>
      <c r="L14" s="154">
        <f t="shared" si="0"/>
        <v>6</v>
      </c>
      <c r="M14" s="33">
        <f t="shared" si="1"/>
        <v>16579228.803071873</v>
      </c>
    </row>
    <row r="15" spans="1:15" x14ac:dyDescent="0.2">
      <c r="A15" s="32" t="s">
        <v>60</v>
      </c>
      <c r="B15" s="39">
        <v>75000</v>
      </c>
      <c r="C15" s="23"/>
      <c r="D15" s="48" t="s">
        <v>185</v>
      </c>
      <c r="E15" s="49"/>
      <c r="F15" s="55">
        <v>1.7500000000000002E-2</v>
      </c>
      <c r="G15" s="23"/>
      <c r="H15" s="26" t="s">
        <v>293</v>
      </c>
      <c r="I15" s="23"/>
      <c r="J15" s="27"/>
      <c r="K15" s="23"/>
      <c r="L15" s="154">
        <f t="shared" si="0"/>
        <v>7</v>
      </c>
      <c r="M15" s="33">
        <f t="shared" si="1"/>
        <v>16496332.659056515</v>
      </c>
    </row>
    <row r="16" spans="1:15" x14ac:dyDescent="0.2">
      <c r="A16" s="42" t="s">
        <v>279</v>
      </c>
      <c r="B16" s="41">
        <f>DevCost+LandImprovements+Other</f>
        <v>2275000</v>
      </c>
      <c r="C16" s="23"/>
      <c r="G16" s="23"/>
      <c r="H16" s="42" t="s">
        <v>180</v>
      </c>
      <c r="I16" s="23"/>
      <c r="J16" s="44">
        <v>0.25</v>
      </c>
      <c r="K16" s="23"/>
      <c r="L16" s="154">
        <f t="shared" si="0"/>
        <v>8</v>
      </c>
      <c r="M16" s="33">
        <f t="shared" si="1"/>
        <v>16413850.995761232</v>
      </c>
    </row>
    <row r="17" spans="1:15" x14ac:dyDescent="0.2">
      <c r="A17" s="32" t="s">
        <v>284</v>
      </c>
      <c r="B17" s="27"/>
      <c r="C17" s="23"/>
      <c r="D17" s="21" t="s">
        <v>4</v>
      </c>
      <c r="E17" s="24"/>
      <c r="F17" s="22"/>
      <c r="G17" s="23"/>
      <c r="H17" s="42" t="s">
        <v>298</v>
      </c>
      <c r="I17" s="23"/>
      <c r="J17" s="41">
        <f>MMCost*CapacityDC*1000</f>
        <v>2500000</v>
      </c>
      <c r="K17" s="23"/>
      <c r="L17" s="154">
        <f t="shared" si="0"/>
        <v>9</v>
      </c>
      <c r="M17" s="33">
        <f t="shared" si="1"/>
        <v>16331781.740782427</v>
      </c>
    </row>
    <row r="18" spans="1:15" x14ac:dyDescent="0.2">
      <c r="A18" s="46" t="s">
        <v>285</v>
      </c>
      <c r="B18" s="30">
        <v>1</v>
      </c>
      <c r="C18" s="23"/>
      <c r="D18" s="26" t="s">
        <v>5</v>
      </c>
      <c r="E18" s="23"/>
      <c r="F18" s="27"/>
      <c r="G18" s="23"/>
      <c r="H18" s="42" t="s">
        <v>237</v>
      </c>
      <c r="I18" s="23"/>
      <c r="J18" s="37">
        <v>12</v>
      </c>
      <c r="K18" s="23"/>
      <c r="L18" s="154">
        <f t="shared" si="0"/>
        <v>10</v>
      </c>
      <c r="M18" s="33">
        <f t="shared" si="1"/>
        <v>16250122.832078515</v>
      </c>
    </row>
    <row r="19" spans="1:15" x14ac:dyDescent="0.2">
      <c r="A19" s="46" t="s">
        <v>3</v>
      </c>
      <c r="B19" s="58">
        <f>(B11+B16)*J11*B18</f>
        <v>2097150</v>
      </c>
      <c r="C19" s="23"/>
      <c r="D19" s="32" t="s">
        <v>8</v>
      </c>
      <c r="E19" s="25"/>
      <c r="F19" s="37">
        <v>10000</v>
      </c>
      <c r="G19" s="23"/>
      <c r="H19" s="26" t="s">
        <v>294</v>
      </c>
      <c r="I19" s="23"/>
      <c r="J19" s="27"/>
      <c r="K19" s="23"/>
      <c r="L19" s="154">
        <f t="shared" si="0"/>
        <v>11</v>
      </c>
      <c r="M19" s="33">
        <f t="shared" si="1"/>
        <v>16168872.217918122</v>
      </c>
    </row>
    <row r="20" spans="1:15" x14ac:dyDescent="0.2">
      <c r="A20" s="42" t="s">
        <v>286</v>
      </c>
      <c r="B20" s="61">
        <f>B16+SalesTaxTotal</f>
        <v>4372150</v>
      </c>
      <c r="C20" s="23"/>
      <c r="D20" s="32" t="s">
        <v>6</v>
      </c>
      <c r="E20" s="25"/>
      <c r="F20" s="30">
        <v>0.01</v>
      </c>
      <c r="G20" s="23"/>
      <c r="H20" s="42" t="s">
        <v>180</v>
      </c>
      <c r="I20" s="23"/>
      <c r="J20" s="44">
        <v>0</v>
      </c>
      <c r="K20" s="23"/>
      <c r="L20" s="154">
        <f t="shared" si="0"/>
        <v>12</v>
      </c>
      <c r="M20" s="33">
        <f t="shared" si="1"/>
        <v>16088027.856828531</v>
      </c>
    </row>
    <row r="21" spans="1:15" x14ac:dyDescent="0.2">
      <c r="A21" s="26" t="s">
        <v>30</v>
      </c>
      <c r="B21" s="41">
        <f>TotalHardCosts+TotalSoftCosts</f>
        <v>40227150</v>
      </c>
      <c r="C21" s="23"/>
      <c r="D21" s="38" t="s">
        <v>7</v>
      </c>
      <c r="E21" s="25"/>
      <c r="F21" s="56"/>
      <c r="G21" s="23"/>
      <c r="H21" s="42" t="s">
        <v>298</v>
      </c>
      <c r="I21" s="23"/>
      <c r="J21" s="41">
        <f>MMCost2*CapacityDC*1000</f>
        <v>0</v>
      </c>
      <c r="K21" s="23"/>
      <c r="L21" s="154">
        <f t="shared" si="0"/>
        <v>13</v>
      </c>
      <c r="M21" s="33">
        <f t="shared" si="1"/>
        <v>16007587.717544388</v>
      </c>
    </row>
    <row r="22" spans="1:15" x14ac:dyDescent="0.2">
      <c r="A22" s="26" t="s">
        <v>29</v>
      </c>
      <c r="B22" s="64">
        <f>PreFinancingInstalledCostTotal/(CapacityDC*1000)</f>
        <v>4.0227149999999998</v>
      </c>
      <c r="C22" s="23"/>
      <c r="D22" s="32" t="s">
        <v>50</v>
      </c>
      <c r="E22" s="25"/>
      <c r="F22" s="44">
        <v>22</v>
      </c>
      <c r="G22" s="23"/>
      <c r="H22" s="42" t="s">
        <v>237</v>
      </c>
      <c r="I22" s="23"/>
      <c r="J22" s="37">
        <v>15</v>
      </c>
      <c r="K22" s="23"/>
      <c r="L22" s="154">
        <f t="shared" si="0"/>
        <v>14</v>
      </c>
      <c r="M22" s="33">
        <f t="shared" si="1"/>
        <v>15927549.778956667</v>
      </c>
      <c r="N22" s="23"/>
      <c r="O22" s="23"/>
    </row>
    <row r="23" spans="1:15" x14ac:dyDescent="0.2">
      <c r="A23" s="62" t="s">
        <v>16</v>
      </c>
      <c r="B23" s="65"/>
      <c r="C23" s="23"/>
      <c r="D23" s="32" t="s">
        <v>6</v>
      </c>
      <c r="E23" s="25"/>
      <c r="F23" s="30">
        <v>7.4999999999999997E-3</v>
      </c>
      <c r="G23" s="23"/>
      <c r="H23" s="26" t="s">
        <v>295</v>
      </c>
      <c r="I23" s="23"/>
      <c r="J23" s="27"/>
      <c r="K23" s="23"/>
      <c r="L23" s="154">
        <f t="shared" si="0"/>
        <v>15</v>
      </c>
      <c r="M23" s="33">
        <f t="shared" si="1"/>
        <v>15847912.030061884</v>
      </c>
      <c r="O23" s="23"/>
    </row>
    <row r="24" spans="1:15" x14ac:dyDescent="0.2">
      <c r="A24" s="26"/>
      <c r="B24" s="23"/>
      <c r="C24" s="23"/>
      <c r="D24" s="38" t="s">
        <v>9</v>
      </c>
      <c r="E24" s="25"/>
      <c r="F24" s="56"/>
      <c r="G24" s="23"/>
      <c r="H24" s="42" t="s">
        <v>180</v>
      </c>
      <c r="I24" s="23"/>
      <c r="J24" s="44">
        <v>0</v>
      </c>
      <c r="K24" s="23"/>
      <c r="L24" s="154">
        <f t="shared" si="0"/>
        <v>16</v>
      </c>
      <c r="M24" s="33">
        <f t="shared" si="1"/>
        <v>15768672.469911573</v>
      </c>
      <c r="O24" s="23"/>
    </row>
    <row r="25" spans="1:15" x14ac:dyDescent="0.2">
      <c r="C25" s="23"/>
      <c r="D25" s="42" t="s">
        <v>10</v>
      </c>
      <c r="E25" s="23"/>
      <c r="F25" s="44">
        <v>3.5</v>
      </c>
      <c r="G25" s="23"/>
      <c r="H25" s="42" t="s">
        <v>298</v>
      </c>
      <c r="I25" s="23"/>
      <c r="J25" s="41">
        <f>MMCost3*CapacityDC*1000</f>
        <v>0</v>
      </c>
      <c r="K25" s="23"/>
      <c r="L25" s="154">
        <f t="shared" si="0"/>
        <v>17</v>
      </c>
      <c r="M25" s="33">
        <f t="shared" si="1"/>
        <v>15689829.107562015</v>
      </c>
      <c r="O25" s="23"/>
    </row>
    <row r="26" spans="1:15" x14ac:dyDescent="0.2">
      <c r="C26" s="23"/>
      <c r="D26" s="42" t="s">
        <v>6</v>
      </c>
      <c r="E26" s="23"/>
      <c r="F26" s="30">
        <v>0</v>
      </c>
      <c r="G26" s="23"/>
      <c r="H26" s="42" t="s">
        <v>237</v>
      </c>
      <c r="I26" s="23"/>
      <c r="J26" s="37">
        <v>3</v>
      </c>
      <c r="K26" s="23"/>
      <c r="L26" s="154">
        <f t="shared" si="0"/>
        <v>18</v>
      </c>
      <c r="M26" s="33">
        <f t="shared" si="1"/>
        <v>15611379.962024204</v>
      </c>
      <c r="O26" s="25"/>
    </row>
    <row r="27" spans="1:15" x14ac:dyDescent="0.2">
      <c r="C27" s="23"/>
      <c r="D27" s="62" t="s">
        <v>11</v>
      </c>
      <c r="E27" s="49"/>
      <c r="F27" s="63"/>
      <c r="G27" s="23"/>
      <c r="H27" s="26" t="s">
        <v>292</v>
      </c>
      <c r="I27" s="23"/>
      <c r="J27" s="56"/>
      <c r="K27" s="23"/>
      <c r="L27" s="154">
        <f t="shared" si="0"/>
        <v>19</v>
      </c>
      <c r="M27" s="33">
        <f t="shared" si="1"/>
        <v>15533323.062214084</v>
      </c>
      <c r="O27" s="23"/>
    </row>
    <row r="28" spans="1:15" x14ac:dyDescent="0.2">
      <c r="C28" s="23"/>
      <c r="D28" s="23"/>
      <c r="E28" s="23"/>
      <c r="F28" s="23"/>
      <c r="G28" s="23"/>
      <c r="H28" s="42" t="s">
        <v>37</v>
      </c>
      <c r="I28" s="23"/>
      <c r="J28" s="57" t="s">
        <v>129</v>
      </c>
      <c r="K28" s="23"/>
      <c r="L28" s="154">
        <f t="shared" si="0"/>
        <v>20</v>
      </c>
      <c r="M28" s="33">
        <f t="shared" si="1"/>
        <v>15455656.446903013</v>
      </c>
      <c r="O28" s="23"/>
    </row>
    <row r="29" spans="1:15" x14ac:dyDescent="0.2">
      <c r="A29" s="21" t="s">
        <v>32</v>
      </c>
      <c r="B29" s="24"/>
      <c r="C29" s="24"/>
      <c r="D29" s="24"/>
      <c r="E29" s="22"/>
      <c r="F29" s="23"/>
      <c r="G29" s="23"/>
      <c r="H29" s="59" t="s">
        <v>36</v>
      </c>
      <c r="I29" s="49"/>
      <c r="J29" s="60" t="s">
        <v>129</v>
      </c>
      <c r="K29" s="23"/>
      <c r="L29" s="154">
        <f t="shared" ref="L29:L48" si="2">L9+20</f>
        <v>21</v>
      </c>
      <c r="M29" s="33">
        <f t="shared" si="1"/>
        <v>15378378.164668497</v>
      </c>
      <c r="O29" s="23"/>
    </row>
    <row r="30" spans="1:15" x14ac:dyDescent="0.2">
      <c r="A30" s="26" t="s">
        <v>33</v>
      </c>
      <c r="B30" s="23"/>
      <c r="C30" s="23"/>
      <c r="D30" s="392" t="s">
        <v>62</v>
      </c>
      <c r="E30" s="393"/>
      <c r="F30" s="23"/>
      <c r="G30" s="23"/>
      <c r="H30" s="23"/>
      <c r="I30" s="23"/>
      <c r="J30" s="23"/>
      <c r="K30" s="23"/>
      <c r="L30" s="154">
        <f t="shared" si="2"/>
        <v>22</v>
      </c>
      <c r="M30" s="33">
        <f t="shared" si="1"/>
        <v>15301486.273845155</v>
      </c>
      <c r="O30" s="23"/>
    </row>
    <row r="31" spans="1:15" x14ac:dyDescent="0.2">
      <c r="A31" s="26"/>
      <c r="B31" s="23"/>
      <c r="C31" s="23"/>
      <c r="D31" s="68" t="s">
        <v>36</v>
      </c>
      <c r="E31" s="68" t="s">
        <v>37</v>
      </c>
      <c r="F31" s="23"/>
      <c r="G31" s="23"/>
      <c r="H31" s="21" t="s">
        <v>188</v>
      </c>
      <c r="I31" s="24"/>
      <c r="J31" s="22"/>
      <c r="K31" s="23"/>
      <c r="L31" s="154">
        <f t="shared" si="2"/>
        <v>23</v>
      </c>
      <c r="M31" s="33">
        <f t="shared" si="1"/>
        <v>15224978.842475928</v>
      </c>
      <c r="O31" s="23"/>
    </row>
    <row r="32" spans="1:15" x14ac:dyDescent="0.2">
      <c r="A32" s="42" t="s">
        <v>35</v>
      </c>
      <c r="B32" s="23"/>
      <c r="C32" s="23"/>
      <c r="D32" s="69"/>
      <c r="E32" s="27"/>
      <c r="F32" s="23"/>
      <c r="G32" s="23"/>
      <c r="H32" s="38" t="s">
        <v>249</v>
      </c>
      <c r="I32" s="25"/>
      <c r="J32" s="30">
        <v>0.1</v>
      </c>
      <c r="K32" s="23"/>
      <c r="L32" s="154">
        <f t="shared" si="2"/>
        <v>24</v>
      </c>
      <c r="M32" s="33">
        <f t="shared" si="1"/>
        <v>15148853.948263548</v>
      </c>
      <c r="O32" s="23"/>
    </row>
    <row r="33" spans="1:16" x14ac:dyDescent="0.2">
      <c r="A33" s="26"/>
      <c r="B33" s="70" t="s">
        <v>34</v>
      </c>
      <c r="C33" s="23"/>
      <c r="D33" s="71"/>
      <c r="E33" s="56"/>
      <c r="F33" s="23"/>
      <c r="G33" s="23"/>
      <c r="H33" s="53" t="s">
        <v>250</v>
      </c>
      <c r="I33" s="49"/>
      <c r="J33" s="52">
        <f>SalvageValue*PreFinancingInstalledCostTotal</f>
        <v>4022715</v>
      </c>
      <c r="K33" s="23"/>
      <c r="L33" s="154">
        <f t="shared" si="2"/>
        <v>25</v>
      </c>
      <c r="M33" s="33">
        <f t="shared" si="1"/>
        <v>15073109.678522231</v>
      </c>
      <c r="O33" s="23"/>
    </row>
    <row r="34" spans="1:16" x14ac:dyDescent="0.2">
      <c r="A34" s="46" t="s">
        <v>36</v>
      </c>
      <c r="B34" s="36">
        <v>0</v>
      </c>
      <c r="C34" s="72"/>
      <c r="D34" s="308" t="s">
        <v>67</v>
      </c>
      <c r="E34" s="100" t="s">
        <v>67</v>
      </c>
      <c r="F34" s="23"/>
      <c r="G34" s="23"/>
      <c r="H34" s="23"/>
      <c r="I34" s="23"/>
      <c r="J34" s="23"/>
      <c r="K34" s="23"/>
      <c r="L34" s="154">
        <f t="shared" si="2"/>
        <v>26</v>
      </c>
      <c r="M34" s="33">
        <f t="shared" si="1"/>
        <v>14997744.13012962</v>
      </c>
    </row>
    <row r="35" spans="1:16" x14ac:dyDescent="0.2">
      <c r="A35" s="46" t="s">
        <v>37</v>
      </c>
      <c r="B35" s="36">
        <v>0</v>
      </c>
      <c r="C35" s="72"/>
      <c r="D35" s="308" t="s">
        <v>68</v>
      </c>
      <c r="E35" s="100" t="s">
        <v>67</v>
      </c>
      <c r="F35" s="23"/>
      <c r="G35" s="23"/>
      <c r="H35" s="23"/>
      <c r="I35" s="23"/>
      <c r="J35" s="23"/>
      <c r="K35" s="23"/>
      <c r="L35" s="154">
        <f t="shared" si="2"/>
        <v>27</v>
      </c>
      <c r="M35" s="33">
        <f t="shared" si="1"/>
        <v>14922755.409478972</v>
      </c>
    </row>
    <row r="36" spans="1:16" x14ac:dyDescent="0.2">
      <c r="A36" s="42" t="s">
        <v>40</v>
      </c>
      <c r="B36" s="72"/>
      <c r="C36" s="72"/>
      <c r="D36" s="309"/>
      <c r="E36" s="89"/>
      <c r="F36" s="23"/>
      <c r="G36" s="23"/>
      <c r="H36" s="23"/>
      <c r="I36" s="23"/>
      <c r="J36" s="23"/>
      <c r="K36" s="23"/>
      <c r="L36" s="154">
        <f t="shared" si="2"/>
        <v>28</v>
      </c>
      <c r="M36" s="33">
        <f t="shared" si="1"/>
        <v>14848141.632431576</v>
      </c>
    </row>
    <row r="37" spans="1:16" x14ac:dyDescent="0.2">
      <c r="A37" s="26"/>
      <c r="B37" s="75" t="s">
        <v>41</v>
      </c>
      <c r="C37" s="75" t="s">
        <v>42</v>
      </c>
      <c r="D37" s="309"/>
      <c r="E37" s="89"/>
      <c r="F37" s="23"/>
      <c r="G37" s="23"/>
      <c r="H37" s="25"/>
      <c r="I37" s="25"/>
      <c r="J37" s="25"/>
      <c r="K37" s="23"/>
      <c r="L37" s="154">
        <f t="shared" si="2"/>
        <v>29</v>
      </c>
      <c r="M37" s="33">
        <f t="shared" si="1"/>
        <v>14773900.924269417</v>
      </c>
    </row>
    <row r="38" spans="1:16" x14ac:dyDescent="0.2">
      <c r="A38" s="46" t="s">
        <v>36</v>
      </c>
      <c r="B38" s="340">
        <v>0.3</v>
      </c>
      <c r="C38" s="77">
        <v>9.9999999999999997E+98</v>
      </c>
      <c r="D38" s="308" t="s">
        <v>67</v>
      </c>
      <c r="E38" s="100" t="s">
        <v>67</v>
      </c>
      <c r="F38" s="23"/>
      <c r="G38" s="23"/>
      <c r="H38" s="25"/>
      <c r="I38" s="25"/>
      <c r="J38" s="25"/>
      <c r="K38" s="23"/>
      <c r="L38" s="154">
        <f t="shared" si="2"/>
        <v>30</v>
      </c>
      <c r="M38" s="33">
        <f t="shared" si="1"/>
        <v>14700031.41964807</v>
      </c>
    </row>
    <row r="39" spans="1:16" x14ac:dyDescent="0.2">
      <c r="A39" s="46" t="s">
        <v>37</v>
      </c>
      <c r="B39" s="76">
        <v>0</v>
      </c>
      <c r="C39" s="77">
        <v>9.9999999999999997E+98</v>
      </c>
      <c r="D39" s="308" t="s">
        <v>68</v>
      </c>
      <c r="E39" s="100" t="s">
        <v>67</v>
      </c>
      <c r="F39" s="23"/>
      <c r="G39" s="23"/>
      <c r="H39" s="25"/>
      <c r="I39" s="25"/>
      <c r="J39" s="25"/>
      <c r="K39" s="23"/>
      <c r="L39" s="154">
        <f t="shared" si="2"/>
        <v>31</v>
      </c>
      <c r="M39" s="33">
        <f t="shared" si="1"/>
        <v>14626531.262549829</v>
      </c>
    </row>
    <row r="40" spans="1:16" x14ac:dyDescent="0.2">
      <c r="A40" s="26" t="s">
        <v>38</v>
      </c>
      <c r="B40" s="72"/>
      <c r="C40" s="72"/>
      <c r="D40" s="309"/>
      <c r="E40" s="89"/>
      <c r="F40" s="23"/>
      <c r="G40" s="23"/>
      <c r="H40" s="25"/>
      <c r="I40" s="25"/>
      <c r="J40" s="25"/>
      <c r="K40" s="23"/>
      <c r="L40" s="154">
        <f t="shared" si="2"/>
        <v>32</v>
      </c>
      <c r="M40" s="33">
        <f t="shared" si="1"/>
        <v>14553398.60623708</v>
      </c>
    </row>
    <row r="41" spans="1:16" x14ac:dyDescent="0.2">
      <c r="A41" s="26"/>
      <c r="B41" s="78" t="s">
        <v>43</v>
      </c>
      <c r="C41" s="78" t="s">
        <v>44</v>
      </c>
      <c r="D41" s="79"/>
      <c r="E41" s="27"/>
      <c r="F41" s="23"/>
      <c r="G41" s="23"/>
      <c r="H41" s="25"/>
      <c r="I41" s="25"/>
      <c r="J41" s="25"/>
      <c r="K41" s="23"/>
      <c r="L41" s="154">
        <f t="shared" si="2"/>
        <v>33</v>
      </c>
      <c r="M41" s="33">
        <f t="shared" si="1"/>
        <v>14480631.613205895</v>
      </c>
    </row>
    <row r="42" spans="1:16" x14ac:dyDescent="0.2">
      <c r="A42" s="42" t="s">
        <v>36</v>
      </c>
      <c r="B42" s="80">
        <v>0</v>
      </c>
      <c r="C42" s="81">
        <v>10</v>
      </c>
      <c r="D42" s="82"/>
      <c r="E42" s="83"/>
      <c r="F42" s="23"/>
      <c r="G42" s="23"/>
      <c r="H42" s="25"/>
      <c r="I42" s="25"/>
      <c r="J42" s="25"/>
      <c r="K42" s="23"/>
      <c r="L42" s="154">
        <f t="shared" si="2"/>
        <v>34</v>
      </c>
      <c r="M42" s="33">
        <f t="shared" si="1"/>
        <v>14408228.455139866</v>
      </c>
    </row>
    <row r="43" spans="1:16" x14ac:dyDescent="0.2">
      <c r="A43" s="59" t="s">
        <v>37</v>
      </c>
      <c r="B43" s="84">
        <v>0</v>
      </c>
      <c r="C43" s="85">
        <v>10</v>
      </c>
      <c r="D43" s="86"/>
      <c r="E43" s="87"/>
      <c r="F43" s="23"/>
      <c r="G43" s="23"/>
      <c r="H43" s="25"/>
      <c r="I43" s="25"/>
      <c r="J43" s="25"/>
      <c r="K43" s="23"/>
      <c r="L43" s="154">
        <f t="shared" si="2"/>
        <v>35</v>
      </c>
      <c r="M43" s="33">
        <f t="shared" si="1"/>
        <v>14336187.312864168</v>
      </c>
      <c r="P43" s="23"/>
    </row>
    <row r="44" spans="1:16" x14ac:dyDescent="0.2">
      <c r="A44" s="341"/>
      <c r="B44" s="80"/>
      <c r="C44" s="81"/>
      <c r="D44" s="25"/>
      <c r="E44" s="25"/>
      <c r="F44" s="23"/>
      <c r="G44" s="23"/>
      <c r="H44" s="25"/>
      <c r="I44" s="25"/>
      <c r="J44" s="25"/>
      <c r="K44" s="23"/>
      <c r="L44" s="154">
        <f t="shared" si="2"/>
        <v>36</v>
      </c>
      <c r="M44" s="33">
        <f t="shared" si="1"/>
        <v>14264506.376299847</v>
      </c>
      <c r="P44" s="23"/>
    </row>
    <row r="45" spans="1:16" x14ac:dyDescent="0.2">
      <c r="A45" s="341"/>
      <c r="B45" s="80"/>
      <c r="C45" s="81"/>
      <c r="D45" s="25"/>
      <c r="E45" s="25"/>
      <c r="F45" s="23"/>
      <c r="G45" s="23"/>
      <c r="H45" s="25"/>
      <c r="I45" s="25"/>
      <c r="J45" s="25"/>
      <c r="K45" s="23"/>
      <c r="L45" s="154">
        <f t="shared" si="2"/>
        <v>37</v>
      </c>
      <c r="M45" s="33">
        <f t="shared" si="1"/>
        <v>14193183.844418347</v>
      </c>
      <c r="P45" s="23"/>
    </row>
    <row r="46" spans="1:16" x14ac:dyDescent="0.2">
      <c r="A46" s="341"/>
      <c r="B46" s="80"/>
      <c r="C46" s="81"/>
      <c r="D46" s="25"/>
      <c r="E46" s="25"/>
      <c r="F46" s="23"/>
      <c r="G46" s="23"/>
      <c r="H46" s="25"/>
      <c r="I46" s="25"/>
      <c r="J46" s="25"/>
      <c r="K46" s="23"/>
      <c r="L46" s="154">
        <f t="shared" si="2"/>
        <v>38</v>
      </c>
      <c r="M46" s="33">
        <f t="shared" si="1"/>
        <v>14122217.925196255</v>
      </c>
      <c r="P46" s="23"/>
    </row>
    <row r="47" spans="1:16" x14ac:dyDescent="0.2">
      <c r="A47" s="341"/>
      <c r="B47" s="80"/>
      <c r="C47" s="81"/>
      <c r="D47" s="25"/>
      <c r="E47" s="25"/>
      <c r="F47" s="23"/>
      <c r="G47" s="23"/>
      <c r="H47" s="25"/>
      <c r="I47" s="25"/>
      <c r="J47" s="25"/>
      <c r="K47" s="23"/>
      <c r="L47" s="154">
        <f t="shared" si="2"/>
        <v>39</v>
      </c>
      <c r="M47" s="33">
        <f t="shared" si="1"/>
        <v>14051606.835570274</v>
      </c>
      <c r="P47" s="23"/>
    </row>
    <row r="48" spans="1:16" x14ac:dyDescent="0.2">
      <c r="A48" s="341"/>
      <c r="B48" s="80"/>
      <c r="C48" s="81"/>
      <c r="D48" s="25"/>
      <c r="E48" s="25"/>
      <c r="F48" s="23"/>
      <c r="G48" s="23"/>
      <c r="H48" s="25"/>
      <c r="I48" s="25"/>
      <c r="J48" s="25"/>
      <c r="K48" s="23"/>
      <c r="L48" s="66">
        <f t="shared" si="2"/>
        <v>40</v>
      </c>
      <c r="M48" s="39">
        <f t="shared" si="1"/>
        <v>13981348.801392423</v>
      </c>
      <c r="P48" s="23"/>
    </row>
    <row r="49" spans="1:16" x14ac:dyDescent="0.2">
      <c r="F49" s="23"/>
      <c r="G49" s="23"/>
      <c r="H49" s="25"/>
      <c r="I49" s="25"/>
      <c r="J49" s="25"/>
      <c r="K49" s="23"/>
      <c r="L49" s="23"/>
      <c r="M49" s="27"/>
      <c r="N49" s="23"/>
      <c r="O49" s="23"/>
      <c r="P49" s="23"/>
    </row>
    <row r="50" spans="1:16" x14ac:dyDescent="0.2">
      <c r="A50" s="21" t="s">
        <v>57</v>
      </c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2"/>
      <c r="P50" s="23"/>
    </row>
    <row r="51" spans="1:16" x14ac:dyDescent="0.2">
      <c r="A51" s="26"/>
      <c r="B51" s="23"/>
      <c r="C51" s="23"/>
      <c r="D51" s="23"/>
      <c r="E51" s="23"/>
      <c r="F51" s="23"/>
      <c r="G51" s="23"/>
      <c r="H51" s="23"/>
      <c r="I51" s="26" t="s">
        <v>61</v>
      </c>
      <c r="J51" s="27"/>
      <c r="K51" s="26" t="s">
        <v>62</v>
      </c>
      <c r="L51" s="27"/>
      <c r="M51" s="27"/>
      <c r="P51" s="23"/>
    </row>
    <row r="52" spans="1:16" ht="25.5" x14ac:dyDescent="0.2">
      <c r="A52" s="26"/>
      <c r="B52" s="68" t="s">
        <v>35</v>
      </c>
      <c r="C52" s="68" t="s">
        <v>69</v>
      </c>
      <c r="D52" s="68" t="s">
        <v>43</v>
      </c>
      <c r="E52" s="68" t="s">
        <v>70</v>
      </c>
      <c r="F52" s="68" t="s">
        <v>42</v>
      </c>
      <c r="G52" s="68" t="s">
        <v>72</v>
      </c>
      <c r="H52" s="68" t="s">
        <v>39</v>
      </c>
      <c r="I52" s="68" t="s">
        <v>36</v>
      </c>
      <c r="J52" s="68" t="s">
        <v>37</v>
      </c>
      <c r="K52" s="68" t="s">
        <v>36</v>
      </c>
      <c r="L52" s="68" t="s">
        <v>37</v>
      </c>
      <c r="M52" s="68" t="s">
        <v>65</v>
      </c>
      <c r="P52" s="23"/>
    </row>
    <row r="53" spans="1:16" x14ac:dyDescent="0.2">
      <c r="A53" s="26" t="s">
        <v>58</v>
      </c>
      <c r="B53" s="26"/>
      <c r="C53" s="72"/>
      <c r="D53" s="72"/>
      <c r="E53" s="72"/>
      <c r="F53" s="72"/>
      <c r="G53" s="72"/>
      <c r="H53" s="56"/>
      <c r="I53" s="26"/>
      <c r="J53" s="27"/>
      <c r="K53" s="26"/>
      <c r="L53" s="27"/>
      <c r="M53" s="79"/>
    </row>
    <row r="54" spans="1:16" x14ac:dyDescent="0.2">
      <c r="A54" s="42" t="s">
        <v>66</v>
      </c>
      <c r="B54" s="38"/>
      <c r="C54" s="88"/>
      <c r="D54" s="88"/>
      <c r="E54" s="88"/>
      <c r="F54" s="88"/>
      <c r="G54" s="88"/>
      <c r="H54" s="89"/>
      <c r="I54" s="90"/>
      <c r="J54" s="91"/>
      <c r="K54" s="90"/>
      <c r="L54" s="91"/>
      <c r="M54" s="92"/>
    </row>
    <row r="55" spans="1:16" x14ac:dyDescent="0.2">
      <c r="A55" s="46" t="s">
        <v>36</v>
      </c>
      <c r="B55" s="287">
        <v>0</v>
      </c>
      <c r="C55" s="93"/>
      <c r="D55" s="93"/>
      <c r="E55" s="93"/>
      <c r="F55" s="93"/>
      <c r="G55" s="93"/>
      <c r="H55" s="94"/>
      <c r="I55" s="95" t="s">
        <v>67</v>
      </c>
      <c r="J55" s="74" t="s">
        <v>67</v>
      </c>
      <c r="K55" s="99" t="s">
        <v>68</v>
      </c>
      <c r="L55" s="100" t="s">
        <v>68</v>
      </c>
      <c r="M55" s="82"/>
    </row>
    <row r="56" spans="1:16" x14ac:dyDescent="0.2">
      <c r="A56" s="46" t="s">
        <v>37</v>
      </c>
      <c r="B56" s="287">
        <v>0</v>
      </c>
      <c r="C56" s="93"/>
      <c r="D56" s="93"/>
      <c r="E56" s="93"/>
      <c r="F56" s="93"/>
      <c r="G56" s="93"/>
      <c r="H56" s="94"/>
      <c r="I56" s="95" t="s">
        <v>67</v>
      </c>
      <c r="J56" s="74" t="s">
        <v>67</v>
      </c>
      <c r="K56" s="99" t="s">
        <v>68</v>
      </c>
      <c r="L56" s="100" t="s">
        <v>68</v>
      </c>
      <c r="M56" s="82"/>
    </row>
    <row r="57" spans="1:16" x14ac:dyDescent="0.2">
      <c r="A57" s="46" t="s">
        <v>59</v>
      </c>
      <c r="B57" s="287">
        <v>0</v>
      </c>
      <c r="C57" s="93"/>
      <c r="D57" s="93"/>
      <c r="E57" s="93"/>
      <c r="F57" s="93"/>
      <c r="G57" s="93"/>
      <c r="H57" s="94"/>
      <c r="I57" s="95" t="s">
        <v>67</v>
      </c>
      <c r="J57" s="74" t="s">
        <v>67</v>
      </c>
      <c r="K57" s="99" t="s">
        <v>68</v>
      </c>
      <c r="L57" s="100" t="s">
        <v>68</v>
      </c>
      <c r="M57" s="82"/>
    </row>
    <row r="58" spans="1:16" x14ac:dyDescent="0.2">
      <c r="A58" s="46" t="s">
        <v>60</v>
      </c>
      <c r="B58" s="287">
        <v>0</v>
      </c>
      <c r="C58" s="93"/>
      <c r="D58" s="93"/>
      <c r="E58" s="93"/>
      <c r="F58" s="93"/>
      <c r="G58" s="93"/>
      <c r="H58" s="94"/>
      <c r="I58" s="95" t="s">
        <v>67</v>
      </c>
      <c r="J58" s="74" t="s">
        <v>67</v>
      </c>
      <c r="K58" s="99" t="s">
        <v>68</v>
      </c>
      <c r="L58" s="100" t="s">
        <v>68</v>
      </c>
      <c r="M58" s="82"/>
    </row>
    <row r="59" spans="1:16" x14ac:dyDescent="0.2">
      <c r="A59" s="32" t="s">
        <v>63</v>
      </c>
      <c r="B59" s="26"/>
      <c r="C59" s="72"/>
      <c r="D59" s="72"/>
      <c r="E59" s="72"/>
      <c r="F59" s="72"/>
      <c r="G59" s="72"/>
      <c r="H59" s="56"/>
      <c r="I59" s="96"/>
      <c r="J59" s="56"/>
      <c r="K59" s="333"/>
      <c r="L59" s="89"/>
      <c r="M59" s="79"/>
    </row>
    <row r="60" spans="1:16" x14ac:dyDescent="0.2">
      <c r="A60" s="46" t="s">
        <v>36</v>
      </c>
      <c r="B60" s="97">
        <f>MIN(E60*PreFinancingInstalledCostTotal,F60)</f>
        <v>0</v>
      </c>
      <c r="C60" s="93"/>
      <c r="D60" s="93"/>
      <c r="E60" s="98">
        <v>0</v>
      </c>
      <c r="F60" s="77">
        <v>9.9999999999999997E+98</v>
      </c>
      <c r="G60" s="93"/>
      <c r="H60" s="94"/>
      <c r="I60" s="95" t="s">
        <v>67</v>
      </c>
      <c r="J60" s="74" t="s">
        <v>67</v>
      </c>
      <c r="K60" s="99" t="s">
        <v>68</v>
      </c>
      <c r="L60" s="100" t="s">
        <v>68</v>
      </c>
      <c r="M60" s="82"/>
    </row>
    <row r="61" spans="1:16" x14ac:dyDescent="0.2">
      <c r="A61" s="46" t="s">
        <v>37</v>
      </c>
      <c r="B61" s="97">
        <f>MIN(E61*PreFinancingInstalledCostTotal,F61)</f>
        <v>0</v>
      </c>
      <c r="C61" s="93"/>
      <c r="D61" s="93"/>
      <c r="E61" s="98">
        <v>0</v>
      </c>
      <c r="F61" s="77">
        <v>9.9999999999999997E+98</v>
      </c>
      <c r="G61" s="93"/>
      <c r="H61" s="94"/>
      <c r="I61" s="95" t="s">
        <v>67</v>
      </c>
      <c r="J61" s="74" t="s">
        <v>67</v>
      </c>
      <c r="K61" s="99" t="s">
        <v>68</v>
      </c>
      <c r="L61" s="100" t="s">
        <v>68</v>
      </c>
      <c r="M61" s="82"/>
    </row>
    <row r="62" spans="1:16" x14ac:dyDescent="0.2">
      <c r="A62" s="46" t="s">
        <v>59</v>
      </c>
      <c r="B62" s="97">
        <f>MIN(E62*PreFinancingInstalledCostTotal,F62)</f>
        <v>0</v>
      </c>
      <c r="C62" s="93"/>
      <c r="D62" s="93"/>
      <c r="E62" s="98">
        <v>0</v>
      </c>
      <c r="F62" s="77">
        <v>9.9999999999999997E+98</v>
      </c>
      <c r="G62" s="93"/>
      <c r="H62" s="94"/>
      <c r="I62" s="95" t="s">
        <v>67</v>
      </c>
      <c r="J62" s="74" t="s">
        <v>67</v>
      </c>
      <c r="K62" s="99" t="s">
        <v>68</v>
      </c>
      <c r="L62" s="100" t="s">
        <v>68</v>
      </c>
      <c r="M62" s="82"/>
    </row>
    <row r="63" spans="1:16" x14ac:dyDescent="0.2">
      <c r="A63" s="46" t="s">
        <v>60</v>
      </c>
      <c r="B63" s="97">
        <f>MIN(E63*PreFinancingInstalledCostTotal,F63)</f>
        <v>0</v>
      </c>
      <c r="C63" s="93"/>
      <c r="D63" s="93"/>
      <c r="E63" s="98">
        <v>0</v>
      </c>
      <c r="F63" s="77">
        <v>9.9999999999999997E+98</v>
      </c>
      <c r="G63" s="93"/>
      <c r="H63" s="94"/>
      <c r="I63" s="95" t="s">
        <v>67</v>
      </c>
      <c r="J63" s="74" t="s">
        <v>67</v>
      </c>
      <c r="K63" s="99" t="s">
        <v>68</v>
      </c>
      <c r="L63" s="100" t="s">
        <v>68</v>
      </c>
      <c r="M63" s="82"/>
    </row>
    <row r="64" spans="1:16" x14ac:dyDescent="0.2">
      <c r="A64" s="26" t="s">
        <v>64</v>
      </c>
      <c r="B64" s="26"/>
      <c r="C64" s="72"/>
      <c r="D64" s="72"/>
      <c r="E64" s="72"/>
      <c r="F64" s="72"/>
      <c r="G64" s="72"/>
      <c r="H64" s="56"/>
      <c r="I64" s="99"/>
      <c r="J64" s="100"/>
      <c r="K64" s="99"/>
      <c r="L64" s="100"/>
      <c r="M64" s="92"/>
      <c r="N64" s="101"/>
    </row>
    <row r="65" spans="1:13" x14ac:dyDescent="0.2">
      <c r="A65" s="42" t="s">
        <v>36</v>
      </c>
      <c r="B65" s="97">
        <f>MIN(C65*CapacityDC*1000,F65)</f>
        <v>0</v>
      </c>
      <c r="C65" s="81">
        <v>0</v>
      </c>
      <c r="D65" s="93"/>
      <c r="E65" s="93"/>
      <c r="F65" s="77">
        <v>9.9999999999999997E+98</v>
      </c>
      <c r="G65" s="93"/>
      <c r="H65" s="94"/>
      <c r="I65" s="95" t="s">
        <v>67</v>
      </c>
      <c r="J65" s="74" t="s">
        <v>67</v>
      </c>
      <c r="K65" s="99" t="s">
        <v>68</v>
      </c>
      <c r="L65" s="100" t="s">
        <v>68</v>
      </c>
      <c r="M65" s="82"/>
    </row>
    <row r="66" spans="1:13" x14ac:dyDescent="0.2">
      <c r="A66" s="42" t="s">
        <v>37</v>
      </c>
      <c r="B66" s="97">
        <f>MIN(C66*CapacityDC*1000,F66)</f>
        <v>0</v>
      </c>
      <c r="C66" s="81">
        <v>0</v>
      </c>
      <c r="D66" s="93"/>
      <c r="E66" s="93"/>
      <c r="F66" s="77">
        <v>9.9999999999999997E+98</v>
      </c>
      <c r="G66" s="93"/>
      <c r="H66" s="94"/>
      <c r="I66" s="95" t="s">
        <v>67</v>
      </c>
      <c r="J66" s="74" t="s">
        <v>67</v>
      </c>
      <c r="K66" s="99" t="s">
        <v>68</v>
      </c>
      <c r="L66" s="100" t="s">
        <v>68</v>
      </c>
      <c r="M66" s="82"/>
    </row>
    <row r="67" spans="1:13" x14ac:dyDescent="0.2">
      <c r="A67" s="32" t="s">
        <v>59</v>
      </c>
      <c r="B67" s="97">
        <f>MIN(C67*CapacityDC*1000,F67)</f>
        <v>0</v>
      </c>
      <c r="C67" s="81">
        <v>0</v>
      </c>
      <c r="D67" s="93"/>
      <c r="E67" s="93"/>
      <c r="F67" s="77">
        <v>9.9999999999999997E+98</v>
      </c>
      <c r="G67" s="93"/>
      <c r="H67" s="94"/>
      <c r="I67" s="95" t="s">
        <v>67</v>
      </c>
      <c r="J67" s="74" t="s">
        <v>67</v>
      </c>
      <c r="K67" s="99" t="s">
        <v>68</v>
      </c>
      <c r="L67" s="100" t="s">
        <v>68</v>
      </c>
      <c r="M67" s="82"/>
    </row>
    <row r="68" spans="1:13" x14ac:dyDescent="0.2">
      <c r="A68" s="32" t="s">
        <v>60</v>
      </c>
      <c r="B68" s="97">
        <f>MIN(C68*CapacityDC*1000,F68)</f>
        <v>0</v>
      </c>
      <c r="C68" s="81">
        <v>0</v>
      </c>
      <c r="D68" s="93"/>
      <c r="E68" s="93"/>
      <c r="F68" s="77">
        <v>9.9999999999999997E+98</v>
      </c>
      <c r="G68" s="93"/>
      <c r="H68" s="94"/>
      <c r="I68" s="95" t="s">
        <v>67</v>
      </c>
      <c r="J68" s="74" t="s">
        <v>67</v>
      </c>
      <c r="K68" s="99" t="s">
        <v>68</v>
      </c>
      <c r="L68" s="100" t="s">
        <v>68</v>
      </c>
      <c r="M68" s="82"/>
    </row>
    <row r="69" spans="1:13" x14ac:dyDescent="0.2">
      <c r="A69" s="310" t="s">
        <v>390</v>
      </c>
      <c r="B69" s="104"/>
      <c r="C69" s="93"/>
      <c r="D69" s="93"/>
      <c r="E69" s="93"/>
      <c r="F69" s="93"/>
      <c r="G69" s="93"/>
      <c r="H69" s="94"/>
      <c r="I69" s="93"/>
      <c r="J69" s="93"/>
      <c r="K69" s="99"/>
      <c r="L69" s="100"/>
      <c r="M69" s="82"/>
    </row>
    <row r="70" spans="1:13" x14ac:dyDescent="0.2">
      <c r="A70" s="32" t="s">
        <v>391</v>
      </c>
      <c r="B70" s="104"/>
      <c r="C70" s="93"/>
      <c r="D70" s="93"/>
      <c r="E70" s="93"/>
      <c r="F70" s="93"/>
      <c r="G70" s="93"/>
      <c r="H70" s="94"/>
      <c r="I70" s="93"/>
      <c r="J70" s="93"/>
      <c r="K70" s="99" t="s">
        <v>392</v>
      </c>
      <c r="L70" s="100" t="s">
        <v>392</v>
      </c>
      <c r="M70" s="82"/>
    </row>
    <row r="71" spans="1:13" x14ac:dyDescent="0.2">
      <c r="A71" s="38" t="s">
        <v>71</v>
      </c>
      <c r="B71" s="26"/>
      <c r="C71" s="72"/>
      <c r="D71" s="72"/>
      <c r="E71" s="72"/>
      <c r="F71" s="72"/>
      <c r="G71" s="72"/>
      <c r="H71" s="56"/>
      <c r="I71" s="96"/>
      <c r="J71" s="56"/>
      <c r="K71" s="96"/>
      <c r="L71" s="56"/>
      <c r="M71" s="79"/>
    </row>
    <row r="72" spans="1:13" x14ac:dyDescent="0.2">
      <c r="A72" s="42" t="s">
        <v>36</v>
      </c>
      <c r="B72" s="102"/>
      <c r="C72" s="93"/>
      <c r="D72" s="103">
        <v>0</v>
      </c>
      <c r="E72" s="93"/>
      <c r="F72" s="93"/>
      <c r="G72" s="36">
        <v>0</v>
      </c>
      <c r="H72" s="30">
        <v>0</v>
      </c>
      <c r="I72" s="95" t="s">
        <v>67</v>
      </c>
      <c r="J72" s="74" t="s">
        <v>67</v>
      </c>
      <c r="K72" s="104"/>
      <c r="L72" s="94"/>
      <c r="M72" s="73" t="s">
        <v>68</v>
      </c>
    </row>
    <row r="73" spans="1:13" x14ac:dyDescent="0.2">
      <c r="A73" s="42" t="s">
        <v>37</v>
      </c>
      <c r="B73" s="102"/>
      <c r="C73" s="93"/>
      <c r="D73" s="103">
        <v>0</v>
      </c>
      <c r="E73" s="93"/>
      <c r="F73" s="93"/>
      <c r="G73" s="36">
        <v>0</v>
      </c>
      <c r="H73" s="30">
        <v>0</v>
      </c>
      <c r="I73" s="95" t="s">
        <v>67</v>
      </c>
      <c r="J73" s="74" t="s">
        <v>67</v>
      </c>
      <c r="K73" s="104"/>
      <c r="L73" s="94"/>
      <c r="M73" s="73" t="s">
        <v>68</v>
      </c>
    </row>
    <row r="74" spans="1:13" x14ac:dyDescent="0.2">
      <c r="A74" s="42" t="s">
        <v>59</v>
      </c>
      <c r="B74" s="102"/>
      <c r="C74" s="93"/>
      <c r="D74" s="103">
        <v>0</v>
      </c>
      <c r="E74" s="93"/>
      <c r="F74" s="93"/>
      <c r="G74" s="36">
        <v>0</v>
      </c>
      <c r="H74" s="30">
        <v>0</v>
      </c>
      <c r="I74" s="95" t="s">
        <v>67</v>
      </c>
      <c r="J74" s="74" t="s">
        <v>67</v>
      </c>
      <c r="K74" s="104"/>
      <c r="L74" s="94"/>
      <c r="M74" s="73" t="s">
        <v>68</v>
      </c>
    </row>
    <row r="75" spans="1:13" x14ac:dyDescent="0.2">
      <c r="A75" s="59" t="s">
        <v>60</v>
      </c>
      <c r="B75" s="105"/>
      <c r="C75" s="106"/>
      <c r="D75" s="107">
        <v>0</v>
      </c>
      <c r="E75" s="106"/>
      <c r="F75" s="106"/>
      <c r="G75" s="67">
        <v>0</v>
      </c>
      <c r="H75" s="47">
        <v>0</v>
      </c>
      <c r="I75" s="108" t="s">
        <v>67</v>
      </c>
      <c r="J75" s="109" t="s">
        <v>67</v>
      </c>
      <c r="K75" s="110"/>
      <c r="L75" s="111"/>
      <c r="M75" s="237" t="s">
        <v>68</v>
      </c>
    </row>
    <row r="77" spans="1:13" ht="21" x14ac:dyDescent="0.35">
      <c r="A77" s="17" t="s">
        <v>239</v>
      </c>
      <c r="B77" s="18"/>
      <c r="C77" s="18"/>
      <c r="D77" s="18"/>
      <c r="E77" s="18"/>
      <c r="F77" s="336"/>
      <c r="G77" s="336"/>
      <c r="H77" s="336"/>
      <c r="I77" s="336"/>
      <c r="J77" s="336"/>
      <c r="K77" s="337"/>
    </row>
    <row r="78" spans="1:13" ht="25.5" x14ac:dyDescent="0.2">
      <c r="B78" s="334" t="s">
        <v>25</v>
      </c>
      <c r="C78" s="334" t="s">
        <v>26</v>
      </c>
      <c r="D78" s="334" t="s">
        <v>27</v>
      </c>
      <c r="E78" s="335" t="s">
        <v>28</v>
      </c>
      <c r="F78" s="426"/>
      <c r="G78" s="427"/>
      <c r="H78" s="432"/>
      <c r="I78" s="433"/>
      <c r="J78" s="432"/>
      <c r="K78" s="433"/>
    </row>
    <row r="79" spans="1:13" ht="72.75" customHeight="1" x14ac:dyDescent="0.2">
      <c r="A79" s="113" t="s">
        <v>247</v>
      </c>
      <c r="B79" s="114"/>
      <c r="C79" s="264"/>
      <c r="D79" s="264"/>
      <c r="E79" s="273"/>
      <c r="F79" s="430"/>
      <c r="G79" s="431"/>
      <c r="H79" s="430"/>
      <c r="I79" s="431"/>
      <c r="J79" s="430"/>
      <c r="K79" s="431"/>
    </row>
    <row r="80" spans="1:13" x14ac:dyDescent="0.2">
      <c r="A80" s="115" t="s">
        <v>287</v>
      </c>
      <c r="B80" s="116"/>
      <c r="C80" s="116"/>
      <c r="D80" s="116"/>
      <c r="E80" s="274"/>
      <c r="F80" s="26"/>
      <c r="G80" s="27"/>
      <c r="H80" s="26"/>
      <c r="I80" s="27"/>
      <c r="J80" s="26"/>
      <c r="K80" s="27"/>
    </row>
    <row r="81" spans="1:11" ht="38.25" customHeight="1" x14ac:dyDescent="0.2">
      <c r="A81" s="42" t="s">
        <v>45</v>
      </c>
      <c r="B81" s="117">
        <v>36.820005710678977</v>
      </c>
      <c r="C81" s="117">
        <v>27.83099393537988</v>
      </c>
      <c r="D81" s="117">
        <v>41.682708185943383</v>
      </c>
      <c r="E81" s="275">
        <v>26.322649530122916</v>
      </c>
      <c r="F81" s="26"/>
      <c r="G81" s="27"/>
      <c r="H81" s="428"/>
      <c r="I81" s="429"/>
      <c r="J81" s="428"/>
      <c r="K81" s="429"/>
    </row>
    <row r="82" spans="1:11" x14ac:dyDescent="0.2">
      <c r="A82" s="59" t="s">
        <v>39</v>
      </c>
      <c r="B82" s="118">
        <v>0.01</v>
      </c>
      <c r="C82" s="118">
        <v>0.01</v>
      </c>
      <c r="D82" s="118">
        <v>0.01</v>
      </c>
      <c r="E82" s="276">
        <v>0.01</v>
      </c>
      <c r="F82" s="26"/>
      <c r="G82" s="27"/>
      <c r="H82" s="26"/>
      <c r="I82" s="27"/>
      <c r="J82" s="26"/>
      <c r="K82" s="27"/>
    </row>
    <row r="83" spans="1:11" x14ac:dyDescent="0.2">
      <c r="A83" s="119" t="s">
        <v>222</v>
      </c>
      <c r="B83" s="116"/>
      <c r="C83" s="120"/>
      <c r="D83" s="116"/>
      <c r="E83" s="274"/>
      <c r="F83" s="26"/>
      <c r="G83" s="228"/>
      <c r="H83" s="26"/>
      <c r="I83" s="27"/>
      <c r="J83" s="26"/>
      <c r="K83" s="27"/>
    </row>
    <row r="84" spans="1:11" x14ac:dyDescent="0.2">
      <c r="A84" s="121" t="s">
        <v>231</v>
      </c>
      <c r="B84" s="79"/>
      <c r="C84" s="79"/>
      <c r="D84" s="79"/>
      <c r="E84" s="23"/>
      <c r="F84" s="26"/>
      <c r="G84" s="228"/>
      <c r="H84" s="26"/>
      <c r="I84" s="27"/>
      <c r="J84" s="26"/>
      <c r="K84" s="27"/>
    </row>
    <row r="85" spans="1:11" x14ac:dyDescent="0.2">
      <c r="A85" s="122" t="s">
        <v>218</v>
      </c>
      <c r="B85" s="123">
        <f>AEPFFlipTargetYear</f>
        <v>8</v>
      </c>
      <c r="C85" s="123">
        <f>LPFFlipTargetYear</f>
        <v>8</v>
      </c>
      <c r="D85" s="123">
        <f>SLReturnTargetYear</f>
        <v>20</v>
      </c>
      <c r="E85" s="277">
        <f>SOReturnTargetYear</f>
        <v>20</v>
      </c>
      <c r="F85" s="26"/>
      <c r="G85" s="300"/>
      <c r="H85" s="26"/>
      <c r="I85" s="27"/>
      <c r="J85" s="26"/>
      <c r="K85" s="27"/>
    </row>
    <row r="86" spans="1:11" ht="38.25" x14ac:dyDescent="0.2">
      <c r="A86" s="229" t="s">
        <v>290</v>
      </c>
      <c r="B86" s="123">
        <f>'All Equity Partnership Flip'!B150</f>
        <v>8</v>
      </c>
      <c r="C86" s="123">
        <f>'Leveraged Partnership Flip'!B159</f>
        <v>8</v>
      </c>
      <c r="D86" s="123">
        <f>'Sale Leaseback'!B174</f>
        <v>20</v>
      </c>
      <c r="E86" s="277">
        <f>'Single Owner'!B116</f>
        <v>20</v>
      </c>
      <c r="F86" s="26"/>
      <c r="G86" s="300"/>
      <c r="H86" s="428"/>
      <c r="I86" s="429"/>
      <c r="J86" s="428"/>
      <c r="K86" s="429"/>
    </row>
    <row r="87" spans="1:11" x14ac:dyDescent="0.2">
      <c r="A87" s="122" t="s">
        <v>347</v>
      </c>
      <c r="B87" s="125">
        <f>LOOKUP(B85,'All Equity Partnership Flip'!$C$2:$AP$2,'All Equity Partnership Flip'!$C$146:$AP$146)</f>
        <v>8.5000000000000006E-2</v>
      </c>
      <c r="C87" s="125">
        <f>LOOKUP(C85,'Leveraged Partnership Flip'!$C$2:$AP$2,'Leveraged Partnership Flip'!$C$155:$AP$155)</f>
        <v>0.105</v>
      </c>
      <c r="D87" s="125">
        <f>LOOKUP(D85,'Sale Leaseback'!$C$2:$AP$2,'Sale Leaseback'!$C$170:$AP$170)</f>
        <v>0.14000000000000001</v>
      </c>
      <c r="E87" s="278">
        <f>LOOKUP(E85,'Single Owner'!$C$2:$AP$2,'Single Owner'!$C$112:$AP$112)</f>
        <v>0.1</v>
      </c>
      <c r="F87" s="26"/>
      <c r="G87" s="301"/>
      <c r="H87" s="26"/>
      <c r="I87" s="27"/>
      <c r="J87" s="26"/>
      <c r="K87" s="27"/>
    </row>
    <row r="88" spans="1:11" x14ac:dyDescent="0.2">
      <c r="A88" s="121" t="s">
        <v>234</v>
      </c>
      <c r="B88" s="127">
        <f>'All Equity Partnership Flip'!B116*100</f>
        <v>40.903566138831295</v>
      </c>
      <c r="C88" s="127">
        <f>'Leveraged Partnership Flip'!B125*100</f>
        <v>30.917618810011621</v>
      </c>
      <c r="D88" s="127">
        <f>'Sale Leaseback'!B134*100</f>
        <v>46.305571610349936</v>
      </c>
      <c r="E88" s="279">
        <f>'Single Owner'!B128*100</f>
        <v>29.241989924308569</v>
      </c>
      <c r="F88" s="26"/>
      <c r="G88" s="302"/>
      <c r="H88" s="26"/>
      <c r="I88" s="27"/>
      <c r="J88" s="26"/>
      <c r="K88" s="27"/>
    </row>
    <row r="89" spans="1:11" x14ac:dyDescent="0.2">
      <c r="A89" s="121" t="s">
        <v>437</v>
      </c>
      <c r="B89" s="361"/>
      <c r="C89" s="361"/>
      <c r="D89" s="361"/>
      <c r="E89" s="362"/>
      <c r="F89" s="26"/>
      <c r="G89" s="302"/>
      <c r="H89" s="26"/>
      <c r="I89" s="27"/>
      <c r="J89" s="26"/>
      <c r="K89" s="27"/>
    </row>
    <row r="90" spans="1:11" x14ac:dyDescent="0.2">
      <c r="A90" s="122" t="s">
        <v>438</v>
      </c>
      <c r="B90" s="123">
        <f>'All Equity Partnership Flip'!B107</f>
        <v>0</v>
      </c>
      <c r="C90" s="123">
        <f>'Leveraged Partnership Flip'!B116</f>
        <v>4</v>
      </c>
      <c r="D90" s="247"/>
      <c r="E90" s="123">
        <f>'Single Owner'!B119</f>
        <v>6</v>
      </c>
      <c r="F90" s="26"/>
      <c r="G90" s="302"/>
      <c r="H90" s="26"/>
      <c r="I90" s="27"/>
      <c r="J90" s="26"/>
      <c r="K90" s="27"/>
    </row>
    <row r="91" spans="1:11" x14ac:dyDescent="0.2">
      <c r="A91" s="122" t="s">
        <v>436</v>
      </c>
      <c r="B91" s="364" t="str">
        <f>'All Equity Partnership Flip'!B108</f>
        <v>N/A</v>
      </c>
      <c r="C91" s="364">
        <f>'Leveraged Partnership Flip'!B117</f>
        <v>23</v>
      </c>
      <c r="D91" s="247"/>
      <c r="E91" s="364">
        <f>'Single Owner'!B120</f>
        <v>7</v>
      </c>
      <c r="F91" s="26"/>
      <c r="G91" s="302"/>
      <c r="H91" s="26"/>
      <c r="I91" s="27"/>
      <c r="J91" s="26"/>
      <c r="K91" s="27"/>
    </row>
    <row r="92" spans="1:11" x14ac:dyDescent="0.2">
      <c r="A92" s="307" t="s">
        <v>406</v>
      </c>
      <c r="B92" s="361"/>
      <c r="C92" s="361"/>
      <c r="D92" s="361"/>
      <c r="E92" s="362"/>
      <c r="F92" s="26"/>
      <c r="G92" s="302"/>
      <c r="H92" s="26"/>
      <c r="I92" s="27"/>
      <c r="J92" s="26"/>
      <c r="K92" s="27"/>
    </row>
    <row r="93" spans="1:11" x14ac:dyDescent="0.2">
      <c r="A93" s="40" t="s">
        <v>407</v>
      </c>
      <c r="B93" s="389">
        <v>8</v>
      </c>
      <c r="C93" s="390"/>
      <c r="D93" s="390"/>
      <c r="E93" s="391"/>
      <c r="F93" s="26"/>
      <c r="G93" s="302"/>
      <c r="H93" s="26"/>
      <c r="I93" s="27"/>
      <c r="J93" s="26"/>
      <c r="K93" s="27"/>
    </row>
    <row r="94" spans="1:11" x14ac:dyDescent="0.2">
      <c r="A94" s="40" t="s">
        <v>408</v>
      </c>
      <c r="B94" s="389">
        <v>25</v>
      </c>
      <c r="C94" s="390"/>
      <c r="D94" s="390"/>
      <c r="E94" s="391"/>
      <c r="F94" s="26"/>
      <c r="G94" s="302"/>
      <c r="H94" s="26"/>
      <c r="I94" s="27"/>
      <c r="J94" s="26"/>
      <c r="K94" s="27"/>
    </row>
    <row r="95" spans="1:11" x14ac:dyDescent="0.2">
      <c r="A95" s="313" t="s">
        <v>397</v>
      </c>
      <c r="B95" s="128"/>
      <c r="C95" s="128"/>
      <c r="D95" s="128"/>
      <c r="E95" s="280"/>
      <c r="F95" s="26"/>
      <c r="G95" s="303"/>
      <c r="H95" s="26"/>
      <c r="I95" s="27"/>
      <c r="J95" s="26"/>
      <c r="K95" s="27"/>
    </row>
    <row r="96" spans="1:11" x14ac:dyDescent="0.2">
      <c r="A96" s="314" t="str">
        <f>"IRR at Year - " &amp;TEXT(ReturnTime1,"general")</f>
        <v>IRR at Year - 8</v>
      </c>
      <c r="B96" s="128"/>
      <c r="C96" s="128"/>
      <c r="D96" s="128"/>
      <c r="E96" s="280"/>
      <c r="F96" s="38"/>
      <c r="G96" s="303"/>
      <c r="H96" s="38"/>
      <c r="I96" s="228"/>
      <c r="J96" s="26"/>
      <c r="K96" s="27"/>
    </row>
    <row r="97" spans="1:11" x14ac:dyDescent="0.2">
      <c r="A97" s="315" t="s">
        <v>223</v>
      </c>
      <c r="B97" s="130">
        <f>LOOKUP(ReturnTime1,'All Equity Partnership Flip'!$C$2:$AP$2,'All Equity Partnership Flip'!$C$81:$AP$81)</f>
        <v>-1.49E-2</v>
      </c>
      <c r="C97" s="130">
        <f>LOOKUP(ReturnTime1,'Leveraged Partnership Flip'!$C$2:$AP$2,'Leveraged Partnership Flip'!$C$90:$AP$90)</f>
        <v>-0.18540000000000001</v>
      </c>
      <c r="D97" s="247"/>
      <c r="E97" s="281">
        <f ca="1">LOOKUP(ReturnTime1,'Single Owner'!$C$2:$AP$2,'Single Owner'!$B$90:$AP$90)</f>
        <v>-0.25690000000000002</v>
      </c>
      <c r="F97" s="26"/>
      <c r="G97" s="51"/>
      <c r="H97" s="26"/>
      <c r="I97" s="27"/>
      <c r="J97" s="26"/>
      <c r="K97" s="27"/>
    </row>
    <row r="98" spans="1:11" x14ac:dyDescent="0.2">
      <c r="A98" s="315" t="s">
        <v>224</v>
      </c>
      <c r="B98" s="130">
        <f>LOOKUP(ReturnTime1,'All Equity Partnership Flip'!$C$2:$AP$2,'All Equity Partnership Flip'!$C$103:$AP$103)</f>
        <v>4.4299999999999999E-2</v>
      </c>
      <c r="C98" s="130">
        <f>LOOKUP(ReturnTime1,'Leveraged Partnership Flip'!$C$2:$AP$2,'Leveraged Partnership Flip'!$C$112:$AP$112)</f>
        <v>0.105</v>
      </c>
      <c r="D98" s="247"/>
      <c r="E98" s="281">
        <f>LOOKUP(ReturnTime1,'Single Owner'!$C$2:$AP$2,'Single Owner'!$C$112:$AP$112)</f>
        <v>1.6799999999999999E-2</v>
      </c>
      <c r="F98" s="26"/>
      <c r="G98" s="51"/>
      <c r="H98" s="26"/>
      <c r="I98" s="27"/>
      <c r="J98" s="26"/>
      <c r="K98" s="27"/>
    </row>
    <row r="99" spans="1:11" ht="14.25" customHeight="1" x14ac:dyDescent="0.2">
      <c r="A99" s="314" t="str">
        <f>"IRR at Year - " &amp;TEXT(ReturnTime2,"general")</f>
        <v>IRR at Year - 25</v>
      </c>
      <c r="B99" s="128"/>
      <c r="C99" s="128"/>
      <c r="D99" s="128"/>
      <c r="E99" s="280"/>
      <c r="F99" s="26"/>
      <c r="G99" s="303"/>
      <c r="H99" s="305"/>
      <c r="I99" s="306"/>
      <c r="J99" s="305"/>
      <c r="K99" s="306"/>
    </row>
    <row r="100" spans="1:11" x14ac:dyDescent="0.2">
      <c r="A100" s="315" t="s">
        <v>223</v>
      </c>
      <c r="B100" s="130">
        <f>LOOKUP(ReturnTime2,'All Equity Partnership Flip'!$C$2:$AP$2,'All Equity Partnership Flip'!$C$81:$AP$81)</f>
        <v>0.11070000000000001</v>
      </c>
      <c r="C100" s="130">
        <f>LOOKUP(ReturnTime2,'Leveraged Partnership Flip'!$C$2:$AP$2,'Leveraged Partnership Flip'!$C$90:$AP$90)</f>
        <v>6.1499999999999999E-2</v>
      </c>
      <c r="D100" s="247"/>
      <c r="E100" s="281">
        <f ca="1">LOOKUP(ReturnTime2,'Single Owner'!$C$2:$AP$2,'Single Owner'!$B$90:$AP$90)</f>
        <v>5.2400000000000002E-2</v>
      </c>
      <c r="F100" s="26"/>
      <c r="G100" s="51"/>
      <c r="H100" s="26"/>
      <c r="I100" s="27"/>
      <c r="J100" s="26"/>
      <c r="K100" s="27"/>
    </row>
    <row r="101" spans="1:11" x14ac:dyDescent="0.2">
      <c r="A101" s="315" t="s">
        <v>224</v>
      </c>
      <c r="B101" s="130">
        <f>LOOKUP(ReturnTime2,'All Equity Partnership Flip'!$C$2:$AP$2,'All Equity Partnership Flip'!$C$103:$AP$103)</f>
        <v>0.12889999999999999</v>
      </c>
      <c r="C101" s="130">
        <f>LOOKUP(ReturnTime2,'Leveraged Partnership Flip'!$C$2:$AP$2,'Leveraged Partnership Flip'!$C$112:$AP$112)</f>
        <v>0.15140000000000001</v>
      </c>
      <c r="D101" s="247"/>
      <c r="E101" s="281">
        <f>LOOKUP(ReturnTime2,'Single Owner'!$C$2:$AP$2,'Single Owner'!$C$112:$AP$112)</f>
        <v>0.11260000000000001</v>
      </c>
      <c r="F101" s="26"/>
      <c r="G101" s="51"/>
      <c r="H101" s="26"/>
      <c r="I101" s="27"/>
      <c r="J101" s="26"/>
      <c r="K101" s="27"/>
    </row>
    <row r="102" spans="1:11" x14ac:dyDescent="0.2">
      <c r="A102" s="314" t="str">
        <f>"NPV at Year - " &amp;TEXT(ReturnTime1,"general")</f>
        <v>NPV at Year - 8</v>
      </c>
      <c r="B102" s="141"/>
      <c r="C102" s="141"/>
      <c r="D102" s="141"/>
      <c r="E102" s="282"/>
      <c r="F102" s="26"/>
      <c r="G102" s="51"/>
      <c r="H102" s="26"/>
      <c r="I102" s="27"/>
      <c r="J102" s="26"/>
      <c r="K102" s="27"/>
    </row>
    <row r="103" spans="1:11" x14ac:dyDescent="0.2">
      <c r="A103" s="315" t="s">
        <v>223</v>
      </c>
      <c r="B103" s="131">
        <f>LOOKUP(ReturnTime1,'All Equity Partnership Flip'!$C$2:$AP$2,'All Equity Partnership Flip'!$C$82:$AP$82)</f>
        <v>-14452079.522071388</v>
      </c>
      <c r="C103" s="131">
        <f>LOOKUP(ReturnTime1,'Leveraged Partnership Flip'!$C$2:$AP$2,'Leveraged Partnership Flip'!$C$91:$AP$91)</f>
        <v>-16410162.459485205</v>
      </c>
      <c r="D103" s="247"/>
      <c r="E103" s="283">
        <f>LOOKUP(ReturnTime1,'Single Owner'!$C$2:$AP$2,'Single Owner'!$C$91:$AP$91)</f>
        <v>-19542479.122020356</v>
      </c>
      <c r="F103" s="26"/>
      <c r="G103" s="51"/>
      <c r="H103" s="26"/>
      <c r="I103" s="27"/>
      <c r="J103" s="26"/>
      <c r="K103" s="27"/>
    </row>
    <row r="104" spans="1:11" x14ac:dyDescent="0.2">
      <c r="A104" s="315" t="s">
        <v>224</v>
      </c>
      <c r="B104" s="131">
        <f>LOOKUP(ReturnTime1,'All Equity Partnership Flip'!$C$2:$AP$2,'All Equity Partnership Flip'!$C$104:$AP$104)</f>
        <v>-4085983.168270044</v>
      </c>
      <c r="C104" s="131">
        <f>LOOKUP(ReturnTime1,'Leveraged Partnership Flip'!$C$2:$AP$2,'Leveraged Partnership Flip'!$C$113:$AP$113)</f>
        <v>942031.3516125381</v>
      </c>
      <c r="D104" s="247"/>
      <c r="E104" s="283">
        <f>LOOKUP(ReturnTime1,'Single Owner'!$C$2:$AP$2,'Single Owner'!$C$114:$AP$114)</f>
        <v>-2633425.7974759042</v>
      </c>
      <c r="F104" s="26"/>
      <c r="G104" s="51"/>
      <c r="H104" s="26"/>
      <c r="I104" s="27"/>
      <c r="J104" s="26"/>
      <c r="K104" s="27"/>
    </row>
    <row r="105" spans="1:11" x14ac:dyDescent="0.2">
      <c r="A105" s="314" t="str">
        <f>"NPV at Year - " &amp;TEXT(ReturnTime2,"general")</f>
        <v>NPV at Year - 25</v>
      </c>
      <c r="B105" s="128"/>
      <c r="C105" s="128"/>
      <c r="D105" s="128"/>
      <c r="E105" s="280"/>
      <c r="F105" s="26"/>
      <c r="G105" s="303"/>
      <c r="H105" s="26"/>
      <c r="I105" s="27"/>
      <c r="J105" s="26"/>
      <c r="K105" s="27"/>
    </row>
    <row r="106" spans="1:11" x14ac:dyDescent="0.2">
      <c r="A106" s="315" t="s">
        <v>223</v>
      </c>
      <c r="B106" s="131">
        <f>LOOKUP(ReturnTime2,'All Equity Partnership Flip'!$C$2:$AP$2,'All Equity Partnership Flip'!$C$82:$AP$82)</f>
        <v>12324140.106523737</v>
      </c>
      <c r="C106" s="131">
        <f>LOOKUP(ReturnTime2,'Leveraged Partnership Flip'!$C$2:$AP$2,'Leveraged Partnership Flip'!$C$91:$AP$91)</f>
        <v>-4670842.2309935316</v>
      </c>
      <c r="D106" s="247"/>
      <c r="E106" s="283">
        <f>LOOKUP(ReturnTime2,'Single Owner'!$C$2:$AP$2,'Single Owner'!$C$91:$AP$91)</f>
        <v>-6815724.4936426096</v>
      </c>
      <c r="F106" s="96"/>
      <c r="G106" s="304"/>
      <c r="H106" s="26"/>
      <c r="I106" s="27"/>
      <c r="J106" s="26"/>
      <c r="K106" s="27"/>
    </row>
    <row r="107" spans="1:11" x14ac:dyDescent="0.2">
      <c r="A107" s="315" t="s">
        <v>224</v>
      </c>
      <c r="B107" s="131">
        <f>LOOKUP(ReturnTime2,'All Equity Partnership Flip'!$C$2:$AP$2,'All Equity Partnership Flip'!$C$104:$AP$104)</f>
        <v>12544938.552588552</v>
      </c>
      <c r="C107" s="131">
        <f>LOOKUP(ReturnTime2,'Leveraged Partnership Flip'!$C$2:$AP$2,'Leveraged Partnership Flip'!$C$113:$AP$113)</f>
        <v>6348659.5809092149</v>
      </c>
      <c r="D107" s="247"/>
      <c r="E107" s="283">
        <f>LOOKUP(ReturnTime2,'Single Owner'!$C$2:$AP$2,'Single Owner'!$C$114:$AP$114)</f>
        <v>3891302.4189563245</v>
      </c>
      <c r="F107" s="96"/>
      <c r="G107" s="304"/>
      <c r="H107" s="26"/>
      <c r="I107" s="27"/>
      <c r="J107" s="26"/>
      <c r="K107" s="27"/>
    </row>
    <row r="108" spans="1:11" x14ac:dyDescent="0.2">
      <c r="A108" s="313" t="s">
        <v>232</v>
      </c>
      <c r="B108" s="132"/>
      <c r="C108" s="132"/>
      <c r="D108" s="132"/>
      <c r="E108" s="284"/>
      <c r="F108" s="26"/>
      <c r="G108" s="303"/>
      <c r="H108" s="26"/>
      <c r="I108" s="27"/>
      <c r="J108" s="26"/>
      <c r="K108" s="27"/>
    </row>
    <row r="109" spans="1:11" x14ac:dyDescent="0.2">
      <c r="A109" s="314" t="str">
        <f>"IRR at Year - " &amp;TEXT(ReturnTime1,"general")</f>
        <v>IRR at Year - 8</v>
      </c>
      <c r="B109" s="128"/>
      <c r="C109" s="128"/>
      <c r="D109" s="128"/>
      <c r="E109" s="280"/>
      <c r="F109" s="26"/>
      <c r="G109" s="228"/>
      <c r="H109" s="26"/>
      <c r="I109" s="27"/>
      <c r="J109" s="26"/>
      <c r="K109" s="27"/>
    </row>
    <row r="110" spans="1:11" x14ac:dyDescent="0.2">
      <c r="A110" s="315" t="s">
        <v>223</v>
      </c>
      <c r="B110" s="130">
        <f>LOOKUP(ReturnTime1,'All Equity Partnership Flip'!$C$2:$AP$2,'All Equity Partnership Flip'!$C$124:$AP$124)</f>
        <v>-2.7000000000000001E-3</v>
      </c>
      <c r="C110" s="130">
        <f>LOOKUP(ReturnTime1,'Leveraged Partnership Flip'!$C$2:$AP$2,'Leveraged Partnership Flip'!$C$133:$AP$133)</f>
        <v>-0.18540000000000001</v>
      </c>
      <c r="D110" s="130">
        <f>LOOKUP(ReturnTime1,'Sale Leaseback'!$C$2:$AP$2,'Sale Leaseback'!$C$145:$AP$145)</f>
        <v>2.3999999999999998E-3</v>
      </c>
      <c r="E110" s="285"/>
      <c r="F110" s="26"/>
      <c r="G110" s="51"/>
      <c r="H110" s="26"/>
      <c r="I110" s="27"/>
      <c r="J110" s="26"/>
      <c r="K110" s="27"/>
    </row>
    <row r="111" spans="1:11" x14ac:dyDescent="0.2">
      <c r="A111" s="315" t="s">
        <v>224</v>
      </c>
      <c r="B111" s="130">
        <f>LOOKUP(ReturnTime1,'All Equity Partnership Flip'!$C$2:$AP$2,'All Equity Partnership Flip'!$C$146:$AP$146)</f>
        <v>8.5000000000000006E-2</v>
      </c>
      <c r="C111" s="130">
        <f>LOOKUP(ReturnTime1,'Leveraged Partnership Flip'!$C$2:$AP$2,'Leveraged Partnership Flip'!$C$155:$AP$155)</f>
        <v>0.105</v>
      </c>
      <c r="D111" s="130">
        <f>LOOKUP(ReturnTime1,'Sale Leaseback'!$C$2:$AP$2,'Sale Leaseback'!$C$170:$AP$170)</f>
        <v>6.7900000000000002E-2</v>
      </c>
      <c r="E111" s="285"/>
      <c r="F111" s="26"/>
      <c r="G111" s="51"/>
      <c r="H111" s="26"/>
      <c r="I111" s="27"/>
      <c r="J111" s="26"/>
      <c r="K111" s="27"/>
    </row>
    <row r="112" spans="1:11" x14ac:dyDescent="0.2">
      <c r="A112" s="314" t="str">
        <f>"IRR at Year - " &amp;TEXT(ReturnTime2,"general")</f>
        <v>IRR at Year - 25</v>
      </c>
      <c r="B112" s="128"/>
      <c r="C112" s="128"/>
      <c r="D112" s="128"/>
      <c r="E112" s="280"/>
      <c r="F112" s="26"/>
      <c r="G112" s="51"/>
      <c r="H112" s="26"/>
      <c r="I112" s="27"/>
      <c r="J112" s="26"/>
      <c r="K112" s="27"/>
    </row>
    <row r="113" spans="1:11" x14ac:dyDescent="0.2">
      <c r="A113" s="315" t="s">
        <v>223</v>
      </c>
      <c r="B113" s="130">
        <f>LOOKUP(ReturnTime2,'All Equity Partnership Flip'!$C$2:$AP$2,'All Equity Partnership Flip'!$C$124:$AP$124)</f>
        <v>3.5200000000000002E-2</v>
      </c>
      <c r="C113" s="130">
        <f>LOOKUP(ReturnTime2,'Leveraged Partnership Flip'!$C$2:$AP$2,'Leveraged Partnership Flip'!$C$133:$AP$133)</f>
        <v>-4.5699999999999998E-2</v>
      </c>
      <c r="D113" s="130">
        <f>LOOKUP(ReturnTime2,'Sale Leaseback'!$C$2:$AP$2,'Sale Leaseback'!$C$145:$AP$145)</f>
        <v>0.12089999999999999</v>
      </c>
      <c r="E113" s="285"/>
      <c r="F113" s="26"/>
      <c r="G113" s="304"/>
      <c r="H113" s="26"/>
      <c r="I113" s="27"/>
      <c r="J113" s="26"/>
      <c r="K113" s="27"/>
    </row>
    <row r="114" spans="1:11" x14ac:dyDescent="0.2">
      <c r="A114" s="315" t="s">
        <v>224</v>
      </c>
      <c r="B114" s="130">
        <f>LOOKUP(ReturnTime2,'All Equity Partnership Flip'!$C$2:$AP$2,'All Equity Partnership Flip'!$C$146:$AP$146)</f>
        <v>0.1014</v>
      </c>
      <c r="C114" s="130">
        <f>LOOKUP(ReturnTime2,'Leveraged Partnership Flip'!$C$2:$AP$2,'Leveraged Partnership Flip'!$C$155:$AP$155)</f>
        <v>0.1135</v>
      </c>
      <c r="D114" s="130">
        <f>LOOKUP(ReturnTime2,'Sale Leaseback'!$C$2:$AP$2,'Sale Leaseback'!$C$170:$AP$170)</f>
        <v>0.1452</v>
      </c>
      <c r="E114" s="285"/>
      <c r="F114" s="26"/>
      <c r="G114" s="304"/>
      <c r="H114" s="26"/>
      <c r="I114" s="27"/>
      <c r="J114" s="26"/>
      <c r="K114" s="27"/>
    </row>
    <row r="115" spans="1:11" x14ac:dyDescent="0.2">
      <c r="A115" s="314" t="str">
        <f>"NPV at Year - " &amp;TEXT(ReturnTime1,"general")</f>
        <v>NPV at Year - 8</v>
      </c>
      <c r="B115" s="141"/>
      <c r="C115" s="141"/>
      <c r="D115" s="141"/>
      <c r="E115" s="282"/>
      <c r="F115" s="26"/>
      <c r="G115" s="304"/>
      <c r="H115" s="26"/>
      <c r="I115" s="27"/>
      <c r="J115" s="26"/>
      <c r="K115" s="27"/>
    </row>
    <row r="116" spans="1:11" x14ac:dyDescent="0.2">
      <c r="A116" s="315" t="s">
        <v>223</v>
      </c>
      <c r="B116" s="131">
        <f>LOOKUP(ReturnTime1,'All Equity Partnership Flip'!$C$2:$AP$2,'All Equity Partnership Flip'!$C$125:$AP$125)</f>
        <v>-9866513.1066993233</v>
      </c>
      <c r="C116" s="131">
        <f>LOOKUP(ReturnTime1,'Leveraged Partnership Flip'!$C$2:$AP$2,'Leveraged Partnership Flip'!$C$134:$AP$134)</f>
        <v>-16081959.210295498</v>
      </c>
      <c r="D116" s="131">
        <f>LOOKUP(ReturnTime1,'Sale Leaseback'!$C$2:$AP$2,'Sale Leaseback'!$C$146:$AP$146)</f>
        <v>-11917691.295619674</v>
      </c>
      <c r="E116" s="285"/>
      <c r="F116" s="26"/>
      <c r="G116" s="304"/>
      <c r="H116" s="26"/>
      <c r="I116" s="27"/>
      <c r="J116" s="26"/>
      <c r="K116" s="27"/>
    </row>
    <row r="117" spans="1:11" x14ac:dyDescent="0.2">
      <c r="A117" s="315" t="s">
        <v>224</v>
      </c>
      <c r="B117" s="131">
        <f>LOOKUP(ReturnTime1,'All Equity Partnership Flip'!$C$2:$AP$2,'All Equity Partnership Flip'!$C$148:$AP$148)</f>
        <v>395922.28356400877</v>
      </c>
      <c r="C117" s="131">
        <f>LOOKUP(ReturnTime1,'Leveraged Partnership Flip'!$C$2:$AP$2,'Leveraged Partnership Flip'!$C$157:$AP$157)</f>
        <v>923190.72458028793</v>
      </c>
      <c r="D117" s="131">
        <f>LOOKUP(ReturnTime1,'Sale Leaseback'!$C$2:$AP$2,'Sale Leaseback'!$C$172:$AP$172)</f>
        <v>-1399235.8642688543</v>
      </c>
      <c r="E117" s="285"/>
      <c r="F117" s="26"/>
      <c r="G117" s="304"/>
      <c r="H117" s="26"/>
      <c r="I117" s="27"/>
      <c r="J117" s="26"/>
      <c r="K117" s="27"/>
    </row>
    <row r="118" spans="1:11" x14ac:dyDescent="0.2">
      <c r="A118" s="314" t="str">
        <f>"NPV at Year - " &amp;TEXT(ReturnTime2,"general")</f>
        <v>NPV at Year - 25</v>
      </c>
      <c r="B118" s="128"/>
      <c r="C118" s="128"/>
      <c r="D118" s="128"/>
      <c r="E118" s="280"/>
      <c r="F118" s="26"/>
      <c r="G118" s="304"/>
      <c r="H118" s="26"/>
      <c r="I118" s="27"/>
      <c r="J118" s="26"/>
      <c r="K118" s="27"/>
    </row>
    <row r="119" spans="1:11" x14ac:dyDescent="0.2">
      <c r="A119" s="315" t="s">
        <v>223</v>
      </c>
      <c r="B119" s="131">
        <f>LOOKUP(ReturnTime2,'All Equity Partnership Flip'!$C$2:$AP$2,'All Equity Partnership Flip'!$C$125:$AP$125)</f>
        <v>-7188891.14383981</v>
      </c>
      <c r="C119" s="131">
        <f>LOOKUP(ReturnTime2,'Leveraged Partnership Flip'!$C$2:$AP$2,'Leveraged Partnership Flip'!$C$134:$AP$134)</f>
        <v>-14908027.187446332</v>
      </c>
      <c r="D119" s="131">
        <f>LOOKUP(ReturnTime2,'Sale Leaseback'!$C$2:$AP$2,'Sale Leaseback'!$C$146:$AP$146)</f>
        <v>16397899.872069351</v>
      </c>
      <c r="E119" s="285"/>
      <c r="F119" s="26"/>
      <c r="G119" s="304"/>
      <c r="H119" s="26"/>
      <c r="I119" s="27"/>
      <c r="J119" s="26"/>
      <c r="K119" s="27"/>
    </row>
    <row r="120" spans="1:11" x14ac:dyDescent="0.2">
      <c r="A120" s="315" t="s">
        <v>224</v>
      </c>
      <c r="B120" s="131">
        <f>LOOKUP(ReturnTime2,'All Equity Partnership Flip'!$C$2:$AP$2,'All Equity Partnership Flip'!$C$148:$AP$148)</f>
        <v>2059014.4556498714</v>
      </c>
      <c r="C120" s="131">
        <f>LOOKUP(ReturnTime2,'Leveraged Partnership Flip'!$C$2:$AP$2,'Leveraged Partnership Flip'!$C$157:$AP$157)</f>
        <v>1463853.5475099571</v>
      </c>
      <c r="D120" s="131">
        <f>LOOKUP(ReturnTime2,'Sale Leaseback'!$C$2:$AP$2,'Sale Leaseback'!$C$172:$AP$172)</f>
        <v>16650865.352163203</v>
      </c>
      <c r="E120" s="285"/>
      <c r="F120" s="26"/>
      <c r="G120" s="304"/>
      <c r="H120" s="26"/>
      <c r="I120" s="27"/>
      <c r="J120" s="26"/>
      <c r="K120" s="27"/>
    </row>
    <row r="121" spans="1:11" x14ac:dyDescent="0.2">
      <c r="A121" s="313" t="s">
        <v>396</v>
      </c>
      <c r="B121" s="128"/>
      <c r="C121" s="128"/>
      <c r="D121" s="128"/>
      <c r="E121" s="280"/>
      <c r="F121" s="26"/>
      <c r="G121" s="303"/>
      <c r="H121" s="26"/>
      <c r="I121" s="27"/>
      <c r="J121" s="26"/>
      <c r="K121" s="27"/>
    </row>
    <row r="122" spans="1:11" x14ac:dyDescent="0.2">
      <c r="A122" s="314" t="str">
        <f>"IRR at Year - " &amp;TEXT(ReturnTime1,"general")</f>
        <v>IRR at Year - 8</v>
      </c>
      <c r="B122" s="128"/>
      <c r="C122" s="128"/>
      <c r="D122" s="128"/>
      <c r="E122" s="280"/>
      <c r="F122" s="26"/>
      <c r="G122" s="303"/>
      <c r="H122" s="26"/>
      <c r="I122" s="27"/>
      <c r="J122" s="26"/>
      <c r="K122" s="27"/>
    </row>
    <row r="123" spans="1:11" x14ac:dyDescent="0.2">
      <c r="A123" s="315" t="s">
        <v>223</v>
      </c>
      <c r="B123" s="239">
        <f>LOOKUP(ReturnTime1,'All Equity Partnership Flip'!$C$2:$AP$2,'All Equity Partnership Flip'!$C$165:$AP$165)</f>
        <v>-3.9300000000000002E-2</v>
      </c>
      <c r="C123" s="239" t="str">
        <f>LOOKUP(ReturnTime1,'Leveraged Partnership Flip'!$C$2:$AP$2,'Leveraged Partnership Flip'!$C$167:$AP$167)</f>
        <v>N/A</v>
      </c>
      <c r="D123" s="239">
        <f>LOOKUP(ReturnTime1,'Sale Leaseback'!$C$2:$AP$2,'Sale Leaseback'!$C$186:$AP$186)</f>
        <v>0.13020000000000001</v>
      </c>
      <c r="E123" s="285"/>
      <c r="F123" s="26"/>
      <c r="G123" s="303"/>
      <c r="H123" s="26"/>
      <c r="I123" s="27"/>
      <c r="J123" s="26"/>
      <c r="K123" s="27"/>
    </row>
    <row r="124" spans="1:11" x14ac:dyDescent="0.2">
      <c r="A124" s="315" t="s">
        <v>224</v>
      </c>
      <c r="B124" s="239">
        <f>LOOKUP(ReturnTime1,'All Equity Partnership Flip'!$C$2:$AP$2,'All Equity Partnership Flip'!$C$197:$AP$197)</f>
        <v>-5.1200000000000002E-2</v>
      </c>
      <c r="C124" s="239" t="str">
        <f>LOOKUP(ReturnTime1,'Leveraged Partnership Flip'!$C$2:$AP$2,'Leveraged Partnership Flip'!$C$198:$AP$198)</f>
        <v>N/A</v>
      </c>
      <c r="D124" s="239">
        <f>LOOKUP(ReturnTime1,'Sale Leaseback'!$C$2:$AP$2,'Sale Leaseback'!$C$212:$AP$212)</f>
        <v>-0.10539999999999999</v>
      </c>
      <c r="E124" s="285"/>
      <c r="F124" s="26"/>
      <c r="G124" s="303"/>
      <c r="H124" s="26"/>
      <c r="I124" s="27"/>
      <c r="J124" s="26"/>
      <c r="K124" s="27"/>
    </row>
    <row r="125" spans="1:11" ht="39.75" customHeight="1" x14ac:dyDescent="0.2">
      <c r="A125" s="46" t="str">
        <f>"IRR at Year - " &amp;TEXT(ReturnTime2,"general")</f>
        <v>IRR at Year - 25</v>
      </c>
      <c r="B125" s="128"/>
      <c r="C125" s="240"/>
      <c r="D125" s="240"/>
      <c r="E125" s="280"/>
      <c r="F125" s="26"/>
      <c r="G125" s="228"/>
      <c r="H125" s="428"/>
      <c r="I125" s="429"/>
      <c r="J125" s="428"/>
      <c r="K125" s="429"/>
    </row>
    <row r="126" spans="1:11" x14ac:dyDescent="0.2">
      <c r="A126" s="129" t="s">
        <v>223</v>
      </c>
      <c r="B126" s="239">
        <f>LOOKUP(ReturnTime2,'All Equity Partnership Flip'!$C$2:$AP$2,'All Equity Partnership Flip'!$C$165:$AP$165)</f>
        <v>0.19539999999999999</v>
      </c>
      <c r="C126" s="239" t="str">
        <f>LOOKUP(ReturnTime2,'Leveraged Partnership Flip'!$C$2:$AP$2,'Leveraged Partnership Flip'!$C$167:$AP$167)</f>
        <v>N/A</v>
      </c>
      <c r="D126" s="239">
        <f>LOOKUP(ReturnTime2,'Sale Leaseback'!$C$2:$AP$2,'Sale Leaseback'!$C$186:$AP$186)</f>
        <v>0.2135</v>
      </c>
      <c r="E126" s="285"/>
      <c r="F126" s="26"/>
      <c r="G126" s="51"/>
      <c r="H126" s="305"/>
      <c r="I126" s="306"/>
      <c r="J126" s="305"/>
      <c r="K126" s="306"/>
    </row>
    <row r="127" spans="1:11" x14ac:dyDescent="0.2">
      <c r="A127" s="129" t="s">
        <v>224</v>
      </c>
      <c r="B127" s="239">
        <f>LOOKUP(ReturnTime2,'All Equity Partnership Flip'!$C$2:$AP$2,'All Equity Partnership Flip'!$C$197:$AP$197)</f>
        <v>0.1595</v>
      </c>
      <c r="C127" s="239" t="str">
        <f>LOOKUP(ReturnTime2,'Leveraged Partnership Flip'!$C$2:$AP$2,'Leveraged Partnership Flip'!$C$198:$AP$198)</f>
        <v>N/A</v>
      </c>
      <c r="D127" s="239">
        <f>LOOKUP(ReturnTime2,'Sale Leaseback'!$C$2:$AP$2,'Sale Leaseback'!$C$212:$AP$212)</f>
        <v>6.6900000000000001E-2</v>
      </c>
      <c r="E127" s="285"/>
      <c r="F127" s="26"/>
      <c r="G127" s="51"/>
      <c r="H127" s="26"/>
      <c r="I127" s="27"/>
      <c r="J127" s="26"/>
      <c r="K127" s="27"/>
    </row>
    <row r="128" spans="1:11" x14ac:dyDescent="0.2">
      <c r="A128" s="46" t="str">
        <f>"NPV at Year - " &amp;TEXT(ReturnTime1,"general")</f>
        <v>NPV at Year - 8</v>
      </c>
      <c r="B128" s="141"/>
      <c r="C128" s="141"/>
      <c r="D128" s="141"/>
      <c r="E128" s="282"/>
      <c r="F128" s="26"/>
      <c r="G128" s="51"/>
      <c r="H128" s="26"/>
      <c r="I128" s="27"/>
      <c r="J128" s="26"/>
      <c r="K128" s="27"/>
    </row>
    <row r="129" spans="1:11" x14ac:dyDescent="0.2">
      <c r="A129" s="129" t="s">
        <v>223</v>
      </c>
      <c r="B129" s="131">
        <f>LOOKUP(ReturnTime1,'All Equity Partnership Flip'!$C$2:$AP$2,'All Equity Partnership Flip'!$C$166:$AP$166)</f>
        <v>-3378751.9153720625</v>
      </c>
      <c r="C129" s="131">
        <f>LOOKUP(ReturnTime1,'Leveraged Partnership Flip'!$C$2:$AP$2,'Leveraged Partnership Flip'!$C$168:$AP$168)</f>
        <v>878611.25081029418</v>
      </c>
      <c r="D129" s="131">
        <f>LOOKUP(ReturnTime1,'Sale Leaseback'!$C$2:$AP$2,'Sale Leaseback'!$C$187:$AP$187)</f>
        <v>465760.36889973609</v>
      </c>
      <c r="E129" s="285"/>
      <c r="F129" s="26"/>
      <c r="G129" s="51"/>
      <c r="H129" s="26"/>
      <c r="I129" s="27"/>
      <c r="J129" s="26"/>
      <c r="K129" s="27"/>
    </row>
    <row r="130" spans="1:11" x14ac:dyDescent="0.2">
      <c r="A130" s="129" t="s">
        <v>224</v>
      </c>
      <c r="B130" s="131">
        <f>LOOKUP(ReturnTime1,'All Equity Partnership Flip'!$C$2:$AP$2,'All Equity Partnership Flip'!$C$198:$AP$198)</f>
        <v>-3706136.0382923819</v>
      </c>
      <c r="C130" s="131">
        <f>LOOKUP(ReturnTime1,'Leveraged Partnership Flip'!$C$2:$AP$2,'Leveraged Partnership Flip'!$C$199:$AP$199)</f>
        <v>794610.04057391686</v>
      </c>
      <c r="D130" s="131">
        <f>LOOKUP(ReturnTime1,'Sale Leaseback'!$C$2:$AP$2,'Sale Leaseback'!$C$213:$AP$213)</f>
        <v>-1568298.9112696135</v>
      </c>
      <c r="E130" s="285"/>
      <c r="F130" s="26"/>
      <c r="G130" s="51"/>
      <c r="H130" s="26"/>
      <c r="I130" s="27"/>
      <c r="J130" s="26"/>
      <c r="K130" s="27"/>
    </row>
    <row r="131" spans="1:11" x14ac:dyDescent="0.2">
      <c r="A131" s="46" t="str">
        <f>"NPV at Year - " &amp;TEXT(ReturnTime2,"general")</f>
        <v>NPV at Year - 25</v>
      </c>
      <c r="B131" s="128"/>
      <c r="C131" s="128"/>
      <c r="D131" s="128"/>
      <c r="E131" s="280"/>
      <c r="F131" s="26"/>
      <c r="G131" s="51"/>
      <c r="H131" s="428"/>
      <c r="I131" s="429"/>
      <c r="J131" s="428"/>
      <c r="K131" s="429"/>
    </row>
    <row r="132" spans="1:11" x14ac:dyDescent="0.2">
      <c r="A132" s="129" t="s">
        <v>223</v>
      </c>
      <c r="B132" s="131">
        <f>LOOKUP(ReturnTime2,'All Equity Partnership Flip'!$C$2:$AP$2,'All Equity Partnership Flip'!$C$166:$AP$166)</f>
        <v>20719845.750363555</v>
      </c>
      <c r="C132" s="131">
        <f>LOOKUP(ReturnTime2,'Leveraged Partnership Flip'!$C$2:$AP$2,'Leveraged Partnership Flip'!$C$168:$AP$168)</f>
        <v>11443999.456452796</v>
      </c>
      <c r="D132" s="131">
        <f>LOOKUP(ReturnTime2,'Sale Leaseback'!$C$2:$AP$2,'Sale Leaseback'!$C$187:$AP$187)</f>
        <v>3357302.8437809874</v>
      </c>
      <c r="E132" s="285"/>
      <c r="F132" s="26"/>
      <c r="G132" s="304"/>
      <c r="H132" s="26"/>
      <c r="I132" s="27"/>
      <c r="J132" s="26"/>
      <c r="K132" s="27"/>
    </row>
    <row r="133" spans="1:11" x14ac:dyDescent="0.2">
      <c r="A133" s="129" t="s">
        <v>224</v>
      </c>
      <c r="B133" s="131">
        <f>LOOKUP(ReturnTime2,'All Equity Partnership Flip'!$C$2:$AP$2,'All Equity Partnership Flip'!$C$198:$AP$198)</f>
        <v>11261693.510480355</v>
      </c>
      <c r="C133" s="131">
        <f>LOOKUP(ReturnTime2,'Leveraged Partnership Flip'!$C$2:$AP$2,'Leveraged Partnership Flip'!$C$199:$AP$199)</f>
        <v>5660575.4469409203</v>
      </c>
      <c r="D133" s="131">
        <f>LOOKUP(ReturnTime2,'Sale Leaseback'!$C$2:$AP$2,'Sale Leaseback'!$C$213:$AP$213)</f>
        <v>-319792.19219899061</v>
      </c>
      <c r="E133" s="285"/>
      <c r="F133" s="26"/>
      <c r="G133" s="304"/>
      <c r="H133" s="26"/>
      <c r="I133" s="27"/>
      <c r="J133" s="26"/>
      <c r="K133" s="27"/>
    </row>
    <row r="134" spans="1:11" ht="25.5" x14ac:dyDescent="0.2">
      <c r="A134" s="231"/>
      <c r="B134" s="68" t="str">
        <f>B$78</f>
        <v>All Equity Partnership Flip</v>
      </c>
      <c r="C134" s="68" t="str">
        <f t="shared" ref="C134:E134" si="3">C$78</f>
        <v>Leveraged Partnership Flip</v>
      </c>
      <c r="D134" s="68" t="str">
        <f t="shared" si="3"/>
        <v>Sale Leaseback</v>
      </c>
      <c r="E134" s="272" t="str">
        <f t="shared" si="3"/>
        <v>Single Owner</v>
      </c>
      <c r="F134" s="26"/>
      <c r="G134" s="304"/>
      <c r="H134" s="26"/>
      <c r="I134" s="27"/>
      <c r="J134" s="26"/>
      <c r="K134" s="27"/>
    </row>
    <row r="135" spans="1:11" x14ac:dyDescent="0.2">
      <c r="A135" s="115" t="s">
        <v>54</v>
      </c>
      <c r="B135" s="400"/>
      <c r="C135" s="401"/>
      <c r="D135" s="401"/>
      <c r="E135" s="401"/>
      <c r="F135" s="26"/>
      <c r="G135" s="304"/>
      <c r="H135" s="26"/>
      <c r="I135" s="27"/>
      <c r="J135" s="26"/>
      <c r="K135" s="27"/>
    </row>
    <row r="136" spans="1:11" x14ac:dyDescent="0.2">
      <c r="A136" s="42" t="s">
        <v>85</v>
      </c>
      <c r="B136" s="402"/>
      <c r="C136" s="403"/>
      <c r="D136" s="403"/>
      <c r="E136" s="403"/>
      <c r="F136" s="38"/>
      <c r="G136" s="228"/>
      <c r="H136" s="38"/>
      <c r="I136" s="27"/>
      <c r="J136" s="38"/>
      <c r="K136" s="27"/>
    </row>
    <row r="137" spans="1:11" ht="24.75" customHeight="1" x14ac:dyDescent="0.2">
      <c r="A137" s="46" t="s">
        <v>88</v>
      </c>
      <c r="B137" s="412">
        <v>10</v>
      </c>
      <c r="C137" s="413"/>
      <c r="D137" s="413"/>
      <c r="E137" s="413"/>
      <c r="F137" s="422"/>
      <c r="G137" s="423"/>
      <c r="H137" s="428"/>
      <c r="I137" s="429"/>
      <c r="J137" s="428"/>
      <c r="K137" s="429"/>
    </row>
    <row r="138" spans="1:11" ht="43.5" customHeight="1" x14ac:dyDescent="0.2">
      <c r="A138" s="46" t="s">
        <v>90</v>
      </c>
      <c r="B138" s="414">
        <v>0.04</v>
      </c>
      <c r="C138" s="415"/>
      <c r="D138" s="415"/>
      <c r="E138" s="415"/>
      <c r="F138" s="422"/>
      <c r="G138" s="423"/>
      <c r="H138" s="428"/>
      <c r="I138" s="429"/>
      <c r="J138" s="428"/>
      <c r="K138" s="429"/>
    </row>
    <row r="139" spans="1:11" x14ac:dyDescent="0.2">
      <c r="A139" s="46" t="s">
        <v>89</v>
      </c>
      <c r="B139" s="416">
        <f>PreFinancingInstalledCostTotal*(B138/12)*(B137/2)</f>
        <v>670452.5</v>
      </c>
      <c r="C139" s="417"/>
      <c r="D139" s="417"/>
      <c r="E139" s="417"/>
      <c r="F139" s="26"/>
      <c r="G139" s="137"/>
      <c r="H139" s="26"/>
      <c r="I139" s="27"/>
      <c r="J139" s="26"/>
      <c r="K139" s="27"/>
    </row>
    <row r="140" spans="1:11" ht="46.5" customHeight="1" x14ac:dyDescent="0.2">
      <c r="A140" s="46" t="s">
        <v>447</v>
      </c>
      <c r="B140" s="418">
        <v>2.5000000000000001E-2</v>
      </c>
      <c r="C140" s="419"/>
      <c r="D140" s="419"/>
      <c r="E140" s="419"/>
      <c r="F140" s="428"/>
      <c r="G140" s="429"/>
      <c r="H140" s="428"/>
      <c r="I140" s="429"/>
      <c r="J140" s="428"/>
      <c r="K140" s="429"/>
    </row>
    <row r="141" spans="1:11" ht="56.25" customHeight="1" x14ac:dyDescent="0.2">
      <c r="A141" s="46" t="s">
        <v>91</v>
      </c>
      <c r="B141" s="420">
        <f>B140*PreFinancingInstalledCostTotal</f>
        <v>1005678.75</v>
      </c>
      <c r="C141" s="421"/>
      <c r="D141" s="421"/>
      <c r="E141" s="421"/>
      <c r="F141" s="422"/>
      <c r="G141" s="423"/>
      <c r="H141" s="26"/>
      <c r="I141" s="27"/>
      <c r="J141" s="26"/>
      <c r="K141" s="27"/>
    </row>
    <row r="142" spans="1:11" x14ac:dyDescent="0.2">
      <c r="A142" s="46" t="s">
        <v>92</v>
      </c>
      <c r="B142" s="416">
        <f>B139+B141</f>
        <v>1676131.25</v>
      </c>
      <c r="C142" s="417"/>
      <c r="D142" s="417"/>
      <c r="E142" s="417"/>
      <c r="F142" s="26"/>
      <c r="G142" s="27"/>
      <c r="H142" s="26"/>
      <c r="I142" s="27"/>
      <c r="J142" s="26"/>
      <c r="K142" s="27"/>
    </row>
    <row r="143" spans="1:11" x14ac:dyDescent="0.2">
      <c r="A143" s="42" t="s">
        <v>93</v>
      </c>
      <c r="B143" s="136"/>
      <c r="C143" s="136"/>
      <c r="D143" s="136"/>
      <c r="E143" s="169"/>
      <c r="F143" s="26"/>
      <c r="G143" s="27"/>
      <c r="H143" s="26"/>
      <c r="I143" s="27"/>
      <c r="J143" s="26"/>
      <c r="K143" s="27"/>
    </row>
    <row r="144" spans="1:11" x14ac:dyDescent="0.2">
      <c r="A144" s="46" t="s">
        <v>428</v>
      </c>
      <c r="B144" s="82"/>
      <c r="C144" s="353" t="s">
        <v>67</v>
      </c>
      <c r="D144" s="82"/>
      <c r="E144" s="353" t="s">
        <v>67</v>
      </c>
      <c r="F144" s="26"/>
      <c r="G144" s="27"/>
      <c r="H144" s="26"/>
      <c r="I144" s="27"/>
      <c r="J144" s="26"/>
      <c r="K144" s="27"/>
    </row>
    <row r="145" spans="1:11" x14ac:dyDescent="0.2">
      <c r="A145" s="46" t="s">
        <v>417</v>
      </c>
      <c r="B145" s="82"/>
      <c r="C145" s="346" t="s">
        <v>418</v>
      </c>
      <c r="D145" s="82"/>
      <c r="E145" s="346" t="s">
        <v>418</v>
      </c>
      <c r="F145" s="26"/>
      <c r="G145" s="27"/>
      <c r="H145" s="26"/>
      <c r="I145" s="27"/>
      <c r="J145" s="26"/>
      <c r="K145" s="27"/>
    </row>
    <row r="146" spans="1:11" x14ac:dyDescent="0.2">
      <c r="A146" s="46" t="s">
        <v>419</v>
      </c>
      <c r="B146" s="82"/>
      <c r="C146" s="138">
        <f>'Leveraged Partnership Flip'!B607</f>
        <v>23404892.098486755</v>
      </c>
      <c r="D146" s="82"/>
      <c r="E146" s="97">
        <f>'Single Owner'!B533</f>
        <v>19188121.706207968</v>
      </c>
      <c r="F146" s="26"/>
      <c r="G146" s="27"/>
      <c r="H146" s="26"/>
      <c r="I146" s="27"/>
      <c r="J146" s="26"/>
      <c r="K146" s="27"/>
    </row>
    <row r="147" spans="1:11" x14ac:dyDescent="0.2">
      <c r="A147" s="46" t="s">
        <v>430</v>
      </c>
      <c r="B147" s="82"/>
      <c r="C147" s="140">
        <f>LPFDebtAmount/LPFInstalledCostTotal</f>
        <v>0.5162160180855464</v>
      </c>
      <c r="D147" s="82"/>
      <c r="E147" s="286">
        <f>SODebtAmount/SOInstalledCostTotal</f>
        <v>0.43729788608712566</v>
      </c>
      <c r="F147" s="26"/>
      <c r="G147" s="27"/>
      <c r="H147" s="26"/>
      <c r="I147" s="27"/>
      <c r="J147" s="26"/>
      <c r="K147" s="27"/>
    </row>
    <row r="148" spans="1:11" x14ac:dyDescent="0.2">
      <c r="A148" s="46" t="s">
        <v>433</v>
      </c>
      <c r="B148" s="82"/>
      <c r="C148" s="359"/>
      <c r="D148" s="82"/>
      <c r="E148" s="340"/>
      <c r="F148" s="26"/>
      <c r="G148" s="27"/>
      <c r="H148" s="26"/>
      <c r="I148" s="27"/>
      <c r="J148" s="26"/>
      <c r="K148" s="27"/>
    </row>
    <row r="149" spans="1:11" x14ac:dyDescent="0.2">
      <c r="A149" s="356" t="s">
        <v>108</v>
      </c>
      <c r="B149" s="82"/>
      <c r="C149" s="358">
        <f>IF(LPFDebtStructure="Mortgage Style",'Leveraged Partnership Flip'!B661,'Leveraged Partnership Flip'!B641)</f>
        <v>1.35</v>
      </c>
      <c r="D149" s="82"/>
      <c r="E149" s="358">
        <f>IF(SODebtStructure="Mortgage Style",'Single Owner'!B587,'Single Owner'!B567)</f>
        <v>1.35</v>
      </c>
      <c r="F149" s="26"/>
      <c r="G149" s="27"/>
      <c r="H149" s="26"/>
      <c r="I149" s="27"/>
      <c r="J149" s="26"/>
      <c r="K149" s="27"/>
    </row>
    <row r="150" spans="1:11" x14ac:dyDescent="0.2">
      <c r="A150" s="356" t="s">
        <v>434</v>
      </c>
      <c r="B150" s="82"/>
      <c r="C150" s="358">
        <f>IF(LPFDebtStructure="Mortgage Style",'Leveraged Partnership Flip'!B662,'Leveraged Partnership Flip'!B642)</f>
        <v>1.35</v>
      </c>
      <c r="D150" s="82"/>
      <c r="E150" s="358">
        <f>IF(SODebtStructure="Mortgage Style",'Single Owner'!B588,'Single Owner'!B568)</f>
        <v>1.3499999999999999</v>
      </c>
      <c r="F150" s="26"/>
      <c r="G150" s="27"/>
      <c r="H150" s="26"/>
      <c r="I150" s="27"/>
      <c r="J150" s="26"/>
      <c r="K150" s="27"/>
    </row>
    <row r="151" spans="1:11" x14ac:dyDescent="0.2">
      <c r="A151" s="46"/>
      <c r="B151" s="82"/>
      <c r="C151" s="206"/>
      <c r="D151" s="82"/>
      <c r="E151" s="124"/>
      <c r="F151" s="26"/>
      <c r="G151" s="27"/>
      <c r="H151" s="26"/>
      <c r="I151" s="27"/>
      <c r="J151" s="26"/>
      <c r="K151" s="27"/>
    </row>
    <row r="152" spans="1:11" x14ac:dyDescent="0.2">
      <c r="A152" s="46" t="s">
        <v>420</v>
      </c>
      <c r="B152" s="82"/>
      <c r="C152" s="136"/>
      <c r="D152" s="82"/>
      <c r="E152" s="169"/>
      <c r="F152" s="26"/>
      <c r="G152" s="27"/>
      <c r="H152" s="26"/>
      <c r="I152" s="27"/>
      <c r="J152" s="26"/>
      <c r="K152" s="27"/>
    </row>
    <row r="153" spans="1:11" x14ac:dyDescent="0.2">
      <c r="A153" s="356" t="s">
        <v>421</v>
      </c>
      <c r="B153" s="82"/>
      <c r="C153" s="354">
        <v>0.55000000000000004</v>
      </c>
      <c r="D153" s="82"/>
      <c r="E153" s="354">
        <v>0.55000000000000004</v>
      </c>
      <c r="F153" s="26"/>
      <c r="G153" s="27"/>
      <c r="H153" s="26"/>
      <c r="I153" s="27"/>
      <c r="J153" s="26"/>
      <c r="K153" s="27"/>
    </row>
    <row r="154" spans="1:11" x14ac:dyDescent="0.2">
      <c r="A154" s="357" t="s">
        <v>429</v>
      </c>
      <c r="B154" s="82"/>
      <c r="C154" s="123">
        <f>IF(LPFDebtSwitch="No",0,C153*PreFinancingInstalledCostTotal)</f>
        <v>22124932.5</v>
      </c>
      <c r="D154" s="82"/>
      <c r="E154" s="123">
        <f>E153*PreFinancingInstalledCostTotal</f>
        <v>22124932.5</v>
      </c>
      <c r="F154" s="26"/>
      <c r="G154" s="27"/>
      <c r="H154" s="26"/>
      <c r="I154" s="27"/>
      <c r="J154" s="26"/>
      <c r="K154" s="27"/>
    </row>
    <row r="155" spans="1:11" x14ac:dyDescent="0.2">
      <c r="A155" s="356" t="s">
        <v>422</v>
      </c>
      <c r="B155" s="82"/>
      <c r="C155" s="360">
        <f>LPFMortgageAmount/LPFInstalledCostTotal</f>
        <v>0.48798535398075743</v>
      </c>
      <c r="D155" s="82"/>
      <c r="E155" s="360">
        <f>SOMortgageAmount/SOInstalledCostTotal</f>
        <v>0.50422789474699414</v>
      </c>
      <c r="F155" s="26"/>
      <c r="G155" s="27"/>
      <c r="H155" s="26"/>
      <c r="I155" s="27"/>
      <c r="J155" s="26"/>
      <c r="K155" s="27"/>
    </row>
    <row r="156" spans="1:11" x14ac:dyDescent="0.2">
      <c r="A156" s="46" t="s">
        <v>431</v>
      </c>
      <c r="B156" s="82"/>
      <c r="D156" s="82"/>
      <c r="F156" s="26"/>
      <c r="G156" s="27"/>
      <c r="H156" s="26"/>
      <c r="I156" s="27"/>
      <c r="J156" s="26"/>
      <c r="K156" s="27"/>
    </row>
    <row r="157" spans="1:11" ht="66.75" customHeight="1" x14ac:dyDescent="0.2">
      <c r="A157" s="356" t="s">
        <v>432</v>
      </c>
      <c r="B157" s="82"/>
      <c r="C157" s="311">
        <v>1.35</v>
      </c>
      <c r="D157" s="139"/>
      <c r="E157" s="312">
        <v>1.35</v>
      </c>
      <c r="F157" s="422"/>
      <c r="G157" s="423"/>
      <c r="H157" s="428"/>
      <c r="I157" s="429"/>
      <c r="J157" s="428"/>
      <c r="K157" s="429"/>
    </row>
    <row r="158" spans="1:11" x14ac:dyDescent="0.2">
      <c r="A158" s="357" t="s">
        <v>429</v>
      </c>
      <c r="B158" s="82"/>
      <c r="C158" s="123">
        <f>'Leveraged Partnership Flip'!B625</f>
        <v>23404892.098486755</v>
      </c>
      <c r="D158" s="82"/>
      <c r="E158" s="123">
        <f>'Single Owner'!B551</f>
        <v>19188121.706207968</v>
      </c>
      <c r="F158" s="26"/>
      <c r="G158" s="27"/>
      <c r="H158" s="26"/>
      <c r="I158" s="27"/>
      <c r="J158" s="26"/>
      <c r="K158" s="27"/>
    </row>
    <row r="159" spans="1:11" x14ac:dyDescent="0.2">
      <c r="A159" s="314" t="s">
        <v>440</v>
      </c>
      <c r="B159" s="82"/>
      <c r="D159" s="139"/>
      <c r="F159" s="26"/>
      <c r="G159" s="27"/>
      <c r="H159" s="26"/>
      <c r="I159" s="27"/>
      <c r="J159" s="26"/>
      <c r="K159" s="27"/>
    </row>
    <row r="160" spans="1:11" ht="94.5" customHeight="1" x14ac:dyDescent="0.2">
      <c r="A160" s="356" t="s">
        <v>94</v>
      </c>
      <c r="B160" s="82"/>
      <c r="C160" s="248">
        <v>15</v>
      </c>
      <c r="D160" s="139"/>
      <c r="E160" s="248">
        <v>13</v>
      </c>
      <c r="F160" s="422"/>
      <c r="G160" s="423"/>
      <c r="H160" s="428"/>
      <c r="I160" s="429"/>
      <c r="J160" s="428"/>
      <c r="K160" s="429"/>
    </row>
    <row r="161" spans="1:11" ht="81" customHeight="1" x14ac:dyDescent="0.2">
      <c r="A161" s="356" t="s">
        <v>256</v>
      </c>
      <c r="B161" s="82"/>
      <c r="C161" s="141">
        <v>7.7499999999999999E-2</v>
      </c>
      <c r="D161" s="139"/>
      <c r="E161" s="141">
        <v>8.5000000000000006E-2</v>
      </c>
      <c r="F161" s="422"/>
      <c r="G161" s="423"/>
      <c r="H161" s="428"/>
      <c r="I161" s="429"/>
      <c r="J161" s="428"/>
      <c r="K161" s="429"/>
    </row>
    <row r="162" spans="1:11" x14ac:dyDescent="0.2">
      <c r="A162" s="373" t="s">
        <v>110</v>
      </c>
      <c r="B162" s="82"/>
      <c r="C162" s="134">
        <v>6</v>
      </c>
      <c r="D162" s="139"/>
      <c r="E162" s="287">
        <v>6</v>
      </c>
      <c r="F162" s="424"/>
      <c r="G162" s="425"/>
      <c r="H162" s="428"/>
      <c r="I162" s="429"/>
      <c r="J162" s="428"/>
      <c r="K162" s="429"/>
    </row>
    <row r="163" spans="1:11" x14ac:dyDescent="0.2">
      <c r="A163" s="373" t="s">
        <v>441</v>
      </c>
      <c r="B163" s="82"/>
      <c r="C163" s="134">
        <v>100000</v>
      </c>
      <c r="D163" s="139"/>
      <c r="E163" s="134">
        <v>100000</v>
      </c>
      <c r="F163" s="365"/>
      <c r="G163" s="366"/>
      <c r="H163" s="367"/>
      <c r="I163" s="368"/>
      <c r="J163" s="367"/>
      <c r="K163" s="368"/>
    </row>
    <row r="164" spans="1:11" ht="48" customHeight="1" x14ac:dyDescent="0.2">
      <c r="A164" s="373" t="s">
        <v>442</v>
      </c>
      <c r="B164" s="82"/>
      <c r="C164" s="133">
        <v>1.4999999999999999E-2</v>
      </c>
      <c r="D164" s="139"/>
      <c r="E164" s="133">
        <v>1.4999999999999999E-2</v>
      </c>
      <c r="F164" s="422"/>
      <c r="G164" s="423"/>
      <c r="H164" s="367"/>
      <c r="I164" s="368"/>
      <c r="J164" s="367"/>
      <c r="K164" s="368"/>
    </row>
    <row r="165" spans="1:11" x14ac:dyDescent="0.2">
      <c r="A165" s="314" t="s">
        <v>445</v>
      </c>
      <c r="B165" s="92"/>
      <c r="C165" s="141"/>
      <c r="D165" s="309"/>
      <c r="E165" s="321"/>
      <c r="F165" s="371"/>
      <c r="G165" s="372"/>
      <c r="H165" s="367"/>
      <c r="I165" s="368"/>
      <c r="J165" s="367"/>
      <c r="K165" s="368"/>
    </row>
    <row r="166" spans="1:11" ht="57.75" customHeight="1" x14ac:dyDescent="0.2">
      <c r="A166" s="315" t="s">
        <v>446</v>
      </c>
      <c r="B166" s="134">
        <v>6</v>
      </c>
      <c r="C166" s="134">
        <v>6</v>
      </c>
      <c r="D166" s="134">
        <v>6</v>
      </c>
      <c r="E166" s="134">
        <v>6</v>
      </c>
      <c r="F166" s="422"/>
      <c r="G166" s="423"/>
      <c r="H166" s="367"/>
      <c r="I166" s="368"/>
      <c r="J166" s="367"/>
      <c r="K166" s="368"/>
    </row>
    <row r="167" spans="1:11" x14ac:dyDescent="0.2">
      <c r="A167" s="115" t="s">
        <v>80</v>
      </c>
      <c r="B167" s="116"/>
      <c r="C167" s="116"/>
      <c r="D167" s="116"/>
      <c r="E167" s="274"/>
      <c r="F167" s="26"/>
      <c r="G167" s="27"/>
      <c r="H167" s="26"/>
      <c r="I167" s="27"/>
      <c r="J167" s="26"/>
      <c r="K167" s="27"/>
    </row>
    <row r="168" spans="1:11" x14ac:dyDescent="0.2">
      <c r="A168" s="42" t="s">
        <v>54</v>
      </c>
      <c r="B168" s="71"/>
      <c r="C168" s="71"/>
      <c r="D168" s="71"/>
      <c r="E168" s="72"/>
      <c r="F168" s="26"/>
      <c r="G168" s="27"/>
      <c r="H168" s="26"/>
      <c r="I168" s="27"/>
      <c r="J168" s="26"/>
      <c r="K168" s="27"/>
    </row>
    <row r="169" spans="1:11" x14ac:dyDescent="0.2">
      <c r="A169" s="46" t="s">
        <v>313</v>
      </c>
      <c r="B169" s="71"/>
      <c r="C169" s="71"/>
      <c r="D169" s="71"/>
      <c r="E169" s="72"/>
      <c r="F169" s="26"/>
      <c r="G169" s="27"/>
      <c r="H169" s="26"/>
      <c r="I169" s="27"/>
      <c r="J169" s="26"/>
      <c r="K169" s="27"/>
    </row>
    <row r="170" spans="1:11" ht="60" customHeight="1" x14ac:dyDescent="0.2">
      <c r="A170" s="129" t="s">
        <v>312</v>
      </c>
      <c r="B170" s="141">
        <v>0.03</v>
      </c>
      <c r="C170" s="141">
        <v>0.03</v>
      </c>
      <c r="D170" s="141">
        <v>0.03</v>
      </c>
      <c r="E170" s="104"/>
      <c r="F170" s="422"/>
      <c r="G170" s="423"/>
      <c r="H170" s="428"/>
      <c r="I170" s="429"/>
      <c r="J170" s="428"/>
      <c r="K170" s="429"/>
    </row>
    <row r="171" spans="1:11" x14ac:dyDescent="0.2">
      <c r="A171" s="129" t="s">
        <v>35</v>
      </c>
      <c r="B171" s="138">
        <f>B170*PreFinancingInstalledCostTotal</f>
        <v>1206814.5</v>
      </c>
      <c r="C171" s="138">
        <f>C170*PreFinancingInstalledCostTotal</f>
        <v>1206814.5</v>
      </c>
      <c r="D171" s="138">
        <f>D170*PreFinancingInstalledCostTotal</f>
        <v>1206814.5</v>
      </c>
      <c r="E171" s="104"/>
      <c r="F171" s="38"/>
      <c r="G171" s="228"/>
      <c r="H171" s="26"/>
      <c r="I171" s="27"/>
      <c r="J171" s="26"/>
      <c r="K171" s="27"/>
    </row>
    <row r="172" spans="1:11" x14ac:dyDescent="0.2">
      <c r="A172" s="46" t="s">
        <v>87</v>
      </c>
      <c r="B172" s="139"/>
      <c r="C172" s="138"/>
      <c r="D172" s="138"/>
      <c r="E172" s="104"/>
      <c r="F172" s="38"/>
      <c r="G172" s="228"/>
      <c r="H172" s="26"/>
      <c r="I172" s="27"/>
      <c r="J172" s="26"/>
      <c r="K172" s="27"/>
    </row>
    <row r="173" spans="1:11" x14ac:dyDescent="0.2">
      <c r="A173" s="129" t="s">
        <v>443</v>
      </c>
      <c r="B173" s="139"/>
      <c r="C173" s="138">
        <f>C163</f>
        <v>100000</v>
      </c>
      <c r="D173" s="139"/>
      <c r="E173" s="138">
        <f>E163</f>
        <v>100000</v>
      </c>
      <c r="F173" s="38"/>
      <c r="G173" s="228"/>
      <c r="H173" s="26"/>
      <c r="I173" s="27"/>
      <c r="J173" s="26"/>
      <c r="K173" s="27"/>
    </row>
    <row r="174" spans="1:11" x14ac:dyDescent="0.2">
      <c r="A174" s="129" t="s">
        <v>444</v>
      </c>
      <c r="B174" s="139"/>
      <c r="C174" s="142">
        <f>C164*LPFDebtAmount</f>
        <v>351073.3814773013</v>
      </c>
      <c r="D174" s="139"/>
      <c r="E174" s="142">
        <f>E164*SODebtAmount</f>
        <v>287821.82559311949</v>
      </c>
      <c r="F174" s="38"/>
      <c r="G174" s="228"/>
      <c r="H174" s="26"/>
      <c r="I174" s="27"/>
      <c r="J174" s="26"/>
      <c r="K174" s="27"/>
    </row>
    <row r="175" spans="1:11" ht="47.25" customHeight="1" x14ac:dyDescent="0.2">
      <c r="A175" s="46" t="s">
        <v>87</v>
      </c>
      <c r="B175" s="139"/>
      <c r="C175" s="138">
        <f>SUM(C173:C174)</f>
        <v>451073.3814773013</v>
      </c>
      <c r="D175" s="139"/>
      <c r="E175" s="138">
        <f>SUM(E173:E174)</f>
        <v>387821.82559311949</v>
      </c>
      <c r="F175" s="422"/>
      <c r="G175" s="423"/>
      <c r="H175" s="422"/>
      <c r="I175" s="423"/>
      <c r="J175" s="422"/>
      <c r="K175" s="423"/>
    </row>
    <row r="176" spans="1:11" ht="62.25" customHeight="1" x14ac:dyDescent="0.2">
      <c r="A176" s="46" t="s">
        <v>83</v>
      </c>
      <c r="B176" s="248">
        <v>100000</v>
      </c>
      <c r="C176" s="248">
        <v>100000</v>
      </c>
      <c r="D176" s="248">
        <v>100000</v>
      </c>
      <c r="E176" s="104"/>
      <c r="F176" s="422"/>
      <c r="G176" s="423"/>
      <c r="H176" s="26"/>
      <c r="I176" s="27"/>
      <c r="J176" s="26"/>
      <c r="K176" s="27"/>
    </row>
    <row r="177" spans="1:11" x14ac:dyDescent="0.2">
      <c r="A177" s="46" t="s">
        <v>84</v>
      </c>
      <c r="B177" s="139"/>
      <c r="C177" s="138">
        <f>'Leveraged Partnership Flip'!B667</f>
        <v>1290961.1054278056</v>
      </c>
      <c r="D177" s="139"/>
      <c r="E177" s="97">
        <f>'Single Owner'!B593</f>
        <v>1200524.7971403452</v>
      </c>
      <c r="F177" s="38"/>
      <c r="G177" s="228"/>
      <c r="H177" s="26"/>
      <c r="I177" s="27"/>
      <c r="J177" s="26"/>
      <c r="K177" s="27"/>
    </row>
    <row r="178" spans="1:11" x14ac:dyDescent="0.2">
      <c r="A178" s="46" t="s">
        <v>329</v>
      </c>
      <c r="B178" s="139"/>
      <c r="C178" s="139"/>
      <c r="D178" s="138">
        <f>'Sale Leaseback'!B644</f>
        <v>3113558.5054389434</v>
      </c>
      <c r="E178" s="104"/>
      <c r="F178" s="38"/>
      <c r="G178" s="228"/>
      <c r="H178" s="26"/>
      <c r="I178" s="27"/>
      <c r="J178" s="26"/>
      <c r="K178" s="27"/>
    </row>
    <row r="179" spans="1:11" x14ac:dyDescent="0.2">
      <c r="A179" s="46" t="s">
        <v>85</v>
      </c>
      <c r="B179" s="138">
        <f>B142</f>
        <v>1676131.25</v>
      </c>
      <c r="C179" s="138">
        <f>B142</f>
        <v>1676131.25</v>
      </c>
      <c r="D179" s="138">
        <f>B142</f>
        <v>1676131.25</v>
      </c>
      <c r="E179" s="97">
        <f>B142</f>
        <v>1676131.25</v>
      </c>
      <c r="F179" s="38"/>
      <c r="G179" s="228"/>
      <c r="H179" s="26"/>
      <c r="I179" s="27"/>
      <c r="J179" s="26"/>
      <c r="K179" s="27"/>
    </row>
    <row r="180" spans="1:11" ht="63" customHeight="1" x14ac:dyDescent="0.2">
      <c r="A180" s="314" t="s">
        <v>409</v>
      </c>
      <c r="B180" s="138">
        <f>'All Equity Partnership Flip'!B603</f>
        <v>387206.93687500001</v>
      </c>
      <c r="C180" s="138">
        <f>'Leveraged Partnership Flip'!B673</f>
        <v>387206.93687500001</v>
      </c>
      <c r="D180" s="138">
        <f>'Sale Leaseback'!B638</f>
        <v>387206.93687500001</v>
      </c>
      <c r="E180" s="97">
        <f>'Single Owner'!B599</f>
        <v>387206.93687500001</v>
      </c>
      <c r="H180" s="428"/>
      <c r="I180" s="429"/>
      <c r="J180" s="428"/>
      <c r="K180" s="429"/>
    </row>
    <row r="181" spans="1:11" x14ac:dyDescent="0.2">
      <c r="A181" s="314" t="s">
        <v>368</v>
      </c>
      <c r="B181" s="316">
        <v>0</v>
      </c>
      <c r="C181" s="316">
        <v>0</v>
      </c>
      <c r="D181" s="316">
        <v>0</v>
      </c>
      <c r="E181" s="317">
        <v>0</v>
      </c>
      <c r="F181" s="422"/>
      <c r="G181" s="423"/>
      <c r="H181" s="428"/>
      <c r="I181" s="429"/>
      <c r="J181" s="428"/>
      <c r="K181" s="429"/>
    </row>
    <row r="182" spans="1:11" x14ac:dyDescent="0.2">
      <c r="A182" s="46" t="s">
        <v>86</v>
      </c>
      <c r="B182" s="138">
        <f>B171+B175+B176+B177+B178+B179+B180+B181</f>
        <v>3370152.6868750001</v>
      </c>
      <c r="C182" s="138">
        <f>C171+C175+C176+C177+C178+C179+C180+C181</f>
        <v>5112187.1737801069</v>
      </c>
      <c r="D182" s="138">
        <f>D171+D175+D176+D177+D178+D179+D180+D181</f>
        <v>6483711.1923139431</v>
      </c>
      <c r="E182" s="138">
        <f>E171+E175+E176+E177+E178+E179+E180+E181</f>
        <v>3651684.8096084646</v>
      </c>
      <c r="F182" s="328"/>
      <c r="G182" s="228"/>
      <c r="H182" s="26"/>
      <c r="I182" s="27"/>
      <c r="J182" s="26"/>
      <c r="K182" s="27"/>
    </row>
    <row r="183" spans="1:11" x14ac:dyDescent="0.2">
      <c r="A183" s="42" t="s">
        <v>82</v>
      </c>
      <c r="B183" s="71"/>
      <c r="C183" s="71"/>
      <c r="D183" s="71"/>
      <c r="E183" s="96"/>
      <c r="F183" s="38"/>
      <c r="G183" s="228"/>
      <c r="H183" s="26"/>
      <c r="I183" s="27"/>
      <c r="J183" s="26"/>
      <c r="K183" s="27"/>
    </row>
    <row r="184" spans="1:11" x14ac:dyDescent="0.2">
      <c r="A184" s="46" t="s">
        <v>281</v>
      </c>
      <c r="B184" s="138">
        <f>TotalHardCosts</f>
        <v>35855000</v>
      </c>
      <c r="C184" s="138">
        <f>TotalHardCosts</f>
        <v>35855000</v>
      </c>
      <c r="D184" s="138">
        <f>TotalHardCosts</f>
        <v>35855000</v>
      </c>
      <c r="E184" s="97">
        <f>TotalHardCosts</f>
        <v>35855000</v>
      </c>
      <c r="F184" s="38"/>
      <c r="G184" s="228"/>
      <c r="H184" s="26"/>
      <c r="I184" s="27"/>
      <c r="J184" s="26"/>
      <c r="K184" s="27"/>
    </row>
    <row r="185" spans="1:11" x14ac:dyDescent="0.2">
      <c r="A185" s="46" t="s">
        <v>282</v>
      </c>
      <c r="B185" s="142">
        <f>TotalSoftCosts</f>
        <v>4372150</v>
      </c>
      <c r="C185" s="142">
        <f>TotalSoftCosts</f>
        <v>4372150</v>
      </c>
      <c r="D185" s="142">
        <f>TotalSoftCosts</f>
        <v>4372150</v>
      </c>
      <c r="E185" s="288">
        <f>TotalSoftCosts</f>
        <v>4372150</v>
      </c>
      <c r="F185" s="38"/>
      <c r="G185" s="228"/>
      <c r="H185" s="26"/>
      <c r="I185" s="27"/>
      <c r="J185" s="26"/>
      <c r="K185" s="27"/>
    </row>
    <row r="186" spans="1:11" x14ac:dyDescent="0.2">
      <c r="A186" s="46" t="s">
        <v>81</v>
      </c>
      <c r="B186" s="138">
        <f>SUM(B184:B185)</f>
        <v>40227150</v>
      </c>
      <c r="C186" s="138">
        <f>SUM(C184:C185)</f>
        <v>40227150</v>
      </c>
      <c r="D186" s="138">
        <f>SUM(D184:D185)</f>
        <v>40227150</v>
      </c>
      <c r="E186" s="97">
        <f>SUM(E184:E185)</f>
        <v>40227150</v>
      </c>
      <c r="F186" s="38"/>
      <c r="G186" s="228"/>
      <c r="H186" s="26"/>
      <c r="I186" s="27"/>
      <c r="J186" s="26"/>
      <c r="K186" s="27"/>
    </row>
    <row r="187" spans="1:11" x14ac:dyDescent="0.2">
      <c r="A187" s="46" t="s">
        <v>104</v>
      </c>
      <c r="B187" s="142">
        <f>B182</f>
        <v>3370152.6868750001</v>
      </c>
      <c r="C187" s="142">
        <f t="shared" ref="C187:E187" si="4">C182</f>
        <v>5112187.1737801069</v>
      </c>
      <c r="D187" s="142">
        <f t="shared" si="4"/>
        <v>6483711.1923139431</v>
      </c>
      <c r="E187" s="288">
        <f t="shared" si="4"/>
        <v>3651684.8096084646</v>
      </c>
      <c r="F187" s="38"/>
      <c r="G187" s="228"/>
      <c r="H187" s="26"/>
      <c r="I187" s="27"/>
      <c r="J187" s="26"/>
      <c r="K187" s="27"/>
    </row>
    <row r="188" spans="1:11" ht="39" customHeight="1" x14ac:dyDescent="0.2">
      <c r="A188" s="46" t="s">
        <v>53</v>
      </c>
      <c r="B188" s="138">
        <f>SUM(B186:B187)</f>
        <v>43597302.686875001</v>
      </c>
      <c r="C188" s="138">
        <f t="shared" ref="C188:E188" si="5">SUM(C186:C187)</f>
        <v>45339337.173780106</v>
      </c>
      <c r="D188" s="138">
        <f t="shared" si="5"/>
        <v>46710861.192313939</v>
      </c>
      <c r="E188" s="97">
        <f t="shared" si="5"/>
        <v>43878834.809608467</v>
      </c>
      <c r="F188" s="38"/>
      <c r="G188" s="228"/>
      <c r="H188" s="428"/>
      <c r="I188" s="429"/>
      <c r="J188" s="38"/>
      <c r="K188" s="27"/>
    </row>
    <row r="189" spans="1:11" x14ac:dyDescent="0.2">
      <c r="A189" s="143" t="s">
        <v>167</v>
      </c>
      <c r="B189" s="144">
        <f>B188/CapacityDC/1000</f>
        <v>4.3597302686874997</v>
      </c>
      <c r="C189" s="144">
        <f>C188/CapacityDC/1000</f>
        <v>4.5339337173780105</v>
      </c>
      <c r="D189" s="144">
        <f>D188/CapacityDC/1000</f>
        <v>4.6710861192313944</v>
      </c>
      <c r="E189" s="289">
        <f>E188/CapacityDC/1000</f>
        <v>4.3878834809608467</v>
      </c>
      <c r="F189" s="38"/>
      <c r="G189" s="228"/>
      <c r="H189" s="26"/>
      <c r="I189" s="27"/>
      <c r="J189" s="26"/>
      <c r="K189" s="27"/>
    </row>
    <row r="190" spans="1:11" x14ac:dyDescent="0.2">
      <c r="A190" s="115" t="s">
        <v>162</v>
      </c>
      <c r="B190" s="145"/>
      <c r="C190" s="145"/>
      <c r="D190" s="145"/>
      <c r="E190" s="290"/>
      <c r="F190" s="38"/>
      <c r="G190" s="228"/>
      <c r="H190" s="26"/>
      <c r="I190" s="27"/>
      <c r="J190" s="26"/>
      <c r="K190" s="27"/>
    </row>
    <row r="191" spans="1:11" x14ac:dyDescent="0.2">
      <c r="A191" s="42" t="s">
        <v>34</v>
      </c>
      <c r="B191" s="146"/>
      <c r="C191" s="146"/>
      <c r="D191" s="146"/>
      <c r="E191" s="291"/>
      <c r="F191" s="38"/>
      <c r="G191" s="228"/>
      <c r="H191" s="26"/>
      <c r="I191" s="27"/>
      <c r="J191" s="26"/>
      <c r="K191" s="27"/>
    </row>
    <row r="192" spans="1:11" x14ac:dyDescent="0.2">
      <c r="A192" s="46" t="s">
        <v>163</v>
      </c>
      <c r="B192" s="138">
        <f>AEPFInstalledCostTotal-SUM(B194:B196)</f>
        <v>43597302.686875001</v>
      </c>
      <c r="C192" s="138">
        <f>LPFInstalledCostTotal-SUM(C193:C196)</f>
        <v>21934445.075293351</v>
      </c>
      <c r="D192" s="138">
        <f>SLInstalledCostTotal-SUM(D194:D196)</f>
        <v>46710861.192313939</v>
      </c>
      <c r="E192" s="97">
        <f>SOInstalledCostTotal-SUM(E193:E196)</f>
        <v>24690713.103400499</v>
      </c>
      <c r="F192" s="38"/>
      <c r="G192" s="302"/>
      <c r="H192" s="26"/>
      <c r="I192" s="27"/>
      <c r="J192" s="26"/>
      <c r="K192" s="27"/>
    </row>
    <row r="193" spans="1:11" x14ac:dyDescent="0.2">
      <c r="A193" s="46" t="s">
        <v>95</v>
      </c>
      <c r="B193" s="82"/>
      <c r="C193" s="138">
        <f>LPFDebtAmount</f>
        <v>23404892.098486755</v>
      </c>
      <c r="D193" s="82"/>
      <c r="E193" s="97">
        <f>SODebtAmount</f>
        <v>19188121.706207968</v>
      </c>
      <c r="F193" s="38"/>
      <c r="G193" s="302"/>
      <c r="H193" s="26"/>
      <c r="I193" s="27"/>
      <c r="J193" s="26"/>
      <c r="K193" s="27"/>
    </row>
    <row r="194" spans="1:11" x14ac:dyDescent="0.2">
      <c r="A194" s="46" t="s">
        <v>165</v>
      </c>
      <c r="B194" s="138">
        <f>IBIFedFixed+IBIStateFixed+IBIUtilityFixed+IBIOtherFixed</f>
        <v>0</v>
      </c>
      <c r="C194" s="138">
        <f>IBIFedFixed+IBIStateFixed+IBIUtilityFixed+IBIOtherFixed</f>
        <v>0</v>
      </c>
      <c r="D194" s="138">
        <f>IBIFedFixed+IBIStateFixed+IBIUtilityFixed+IBIOtherFixed</f>
        <v>0</v>
      </c>
      <c r="E194" s="97">
        <f>IBIFedFixed+IBIStateFixed+IBIUtilityFixed+IBIOtherFixed</f>
        <v>0</v>
      </c>
      <c r="F194" s="38"/>
      <c r="G194" s="228"/>
      <c r="H194" s="26"/>
      <c r="I194" s="27"/>
      <c r="J194" s="26"/>
      <c r="K194" s="27"/>
    </row>
    <row r="195" spans="1:11" x14ac:dyDescent="0.2">
      <c r="A195" s="46" t="s">
        <v>164</v>
      </c>
      <c r="B195" s="138">
        <f>IBIFedPercent+IBIStatePercent+IBIUtilityPercent+IBIOtherPercent</f>
        <v>0</v>
      </c>
      <c r="C195" s="138">
        <f>IBIFedPercent+IBIStatePercent+IBIUtilityPercent+IBIOtherPercent</f>
        <v>0</v>
      </c>
      <c r="D195" s="138">
        <f>IBIFedPercent+IBIStatePercent+IBIUtilityPercent+IBIOtherPercent</f>
        <v>0</v>
      </c>
      <c r="E195" s="97">
        <f>IBIFedPercent+IBIStatePercent+IBIUtilityPercent+IBIOtherPercent</f>
        <v>0</v>
      </c>
      <c r="F195" s="38"/>
      <c r="G195" s="228"/>
      <c r="H195" s="26"/>
      <c r="I195" s="27"/>
      <c r="J195" s="26"/>
      <c r="K195" s="27"/>
    </row>
    <row r="196" spans="1:11" x14ac:dyDescent="0.2">
      <c r="A196" s="46" t="s">
        <v>166</v>
      </c>
      <c r="B196" s="142">
        <f>CBIFed+CBIState+CBIUtility+CBIOther</f>
        <v>0</v>
      </c>
      <c r="C196" s="142">
        <f>CBIFed+CBIState+CBIUtility+CBIOther</f>
        <v>0</v>
      </c>
      <c r="D196" s="142">
        <f>CBIFed+CBIState+CBIUtility+CBIOther</f>
        <v>0</v>
      </c>
      <c r="E196" s="288">
        <f>CBIFed+CBIState+CBIUtility+CBIOther</f>
        <v>0</v>
      </c>
      <c r="F196" s="38"/>
      <c r="G196" s="228"/>
      <c r="H196" s="26"/>
      <c r="I196" s="27"/>
      <c r="J196" s="26"/>
      <c r="K196" s="27"/>
    </row>
    <row r="197" spans="1:11" x14ac:dyDescent="0.2">
      <c r="A197" s="147" t="s">
        <v>53</v>
      </c>
      <c r="B197" s="142">
        <f>SUM(B192:B196)</f>
        <v>43597302.686875001</v>
      </c>
      <c r="C197" s="142">
        <f t="shared" ref="C197:E197" si="6">SUM(C192:C196)</f>
        <v>45339337.173780106</v>
      </c>
      <c r="D197" s="142">
        <f t="shared" si="6"/>
        <v>46710861.192313939</v>
      </c>
      <c r="E197" s="288">
        <f t="shared" si="6"/>
        <v>43878834.809608467</v>
      </c>
      <c r="F197" s="38"/>
      <c r="G197" s="228"/>
      <c r="H197" s="26"/>
      <c r="I197" s="27"/>
      <c r="J197" s="26"/>
      <c r="K197" s="27"/>
    </row>
    <row r="198" spans="1:11" x14ac:dyDescent="0.2">
      <c r="A198" s="42" t="s">
        <v>240</v>
      </c>
      <c r="B198" s="134"/>
      <c r="C198" s="134"/>
      <c r="D198" s="134"/>
      <c r="E198" s="287"/>
      <c r="F198" s="38"/>
      <c r="G198" s="228"/>
      <c r="H198" s="26"/>
      <c r="I198" s="27"/>
      <c r="J198" s="26"/>
      <c r="K198" s="27"/>
    </row>
    <row r="199" spans="1:11" ht="45" customHeight="1" x14ac:dyDescent="0.2">
      <c r="A199" s="46" t="s">
        <v>163</v>
      </c>
      <c r="B199" s="140">
        <f>B192/B$197</f>
        <v>1</v>
      </c>
      <c r="C199" s="140">
        <f>C192/C$197</f>
        <v>0.48378398191445365</v>
      </c>
      <c r="D199" s="140">
        <f>D192/D$197</f>
        <v>1</v>
      </c>
      <c r="E199" s="286">
        <f>E192/E$197</f>
        <v>0.56270211391287428</v>
      </c>
      <c r="F199" s="38"/>
      <c r="G199" s="228"/>
      <c r="H199" s="428"/>
      <c r="I199" s="429"/>
      <c r="J199" s="428"/>
      <c r="K199" s="429"/>
    </row>
    <row r="200" spans="1:11" x14ac:dyDescent="0.2">
      <c r="A200" s="46" t="s">
        <v>95</v>
      </c>
      <c r="B200" s="148"/>
      <c r="C200" s="140">
        <f>C193/C$197</f>
        <v>0.5162160180855464</v>
      </c>
      <c r="D200" s="82"/>
      <c r="E200" s="286">
        <f>E193/E$197</f>
        <v>0.43729788608712566</v>
      </c>
      <c r="F200" s="38"/>
      <c r="G200" s="228"/>
      <c r="H200" s="26"/>
      <c r="I200" s="27"/>
      <c r="J200" s="26"/>
      <c r="K200" s="27"/>
    </row>
    <row r="201" spans="1:11" x14ac:dyDescent="0.2">
      <c r="A201" s="46" t="s">
        <v>165</v>
      </c>
      <c r="B201" s="140">
        <f>B194/B$197</f>
        <v>0</v>
      </c>
      <c r="C201" s="140">
        <f>C194/C$197</f>
        <v>0</v>
      </c>
      <c r="D201" s="140">
        <f t="shared" ref="D201:E201" si="7">D194/D$197</f>
        <v>0</v>
      </c>
      <c r="E201" s="286">
        <f t="shared" si="7"/>
        <v>0</v>
      </c>
      <c r="F201" s="38"/>
      <c r="G201" s="228"/>
      <c r="H201" s="26"/>
      <c r="I201" s="27"/>
      <c r="J201" s="26"/>
      <c r="K201" s="27"/>
    </row>
    <row r="202" spans="1:11" x14ac:dyDescent="0.2">
      <c r="A202" s="46" t="s">
        <v>164</v>
      </c>
      <c r="B202" s="140">
        <f>B195/B$197</f>
        <v>0</v>
      </c>
      <c r="C202" s="140">
        <f>C195/C$197</f>
        <v>0</v>
      </c>
      <c r="D202" s="140">
        <f t="shared" ref="D202:E202" si="8">D195/D$197</f>
        <v>0</v>
      </c>
      <c r="E202" s="286">
        <f t="shared" si="8"/>
        <v>0</v>
      </c>
      <c r="F202" s="38"/>
      <c r="G202" s="228"/>
      <c r="H202" s="26"/>
      <c r="I202" s="27"/>
      <c r="J202" s="26"/>
      <c r="K202" s="27"/>
    </row>
    <row r="203" spans="1:11" x14ac:dyDescent="0.2">
      <c r="A203" s="46" t="s">
        <v>166</v>
      </c>
      <c r="B203" s="149">
        <f>B196/B$197</f>
        <v>0</v>
      </c>
      <c r="C203" s="149">
        <f>C196/C$197</f>
        <v>0</v>
      </c>
      <c r="D203" s="149">
        <f t="shared" ref="D203:E203" si="9">D196/D$197</f>
        <v>0</v>
      </c>
      <c r="E203" s="292">
        <f t="shared" si="9"/>
        <v>0</v>
      </c>
      <c r="F203" s="38"/>
      <c r="G203" s="228"/>
      <c r="H203" s="26"/>
      <c r="I203" s="27"/>
      <c r="J203" s="26"/>
      <c r="K203" s="27"/>
    </row>
    <row r="204" spans="1:11" x14ac:dyDescent="0.2">
      <c r="A204" s="143" t="s">
        <v>53</v>
      </c>
      <c r="B204" s="149">
        <f>SUM(B199:B203)</f>
        <v>1</v>
      </c>
      <c r="C204" s="149">
        <f t="shared" ref="C204:E204" si="10">SUM(C199:C203)</f>
        <v>1</v>
      </c>
      <c r="D204" s="149">
        <f>SUM(D199:D203)</f>
        <v>1</v>
      </c>
      <c r="E204" s="292">
        <f t="shared" si="10"/>
        <v>1</v>
      </c>
      <c r="F204" s="38"/>
      <c r="G204" s="228"/>
      <c r="H204" s="26"/>
      <c r="I204" s="27"/>
      <c r="J204" s="26"/>
      <c r="K204" s="27"/>
    </row>
    <row r="205" spans="1:11" ht="25.5" x14ac:dyDescent="0.2">
      <c r="A205" s="231"/>
      <c r="B205" s="68" t="str">
        <f>B$78</f>
        <v>All Equity Partnership Flip</v>
      </c>
      <c r="C205" s="68" t="str">
        <f t="shared" ref="C205:E205" si="11">C$78</f>
        <v>Leveraged Partnership Flip</v>
      </c>
      <c r="D205" s="68" t="str">
        <f t="shared" si="11"/>
        <v>Sale Leaseback</v>
      </c>
      <c r="E205" s="272" t="str">
        <f t="shared" si="11"/>
        <v>Single Owner</v>
      </c>
      <c r="F205" s="38"/>
      <c r="G205" s="304"/>
      <c r="H205" s="26"/>
      <c r="I205" s="27"/>
      <c r="J205" s="26"/>
      <c r="K205" s="27"/>
    </row>
    <row r="206" spans="1:11" x14ac:dyDescent="0.2">
      <c r="A206" s="119" t="s">
        <v>209</v>
      </c>
      <c r="B206" s="150"/>
      <c r="C206" s="150"/>
      <c r="D206" s="150"/>
      <c r="E206" s="293"/>
      <c r="F206" s="38"/>
      <c r="G206" s="228"/>
      <c r="H206" s="26"/>
      <c r="I206" s="27"/>
      <c r="J206" s="26"/>
      <c r="K206" s="27"/>
    </row>
    <row r="207" spans="1:11" ht="51.75" customHeight="1" x14ac:dyDescent="0.2">
      <c r="A207" s="42" t="s">
        <v>199</v>
      </c>
      <c r="B207" s="134"/>
      <c r="C207" s="134"/>
      <c r="D207" s="134"/>
      <c r="E207" s="36"/>
      <c r="F207" s="38"/>
      <c r="G207" s="228"/>
      <c r="H207" s="428"/>
      <c r="I207" s="429"/>
      <c r="J207" s="428"/>
      <c r="K207" s="429"/>
    </row>
    <row r="208" spans="1:11" x14ac:dyDescent="0.2">
      <c r="A208" s="46" t="s">
        <v>401</v>
      </c>
      <c r="B208" s="134"/>
      <c r="C208" s="134"/>
      <c r="D208" s="134"/>
      <c r="E208" s="36"/>
      <c r="F208" s="38"/>
      <c r="G208" s="228"/>
      <c r="H208" s="26"/>
      <c r="I208" s="27"/>
      <c r="J208" s="26"/>
      <c r="K208" s="27"/>
    </row>
    <row r="209" spans="1:11" ht="48" customHeight="1" x14ac:dyDescent="0.2">
      <c r="A209" s="129" t="s">
        <v>210</v>
      </c>
      <c r="B209" s="141">
        <v>0.6</v>
      </c>
      <c r="C209" s="141">
        <v>0.98</v>
      </c>
      <c r="D209" s="318">
        <v>1</v>
      </c>
      <c r="E209" s="93"/>
      <c r="F209" s="422"/>
      <c r="G209" s="423"/>
      <c r="H209" s="428"/>
      <c r="I209" s="429"/>
      <c r="J209" s="428"/>
      <c r="K209" s="429"/>
    </row>
    <row r="210" spans="1:11" x14ac:dyDescent="0.2">
      <c r="A210" s="129" t="s">
        <v>34</v>
      </c>
      <c r="B210" s="138">
        <f>B192*AEPFTEInvestment</f>
        <v>26158381.612124998</v>
      </c>
      <c r="C210" s="138">
        <f>C192*LPFTEInvestment</f>
        <v>21495756.173787482</v>
      </c>
      <c r="D210" s="138">
        <f>D186+D171+D176+D179+D181</f>
        <v>43210095.75</v>
      </c>
      <c r="E210" s="93"/>
      <c r="F210" s="38"/>
      <c r="G210" s="228"/>
      <c r="H210" s="26"/>
      <c r="I210" s="27"/>
      <c r="J210" s="26"/>
      <c r="K210" s="27"/>
    </row>
    <row r="211" spans="1:11" x14ac:dyDescent="0.2">
      <c r="A211" s="46" t="s">
        <v>402</v>
      </c>
      <c r="B211" s="134"/>
      <c r="C211" s="134"/>
      <c r="D211" s="134"/>
      <c r="E211" s="36"/>
      <c r="F211" s="38"/>
      <c r="G211" s="228"/>
      <c r="H211" s="26"/>
      <c r="I211" s="27"/>
      <c r="J211" s="26"/>
      <c r="K211" s="27"/>
    </row>
    <row r="212" spans="1:11" x14ac:dyDescent="0.2">
      <c r="A212" s="129" t="s">
        <v>210</v>
      </c>
      <c r="B212" s="130">
        <f>1-AEPFTEInvestment</f>
        <v>0.4</v>
      </c>
      <c r="C212" s="130">
        <f>1-LPFTEInvestment</f>
        <v>2.0000000000000018E-2</v>
      </c>
      <c r="D212" s="94"/>
      <c r="E212" s="98">
        <v>1</v>
      </c>
      <c r="F212" s="38"/>
      <c r="G212" s="228"/>
      <c r="H212" s="26"/>
      <c r="I212" s="27"/>
      <c r="J212" s="26"/>
      <c r="K212" s="27"/>
    </row>
    <row r="213" spans="1:11" x14ac:dyDescent="0.2">
      <c r="A213" s="129" t="s">
        <v>34</v>
      </c>
      <c r="B213" s="138">
        <f>B212*B192</f>
        <v>17438921.074750002</v>
      </c>
      <c r="C213" s="138">
        <f>C212*C192</f>
        <v>438688.90150586743</v>
      </c>
      <c r="D213" s="138">
        <f>D178+D180</f>
        <v>3500765.4423139435</v>
      </c>
      <c r="E213" s="294">
        <f>E212*E192</f>
        <v>24690713.103400499</v>
      </c>
      <c r="F213" s="38"/>
      <c r="G213" s="228"/>
      <c r="H213" s="38"/>
      <c r="I213" s="27"/>
      <c r="J213" s="38"/>
      <c r="K213" s="27"/>
    </row>
    <row r="214" spans="1:11" x14ac:dyDescent="0.2">
      <c r="A214" s="42" t="s">
        <v>321</v>
      </c>
      <c r="B214" s="248"/>
      <c r="C214" s="248"/>
      <c r="D214" s="248"/>
      <c r="E214" s="295"/>
      <c r="F214" s="38"/>
      <c r="G214" s="228"/>
      <c r="H214" s="38"/>
      <c r="I214" s="27"/>
      <c r="J214" s="38"/>
      <c r="K214" s="27"/>
    </row>
    <row r="215" spans="1:11" ht="81.75" customHeight="1" x14ac:dyDescent="0.2">
      <c r="A215" s="129" t="s">
        <v>319</v>
      </c>
      <c r="B215" s="319" t="s">
        <v>410</v>
      </c>
      <c r="C215" s="94"/>
      <c r="D215" s="94"/>
      <c r="E215" s="93"/>
      <c r="F215" s="422"/>
      <c r="G215" s="423"/>
      <c r="H215" s="428"/>
      <c r="I215" s="429"/>
      <c r="J215" s="428"/>
      <c r="K215" s="429"/>
    </row>
    <row r="216" spans="1:11" x14ac:dyDescent="0.2">
      <c r="A216" s="129" t="s">
        <v>320</v>
      </c>
      <c r="B216" s="320">
        <v>3</v>
      </c>
      <c r="C216" s="94"/>
      <c r="D216" s="94"/>
      <c r="E216" s="93"/>
      <c r="F216" s="422"/>
      <c r="G216" s="423"/>
      <c r="H216" s="428"/>
      <c r="I216" s="429"/>
      <c r="J216" s="428"/>
      <c r="K216" s="429"/>
    </row>
    <row r="217" spans="1:11" x14ac:dyDescent="0.2">
      <c r="A217" s="129" t="s">
        <v>322</v>
      </c>
      <c r="B217" s="133"/>
      <c r="C217" s="94"/>
      <c r="D217" s="94"/>
      <c r="E217" s="93"/>
      <c r="F217" s="38"/>
      <c r="G217" s="228"/>
      <c r="H217" s="26"/>
      <c r="I217" s="27"/>
      <c r="J217" s="26"/>
      <c r="K217" s="27"/>
    </row>
    <row r="218" spans="1:11" ht="39" customHeight="1" x14ac:dyDescent="0.2">
      <c r="A218" s="42" t="s">
        <v>212</v>
      </c>
      <c r="B218" s="134"/>
      <c r="C218" s="134"/>
      <c r="D218" s="134"/>
      <c r="E218" s="36"/>
      <c r="F218" s="38"/>
      <c r="G218" s="228"/>
      <c r="H218" s="26"/>
      <c r="I218" s="27"/>
      <c r="J218" s="26"/>
      <c r="K218" s="27"/>
    </row>
    <row r="219" spans="1:11" x14ac:dyDescent="0.2">
      <c r="A219" s="46" t="s">
        <v>208</v>
      </c>
      <c r="B219" s="134"/>
      <c r="C219" s="134"/>
      <c r="D219" s="134"/>
      <c r="E219" s="36"/>
      <c r="F219" s="38"/>
      <c r="G219" s="228"/>
      <c r="H219" s="26"/>
      <c r="I219" s="27"/>
      <c r="J219" s="26"/>
      <c r="K219" s="27"/>
    </row>
    <row r="220" spans="1:11" ht="77.25" customHeight="1" x14ac:dyDescent="0.2">
      <c r="A220" s="129" t="s">
        <v>213</v>
      </c>
      <c r="B220" s="141">
        <v>1</v>
      </c>
      <c r="C220" s="141">
        <v>0.98</v>
      </c>
      <c r="D220" s="94"/>
      <c r="E220" s="93"/>
      <c r="F220" s="422"/>
      <c r="G220" s="423"/>
      <c r="H220" s="428"/>
      <c r="I220" s="429"/>
      <c r="J220" s="428"/>
      <c r="K220" s="429"/>
    </row>
    <row r="221" spans="1:11" ht="82.5" customHeight="1" x14ac:dyDescent="0.2">
      <c r="A221" s="129" t="s">
        <v>214</v>
      </c>
      <c r="B221" s="141">
        <v>0.1</v>
      </c>
      <c r="C221" s="141">
        <v>0.1</v>
      </c>
      <c r="D221" s="94"/>
      <c r="E221" s="93"/>
      <c r="F221" s="422"/>
      <c r="G221" s="423"/>
      <c r="H221" s="428"/>
      <c r="I221" s="429"/>
      <c r="J221" s="428"/>
      <c r="K221" s="429"/>
    </row>
    <row r="222" spans="1:11" x14ac:dyDescent="0.2">
      <c r="A222" s="46" t="s">
        <v>211</v>
      </c>
      <c r="B222" s="134"/>
      <c r="C222" s="134"/>
      <c r="D222" s="37"/>
      <c r="E222" s="36"/>
      <c r="F222" s="38"/>
      <c r="G222" s="228"/>
      <c r="H222" s="26"/>
      <c r="I222" s="27"/>
      <c r="J222" s="26"/>
      <c r="K222" s="27"/>
    </row>
    <row r="223" spans="1:11" x14ac:dyDescent="0.2">
      <c r="A223" s="129" t="s">
        <v>213</v>
      </c>
      <c r="B223" s="130">
        <f>1-B220</f>
        <v>0</v>
      </c>
      <c r="C223" s="130">
        <f t="shared" ref="C223" si="12">1-C220</f>
        <v>2.0000000000000018E-2</v>
      </c>
      <c r="D223" s="94"/>
      <c r="E223" s="93"/>
      <c r="F223" s="38"/>
      <c r="G223" s="228"/>
      <c r="H223" s="26"/>
      <c r="I223" s="27"/>
      <c r="J223" s="26"/>
      <c r="K223" s="27"/>
    </row>
    <row r="224" spans="1:11" x14ac:dyDescent="0.2">
      <c r="A224" s="129" t="s">
        <v>214</v>
      </c>
      <c r="B224" s="130">
        <f>1-B221</f>
        <v>0.9</v>
      </c>
      <c r="C224" s="130">
        <f t="shared" ref="C224" si="13">1-C221</f>
        <v>0.9</v>
      </c>
      <c r="D224" s="94"/>
      <c r="E224" s="93"/>
      <c r="F224" s="38"/>
      <c r="G224" s="228"/>
      <c r="H224" s="26"/>
      <c r="I224" s="27"/>
      <c r="J224" s="26"/>
      <c r="K224" s="27"/>
    </row>
    <row r="225" spans="1:11" x14ac:dyDescent="0.2">
      <c r="A225" s="42" t="s">
        <v>215</v>
      </c>
      <c r="B225" s="134"/>
      <c r="C225" s="134"/>
      <c r="D225" s="37"/>
      <c r="E225" s="36"/>
      <c r="F225" s="38"/>
      <c r="G225" s="228"/>
      <c r="H225" s="26"/>
      <c r="I225" s="27"/>
      <c r="J225" s="26"/>
      <c r="K225" s="27"/>
    </row>
    <row r="226" spans="1:11" x14ac:dyDescent="0.2">
      <c r="A226" s="46" t="s">
        <v>208</v>
      </c>
      <c r="B226" s="134"/>
      <c r="C226" s="134"/>
      <c r="D226" s="37"/>
      <c r="E226" s="36"/>
      <c r="F226" s="38"/>
      <c r="G226" s="228"/>
      <c r="H226" s="26"/>
      <c r="I226" s="27"/>
      <c r="J226" s="26"/>
      <c r="K226" s="27"/>
    </row>
    <row r="227" spans="1:11" ht="55.5" customHeight="1" x14ac:dyDescent="0.2">
      <c r="A227" s="129" t="s">
        <v>213</v>
      </c>
      <c r="B227" s="141">
        <v>0.99</v>
      </c>
      <c r="C227" s="141">
        <v>0.98</v>
      </c>
      <c r="D227" s="94"/>
      <c r="E227" s="93"/>
      <c r="F227" s="422"/>
      <c r="G227" s="423"/>
      <c r="H227" s="428"/>
      <c r="I227" s="429"/>
      <c r="J227" s="428"/>
      <c r="K227" s="429"/>
    </row>
    <row r="228" spans="1:11" ht="81" customHeight="1" x14ac:dyDescent="0.2">
      <c r="A228" s="129" t="s">
        <v>214</v>
      </c>
      <c r="B228" s="141">
        <v>0.1</v>
      </c>
      <c r="C228" s="141">
        <v>0.1</v>
      </c>
      <c r="D228" s="94"/>
      <c r="E228" s="93"/>
      <c r="F228" s="422"/>
      <c r="G228" s="423"/>
      <c r="H228" s="428"/>
      <c r="I228" s="429"/>
      <c r="J228" s="428"/>
      <c r="K228" s="429"/>
    </row>
    <row r="229" spans="1:11" x14ac:dyDescent="0.2">
      <c r="A229" s="314" t="s">
        <v>211</v>
      </c>
      <c r="B229" s="134"/>
      <c r="C229" s="134"/>
      <c r="D229" s="37"/>
      <c r="E229" s="36"/>
      <c r="F229" s="38"/>
      <c r="G229" s="228"/>
      <c r="H229" s="26"/>
      <c r="I229" s="27"/>
      <c r="J229" s="26"/>
      <c r="K229" s="27"/>
    </row>
    <row r="230" spans="1:11" x14ac:dyDescent="0.2">
      <c r="A230" s="315" t="s">
        <v>213</v>
      </c>
      <c r="B230" s="130">
        <f>1-B227</f>
        <v>1.0000000000000009E-2</v>
      </c>
      <c r="C230" s="130">
        <f t="shared" ref="C230" si="14">1-C227</f>
        <v>2.0000000000000018E-2</v>
      </c>
      <c r="D230" s="94"/>
      <c r="E230" s="93"/>
      <c r="F230" s="38"/>
      <c r="G230" s="228"/>
      <c r="H230" s="26"/>
      <c r="I230" s="27"/>
      <c r="J230" s="26"/>
      <c r="K230" s="27"/>
    </row>
    <row r="231" spans="1:11" x14ac:dyDescent="0.2">
      <c r="A231" s="315" t="s">
        <v>214</v>
      </c>
      <c r="B231" s="130">
        <f>1-B228</f>
        <v>0.9</v>
      </c>
      <c r="C231" s="130">
        <f t="shared" ref="C231" si="15">1-C228</f>
        <v>0.9</v>
      </c>
      <c r="D231" s="94"/>
      <c r="E231" s="93"/>
      <c r="F231" s="38"/>
      <c r="G231" s="228"/>
      <c r="H231" s="26"/>
      <c r="I231" s="27"/>
      <c r="J231" s="26"/>
      <c r="K231" s="27"/>
    </row>
    <row r="232" spans="1:11" x14ac:dyDescent="0.2">
      <c r="A232" s="32" t="s">
        <v>327</v>
      </c>
      <c r="B232" s="139"/>
      <c r="C232" s="94"/>
      <c r="D232" s="89"/>
      <c r="E232" s="93"/>
      <c r="F232" s="38"/>
      <c r="G232" s="228"/>
      <c r="H232" s="26"/>
      <c r="I232" s="27"/>
      <c r="J232" s="26"/>
      <c r="K232" s="27"/>
    </row>
    <row r="233" spans="1:11" x14ac:dyDescent="0.2">
      <c r="A233" s="314" t="s">
        <v>398</v>
      </c>
      <c r="B233" s="139"/>
      <c r="C233" s="94"/>
      <c r="D233" s="89"/>
      <c r="E233" s="93"/>
      <c r="F233" s="38"/>
      <c r="G233" s="228"/>
      <c r="H233" s="26"/>
      <c r="I233" s="27"/>
      <c r="J233" s="26"/>
      <c r="K233" s="27"/>
    </row>
    <row r="234" spans="1:11" x14ac:dyDescent="0.2">
      <c r="A234" s="315" t="s">
        <v>328</v>
      </c>
      <c r="B234" s="139"/>
      <c r="C234" s="94"/>
      <c r="D234" s="311">
        <v>40</v>
      </c>
      <c r="E234" s="93"/>
      <c r="F234" s="422"/>
      <c r="G234" s="423"/>
      <c r="H234" s="428"/>
      <c r="I234" s="429"/>
      <c r="J234" s="428"/>
      <c r="K234" s="429"/>
    </row>
    <row r="235" spans="1:11" x14ac:dyDescent="0.2">
      <c r="A235" s="315" t="s">
        <v>35</v>
      </c>
      <c r="B235" s="139"/>
      <c r="C235" s="94"/>
      <c r="D235" s="138">
        <f>D234*CapacityDC</f>
        <v>400000</v>
      </c>
      <c r="E235" s="93"/>
      <c r="F235" s="38"/>
      <c r="G235" s="228"/>
      <c r="H235" s="26"/>
      <c r="I235" s="27"/>
      <c r="J235" s="26"/>
      <c r="K235" s="27"/>
    </row>
    <row r="236" spans="1:11" x14ac:dyDescent="0.2">
      <c r="A236" s="315" t="s">
        <v>325</v>
      </c>
      <c r="B236" s="139"/>
      <c r="C236" s="94"/>
      <c r="D236" s="141">
        <v>0.02</v>
      </c>
      <c r="E236" s="93"/>
      <c r="F236" s="422"/>
      <c r="G236" s="423"/>
      <c r="H236" s="26"/>
      <c r="I236" s="27"/>
      <c r="J236" s="26"/>
      <c r="K236" s="27"/>
    </row>
    <row r="237" spans="1:11" x14ac:dyDescent="0.2">
      <c r="A237" s="314" t="s">
        <v>399</v>
      </c>
      <c r="B237" s="139"/>
      <c r="C237" s="94"/>
      <c r="D237" s="248">
        <v>7</v>
      </c>
      <c r="E237" s="93"/>
      <c r="F237" s="422"/>
      <c r="G237" s="423"/>
      <c r="H237" s="428"/>
      <c r="I237" s="429"/>
      <c r="J237" s="428"/>
      <c r="K237" s="429"/>
    </row>
    <row r="238" spans="1:11" x14ac:dyDescent="0.2">
      <c r="A238" s="42" t="s">
        <v>217</v>
      </c>
      <c r="B238" s="133"/>
      <c r="C238" s="133"/>
      <c r="D238" s="89"/>
      <c r="E238" s="88"/>
      <c r="F238" s="38"/>
      <c r="G238" s="228"/>
      <c r="H238" s="26"/>
      <c r="I238" s="27"/>
      <c r="J238" s="26"/>
      <c r="K238" s="27"/>
    </row>
    <row r="239" spans="1:11" ht="64.5" customHeight="1" x14ac:dyDescent="0.2">
      <c r="A239" s="46" t="s">
        <v>216</v>
      </c>
      <c r="B239" s="141">
        <v>8.5000000000000006E-2</v>
      </c>
      <c r="C239" s="141">
        <v>0.105</v>
      </c>
      <c r="D239" s="141">
        <v>0.14000000000000001</v>
      </c>
      <c r="E239" s="321">
        <v>0.1</v>
      </c>
      <c r="F239" s="422"/>
      <c r="G239" s="423"/>
      <c r="H239" s="428"/>
      <c r="I239" s="429"/>
      <c r="J239" s="428"/>
      <c r="K239" s="429"/>
    </row>
    <row r="240" spans="1:11" ht="54.75" customHeight="1" x14ac:dyDescent="0.2">
      <c r="A240" s="46" t="s">
        <v>218</v>
      </c>
      <c r="B240" s="322">
        <v>8</v>
      </c>
      <c r="C240" s="322">
        <v>8</v>
      </c>
      <c r="D240" s="322">
        <v>20</v>
      </c>
      <c r="E240" s="323">
        <v>20</v>
      </c>
      <c r="F240" s="422"/>
      <c r="G240" s="423"/>
      <c r="H240" s="428"/>
      <c r="I240" s="429"/>
      <c r="J240" s="428"/>
      <c r="K240" s="429"/>
    </row>
    <row r="241" spans="1:11" x14ac:dyDescent="0.2">
      <c r="A241" s="143" t="s">
        <v>219</v>
      </c>
      <c r="B241" s="142">
        <f>AnalysisPeriod</f>
        <v>40</v>
      </c>
      <c r="C241" s="142">
        <f>AnalysisPeriod</f>
        <v>40</v>
      </c>
      <c r="D241" s="142">
        <f>AnalysisPeriod</f>
        <v>40</v>
      </c>
      <c r="E241" s="296">
        <f>AnalysisPeriod</f>
        <v>40</v>
      </c>
      <c r="F241" s="38"/>
      <c r="G241" s="228"/>
      <c r="H241" s="26"/>
      <c r="I241" s="27"/>
      <c r="J241" s="26"/>
      <c r="K241" s="27"/>
    </row>
    <row r="242" spans="1:11" ht="13.5" customHeight="1" x14ac:dyDescent="0.2">
      <c r="A242" s="115" t="s">
        <v>269</v>
      </c>
      <c r="B242" s="116"/>
      <c r="C242" s="116"/>
      <c r="D242" s="116"/>
      <c r="E242" s="274"/>
      <c r="F242" s="38"/>
      <c r="G242" s="228"/>
      <c r="H242" s="26"/>
      <c r="I242" s="27"/>
      <c r="J242" s="26"/>
      <c r="K242" s="27"/>
    </row>
    <row r="243" spans="1:11" x14ac:dyDescent="0.2">
      <c r="A243" s="42" t="s">
        <v>266</v>
      </c>
      <c r="B243" s="71"/>
      <c r="C243" s="71"/>
      <c r="D243" s="71"/>
      <c r="E243" s="72"/>
      <c r="F243" s="38"/>
      <c r="G243" s="228"/>
      <c r="H243" s="26"/>
      <c r="I243" s="27"/>
      <c r="J243" s="26"/>
      <c r="K243" s="27"/>
    </row>
    <row r="244" spans="1:11" x14ac:dyDescent="0.2">
      <c r="A244" s="46" t="s">
        <v>128</v>
      </c>
      <c r="B244" s="71"/>
      <c r="C244" s="71"/>
      <c r="D244" s="71"/>
      <c r="E244" s="72"/>
      <c r="F244" s="38"/>
      <c r="G244" s="228"/>
      <c r="H244" s="26"/>
      <c r="I244" s="27"/>
      <c r="J244" s="26"/>
      <c r="K244" s="27"/>
    </row>
    <row r="245" spans="1:11" ht="86.25" customHeight="1" x14ac:dyDescent="0.2">
      <c r="A245" s="151" t="s">
        <v>129</v>
      </c>
      <c r="B245" s="141">
        <v>0.92</v>
      </c>
      <c r="C245" s="141">
        <v>0.89</v>
      </c>
      <c r="D245" s="141">
        <v>0.95</v>
      </c>
      <c r="E245" s="321">
        <v>0.9</v>
      </c>
      <c r="F245" s="422"/>
      <c r="G245" s="423"/>
      <c r="H245" s="428"/>
      <c r="I245" s="429"/>
      <c r="J245" s="428"/>
      <c r="K245" s="429"/>
    </row>
    <row r="246" spans="1:11" x14ac:dyDescent="0.2">
      <c r="A246" s="151" t="s">
        <v>130</v>
      </c>
      <c r="B246" s="141">
        <v>1.4999999999999999E-2</v>
      </c>
      <c r="C246" s="141">
        <v>1.4999999999999999E-2</v>
      </c>
      <c r="D246" s="141">
        <v>1.4999999999999999E-2</v>
      </c>
      <c r="E246" s="321">
        <v>1.4999999999999999E-2</v>
      </c>
      <c r="F246" s="422"/>
      <c r="G246" s="423"/>
      <c r="H246" s="428"/>
      <c r="I246" s="429"/>
      <c r="J246" s="428"/>
      <c r="K246" s="429"/>
    </row>
    <row r="247" spans="1:11" x14ac:dyDescent="0.2">
      <c r="A247" s="151" t="s">
        <v>131</v>
      </c>
      <c r="B247" s="141">
        <v>0</v>
      </c>
      <c r="C247" s="141">
        <v>0</v>
      </c>
      <c r="D247" s="141">
        <v>0</v>
      </c>
      <c r="E247" s="321">
        <v>0</v>
      </c>
      <c r="F247" s="422"/>
      <c r="G247" s="423"/>
      <c r="H247" s="428"/>
      <c r="I247" s="429"/>
      <c r="J247" s="428"/>
      <c r="K247" s="429"/>
    </row>
    <row r="248" spans="1:11" x14ac:dyDescent="0.2">
      <c r="A248" s="151" t="s">
        <v>132</v>
      </c>
      <c r="B248" s="141">
        <v>1.4999999999999999E-2</v>
      </c>
      <c r="C248" s="141">
        <v>0.03</v>
      </c>
      <c r="D248" s="141">
        <v>1.4999999999999999E-2</v>
      </c>
      <c r="E248" s="321">
        <v>2.5000000000000001E-2</v>
      </c>
      <c r="F248" s="422"/>
      <c r="G248" s="423"/>
      <c r="H248" s="428"/>
      <c r="I248" s="429"/>
      <c r="J248" s="428"/>
      <c r="K248" s="429"/>
    </row>
    <row r="249" spans="1:11" x14ac:dyDescent="0.2">
      <c r="A249" s="151" t="s">
        <v>133</v>
      </c>
      <c r="B249" s="141">
        <v>0.03</v>
      </c>
      <c r="C249" s="141">
        <v>0.03</v>
      </c>
      <c r="D249" s="141">
        <v>1.4999999999999999E-2</v>
      </c>
      <c r="E249" s="321">
        <v>2.5000000000000001E-2</v>
      </c>
      <c r="F249" s="434"/>
      <c r="G249" s="435"/>
      <c r="H249" s="436"/>
      <c r="I249" s="437"/>
      <c r="J249" s="436"/>
      <c r="K249" s="437"/>
    </row>
    <row r="250" spans="1:11" x14ac:dyDescent="0.2">
      <c r="A250" s="151" t="s">
        <v>134</v>
      </c>
      <c r="B250" s="141">
        <v>5.0000000000000001E-3</v>
      </c>
      <c r="C250" s="141">
        <v>5.0000000000000001E-3</v>
      </c>
      <c r="D250" s="141">
        <v>5.0000000000000001E-3</v>
      </c>
      <c r="E250" s="321">
        <v>5.0000000000000001E-3</v>
      </c>
      <c r="F250" s="422"/>
      <c r="G250" s="423"/>
      <c r="H250" s="428"/>
      <c r="I250" s="429"/>
      <c r="J250" s="428"/>
      <c r="K250" s="429"/>
    </row>
    <row r="251" spans="1:11" ht="25.5" x14ac:dyDescent="0.2">
      <c r="A251" s="232" t="s">
        <v>291</v>
      </c>
      <c r="B251" s="152">
        <f>1-SUM(B245:B250)</f>
        <v>1.4999999999999902E-2</v>
      </c>
      <c r="C251" s="152">
        <f t="shared" ref="C251:E251" si="16">1-SUM(C245:C250)</f>
        <v>2.9999999999999916E-2</v>
      </c>
      <c r="D251" s="152">
        <f t="shared" si="16"/>
        <v>0</v>
      </c>
      <c r="E251" s="297">
        <f t="shared" si="16"/>
        <v>2.9999999999999916E-2</v>
      </c>
      <c r="F251" s="38"/>
      <c r="G251" s="228"/>
      <c r="H251" s="26"/>
      <c r="I251" s="27"/>
      <c r="J251" s="26"/>
      <c r="K251" s="27"/>
    </row>
    <row r="252" spans="1:11" x14ac:dyDescent="0.2">
      <c r="A252" s="151" t="s">
        <v>53</v>
      </c>
      <c r="B252" s="130">
        <f>SUM(B245:B251)</f>
        <v>1</v>
      </c>
      <c r="C252" s="130">
        <f t="shared" ref="C252:E252" si="17">SUM(C245:C251)</f>
        <v>1</v>
      </c>
      <c r="D252" s="130">
        <f t="shared" si="17"/>
        <v>1</v>
      </c>
      <c r="E252" s="298">
        <f t="shared" si="17"/>
        <v>1</v>
      </c>
      <c r="F252" s="38"/>
      <c r="G252" s="228"/>
      <c r="H252" s="26"/>
      <c r="I252" s="27"/>
      <c r="J252" s="26"/>
      <c r="K252" s="27"/>
    </row>
    <row r="253" spans="1:11" x14ac:dyDescent="0.2">
      <c r="A253" s="46" t="s">
        <v>136</v>
      </c>
      <c r="B253" s="79"/>
      <c r="C253" s="79"/>
      <c r="D253" s="79"/>
      <c r="E253" s="23"/>
      <c r="F253" s="38"/>
      <c r="G253" s="228"/>
      <c r="H253" s="26"/>
      <c r="I253" s="27"/>
      <c r="J253" s="26"/>
      <c r="K253" s="27"/>
    </row>
    <row r="254" spans="1:11" ht="27.75" customHeight="1" x14ac:dyDescent="0.2">
      <c r="A254" s="151" t="s">
        <v>129</v>
      </c>
      <c r="B254" s="138">
        <f t="shared" ref="B254:B260" si="18">AEPFInstalledCostTotal*B245</f>
        <v>40109518.471925005</v>
      </c>
      <c r="C254" s="138">
        <f t="shared" ref="C254:C260" si="19">LPFInstalledCostTotal*C245</f>
        <v>40352010.084664293</v>
      </c>
      <c r="D254" s="138">
        <f>$D$210*D245</f>
        <v>41049590.962499999</v>
      </c>
      <c r="E254" s="294">
        <f t="shared" ref="E254:E261" si="20">SOInstalledCostTotal*E245</f>
        <v>39490951.328647621</v>
      </c>
      <c r="F254" s="422"/>
      <c r="G254" s="423"/>
      <c r="H254" s="26"/>
      <c r="I254" s="27"/>
      <c r="J254" s="26"/>
      <c r="K254" s="27"/>
    </row>
    <row r="255" spans="1:11" x14ac:dyDescent="0.2">
      <c r="A255" s="151" t="s">
        <v>130</v>
      </c>
      <c r="B255" s="138">
        <f t="shared" si="18"/>
        <v>653959.54030312493</v>
      </c>
      <c r="C255" s="138">
        <f t="shared" si="19"/>
        <v>680090.05760670162</v>
      </c>
      <c r="D255" s="138">
        <f t="shared" ref="D255:D260" si="21">$D$210*D246</f>
        <v>648151.43625000003</v>
      </c>
      <c r="E255" s="294">
        <f t="shared" si="20"/>
        <v>658182.52214412694</v>
      </c>
      <c r="F255" s="38"/>
      <c r="G255" s="228"/>
      <c r="H255" s="26"/>
      <c r="I255" s="27"/>
      <c r="J255" s="26"/>
      <c r="K255" s="27"/>
    </row>
    <row r="256" spans="1:11" x14ac:dyDescent="0.2">
      <c r="A256" s="151" t="s">
        <v>131</v>
      </c>
      <c r="B256" s="138">
        <f t="shared" si="18"/>
        <v>0</v>
      </c>
      <c r="C256" s="138">
        <f t="shared" si="19"/>
        <v>0</v>
      </c>
      <c r="D256" s="138">
        <f t="shared" si="21"/>
        <v>0</v>
      </c>
      <c r="E256" s="294">
        <f t="shared" si="20"/>
        <v>0</v>
      </c>
      <c r="F256" s="38"/>
      <c r="G256" s="228"/>
      <c r="H256" s="26"/>
      <c r="I256" s="27"/>
      <c r="J256" s="26"/>
      <c r="K256" s="27"/>
    </row>
    <row r="257" spans="1:11" x14ac:dyDescent="0.2">
      <c r="A257" s="151" t="s">
        <v>132</v>
      </c>
      <c r="B257" s="138">
        <f t="shared" si="18"/>
        <v>653959.54030312493</v>
      </c>
      <c r="C257" s="138">
        <f t="shared" si="19"/>
        <v>1360180.1152134032</v>
      </c>
      <c r="D257" s="138">
        <f t="shared" si="21"/>
        <v>648151.43625000003</v>
      </c>
      <c r="E257" s="294">
        <f t="shared" si="20"/>
        <v>1096970.8702402117</v>
      </c>
      <c r="F257" s="38"/>
      <c r="G257" s="228"/>
      <c r="H257" s="26"/>
      <c r="I257" s="27"/>
      <c r="J257" s="26"/>
      <c r="K257" s="27"/>
    </row>
    <row r="258" spans="1:11" x14ac:dyDescent="0.2">
      <c r="A258" s="151" t="s">
        <v>133</v>
      </c>
      <c r="B258" s="138">
        <f t="shared" si="18"/>
        <v>1307919.0806062499</v>
      </c>
      <c r="C258" s="138">
        <f t="shared" si="19"/>
        <v>1360180.1152134032</v>
      </c>
      <c r="D258" s="138">
        <f t="shared" si="21"/>
        <v>648151.43625000003</v>
      </c>
      <c r="E258" s="294">
        <f t="shared" si="20"/>
        <v>1096970.8702402117</v>
      </c>
      <c r="F258" s="38"/>
      <c r="G258" s="228"/>
      <c r="H258" s="26"/>
      <c r="I258" s="27"/>
      <c r="J258" s="26"/>
      <c r="K258" s="27"/>
    </row>
    <row r="259" spans="1:11" x14ac:dyDescent="0.2">
      <c r="A259" s="151" t="s">
        <v>134</v>
      </c>
      <c r="B259" s="138">
        <f t="shared" si="18"/>
        <v>217986.513434375</v>
      </c>
      <c r="C259" s="138">
        <f t="shared" si="19"/>
        <v>226696.68586890053</v>
      </c>
      <c r="D259" s="138">
        <f t="shared" si="21"/>
        <v>216050.47875000001</v>
      </c>
      <c r="E259" s="294">
        <f t="shared" si="20"/>
        <v>219394.17404804233</v>
      </c>
      <c r="F259" s="38"/>
      <c r="G259" s="228"/>
      <c r="H259" s="26"/>
      <c r="I259" s="27"/>
      <c r="J259" s="26"/>
      <c r="K259" s="27"/>
    </row>
    <row r="260" spans="1:11" x14ac:dyDescent="0.2">
      <c r="A260" s="151" t="s">
        <v>135</v>
      </c>
      <c r="B260" s="142">
        <f t="shared" si="18"/>
        <v>653959.54030312074</v>
      </c>
      <c r="C260" s="142">
        <f t="shared" si="19"/>
        <v>1360180.1152133993</v>
      </c>
      <c r="D260" s="142">
        <f t="shared" si="21"/>
        <v>0</v>
      </c>
      <c r="E260" s="296">
        <f t="shared" si="20"/>
        <v>1316365.0442882504</v>
      </c>
      <c r="F260" s="38"/>
      <c r="G260" s="228"/>
      <c r="H260" s="26"/>
      <c r="I260" s="27"/>
      <c r="J260" s="26"/>
      <c r="K260" s="27"/>
    </row>
    <row r="261" spans="1:11" x14ac:dyDescent="0.2">
      <c r="A261" s="129" t="s">
        <v>53</v>
      </c>
      <c r="B261" s="153">
        <f>SUM(B254:B260)</f>
        <v>43597302.686875001</v>
      </c>
      <c r="C261" s="153">
        <f>SUM(C254:C260)</f>
        <v>45339337.173780106</v>
      </c>
      <c r="D261" s="153">
        <f>SUM(D254:D260)</f>
        <v>43210095.75</v>
      </c>
      <c r="E261" s="299">
        <f t="shared" si="20"/>
        <v>43878834.809608467</v>
      </c>
      <c r="F261" s="38"/>
      <c r="G261" s="228"/>
      <c r="H261" s="38"/>
      <c r="I261" s="228"/>
      <c r="J261" s="38"/>
      <c r="K261" s="228"/>
    </row>
    <row r="262" spans="1:11" ht="116.25" customHeight="1" x14ac:dyDescent="0.2">
      <c r="A262" s="115" t="s">
        <v>267</v>
      </c>
      <c r="B262" s="404"/>
      <c r="C262" s="405"/>
      <c r="D262" s="405"/>
      <c r="E262" s="405"/>
      <c r="F262" s="422"/>
      <c r="G262" s="423"/>
      <c r="H262" s="26"/>
      <c r="I262" s="27"/>
      <c r="J262" s="26"/>
      <c r="K262" s="27"/>
    </row>
    <row r="263" spans="1:11" x14ac:dyDescent="0.2">
      <c r="A263" s="42" t="s">
        <v>270</v>
      </c>
      <c r="B263" s="406"/>
      <c r="C263" s="407"/>
      <c r="D263" s="407"/>
      <c r="E263" s="407"/>
      <c r="F263" s="38"/>
      <c r="G263" s="228"/>
      <c r="H263" s="26"/>
      <c r="I263" s="27"/>
      <c r="J263" s="26"/>
      <c r="K263" s="27"/>
    </row>
    <row r="264" spans="1:11" x14ac:dyDescent="0.2">
      <c r="A264" s="46" t="s">
        <v>274</v>
      </c>
      <c r="B264" s="410">
        <v>0</v>
      </c>
      <c r="C264" s="411"/>
      <c r="D264" s="411"/>
      <c r="E264" s="411"/>
      <c r="F264" s="422"/>
      <c r="G264" s="423"/>
      <c r="H264" s="428"/>
      <c r="I264" s="429"/>
      <c r="J264" s="428"/>
      <c r="K264" s="429"/>
    </row>
    <row r="265" spans="1:11" x14ac:dyDescent="0.2">
      <c r="A265" s="46" t="s">
        <v>271</v>
      </c>
      <c r="B265" s="398"/>
      <c r="C265" s="399"/>
      <c r="D265" s="399"/>
      <c r="E265" s="399"/>
      <c r="F265" s="38"/>
      <c r="G265" s="228"/>
      <c r="H265" s="26"/>
      <c r="I265" s="27"/>
      <c r="J265" s="26"/>
      <c r="K265" s="27"/>
    </row>
    <row r="266" spans="1:11" x14ac:dyDescent="0.2">
      <c r="A266" s="155" t="s">
        <v>129</v>
      </c>
      <c r="B266" s="394" t="s">
        <v>67</v>
      </c>
      <c r="C266" s="395"/>
      <c r="D266" s="395"/>
      <c r="E266" s="395"/>
      <c r="F266" s="422"/>
      <c r="G266" s="423"/>
      <c r="H266" s="428"/>
      <c r="I266" s="429"/>
      <c r="J266" s="428"/>
      <c r="K266" s="429"/>
    </row>
    <row r="267" spans="1:11" x14ac:dyDescent="0.2">
      <c r="A267" s="155" t="s">
        <v>130</v>
      </c>
      <c r="B267" s="394" t="s">
        <v>67</v>
      </c>
      <c r="C267" s="395"/>
      <c r="D267" s="395"/>
      <c r="E267" s="395"/>
      <c r="F267" s="422"/>
      <c r="G267" s="423"/>
      <c r="H267" s="428"/>
      <c r="I267" s="429"/>
      <c r="J267" s="428"/>
      <c r="K267" s="429"/>
    </row>
    <row r="268" spans="1:11" x14ac:dyDescent="0.2">
      <c r="A268" s="155" t="s">
        <v>131</v>
      </c>
      <c r="B268" s="394" t="s">
        <v>68</v>
      </c>
      <c r="C268" s="395"/>
      <c r="D268" s="395"/>
      <c r="E268" s="395"/>
      <c r="F268" s="422"/>
      <c r="G268" s="423"/>
      <c r="H268" s="428"/>
      <c r="I268" s="429"/>
      <c r="J268" s="428"/>
      <c r="K268" s="429"/>
    </row>
    <row r="269" spans="1:11" x14ac:dyDescent="0.2">
      <c r="A269" s="155" t="s">
        <v>132</v>
      </c>
      <c r="B269" s="394" t="s">
        <v>68</v>
      </c>
      <c r="C269" s="395"/>
      <c r="D269" s="395"/>
      <c r="E269" s="395"/>
      <c r="F269" s="422"/>
      <c r="G269" s="423"/>
      <c r="H269" s="428"/>
      <c r="I269" s="429"/>
      <c r="J269" s="428"/>
      <c r="K269" s="429"/>
    </row>
    <row r="270" spans="1:11" x14ac:dyDescent="0.2">
      <c r="A270" s="155" t="s">
        <v>133</v>
      </c>
      <c r="B270" s="394" t="s">
        <v>68</v>
      </c>
      <c r="C270" s="395"/>
      <c r="D270" s="395"/>
      <c r="E270" s="395"/>
      <c r="F270" s="422"/>
      <c r="G270" s="423"/>
      <c r="H270" s="428"/>
      <c r="I270" s="429"/>
      <c r="J270" s="428"/>
      <c r="K270" s="429"/>
    </row>
    <row r="271" spans="1:11" x14ac:dyDescent="0.2">
      <c r="A271" s="155" t="s">
        <v>134</v>
      </c>
      <c r="B271" s="394" t="s">
        <v>68</v>
      </c>
      <c r="C271" s="395"/>
      <c r="D271" s="395"/>
      <c r="E271" s="395"/>
      <c r="F271" s="422"/>
      <c r="G271" s="423"/>
      <c r="H271" s="428"/>
      <c r="I271" s="429"/>
      <c r="J271" s="428"/>
      <c r="K271" s="429"/>
    </row>
    <row r="272" spans="1:11" x14ac:dyDescent="0.2">
      <c r="A272" s="42" t="s">
        <v>272</v>
      </c>
      <c r="B272" s="394"/>
      <c r="C272" s="395"/>
      <c r="D272" s="395"/>
      <c r="E272" s="395"/>
      <c r="F272" s="38"/>
      <c r="G272" s="228"/>
      <c r="H272" s="26"/>
      <c r="I272" s="27"/>
      <c r="J272" s="26"/>
      <c r="K272" s="27"/>
    </row>
    <row r="273" spans="1:11" x14ac:dyDescent="0.2">
      <c r="A273" s="46" t="s">
        <v>272</v>
      </c>
      <c r="B273" s="410">
        <v>0</v>
      </c>
      <c r="C273" s="411"/>
      <c r="D273" s="411"/>
      <c r="E273" s="411"/>
      <c r="F273" s="422"/>
      <c r="G273" s="423"/>
      <c r="H273" s="26"/>
      <c r="I273" s="27"/>
      <c r="J273" s="26"/>
      <c r="K273" s="27"/>
    </row>
    <row r="274" spans="1:11" x14ac:dyDescent="0.2">
      <c r="A274" s="46" t="s">
        <v>271</v>
      </c>
      <c r="B274" s="394"/>
      <c r="C274" s="395"/>
      <c r="D274" s="395"/>
      <c r="E274" s="395"/>
      <c r="F274" s="38"/>
      <c r="G274" s="228"/>
      <c r="H274" s="26"/>
      <c r="I274" s="27"/>
      <c r="J274" s="26"/>
      <c r="K274" s="27"/>
    </row>
    <row r="275" spans="1:11" x14ac:dyDescent="0.2">
      <c r="A275" s="156" t="s">
        <v>129</v>
      </c>
      <c r="B275" s="394" t="s">
        <v>67</v>
      </c>
      <c r="C275" s="395"/>
      <c r="D275" s="395"/>
      <c r="E275" s="395"/>
      <c r="F275" s="422"/>
      <c r="G275" s="423"/>
      <c r="H275" s="428"/>
      <c r="I275" s="429"/>
      <c r="J275" s="428"/>
      <c r="K275" s="429"/>
    </row>
    <row r="276" spans="1:11" x14ac:dyDescent="0.2">
      <c r="A276" s="156" t="s">
        <v>130</v>
      </c>
      <c r="B276" s="394" t="s">
        <v>67</v>
      </c>
      <c r="C276" s="395"/>
      <c r="D276" s="395"/>
      <c r="E276" s="395"/>
      <c r="F276" s="422"/>
      <c r="G276" s="423"/>
      <c r="H276" s="428"/>
      <c r="I276" s="429"/>
      <c r="J276" s="428"/>
      <c r="K276" s="429"/>
    </row>
    <row r="277" spans="1:11" x14ac:dyDescent="0.2">
      <c r="A277" s="156" t="s">
        <v>131</v>
      </c>
      <c r="B277" s="394" t="s">
        <v>68</v>
      </c>
      <c r="C277" s="395"/>
      <c r="D277" s="395"/>
      <c r="E277" s="395"/>
      <c r="F277" s="422"/>
      <c r="G277" s="423"/>
      <c r="H277" s="428"/>
      <c r="I277" s="429"/>
      <c r="J277" s="428"/>
      <c r="K277" s="429"/>
    </row>
    <row r="278" spans="1:11" x14ac:dyDescent="0.2">
      <c r="A278" s="156" t="s">
        <v>132</v>
      </c>
      <c r="B278" s="394" t="s">
        <v>68</v>
      </c>
      <c r="C278" s="395"/>
      <c r="D278" s="395"/>
      <c r="E278" s="395"/>
      <c r="F278" s="422"/>
      <c r="G278" s="423"/>
      <c r="H278" s="428"/>
      <c r="I278" s="429"/>
      <c r="J278" s="428"/>
      <c r="K278" s="429"/>
    </row>
    <row r="279" spans="1:11" x14ac:dyDescent="0.2">
      <c r="A279" s="156" t="s">
        <v>133</v>
      </c>
      <c r="B279" s="394" t="s">
        <v>68</v>
      </c>
      <c r="C279" s="395"/>
      <c r="D279" s="395"/>
      <c r="E279" s="395"/>
      <c r="F279" s="422"/>
      <c r="G279" s="423"/>
      <c r="H279" s="428"/>
      <c r="I279" s="429"/>
      <c r="J279" s="428"/>
      <c r="K279" s="429"/>
    </row>
    <row r="280" spans="1:11" x14ac:dyDescent="0.2">
      <c r="A280" s="157" t="s">
        <v>134</v>
      </c>
      <c r="B280" s="396" t="s">
        <v>68</v>
      </c>
      <c r="C280" s="397"/>
      <c r="D280" s="397"/>
      <c r="E280" s="397"/>
      <c r="F280" s="422"/>
      <c r="G280" s="423"/>
      <c r="H280" s="428"/>
      <c r="I280" s="429"/>
      <c r="J280" s="428"/>
      <c r="K280" s="429"/>
    </row>
    <row r="281" spans="1:11" ht="61.5" customHeight="1" x14ac:dyDescent="0.2">
      <c r="A281" s="115" t="s">
        <v>33</v>
      </c>
      <c r="B281" s="408"/>
      <c r="C281" s="409"/>
      <c r="D281" s="409"/>
      <c r="E281" s="409"/>
      <c r="F281" s="38"/>
      <c r="G281" s="228"/>
      <c r="H281" s="26"/>
      <c r="I281" s="27"/>
      <c r="J281" s="428"/>
      <c r="K281" s="429"/>
    </row>
    <row r="282" spans="1:11" x14ac:dyDescent="0.2">
      <c r="A282" s="42" t="s">
        <v>147</v>
      </c>
      <c r="B282" s="398"/>
      <c r="C282" s="399"/>
      <c r="D282" s="399"/>
      <c r="E282" s="399"/>
      <c r="F282" s="38"/>
      <c r="G282" s="228"/>
      <c r="H282" s="26"/>
      <c r="I282" s="27"/>
      <c r="J282" s="26"/>
      <c r="K282" s="27"/>
    </row>
    <row r="283" spans="1:11" x14ac:dyDescent="0.2">
      <c r="A283" s="40" t="s">
        <v>241</v>
      </c>
      <c r="B283" s="398"/>
      <c r="C283" s="399"/>
      <c r="D283" s="399"/>
      <c r="E283" s="399"/>
      <c r="F283" s="38"/>
      <c r="G283" s="228"/>
      <c r="H283" s="26"/>
      <c r="I283" s="27"/>
      <c r="J283" s="26"/>
      <c r="K283" s="27"/>
    </row>
    <row r="284" spans="1:11" x14ac:dyDescent="0.2">
      <c r="A284" s="151" t="s">
        <v>129</v>
      </c>
      <c r="B284" s="394" t="s">
        <v>67</v>
      </c>
      <c r="C284" s="395"/>
      <c r="D284" s="395"/>
      <c r="E284" s="395"/>
      <c r="F284" s="422"/>
      <c r="G284" s="423"/>
      <c r="H284" s="428"/>
      <c r="I284" s="429"/>
      <c r="J284" s="428"/>
      <c r="K284" s="429"/>
    </row>
    <row r="285" spans="1:11" x14ac:dyDescent="0.2">
      <c r="A285" s="151" t="s">
        <v>130</v>
      </c>
      <c r="B285" s="394" t="s">
        <v>68</v>
      </c>
      <c r="C285" s="395"/>
      <c r="D285" s="395"/>
      <c r="E285" s="395"/>
      <c r="F285" s="422"/>
      <c r="G285" s="423"/>
      <c r="H285" s="428"/>
      <c r="I285" s="429"/>
      <c r="J285" s="428"/>
      <c r="K285" s="429"/>
    </row>
    <row r="286" spans="1:11" x14ac:dyDescent="0.2">
      <c r="A286" s="151" t="s">
        <v>131</v>
      </c>
      <c r="B286" s="394" t="s">
        <v>68</v>
      </c>
      <c r="C286" s="395"/>
      <c r="D286" s="395"/>
      <c r="E286" s="395"/>
      <c r="F286" s="422"/>
      <c r="G286" s="423"/>
      <c r="H286" s="428"/>
      <c r="I286" s="429"/>
      <c r="J286" s="428"/>
      <c r="K286" s="429"/>
    </row>
    <row r="287" spans="1:11" x14ac:dyDescent="0.2">
      <c r="A287" s="151" t="s">
        <v>132</v>
      </c>
      <c r="B287" s="394" t="s">
        <v>68</v>
      </c>
      <c r="C287" s="395"/>
      <c r="D287" s="395"/>
      <c r="E287" s="395"/>
      <c r="F287" s="422"/>
      <c r="G287" s="423"/>
      <c r="H287" s="428"/>
      <c r="I287" s="429"/>
      <c r="J287" s="428"/>
      <c r="K287" s="429"/>
    </row>
    <row r="288" spans="1:11" x14ac:dyDescent="0.2">
      <c r="A288" s="151" t="s">
        <v>133</v>
      </c>
      <c r="B288" s="394" t="s">
        <v>68</v>
      </c>
      <c r="C288" s="395"/>
      <c r="D288" s="395"/>
      <c r="E288" s="395"/>
      <c r="F288" s="422"/>
      <c r="G288" s="423"/>
      <c r="H288" s="428"/>
      <c r="I288" s="429"/>
      <c r="J288" s="428"/>
      <c r="K288" s="429"/>
    </row>
    <row r="289" spans="1:11" x14ac:dyDescent="0.2">
      <c r="A289" s="151" t="s">
        <v>134</v>
      </c>
      <c r="B289" s="394" t="s">
        <v>68</v>
      </c>
      <c r="C289" s="395"/>
      <c r="D289" s="395"/>
      <c r="E289" s="395"/>
      <c r="F289" s="422"/>
      <c r="G289" s="423"/>
      <c r="H289" s="428"/>
      <c r="I289" s="429"/>
      <c r="J289" s="428"/>
      <c r="K289" s="429"/>
    </row>
    <row r="290" spans="1:11" x14ac:dyDescent="0.2">
      <c r="A290" s="42" t="s">
        <v>157</v>
      </c>
      <c r="B290" s="394"/>
      <c r="C290" s="395"/>
      <c r="D290" s="395"/>
      <c r="E290" s="395"/>
      <c r="F290" s="38"/>
      <c r="G290" s="228"/>
      <c r="H290" s="26"/>
      <c r="I290" s="27"/>
      <c r="J290" s="26"/>
      <c r="K290" s="27"/>
    </row>
    <row r="291" spans="1:11" x14ac:dyDescent="0.2">
      <c r="A291" s="40" t="s">
        <v>241</v>
      </c>
      <c r="B291" s="394"/>
      <c r="C291" s="395"/>
      <c r="D291" s="395"/>
      <c r="E291" s="395"/>
      <c r="F291" s="38"/>
      <c r="G291" s="228"/>
      <c r="H291" s="26"/>
      <c r="I291" s="27"/>
      <c r="J291" s="26"/>
      <c r="K291" s="27"/>
    </row>
    <row r="292" spans="1:11" ht="65.25" customHeight="1" x14ac:dyDescent="0.2">
      <c r="A292" s="151" t="s">
        <v>129</v>
      </c>
      <c r="B292" s="394" t="s">
        <v>67</v>
      </c>
      <c r="C292" s="395"/>
      <c r="D292" s="395"/>
      <c r="E292" s="395"/>
      <c r="F292" s="422"/>
      <c r="G292" s="423"/>
      <c r="H292" s="26"/>
      <c r="I292" s="27"/>
      <c r="J292" s="26"/>
      <c r="K292" s="27"/>
    </row>
    <row r="293" spans="1:11" x14ac:dyDescent="0.2">
      <c r="A293" s="151" t="s">
        <v>130</v>
      </c>
      <c r="B293" s="394" t="s">
        <v>68</v>
      </c>
      <c r="C293" s="395"/>
      <c r="D293" s="395"/>
      <c r="E293" s="395"/>
      <c r="F293" s="422"/>
      <c r="G293" s="423"/>
      <c r="H293" s="428"/>
      <c r="I293" s="429"/>
      <c r="J293" s="428"/>
      <c r="K293" s="429"/>
    </row>
    <row r="294" spans="1:11" x14ac:dyDescent="0.2">
      <c r="A294" s="151" t="s">
        <v>131</v>
      </c>
      <c r="B294" s="394" t="s">
        <v>68</v>
      </c>
      <c r="C294" s="395"/>
      <c r="D294" s="395"/>
      <c r="E294" s="395"/>
      <c r="F294" s="422"/>
      <c r="G294" s="423"/>
      <c r="H294" s="428"/>
      <c r="I294" s="429"/>
      <c r="J294" s="428"/>
      <c r="K294" s="429"/>
    </row>
    <row r="295" spans="1:11" x14ac:dyDescent="0.2">
      <c r="A295" s="151" t="s">
        <v>132</v>
      </c>
      <c r="B295" s="394" t="s">
        <v>68</v>
      </c>
      <c r="C295" s="395"/>
      <c r="D295" s="395"/>
      <c r="E295" s="395"/>
      <c r="F295" s="422"/>
      <c r="G295" s="423"/>
      <c r="H295" s="428"/>
      <c r="I295" s="429"/>
      <c r="J295" s="428"/>
      <c r="K295" s="429"/>
    </row>
    <row r="296" spans="1:11" x14ac:dyDescent="0.2">
      <c r="A296" s="151" t="s">
        <v>133</v>
      </c>
      <c r="B296" s="394" t="s">
        <v>68</v>
      </c>
      <c r="C296" s="395"/>
      <c r="D296" s="395"/>
      <c r="E296" s="395"/>
      <c r="F296" s="422"/>
      <c r="G296" s="423"/>
      <c r="H296" s="428"/>
      <c r="I296" s="429"/>
      <c r="J296" s="428"/>
      <c r="K296" s="429"/>
    </row>
    <row r="297" spans="1:11" x14ac:dyDescent="0.2">
      <c r="A297" s="158" t="s">
        <v>134</v>
      </c>
      <c r="B297" s="396" t="s">
        <v>68</v>
      </c>
      <c r="C297" s="397"/>
      <c r="D297" s="397"/>
      <c r="E297" s="397"/>
      <c r="F297" s="440"/>
      <c r="G297" s="441"/>
      <c r="H297" s="438"/>
      <c r="I297" s="439"/>
      <c r="J297" s="438"/>
      <c r="K297" s="439"/>
    </row>
  </sheetData>
  <mergeCells count="231">
    <mergeCell ref="J289:K289"/>
    <mergeCell ref="J293:K293"/>
    <mergeCell ref="J294:K294"/>
    <mergeCell ref="J295:K295"/>
    <mergeCell ref="J296:K296"/>
    <mergeCell ref="J297:K297"/>
    <mergeCell ref="H188:I188"/>
    <mergeCell ref="J281:K281"/>
    <mergeCell ref="J277:K277"/>
    <mergeCell ref="J278:K278"/>
    <mergeCell ref="J279:K279"/>
    <mergeCell ref="J280:K280"/>
    <mergeCell ref="J284:K284"/>
    <mergeCell ref="J285:K285"/>
    <mergeCell ref="J286:K286"/>
    <mergeCell ref="J287:K287"/>
    <mergeCell ref="J288:K288"/>
    <mergeCell ref="J264:K264"/>
    <mergeCell ref="J266:K266"/>
    <mergeCell ref="J267:K267"/>
    <mergeCell ref="J268:K268"/>
    <mergeCell ref="J269:K269"/>
    <mergeCell ref="J270:K270"/>
    <mergeCell ref="J271:K271"/>
    <mergeCell ref="J275:K275"/>
    <mergeCell ref="J276:K276"/>
    <mergeCell ref="J237:K237"/>
    <mergeCell ref="J239:K239"/>
    <mergeCell ref="J240:K240"/>
    <mergeCell ref="J245:K245"/>
    <mergeCell ref="J246:K246"/>
    <mergeCell ref="J247:K247"/>
    <mergeCell ref="J248:K248"/>
    <mergeCell ref="J249:K249"/>
    <mergeCell ref="J250:K250"/>
    <mergeCell ref="J207:K207"/>
    <mergeCell ref="J209:K209"/>
    <mergeCell ref="J215:K215"/>
    <mergeCell ref="J216:K216"/>
    <mergeCell ref="J220:K220"/>
    <mergeCell ref="J221:K221"/>
    <mergeCell ref="J227:K227"/>
    <mergeCell ref="J228:K228"/>
    <mergeCell ref="J234:K234"/>
    <mergeCell ref="J160:K160"/>
    <mergeCell ref="J161:K161"/>
    <mergeCell ref="J157:K157"/>
    <mergeCell ref="J162:K162"/>
    <mergeCell ref="J170:K170"/>
    <mergeCell ref="J175:K175"/>
    <mergeCell ref="J180:K180"/>
    <mergeCell ref="J181:K181"/>
    <mergeCell ref="J199:K199"/>
    <mergeCell ref="J78:K78"/>
    <mergeCell ref="J79:K79"/>
    <mergeCell ref="J81:K81"/>
    <mergeCell ref="J86:K86"/>
    <mergeCell ref="J125:K125"/>
    <mergeCell ref="J131:K131"/>
    <mergeCell ref="J137:K137"/>
    <mergeCell ref="J138:K138"/>
    <mergeCell ref="J140:K140"/>
    <mergeCell ref="H199:I199"/>
    <mergeCell ref="H207:I207"/>
    <mergeCell ref="H220:I220"/>
    <mergeCell ref="H79:I79"/>
    <mergeCell ref="H81:I81"/>
    <mergeCell ref="H125:I125"/>
    <mergeCell ref="H131:I131"/>
    <mergeCell ref="H86:I86"/>
    <mergeCell ref="H293:I293"/>
    <mergeCell ref="H240:I240"/>
    <mergeCell ref="H245:I245"/>
    <mergeCell ref="H227:I227"/>
    <mergeCell ref="H228:I228"/>
    <mergeCell ref="H239:I239"/>
    <mergeCell ref="H234:I234"/>
    <mergeCell ref="H294:I294"/>
    <mergeCell ref="H295:I295"/>
    <mergeCell ref="H296:I296"/>
    <mergeCell ref="H297:I297"/>
    <mergeCell ref="F293:G293"/>
    <mergeCell ref="F294:G294"/>
    <mergeCell ref="F295:G295"/>
    <mergeCell ref="F296:G296"/>
    <mergeCell ref="F297:G297"/>
    <mergeCell ref="F288:G288"/>
    <mergeCell ref="F289:G289"/>
    <mergeCell ref="H284:I284"/>
    <mergeCell ref="H285:I285"/>
    <mergeCell ref="H286:I286"/>
    <mergeCell ref="H287:I287"/>
    <mergeCell ref="H288:I288"/>
    <mergeCell ref="H289:I289"/>
    <mergeCell ref="H280:I280"/>
    <mergeCell ref="F284:G284"/>
    <mergeCell ref="F285:G285"/>
    <mergeCell ref="F286:G286"/>
    <mergeCell ref="F287:G287"/>
    <mergeCell ref="F278:G278"/>
    <mergeCell ref="F279:G279"/>
    <mergeCell ref="F280:G280"/>
    <mergeCell ref="H264:I264"/>
    <mergeCell ref="H266:I266"/>
    <mergeCell ref="H267:I267"/>
    <mergeCell ref="H268:I268"/>
    <mergeCell ref="H269:I269"/>
    <mergeCell ref="H270:I270"/>
    <mergeCell ref="H271:I271"/>
    <mergeCell ref="F271:G271"/>
    <mergeCell ref="H275:I275"/>
    <mergeCell ref="H276:I276"/>
    <mergeCell ref="H277:I277"/>
    <mergeCell ref="H278:I278"/>
    <mergeCell ref="H279:I279"/>
    <mergeCell ref="F270:G270"/>
    <mergeCell ref="F273:G273"/>
    <mergeCell ref="F275:G275"/>
    <mergeCell ref="F276:G276"/>
    <mergeCell ref="F277:G277"/>
    <mergeCell ref="F264:G264"/>
    <mergeCell ref="F266:G266"/>
    <mergeCell ref="F267:G267"/>
    <mergeCell ref="F268:G268"/>
    <mergeCell ref="F269:G269"/>
    <mergeCell ref="F249:G249"/>
    <mergeCell ref="F250:G250"/>
    <mergeCell ref="H246:I246"/>
    <mergeCell ref="H247:I247"/>
    <mergeCell ref="H248:I248"/>
    <mergeCell ref="H249:I249"/>
    <mergeCell ref="H250:I250"/>
    <mergeCell ref="F246:G246"/>
    <mergeCell ref="F247:G247"/>
    <mergeCell ref="F248:G248"/>
    <mergeCell ref="F262:G262"/>
    <mergeCell ref="F254:G254"/>
    <mergeCell ref="F234:G234"/>
    <mergeCell ref="F236:G236"/>
    <mergeCell ref="F237:G237"/>
    <mergeCell ref="H237:I237"/>
    <mergeCell ref="H215:I215"/>
    <mergeCell ref="F216:G216"/>
    <mergeCell ref="H216:I216"/>
    <mergeCell ref="H221:I221"/>
    <mergeCell ref="F245:G245"/>
    <mergeCell ref="F220:G220"/>
    <mergeCell ref="F292:G292"/>
    <mergeCell ref="H78:I78"/>
    <mergeCell ref="H137:I137"/>
    <mergeCell ref="H138:I138"/>
    <mergeCell ref="H140:I140"/>
    <mergeCell ref="H160:I160"/>
    <mergeCell ref="H161:I161"/>
    <mergeCell ref="H157:I157"/>
    <mergeCell ref="H162:I162"/>
    <mergeCell ref="H170:I170"/>
    <mergeCell ref="H175:I175"/>
    <mergeCell ref="H180:I180"/>
    <mergeCell ref="F181:G181"/>
    <mergeCell ref="H181:I181"/>
    <mergeCell ref="H209:I209"/>
    <mergeCell ref="F221:G221"/>
    <mergeCell ref="F227:G227"/>
    <mergeCell ref="F228:G228"/>
    <mergeCell ref="F239:G239"/>
    <mergeCell ref="F240:G240"/>
    <mergeCell ref="F176:G176"/>
    <mergeCell ref="F166:G166"/>
    <mergeCell ref="F209:G209"/>
    <mergeCell ref="F215:G215"/>
    <mergeCell ref="F161:G161"/>
    <mergeCell ref="F157:G157"/>
    <mergeCell ref="F162:G162"/>
    <mergeCell ref="F170:G170"/>
    <mergeCell ref="F175:G175"/>
    <mergeCell ref="F78:G78"/>
    <mergeCell ref="F137:G137"/>
    <mergeCell ref="F138:G138"/>
    <mergeCell ref="F140:G140"/>
    <mergeCell ref="F160:G160"/>
    <mergeCell ref="F79:G79"/>
    <mergeCell ref="F164:G164"/>
    <mergeCell ref="F141:G141"/>
    <mergeCell ref="B139:E139"/>
    <mergeCell ref="B140:E140"/>
    <mergeCell ref="B297:E297"/>
    <mergeCell ref="B292:E292"/>
    <mergeCell ref="B293:E293"/>
    <mergeCell ref="B294:E294"/>
    <mergeCell ref="B295:E295"/>
    <mergeCell ref="B296:E296"/>
    <mergeCell ref="B282:E282"/>
    <mergeCell ref="B283:E283"/>
    <mergeCell ref="B290:E290"/>
    <mergeCell ref="B291:E291"/>
    <mergeCell ref="B141:E141"/>
    <mergeCell ref="B142:E142"/>
    <mergeCell ref="B276:E276"/>
    <mergeCell ref="B277:E277"/>
    <mergeCell ref="B278:E278"/>
    <mergeCell ref="B266:E266"/>
    <mergeCell ref="B267:E267"/>
    <mergeCell ref="B268:E268"/>
    <mergeCell ref="B269:E269"/>
    <mergeCell ref="B270:E270"/>
    <mergeCell ref="B272:E272"/>
    <mergeCell ref="B93:E93"/>
    <mergeCell ref="B94:E94"/>
    <mergeCell ref="D30:E30"/>
    <mergeCell ref="B285:E285"/>
    <mergeCell ref="B286:E286"/>
    <mergeCell ref="B287:E287"/>
    <mergeCell ref="B288:E288"/>
    <mergeCell ref="B289:E289"/>
    <mergeCell ref="B280:E280"/>
    <mergeCell ref="B265:E265"/>
    <mergeCell ref="B274:E274"/>
    <mergeCell ref="B284:E284"/>
    <mergeCell ref="B271:E271"/>
    <mergeCell ref="B275:E275"/>
    <mergeCell ref="B135:E135"/>
    <mergeCell ref="B136:E136"/>
    <mergeCell ref="B262:E262"/>
    <mergeCell ref="B263:E263"/>
    <mergeCell ref="B281:E281"/>
    <mergeCell ref="B264:E264"/>
    <mergeCell ref="B273:E273"/>
    <mergeCell ref="B279:E279"/>
    <mergeCell ref="B137:E137"/>
    <mergeCell ref="B138:E138"/>
  </mergeCells>
  <conditionalFormatting sqref="C86">
    <cfRule type="cellIs" dxfId="6" priority="7" operator="notEqual">
      <formula>$C$85</formula>
    </cfRule>
  </conditionalFormatting>
  <conditionalFormatting sqref="B251:E251">
    <cfRule type="cellIs" dxfId="5" priority="6" operator="lessThan">
      <formula>0</formula>
    </cfRule>
  </conditionalFormatting>
  <conditionalFormatting sqref="E86">
    <cfRule type="cellIs" dxfId="4" priority="5" operator="notEqual">
      <formula>$E$85</formula>
    </cfRule>
  </conditionalFormatting>
  <conditionalFormatting sqref="B86">
    <cfRule type="cellIs" dxfId="3" priority="4" operator="notEqual">
      <formula>$B$85</formula>
    </cfRule>
  </conditionalFormatting>
  <conditionalFormatting sqref="D86">
    <cfRule type="cellIs" dxfId="2" priority="3" operator="notEqual">
      <formula>$D$85</formula>
    </cfRule>
  </conditionalFormatting>
  <conditionalFormatting sqref="L4:M6">
    <cfRule type="expression" dxfId="1" priority="2">
      <formula>$M$3="Annual Inputs"</formula>
    </cfRule>
  </conditionalFormatting>
  <conditionalFormatting sqref="L10:M48">
    <cfRule type="expression" dxfId="0" priority="1">
      <formula>$M$3="Initial Year Input"</formula>
    </cfRule>
  </conditionalFormatting>
  <dataValidations count="9">
    <dataValidation type="list" allowBlank="1" showInputMessage="1" showErrorMessage="1" sqref="B266:B271 M72:M75 I72:J75 I55:L58 D34:E35 D38:E39 I60:L63 I65:L68 E144 C144 B292:B297 B275:B280 B284:B289" xr:uid="{00000000-0002-0000-0100-000000000000}">
      <formula1>"Yes,No"</formula1>
    </dataValidation>
    <dataValidation type="list" allowBlank="1" showInputMessage="1" showErrorMessage="1" sqref="B216" xr:uid="{00000000-0002-0000-0100-000001000000}">
      <formula1>"1,2,3,4,5,6,7,8,9,10"</formula1>
    </dataValidation>
    <dataValidation type="list" allowBlank="1" showInputMessage="1" showErrorMessage="1" sqref="B215" xr:uid="{00000000-0002-0000-0100-000002000000}">
      <formula1>"Time, Full Capital Recovery"</formula1>
    </dataValidation>
    <dataValidation type="list" allowBlank="1" showInputMessage="1" showErrorMessage="1" sqref="D237 C162 E162 B166:E166" xr:uid="{00000000-0002-0000-0100-000003000000}">
      <formula1>"0,1,2,3,4,5,6,7,8,9,10,11,12"</formula1>
    </dataValidation>
    <dataValidation type="whole" allowBlank="1" showInputMessage="1" showErrorMessage="1" sqref="B93:E94" xr:uid="{00000000-0002-0000-0100-000004000000}">
      <formula1>1</formula1>
      <formula2>40</formula2>
    </dataValidation>
    <dataValidation type="list" allowBlank="1" showInputMessage="1" showErrorMessage="1" sqref="C145 E145" xr:uid="{00000000-0002-0000-0100-000005000000}">
      <formula1>"Constant DSCR, Mortgage Style"</formula1>
    </dataValidation>
    <dataValidation type="list" allowBlank="1" showInputMessage="1" showErrorMessage="1" sqref="K70:L70" xr:uid="{00000000-0002-0000-0100-000006000000}">
      <formula1>"5-Yr MACRS,Proportionally"</formula1>
    </dataValidation>
    <dataValidation type="list" allowBlank="1" showInputMessage="1" showErrorMessage="1" sqref="J28:J29" xr:uid="{00000000-0002-0000-0100-000007000000}">
      <formula1>$A$245:$A$250</formula1>
    </dataValidation>
    <dataValidation type="list" allowBlank="1" showInputMessage="1" showErrorMessage="1" sqref="M3" xr:uid="{00000000-0002-0000-0100-000008000000}">
      <formula1>"Initial Year Input, Annual Inputs"</formula1>
    </dataValidation>
  </dataValidations>
  <pageMargins left="0.5" right="0.5" top="0.5" bottom="0.75" header="0.3" footer="0.3"/>
  <pageSetup scale="73" pageOrder="overThenDown" orientation="landscape" horizontalDpi="4294967294" verticalDpi="0" r:id="rId1"/>
  <rowBreaks count="1" manualBreakCount="1">
    <brk id="49" max="14" man="1"/>
  </rowBreaks>
  <colBreaks count="1" manualBreakCount="1">
    <brk id="7" min="76" max="27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3" r:id="rId4" name="Button 9">
              <controlPr defaultSize="0" print="0" autoFill="0" autoPict="0" macro="[0]!LPFPPAPrice">
                <anchor moveWithCells="1" sizeWithCells="1">
                  <from>
                    <xdr:col>2</xdr:col>
                    <xdr:colOff>9525</xdr:colOff>
                    <xdr:row>78</xdr:row>
                    <xdr:rowOff>0</xdr:rowOff>
                  </from>
                  <to>
                    <xdr:col>2</xdr:col>
                    <xdr:colOff>981075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" name="Button 18">
              <controlPr defaultSize="0" print="0" autoFill="0" autoPict="0" macro="[0]!Module1.SOPPAPrice">
                <anchor moveWithCells="1" sizeWithCells="1">
                  <from>
                    <xdr:col>4</xdr:col>
                    <xdr:colOff>285750</xdr:colOff>
                    <xdr:row>78</xdr:row>
                    <xdr:rowOff>0</xdr:rowOff>
                  </from>
                  <to>
                    <xdr:col>4</xdr:col>
                    <xdr:colOff>1257300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6" name="Button 21">
              <controlPr defaultSize="0" print="0" autoFill="0" autoPict="0" macro="[0]!Module2.AEPFPPAPrice">
                <anchor moveWithCells="1" sizeWithCells="1">
                  <from>
                    <xdr:col>1</xdr:col>
                    <xdr:colOff>19050</xdr:colOff>
                    <xdr:row>78</xdr:row>
                    <xdr:rowOff>9525</xdr:rowOff>
                  </from>
                  <to>
                    <xdr:col>1</xdr:col>
                    <xdr:colOff>990600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7" name="Button 28">
              <controlPr defaultSize="0" print="0" autoFill="0" autoPict="0" macro="[0]!Module3.SLPPAPrice">
                <anchor moveWithCells="1" sizeWithCells="1">
                  <from>
                    <xdr:col>3</xdr:col>
                    <xdr:colOff>161925</xdr:colOff>
                    <xdr:row>78</xdr:row>
                    <xdr:rowOff>0</xdr:rowOff>
                  </from>
                  <to>
                    <xdr:col>3</xdr:col>
                    <xdr:colOff>1133475</xdr:colOff>
                    <xdr:row>79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P705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39.42578125" style="20" customWidth="1"/>
    <col min="2" max="2" width="14.85546875" style="20" customWidth="1"/>
    <col min="3" max="3" width="12.5703125" style="20" customWidth="1"/>
    <col min="4" max="4" width="12.140625" style="20" bestFit="1" customWidth="1"/>
    <col min="5" max="10" width="12.7109375" style="20" customWidth="1"/>
    <col min="11" max="11" width="13.7109375" style="20" customWidth="1"/>
    <col min="12" max="12" width="12.42578125" style="20" customWidth="1"/>
    <col min="13" max="31" width="11.5703125" style="20" customWidth="1"/>
    <col min="32" max="32" width="11.42578125" style="20" customWidth="1"/>
    <col min="33" max="42" width="11.5703125" style="20" customWidth="1"/>
    <col min="43" max="16384" width="9.140625" style="20"/>
  </cols>
  <sheetData>
    <row r="1" spans="1:42" ht="21" x14ac:dyDescent="0.35">
      <c r="A1" s="159" t="s">
        <v>25</v>
      </c>
    </row>
    <row r="2" spans="1:42" x14ac:dyDescent="0.2">
      <c r="A2" s="20" t="s">
        <v>31</v>
      </c>
      <c r="B2" s="160">
        <v>0</v>
      </c>
      <c r="C2" s="160">
        <f>B2+1</f>
        <v>1</v>
      </c>
      <c r="D2" s="160">
        <f t="shared" ref="D2:AP2" si="0">C2+1</f>
        <v>2</v>
      </c>
      <c r="E2" s="160">
        <f t="shared" si="0"/>
        <v>3</v>
      </c>
      <c r="F2" s="160">
        <f t="shared" si="0"/>
        <v>4</v>
      </c>
      <c r="G2" s="160">
        <f t="shared" si="0"/>
        <v>5</v>
      </c>
      <c r="H2" s="160">
        <f t="shared" si="0"/>
        <v>6</v>
      </c>
      <c r="I2" s="160">
        <f t="shared" si="0"/>
        <v>7</v>
      </c>
      <c r="J2" s="160">
        <f t="shared" si="0"/>
        <v>8</v>
      </c>
      <c r="K2" s="160">
        <f t="shared" si="0"/>
        <v>9</v>
      </c>
      <c r="L2" s="160">
        <f t="shared" si="0"/>
        <v>10</v>
      </c>
      <c r="M2" s="160">
        <f t="shared" si="0"/>
        <v>11</v>
      </c>
      <c r="N2" s="160">
        <f t="shared" si="0"/>
        <v>12</v>
      </c>
      <c r="O2" s="160">
        <f t="shared" si="0"/>
        <v>13</v>
      </c>
      <c r="P2" s="160">
        <f t="shared" si="0"/>
        <v>14</v>
      </c>
      <c r="Q2" s="160">
        <f t="shared" si="0"/>
        <v>15</v>
      </c>
      <c r="R2" s="160">
        <f t="shared" si="0"/>
        <v>16</v>
      </c>
      <c r="S2" s="160">
        <f t="shared" si="0"/>
        <v>17</v>
      </c>
      <c r="T2" s="160">
        <f t="shared" si="0"/>
        <v>18</v>
      </c>
      <c r="U2" s="160">
        <f t="shared" si="0"/>
        <v>19</v>
      </c>
      <c r="V2" s="160">
        <f t="shared" si="0"/>
        <v>20</v>
      </c>
      <c r="W2" s="160">
        <f t="shared" si="0"/>
        <v>21</v>
      </c>
      <c r="X2" s="160">
        <f t="shared" si="0"/>
        <v>22</v>
      </c>
      <c r="Y2" s="160">
        <f t="shared" si="0"/>
        <v>23</v>
      </c>
      <c r="Z2" s="160">
        <f t="shared" si="0"/>
        <v>24</v>
      </c>
      <c r="AA2" s="160">
        <f t="shared" si="0"/>
        <v>25</v>
      </c>
      <c r="AB2" s="160">
        <f t="shared" si="0"/>
        <v>26</v>
      </c>
      <c r="AC2" s="160">
        <f t="shared" si="0"/>
        <v>27</v>
      </c>
      <c r="AD2" s="160">
        <f t="shared" si="0"/>
        <v>28</v>
      </c>
      <c r="AE2" s="160">
        <f t="shared" si="0"/>
        <v>29</v>
      </c>
      <c r="AF2" s="160">
        <f>AE2+1</f>
        <v>30</v>
      </c>
      <c r="AG2" s="160">
        <f t="shared" si="0"/>
        <v>31</v>
      </c>
      <c r="AH2" s="160">
        <f t="shared" si="0"/>
        <v>32</v>
      </c>
      <c r="AI2" s="160">
        <f t="shared" si="0"/>
        <v>33</v>
      </c>
      <c r="AJ2" s="160">
        <f t="shared" si="0"/>
        <v>34</v>
      </c>
      <c r="AK2" s="160">
        <f t="shared" si="0"/>
        <v>35</v>
      </c>
      <c r="AL2" s="160">
        <f t="shared" si="0"/>
        <v>36</v>
      </c>
      <c r="AM2" s="160">
        <f>AL2+1</f>
        <v>37</v>
      </c>
      <c r="AN2" s="160">
        <f t="shared" si="0"/>
        <v>38</v>
      </c>
      <c r="AO2" s="160">
        <f t="shared" si="0"/>
        <v>39</v>
      </c>
      <c r="AP2" s="160">
        <f t="shared" si="0"/>
        <v>40</v>
      </c>
    </row>
    <row r="3" spans="1:42" x14ac:dyDescent="0.2"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</row>
    <row r="4" spans="1:42" x14ac:dyDescent="0.2">
      <c r="A4" s="162" t="s">
        <v>46</v>
      </c>
    </row>
    <row r="5" spans="1:42" x14ac:dyDescent="0.2">
      <c r="A5" s="163" t="s">
        <v>47</v>
      </c>
      <c r="C5" s="135">
        <f>IF(C$2&lt;=AnalysisPeriod,IF('Inputs &amp; Results'!$M$3="Annual Inputs",LOOKUP(C$2,'Inputs &amp; Results'!$L$9:$L$48,'Inputs &amp; Results'!$M$9:$M$48),'Inputs &amp; Results'!$M$5*CapacityAC*8760*(1-'Inputs &amp; Results'!$M$6)^(C$2-1)),0)</f>
        <v>16188480</v>
      </c>
      <c r="D5" s="135">
        <f>IF(D$2&lt;=AnalysisPeriod,IF('Inputs &amp; Results'!$M$3="Annual Inputs",LOOKUP(D$2,'Inputs &amp; Results'!$L$9:$L$48,'Inputs &amp; Results'!$M$9:$M$48),'Inputs &amp; Results'!$M$5*CapacityAC*8760*(1-'Inputs &amp; Results'!$M$6)^(D$2-1)),0)</f>
        <v>16107537.6</v>
      </c>
      <c r="E5" s="135">
        <f>IF(E$2&lt;=AnalysisPeriod,IF('Inputs &amp; Results'!$M$3="Annual Inputs",LOOKUP(E$2,'Inputs &amp; Results'!$L$9:$L$48,'Inputs &amp; Results'!$M$9:$M$48),'Inputs &amp; Results'!$M$5*CapacityAC*8760*(1-'Inputs &amp; Results'!$M$6)^(E$2-1)),0)</f>
        <v>16026999.912</v>
      </c>
      <c r="F5" s="135">
        <f>IF(F$2&lt;=AnalysisPeriod,IF('Inputs &amp; Results'!$M$3="Annual Inputs",LOOKUP(F$2,'Inputs &amp; Results'!$L$9:$L$48,'Inputs &amp; Results'!$M$9:$M$48),'Inputs &amp; Results'!$M$5*CapacityAC*8760*(1-'Inputs &amp; Results'!$M$6)^(F$2-1)),0)</f>
        <v>15946864.91244</v>
      </c>
      <c r="G5" s="135">
        <f>IF(G$2&lt;=AnalysisPeriod,IF('Inputs &amp; Results'!$M$3="Annual Inputs",LOOKUP(G$2,'Inputs &amp; Results'!$L$9:$L$48,'Inputs &amp; Results'!$M$9:$M$48),'Inputs &amp; Results'!$M$5*CapacityAC*8760*(1-'Inputs &amp; Results'!$M$6)^(G$2-1)),0)</f>
        <v>15867130.587877801</v>
      </c>
      <c r="H5" s="135">
        <f>IF(H$2&lt;=AnalysisPeriod,IF('Inputs &amp; Results'!$M$3="Annual Inputs",LOOKUP(H$2,'Inputs &amp; Results'!$L$9:$L$48,'Inputs &amp; Results'!$M$9:$M$48),'Inputs &amp; Results'!$M$5*CapacityAC*8760*(1-'Inputs &amp; Results'!$M$6)^(H$2-1)),0)</f>
        <v>15787794.934938412</v>
      </c>
      <c r="I5" s="135">
        <f>IF(I$2&lt;=AnalysisPeriod,IF('Inputs &amp; Results'!$M$3="Annual Inputs",LOOKUP(I$2,'Inputs &amp; Results'!$L$9:$L$48,'Inputs &amp; Results'!$M$9:$M$48),'Inputs &amp; Results'!$M$5*CapacityAC*8760*(1-'Inputs &amp; Results'!$M$6)^(I$2-1)),0)</f>
        <v>15708855.96026372</v>
      </c>
      <c r="J5" s="135">
        <f>IF(J$2&lt;=AnalysisPeriod,IF('Inputs &amp; Results'!$M$3="Annual Inputs",LOOKUP(J$2,'Inputs &amp; Results'!$L$9:$L$48,'Inputs &amp; Results'!$M$9:$M$48),'Inputs &amp; Results'!$M$5*CapacityAC*8760*(1-'Inputs &amp; Results'!$M$6)^(J$2-1)),0)</f>
        <v>15630311.680462401</v>
      </c>
      <c r="K5" s="135">
        <f>IF(K$2&lt;=AnalysisPeriod,IF('Inputs &amp; Results'!$M$3="Annual Inputs",LOOKUP(K$2,'Inputs &amp; Results'!$L$9:$L$48,'Inputs &amp; Results'!$M$9:$M$48),'Inputs &amp; Results'!$M$5*CapacityAC*8760*(1-'Inputs &amp; Results'!$M$6)^(K$2-1)),0)</f>
        <v>15552160.12206009</v>
      </c>
      <c r="L5" s="135">
        <f>IF(L$2&lt;=AnalysisPeriod,IF('Inputs &amp; Results'!$M$3="Annual Inputs",LOOKUP(L$2,'Inputs &amp; Results'!$L$9:$L$48,'Inputs &amp; Results'!$M$9:$M$48),'Inputs &amp; Results'!$M$5*CapacityAC*8760*(1-'Inputs &amp; Results'!$M$6)^(L$2-1)),0)</f>
        <v>15474399.321449788</v>
      </c>
      <c r="M5" s="135">
        <f>IF(M$2&lt;=AnalysisPeriod,IF('Inputs &amp; Results'!$M$3="Annual Inputs",LOOKUP(M$2,'Inputs &amp; Results'!$L$9:$L$48,'Inputs &amp; Results'!$M$9:$M$48),'Inputs &amp; Results'!$M$5*CapacityAC*8760*(1-'Inputs &amp; Results'!$M$6)^(M$2-1)),0)</f>
        <v>15397027.324842541</v>
      </c>
      <c r="N5" s="135">
        <f>IF(N$2&lt;=AnalysisPeriod,IF('Inputs &amp; Results'!$M$3="Annual Inputs",LOOKUP(N$2,'Inputs &amp; Results'!$L$9:$L$48,'Inputs &amp; Results'!$M$9:$M$48),'Inputs &amp; Results'!$M$5*CapacityAC*8760*(1-'Inputs &amp; Results'!$M$6)^(N$2-1)),0)</f>
        <v>15320042.188218327</v>
      </c>
      <c r="O5" s="135">
        <f>IF(O$2&lt;=AnalysisPeriod,IF('Inputs &amp; Results'!$M$3="Annual Inputs",LOOKUP(O$2,'Inputs &amp; Results'!$L$9:$L$48,'Inputs &amp; Results'!$M$9:$M$48),'Inputs &amp; Results'!$M$5*CapacityAC*8760*(1-'Inputs &amp; Results'!$M$6)^(O$2-1)),0)</f>
        <v>15243441.977277236</v>
      </c>
      <c r="P5" s="135">
        <f>IF(P$2&lt;=AnalysisPeriod,IF('Inputs &amp; Results'!$M$3="Annual Inputs",LOOKUP(P$2,'Inputs &amp; Results'!$L$9:$L$48,'Inputs &amp; Results'!$M$9:$M$48),'Inputs &amp; Results'!$M$5*CapacityAC*8760*(1-'Inputs &amp; Results'!$M$6)^(P$2-1)),0)</f>
        <v>15167224.767390851</v>
      </c>
      <c r="Q5" s="135">
        <f>IF(Q$2&lt;=AnalysisPeriod,IF('Inputs &amp; Results'!$M$3="Annual Inputs",LOOKUP(Q$2,'Inputs &amp; Results'!$L$9:$L$48,'Inputs &amp; Results'!$M$9:$M$48),'Inputs &amp; Results'!$M$5*CapacityAC*8760*(1-'Inputs &amp; Results'!$M$6)^(Q$2-1)),0)</f>
        <v>15091388.643553898</v>
      </c>
      <c r="R5" s="135">
        <f>IF(R$2&lt;=AnalysisPeriod,IF('Inputs &amp; Results'!$M$3="Annual Inputs",LOOKUP(R$2,'Inputs &amp; Results'!$L$9:$L$48,'Inputs &amp; Results'!$M$9:$M$48),'Inputs &amp; Results'!$M$5*CapacityAC*8760*(1-'Inputs &amp; Results'!$M$6)^(R$2-1)),0)</f>
        <v>15015931.700336127</v>
      </c>
      <c r="S5" s="135">
        <f>IF(S$2&lt;=AnalysisPeriod,IF('Inputs &amp; Results'!$M$3="Annual Inputs",LOOKUP(S$2,'Inputs &amp; Results'!$L$9:$L$48,'Inputs &amp; Results'!$M$9:$M$48),'Inputs &amp; Results'!$M$5*CapacityAC*8760*(1-'Inputs &amp; Results'!$M$6)^(S$2-1)),0)</f>
        <v>14940852.041834446</v>
      </c>
      <c r="T5" s="135">
        <f>IF(T$2&lt;=AnalysisPeriod,IF('Inputs &amp; Results'!$M$3="Annual Inputs",LOOKUP(T$2,'Inputs &amp; Results'!$L$9:$L$48,'Inputs &amp; Results'!$M$9:$M$48),'Inputs &amp; Results'!$M$5*CapacityAC*8760*(1-'Inputs &amp; Results'!$M$6)^(T$2-1)),0)</f>
        <v>14866147.781625275</v>
      </c>
      <c r="U5" s="135">
        <f>IF(U$2&lt;=AnalysisPeriod,IF('Inputs &amp; Results'!$M$3="Annual Inputs",LOOKUP(U$2,'Inputs &amp; Results'!$L$9:$L$48,'Inputs &amp; Results'!$M$9:$M$48),'Inputs &amp; Results'!$M$5*CapacityAC*8760*(1-'Inputs &amp; Results'!$M$6)^(U$2-1)),0)</f>
        <v>14791817.042717148</v>
      </c>
      <c r="V5" s="135">
        <f>IF(V$2&lt;=AnalysisPeriod,IF('Inputs &amp; Results'!$M$3="Annual Inputs",LOOKUP(V$2,'Inputs &amp; Results'!$L$9:$L$48,'Inputs &amp; Results'!$M$9:$M$48),'Inputs &amp; Results'!$M$5*CapacityAC*8760*(1-'Inputs &amp; Results'!$M$6)^(V$2-1)),0)</f>
        <v>14717857.957503561</v>
      </c>
      <c r="W5" s="135">
        <f>IF(W$2&lt;=AnalysisPeriod,IF('Inputs &amp; Results'!$M$3="Annual Inputs",LOOKUP(W$2,'Inputs &amp; Results'!$L$9:$L$48,'Inputs &amp; Results'!$M$9:$M$48),'Inputs &amp; Results'!$M$5*CapacityAC*8760*(1-'Inputs &amp; Results'!$M$6)^(W$2-1)),0)</f>
        <v>14644268.667716045</v>
      </c>
      <c r="X5" s="135">
        <f>IF(X$2&lt;=AnalysisPeriod,IF('Inputs &amp; Results'!$M$3="Annual Inputs",LOOKUP(X$2,'Inputs &amp; Results'!$L$9:$L$48,'Inputs &amp; Results'!$M$9:$M$48),'Inputs &amp; Results'!$M$5*CapacityAC*8760*(1-'Inputs &amp; Results'!$M$6)^(X$2-1)),0)</f>
        <v>14571047.324377464</v>
      </c>
      <c r="Y5" s="135">
        <f>IF(Y$2&lt;=AnalysisPeriod,IF('Inputs &amp; Results'!$M$3="Annual Inputs",LOOKUP(Y$2,'Inputs &amp; Results'!$L$9:$L$48,'Inputs &amp; Results'!$M$9:$M$48),'Inputs &amp; Results'!$M$5*CapacityAC*8760*(1-'Inputs &amp; Results'!$M$6)^(Y$2-1)),0)</f>
        <v>14498192.087755578</v>
      </c>
      <c r="Z5" s="135">
        <f>IF(Z$2&lt;=AnalysisPeriod,IF('Inputs &amp; Results'!$M$3="Annual Inputs",LOOKUP(Z$2,'Inputs &amp; Results'!$L$9:$L$48,'Inputs &amp; Results'!$M$9:$M$48),'Inputs &amp; Results'!$M$5*CapacityAC*8760*(1-'Inputs &amp; Results'!$M$6)^(Z$2-1)),0)</f>
        <v>14425701.127316799</v>
      </c>
      <c r="AA5" s="135">
        <f>IF(AA$2&lt;=AnalysisPeriod,IF('Inputs &amp; Results'!$M$3="Annual Inputs",LOOKUP(AA$2,'Inputs &amp; Results'!$L$9:$L$48,'Inputs &amp; Results'!$M$9:$M$48),'Inputs &amp; Results'!$M$5*CapacityAC*8760*(1-'Inputs &amp; Results'!$M$6)^(AA$2-1)),0)</f>
        <v>14353572.621680215</v>
      </c>
      <c r="AB5" s="135">
        <f>IF(AB$2&lt;=AnalysisPeriod,IF('Inputs &amp; Results'!$M$3="Annual Inputs",LOOKUP(AB$2,'Inputs &amp; Results'!$L$9:$L$48,'Inputs &amp; Results'!$M$9:$M$48),'Inputs &amp; Results'!$M$5*CapacityAC*8760*(1-'Inputs &amp; Results'!$M$6)^(AB$2-1)),0)</f>
        <v>14281804.758571815</v>
      </c>
      <c r="AC5" s="135">
        <f>IF(AC$2&lt;=AnalysisPeriod,IF('Inputs &amp; Results'!$M$3="Annual Inputs",LOOKUP(AC$2,'Inputs &amp; Results'!$L$9:$L$48,'Inputs &amp; Results'!$M$9:$M$48),'Inputs &amp; Results'!$M$5*CapacityAC*8760*(1-'Inputs &amp; Results'!$M$6)^(AC$2-1)),0)</f>
        <v>14210395.734778956</v>
      </c>
      <c r="AD5" s="135">
        <f>IF(AD$2&lt;=AnalysisPeriod,IF('Inputs &amp; Results'!$M$3="Annual Inputs",LOOKUP(AD$2,'Inputs &amp; Results'!$L$9:$L$48,'Inputs &amp; Results'!$M$9:$M$48),'Inputs &amp; Results'!$M$5*CapacityAC*8760*(1-'Inputs &amp; Results'!$M$6)^(AD$2-1)),0)</f>
        <v>14139343.75610506</v>
      </c>
      <c r="AE5" s="135">
        <f>IF(AE$2&lt;=AnalysisPeriod,IF('Inputs &amp; Results'!$M$3="Annual Inputs",LOOKUP(AE$2,'Inputs &amp; Results'!$L$9:$L$48,'Inputs &amp; Results'!$M$9:$M$48),'Inputs &amp; Results'!$M$5*CapacityAC*8760*(1-'Inputs &amp; Results'!$M$6)^(AE$2-1)),0)</f>
        <v>14068647.037324537</v>
      </c>
      <c r="AF5" s="135">
        <f>IF(AF$2&lt;=AnalysisPeriod,IF('Inputs &amp; Results'!$M$3="Annual Inputs",LOOKUP(AF$2,'Inputs &amp; Results'!$L$9:$L$48,'Inputs &amp; Results'!$M$9:$M$48),'Inputs &amp; Results'!$M$5*CapacityAC*8760*(1-'Inputs &amp; Results'!$M$6)^(AF$2-1)),0)</f>
        <v>13998303.802137915</v>
      </c>
      <c r="AG5" s="135">
        <f>IF(AG$2&lt;=AnalysisPeriod,IF('Inputs &amp; Results'!$M$3="Annual Inputs",LOOKUP(AG$2,'Inputs &amp; Results'!$L$9:$L$48,'Inputs &amp; Results'!$M$9:$M$48),'Inputs &amp; Results'!$M$5*CapacityAC*8760*(1-'Inputs &amp; Results'!$M$6)^(AG$2-1)),0)</f>
        <v>13928312.283127224</v>
      </c>
      <c r="AH5" s="135">
        <f>IF(AH$2&lt;=AnalysisPeriod,IF('Inputs &amp; Results'!$M$3="Annual Inputs",LOOKUP(AH$2,'Inputs &amp; Results'!$L$9:$L$48,'Inputs &amp; Results'!$M$9:$M$48),'Inputs &amp; Results'!$M$5*CapacityAC*8760*(1-'Inputs &amp; Results'!$M$6)^(AH$2-1)),0)</f>
        <v>13858670.721711587</v>
      </c>
      <c r="AI5" s="135">
        <f>IF(AI$2&lt;=AnalysisPeriod,IF('Inputs &amp; Results'!$M$3="Annual Inputs",LOOKUP(AI$2,'Inputs &amp; Results'!$L$9:$L$48,'Inputs &amp; Results'!$M$9:$M$48),'Inputs &amp; Results'!$M$5*CapacityAC*8760*(1-'Inputs &amp; Results'!$M$6)^(AI$2-1)),0)</f>
        <v>13789377.368103029</v>
      </c>
      <c r="AJ5" s="135">
        <f>IF(AJ$2&lt;=AnalysisPeriod,IF('Inputs &amp; Results'!$M$3="Annual Inputs",LOOKUP(AJ$2,'Inputs &amp; Results'!$L$9:$L$48,'Inputs &amp; Results'!$M$9:$M$48),'Inputs &amp; Results'!$M$5*CapacityAC*8760*(1-'Inputs &amp; Results'!$M$6)^(AJ$2-1)),0)</f>
        <v>13720430.481262514</v>
      </c>
      <c r="AK5" s="135">
        <f>IF(AK$2&lt;=AnalysisPeriod,IF('Inputs &amp; Results'!$M$3="Annual Inputs",LOOKUP(AK$2,'Inputs &amp; Results'!$L$9:$L$48,'Inputs &amp; Results'!$M$9:$M$48),'Inputs &amp; Results'!$M$5*CapacityAC*8760*(1-'Inputs &amp; Results'!$M$6)^(AK$2-1)),0)</f>
        <v>13651828.328856202</v>
      </c>
      <c r="AL5" s="135">
        <f>IF(AL$2&lt;=AnalysisPeriod,IF('Inputs &amp; Results'!$M$3="Annual Inputs",LOOKUP(AL$2,'Inputs &amp; Results'!$L$9:$L$48,'Inputs &amp; Results'!$M$9:$M$48),'Inputs &amp; Results'!$M$5*CapacityAC*8760*(1-'Inputs &amp; Results'!$M$6)^(AL$2-1)),0)</f>
        <v>13583569.187211921</v>
      </c>
      <c r="AM5" s="135">
        <f>IF(AM$2&lt;=AnalysisPeriod,IF('Inputs &amp; Results'!$M$3="Annual Inputs",LOOKUP(AM$2,'Inputs &amp; Results'!$L$9:$L$48,'Inputs &amp; Results'!$M$9:$M$48),'Inputs &amp; Results'!$M$5*CapacityAC*8760*(1-'Inputs &amp; Results'!$M$6)^(AM$2-1)),0)</f>
        <v>13515651.341275861</v>
      </c>
      <c r="AN5" s="135">
        <f>IF(AN$2&lt;=AnalysisPeriod,IF('Inputs &amp; Results'!$M$3="Annual Inputs",LOOKUP(AN$2,'Inputs &amp; Results'!$L$9:$L$48,'Inputs &amp; Results'!$M$9:$M$48),'Inputs &amp; Results'!$M$5*CapacityAC*8760*(1-'Inputs &amp; Results'!$M$6)^(AN$2-1)),0)</f>
        <v>13448073.084569484</v>
      </c>
      <c r="AO5" s="135">
        <f>IF(AO$2&lt;=AnalysisPeriod,IF('Inputs &amp; Results'!$M$3="Annual Inputs",LOOKUP(AO$2,'Inputs &amp; Results'!$L$9:$L$48,'Inputs &amp; Results'!$M$9:$M$48),'Inputs &amp; Results'!$M$5*CapacityAC*8760*(1-'Inputs &amp; Results'!$M$6)^(AO$2-1)),0)</f>
        <v>13380832.719146635</v>
      </c>
      <c r="AP5" s="135">
        <f>IF(AP$2&lt;=AnalysisPeriod,IF('Inputs &amp; Results'!$M$3="Annual Inputs",LOOKUP(AP$2,'Inputs &amp; Results'!$L$9:$L$48,'Inputs &amp; Results'!$M$9:$M$48),'Inputs &amp; Results'!$M$5*CapacityAC*8760*(1-'Inputs &amp; Results'!$M$6)^(AP$2-1)),0)</f>
        <v>13313928.555550903</v>
      </c>
    </row>
    <row r="6" spans="1:42" x14ac:dyDescent="0.2">
      <c r="C6" s="135"/>
      <c r="D6" s="265"/>
      <c r="E6" s="265"/>
      <c r="F6" s="265"/>
      <c r="G6" s="265"/>
      <c r="H6" s="26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</row>
    <row r="7" spans="1:42" x14ac:dyDescent="0.2">
      <c r="A7" s="162" t="s">
        <v>242</v>
      </c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4"/>
      <c r="AD7" s="344"/>
      <c r="AE7" s="344"/>
      <c r="AF7" s="344"/>
      <c r="AG7" s="344"/>
      <c r="AH7" s="344"/>
      <c r="AI7" s="344"/>
      <c r="AJ7" s="344"/>
      <c r="AK7" s="135"/>
      <c r="AL7" s="135"/>
      <c r="AM7" s="135"/>
      <c r="AN7" s="135"/>
      <c r="AO7" s="135"/>
      <c r="AP7" s="135"/>
    </row>
    <row r="8" spans="1:42" x14ac:dyDescent="0.2">
      <c r="A8" s="165" t="s">
        <v>75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</row>
    <row r="9" spans="1:42" x14ac:dyDescent="0.2">
      <c r="A9" s="20" t="s">
        <v>76</v>
      </c>
      <c r="C9" s="135"/>
      <c r="D9" s="166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</row>
    <row r="10" spans="1:42" x14ac:dyDescent="0.2">
      <c r="A10" s="167" t="s">
        <v>47</v>
      </c>
      <c r="C10" s="135">
        <f>C5</f>
        <v>16188480</v>
      </c>
      <c r="D10" s="135">
        <f>D5</f>
        <v>16107537.6</v>
      </c>
      <c r="E10" s="135">
        <f>E5</f>
        <v>16026999.912</v>
      </c>
      <c r="F10" s="135">
        <f t="shared" ref="F10:AP10" si="1">F5</f>
        <v>15946864.91244</v>
      </c>
      <c r="G10" s="135">
        <f t="shared" si="1"/>
        <v>15867130.587877801</v>
      </c>
      <c r="H10" s="135">
        <f t="shared" si="1"/>
        <v>15787794.934938412</v>
      </c>
      <c r="I10" s="135">
        <f t="shared" si="1"/>
        <v>15708855.96026372</v>
      </c>
      <c r="J10" s="135">
        <f t="shared" si="1"/>
        <v>15630311.680462401</v>
      </c>
      <c r="K10" s="135">
        <f t="shared" si="1"/>
        <v>15552160.12206009</v>
      </c>
      <c r="L10" s="135">
        <f t="shared" si="1"/>
        <v>15474399.321449788</v>
      </c>
      <c r="M10" s="135">
        <f t="shared" si="1"/>
        <v>15397027.324842541</v>
      </c>
      <c r="N10" s="135">
        <f t="shared" si="1"/>
        <v>15320042.188218327</v>
      </c>
      <c r="O10" s="135">
        <f t="shared" si="1"/>
        <v>15243441.977277236</v>
      </c>
      <c r="P10" s="135">
        <f t="shared" si="1"/>
        <v>15167224.767390851</v>
      </c>
      <c r="Q10" s="135">
        <f t="shared" si="1"/>
        <v>15091388.643553898</v>
      </c>
      <c r="R10" s="135">
        <f t="shared" si="1"/>
        <v>15015931.700336127</v>
      </c>
      <c r="S10" s="135">
        <f t="shared" si="1"/>
        <v>14940852.041834446</v>
      </c>
      <c r="T10" s="135">
        <f t="shared" si="1"/>
        <v>14866147.781625275</v>
      </c>
      <c r="U10" s="135">
        <f t="shared" si="1"/>
        <v>14791817.042717148</v>
      </c>
      <c r="V10" s="135">
        <f t="shared" si="1"/>
        <v>14717857.957503561</v>
      </c>
      <c r="W10" s="135">
        <f t="shared" si="1"/>
        <v>14644268.667716045</v>
      </c>
      <c r="X10" s="135">
        <f t="shared" si="1"/>
        <v>14571047.324377464</v>
      </c>
      <c r="Y10" s="135">
        <f t="shared" si="1"/>
        <v>14498192.087755578</v>
      </c>
      <c r="Z10" s="135">
        <f t="shared" si="1"/>
        <v>14425701.127316799</v>
      </c>
      <c r="AA10" s="135">
        <f t="shared" si="1"/>
        <v>14353572.621680215</v>
      </c>
      <c r="AB10" s="135">
        <f t="shared" si="1"/>
        <v>14281804.758571815</v>
      </c>
      <c r="AC10" s="135">
        <f t="shared" si="1"/>
        <v>14210395.734778956</v>
      </c>
      <c r="AD10" s="135">
        <f t="shared" si="1"/>
        <v>14139343.75610506</v>
      </c>
      <c r="AE10" s="135">
        <f t="shared" si="1"/>
        <v>14068647.037324537</v>
      </c>
      <c r="AF10" s="135">
        <f t="shared" si="1"/>
        <v>13998303.802137915</v>
      </c>
      <c r="AG10" s="135">
        <f t="shared" si="1"/>
        <v>13928312.283127224</v>
      </c>
      <c r="AH10" s="135">
        <f t="shared" si="1"/>
        <v>13858670.721711587</v>
      </c>
      <c r="AI10" s="135">
        <f t="shared" si="1"/>
        <v>13789377.368103029</v>
      </c>
      <c r="AJ10" s="135">
        <f t="shared" si="1"/>
        <v>13720430.481262514</v>
      </c>
      <c r="AK10" s="135">
        <f t="shared" si="1"/>
        <v>13651828.328856202</v>
      </c>
      <c r="AL10" s="135">
        <f t="shared" si="1"/>
        <v>13583569.187211921</v>
      </c>
      <c r="AM10" s="135">
        <f t="shared" si="1"/>
        <v>13515651.341275861</v>
      </c>
      <c r="AN10" s="135">
        <f t="shared" si="1"/>
        <v>13448073.084569484</v>
      </c>
      <c r="AO10" s="135">
        <f t="shared" si="1"/>
        <v>13380832.719146635</v>
      </c>
      <c r="AP10" s="135">
        <f t="shared" si="1"/>
        <v>13313928.555550903</v>
      </c>
    </row>
    <row r="11" spans="1:42" x14ac:dyDescent="0.2">
      <c r="A11" s="167" t="s">
        <v>48</v>
      </c>
      <c r="C11" s="168">
        <f t="shared" ref="C11:AP11" si="2">AEPFPPAPrice*(1+AEPFPPAPriceEsc)^B2</f>
        <v>36.820005710678977</v>
      </c>
      <c r="D11" s="168">
        <f t="shared" si="2"/>
        <v>37.188205767785767</v>
      </c>
      <c r="E11" s="168">
        <f t="shared" si="2"/>
        <v>37.560087825463626</v>
      </c>
      <c r="F11" s="168">
        <f t="shared" si="2"/>
        <v>37.935688703718256</v>
      </c>
      <c r="G11" s="168">
        <f t="shared" si="2"/>
        <v>38.315045590755446</v>
      </c>
      <c r="H11" s="168">
        <f t="shared" si="2"/>
        <v>38.698196046662993</v>
      </c>
      <c r="I11" s="168">
        <f t="shared" si="2"/>
        <v>39.085178007129635</v>
      </c>
      <c r="J11" s="168">
        <f t="shared" si="2"/>
        <v>39.476029787200915</v>
      </c>
      <c r="K11" s="168">
        <f t="shared" si="2"/>
        <v>39.87079008507294</v>
      </c>
      <c r="L11" s="168">
        <f t="shared" si="2"/>
        <v>40.269497985923671</v>
      </c>
      <c r="M11" s="168">
        <f t="shared" si="2"/>
        <v>40.672192965782905</v>
      </c>
      <c r="N11" s="168">
        <f t="shared" si="2"/>
        <v>41.078914895440725</v>
      </c>
      <c r="O11" s="168">
        <f t="shared" si="2"/>
        <v>41.48970404439514</v>
      </c>
      <c r="P11" s="168">
        <f t="shared" si="2"/>
        <v>41.904601084839086</v>
      </c>
      <c r="Q11" s="168">
        <f t="shared" si="2"/>
        <v>42.323647095687484</v>
      </c>
      <c r="R11" s="168">
        <f t="shared" si="2"/>
        <v>42.74688356664435</v>
      </c>
      <c r="S11" s="168">
        <f t="shared" si="2"/>
        <v>43.174352402310809</v>
      </c>
      <c r="T11" s="168">
        <f t="shared" si="2"/>
        <v>43.606095926333914</v>
      </c>
      <c r="U11" s="168">
        <f t="shared" si="2"/>
        <v>44.042156885597258</v>
      </c>
      <c r="V11" s="168">
        <f t="shared" si="2"/>
        <v>44.482578454453218</v>
      </c>
      <c r="W11" s="168">
        <f t="shared" si="2"/>
        <v>44.927404238997752</v>
      </c>
      <c r="X11" s="168">
        <f t="shared" si="2"/>
        <v>45.376678281387726</v>
      </c>
      <c r="Y11" s="168">
        <f t="shared" si="2"/>
        <v>45.830445064201619</v>
      </c>
      <c r="Z11" s="168">
        <f t="shared" si="2"/>
        <v>46.288749514843623</v>
      </c>
      <c r="AA11" s="168">
        <f t="shared" si="2"/>
        <v>46.751637009992074</v>
      </c>
      <c r="AB11" s="168">
        <f t="shared" si="2"/>
        <v>47.219153380091996</v>
      </c>
      <c r="AC11" s="168">
        <f t="shared" si="2"/>
        <v>47.69134491389292</v>
      </c>
      <c r="AD11" s="168">
        <f t="shared" si="2"/>
        <v>48.168258363031832</v>
      </c>
      <c r="AE11" s="168">
        <f t="shared" si="2"/>
        <v>48.649940946662156</v>
      </c>
      <c r="AF11" s="168">
        <f t="shared" si="2"/>
        <v>49.13644035612878</v>
      </c>
      <c r="AG11" s="168">
        <f t="shared" si="2"/>
        <v>49.627804759690072</v>
      </c>
      <c r="AH11" s="168">
        <f t="shared" si="2"/>
        <v>50.12408280728696</v>
      </c>
      <c r="AI11" s="168">
        <f t="shared" si="2"/>
        <v>50.625323635359841</v>
      </c>
      <c r="AJ11" s="168">
        <f t="shared" si="2"/>
        <v>51.131576871713442</v>
      </c>
      <c r="AK11" s="168">
        <f t="shared" si="2"/>
        <v>51.642892640430574</v>
      </c>
      <c r="AL11" s="168">
        <f t="shared" si="2"/>
        <v>52.159321566834869</v>
      </c>
      <c r="AM11" s="168">
        <f t="shared" si="2"/>
        <v>52.680914782503223</v>
      </c>
      <c r="AN11" s="168">
        <f t="shared" si="2"/>
        <v>53.207723930328257</v>
      </c>
      <c r="AO11" s="168">
        <f t="shared" si="2"/>
        <v>53.739801169631548</v>
      </c>
      <c r="AP11" s="168">
        <f t="shared" si="2"/>
        <v>54.277199181327845</v>
      </c>
    </row>
    <row r="12" spans="1:42" x14ac:dyDescent="0.2">
      <c r="A12" s="167" t="s">
        <v>74</v>
      </c>
      <c r="C12" s="135">
        <f t="shared" ref="C12:AP12" si="3">C10*C11/100</f>
        <v>5960599.2604721235</v>
      </c>
      <c r="D12" s="135">
        <f t="shared" si="3"/>
        <v>5990104.2268114612</v>
      </c>
      <c r="E12" s="135">
        <f t="shared" si="3"/>
        <v>6019755.242734178</v>
      </c>
      <c r="F12" s="135">
        <f t="shared" si="3"/>
        <v>6049553.0311857117</v>
      </c>
      <c r="G12" s="135">
        <f t="shared" si="3"/>
        <v>6079498.3186900821</v>
      </c>
      <c r="H12" s="135">
        <f t="shared" si="3"/>
        <v>6109591.8353675976</v>
      </c>
      <c r="I12" s="135">
        <f t="shared" si="3"/>
        <v>6139834.3149526678</v>
      </c>
      <c r="J12" s="135">
        <f t="shared" si="3"/>
        <v>6170226.4948116811</v>
      </c>
      <c r="K12" s="135">
        <f t="shared" si="3"/>
        <v>6200769.1159610022</v>
      </c>
      <c r="L12" s="135">
        <f t="shared" si="3"/>
        <v>6231462.9230850087</v>
      </c>
      <c r="M12" s="135">
        <f t="shared" si="3"/>
        <v>6262308.6645542802</v>
      </c>
      <c r="N12" s="135">
        <f t="shared" si="3"/>
        <v>6293307.092443821</v>
      </c>
      <c r="O12" s="135">
        <f t="shared" si="3"/>
        <v>6324458.9625514196</v>
      </c>
      <c r="P12" s="135">
        <f t="shared" si="3"/>
        <v>6355765.0344160488</v>
      </c>
      <c r="Q12" s="135">
        <f t="shared" si="3"/>
        <v>6387226.07133641</v>
      </c>
      <c r="R12" s="135">
        <f t="shared" si="3"/>
        <v>6418842.8403895237</v>
      </c>
      <c r="S12" s="135">
        <f t="shared" si="3"/>
        <v>6450616.1124494541</v>
      </c>
      <c r="T12" s="135">
        <f t="shared" si="3"/>
        <v>6482546.6622060789</v>
      </c>
      <c r="U12" s="135">
        <f t="shared" si="3"/>
        <v>6514635.2681839988</v>
      </c>
      <c r="V12" s="135">
        <f t="shared" si="3"/>
        <v>6546882.7127615074</v>
      </c>
      <c r="W12" s="135">
        <f t="shared" si="3"/>
        <v>6579289.7821896784</v>
      </c>
      <c r="X12" s="135">
        <f t="shared" si="3"/>
        <v>6611857.2666115165</v>
      </c>
      <c r="Y12" s="135">
        <f t="shared" si="3"/>
        <v>6644585.9600812458</v>
      </c>
      <c r="Z12" s="135">
        <f t="shared" si="3"/>
        <v>6677476.660583646</v>
      </c>
      <c r="AA12" s="135">
        <f t="shared" si="3"/>
        <v>6710530.170053537</v>
      </c>
      <c r="AB12" s="135">
        <f t="shared" si="3"/>
        <v>6743747.2943953024</v>
      </c>
      <c r="AC12" s="135">
        <f t="shared" si="3"/>
        <v>6777128.8435025597</v>
      </c>
      <c r="AD12" s="135">
        <f t="shared" si="3"/>
        <v>6810675.6312778946</v>
      </c>
      <c r="AE12" s="135">
        <f t="shared" si="3"/>
        <v>6844388.4756527217</v>
      </c>
      <c r="AF12" s="135">
        <f t="shared" si="3"/>
        <v>6878268.1986072036</v>
      </c>
      <c r="AG12" s="135">
        <f t="shared" si="3"/>
        <v>6912315.6261903094</v>
      </c>
      <c r="AH12" s="135">
        <f t="shared" si="3"/>
        <v>6946531.5885399496</v>
      </c>
      <c r="AI12" s="135">
        <f t="shared" si="3"/>
        <v>6980916.9199032234</v>
      </c>
      <c r="AJ12" s="135">
        <f t="shared" si="3"/>
        <v>7015472.458656745</v>
      </c>
      <c r="AK12" s="135">
        <f t="shared" si="3"/>
        <v>7050199.0473270956</v>
      </c>
      <c r="AL12" s="135">
        <f t="shared" si="3"/>
        <v>7085097.5326113645</v>
      </c>
      <c r="AM12" s="135">
        <f t="shared" si="3"/>
        <v>7120168.7653977908</v>
      </c>
      <c r="AN12" s="135">
        <f t="shared" si="3"/>
        <v>7155413.6007865109</v>
      </c>
      <c r="AO12" s="135">
        <f t="shared" si="3"/>
        <v>7190832.8981104037</v>
      </c>
      <c r="AP12" s="135">
        <f t="shared" si="3"/>
        <v>7226427.5209560487</v>
      </c>
    </row>
    <row r="13" spans="1:42" s="101" customFormat="1" x14ac:dyDescent="0.2">
      <c r="A13" s="101" t="s">
        <v>326</v>
      </c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</row>
    <row r="14" spans="1:42" s="101" customFormat="1" x14ac:dyDescent="0.2">
      <c r="A14" s="234" t="str">
        <f>'Inputs &amp; Results'!A65</f>
        <v>Federal</v>
      </c>
      <c r="C14" s="124">
        <f>C584</f>
        <v>0</v>
      </c>
      <c r="D14" s="124">
        <f t="shared" ref="D14:AP14" si="4">D584</f>
        <v>0</v>
      </c>
      <c r="E14" s="124">
        <f t="shared" si="4"/>
        <v>0</v>
      </c>
      <c r="F14" s="124">
        <f t="shared" si="4"/>
        <v>0</v>
      </c>
      <c r="G14" s="124">
        <f t="shared" si="4"/>
        <v>0</v>
      </c>
      <c r="H14" s="124">
        <f t="shared" si="4"/>
        <v>0</v>
      </c>
      <c r="I14" s="124">
        <f t="shared" si="4"/>
        <v>0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0</v>
      </c>
      <c r="U14" s="124">
        <f t="shared" si="4"/>
        <v>0</v>
      </c>
      <c r="V14" s="124">
        <f t="shared" si="4"/>
        <v>0</v>
      </c>
      <c r="W14" s="124">
        <f t="shared" si="4"/>
        <v>0</v>
      </c>
      <c r="X14" s="124">
        <f t="shared" si="4"/>
        <v>0</v>
      </c>
      <c r="Y14" s="124">
        <f t="shared" si="4"/>
        <v>0</v>
      </c>
      <c r="Z14" s="124">
        <f t="shared" si="4"/>
        <v>0</v>
      </c>
      <c r="AA14" s="124">
        <f t="shared" si="4"/>
        <v>0</v>
      </c>
      <c r="AB14" s="124">
        <f t="shared" si="4"/>
        <v>0</v>
      </c>
      <c r="AC14" s="124">
        <f t="shared" si="4"/>
        <v>0</v>
      </c>
      <c r="AD14" s="124">
        <f t="shared" si="4"/>
        <v>0</v>
      </c>
      <c r="AE14" s="124">
        <f t="shared" si="4"/>
        <v>0</v>
      </c>
      <c r="AF14" s="124">
        <f t="shared" si="4"/>
        <v>0</v>
      </c>
      <c r="AG14" s="124">
        <f t="shared" si="4"/>
        <v>0</v>
      </c>
      <c r="AH14" s="124">
        <f t="shared" si="4"/>
        <v>0</v>
      </c>
      <c r="AI14" s="124">
        <f t="shared" si="4"/>
        <v>0</v>
      </c>
      <c r="AJ14" s="124">
        <f t="shared" si="4"/>
        <v>0</v>
      </c>
      <c r="AK14" s="124">
        <f t="shared" si="4"/>
        <v>0</v>
      </c>
      <c r="AL14" s="124">
        <f t="shared" si="4"/>
        <v>0</v>
      </c>
      <c r="AM14" s="124">
        <f t="shared" si="4"/>
        <v>0</v>
      </c>
      <c r="AN14" s="124">
        <f t="shared" si="4"/>
        <v>0</v>
      </c>
      <c r="AO14" s="124">
        <f t="shared" si="4"/>
        <v>0</v>
      </c>
      <c r="AP14" s="124">
        <f t="shared" si="4"/>
        <v>0</v>
      </c>
    </row>
    <row r="15" spans="1:42" s="101" customFormat="1" x14ac:dyDescent="0.2">
      <c r="A15" s="234" t="str">
        <f>'Inputs &amp; Results'!A66</f>
        <v>State</v>
      </c>
      <c r="C15" s="124">
        <f>C588</f>
        <v>0</v>
      </c>
      <c r="D15" s="124">
        <f t="shared" ref="D15:AP15" si="5">D588</f>
        <v>0</v>
      </c>
      <c r="E15" s="124">
        <f t="shared" si="5"/>
        <v>0</v>
      </c>
      <c r="F15" s="124">
        <f t="shared" si="5"/>
        <v>0</v>
      </c>
      <c r="G15" s="124">
        <f t="shared" si="5"/>
        <v>0</v>
      </c>
      <c r="H15" s="124">
        <f t="shared" si="5"/>
        <v>0</v>
      </c>
      <c r="I15" s="124">
        <f t="shared" si="5"/>
        <v>0</v>
      </c>
      <c r="J15" s="124">
        <f t="shared" si="5"/>
        <v>0</v>
      </c>
      <c r="K15" s="124">
        <f t="shared" si="5"/>
        <v>0</v>
      </c>
      <c r="L15" s="124">
        <f t="shared" si="5"/>
        <v>0</v>
      </c>
      <c r="M15" s="124">
        <f t="shared" si="5"/>
        <v>0</v>
      </c>
      <c r="N15" s="124">
        <f t="shared" si="5"/>
        <v>0</v>
      </c>
      <c r="O15" s="124">
        <f t="shared" si="5"/>
        <v>0</v>
      </c>
      <c r="P15" s="124">
        <f t="shared" si="5"/>
        <v>0</v>
      </c>
      <c r="Q15" s="124">
        <f t="shared" si="5"/>
        <v>0</v>
      </c>
      <c r="R15" s="124">
        <f t="shared" si="5"/>
        <v>0</v>
      </c>
      <c r="S15" s="124">
        <f t="shared" si="5"/>
        <v>0</v>
      </c>
      <c r="T15" s="124">
        <f t="shared" si="5"/>
        <v>0</v>
      </c>
      <c r="U15" s="124">
        <f t="shared" si="5"/>
        <v>0</v>
      </c>
      <c r="V15" s="124">
        <f t="shared" si="5"/>
        <v>0</v>
      </c>
      <c r="W15" s="124">
        <f t="shared" si="5"/>
        <v>0</v>
      </c>
      <c r="X15" s="124">
        <f t="shared" si="5"/>
        <v>0</v>
      </c>
      <c r="Y15" s="124">
        <f t="shared" si="5"/>
        <v>0</v>
      </c>
      <c r="Z15" s="124">
        <f t="shared" si="5"/>
        <v>0</v>
      </c>
      <c r="AA15" s="124">
        <f t="shared" si="5"/>
        <v>0</v>
      </c>
      <c r="AB15" s="124">
        <f t="shared" si="5"/>
        <v>0</v>
      </c>
      <c r="AC15" s="124">
        <f t="shared" si="5"/>
        <v>0</v>
      </c>
      <c r="AD15" s="124">
        <f t="shared" si="5"/>
        <v>0</v>
      </c>
      <c r="AE15" s="124">
        <f t="shared" si="5"/>
        <v>0</v>
      </c>
      <c r="AF15" s="124">
        <f t="shared" si="5"/>
        <v>0</v>
      </c>
      <c r="AG15" s="124">
        <f t="shared" si="5"/>
        <v>0</v>
      </c>
      <c r="AH15" s="124">
        <f t="shared" si="5"/>
        <v>0</v>
      </c>
      <c r="AI15" s="124">
        <f t="shared" si="5"/>
        <v>0</v>
      </c>
      <c r="AJ15" s="124">
        <f t="shared" si="5"/>
        <v>0</v>
      </c>
      <c r="AK15" s="124">
        <f t="shared" si="5"/>
        <v>0</v>
      </c>
      <c r="AL15" s="124">
        <f t="shared" si="5"/>
        <v>0</v>
      </c>
      <c r="AM15" s="124">
        <f t="shared" si="5"/>
        <v>0</v>
      </c>
      <c r="AN15" s="124">
        <f t="shared" si="5"/>
        <v>0</v>
      </c>
      <c r="AO15" s="124">
        <f t="shared" si="5"/>
        <v>0</v>
      </c>
      <c r="AP15" s="124">
        <f t="shared" si="5"/>
        <v>0</v>
      </c>
    </row>
    <row r="16" spans="1:42" s="101" customFormat="1" x14ac:dyDescent="0.2">
      <c r="A16" s="234" t="str">
        <f>'Inputs &amp; Results'!A67</f>
        <v>Utility</v>
      </c>
      <c r="C16" s="124">
        <f>C592</f>
        <v>0</v>
      </c>
      <c r="D16" s="124">
        <f t="shared" ref="D16:AP16" si="6">D592</f>
        <v>0</v>
      </c>
      <c r="E16" s="124">
        <f t="shared" si="6"/>
        <v>0</v>
      </c>
      <c r="F16" s="124">
        <f t="shared" si="6"/>
        <v>0</v>
      </c>
      <c r="G16" s="124">
        <f t="shared" si="6"/>
        <v>0</v>
      </c>
      <c r="H16" s="124">
        <f t="shared" si="6"/>
        <v>0</v>
      </c>
      <c r="I16" s="124">
        <f t="shared" si="6"/>
        <v>0</v>
      </c>
      <c r="J16" s="124">
        <f t="shared" si="6"/>
        <v>0</v>
      </c>
      <c r="K16" s="124">
        <f t="shared" si="6"/>
        <v>0</v>
      </c>
      <c r="L16" s="124">
        <f t="shared" si="6"/>
        <v>0</v>
      </c>
      <c r="M16" s="124">
        <f t="shared" si="6"/>
        <v>0</v>
      </c>
      <c r="N16" s="124">
        <f t="shared" si="6"/>
        <v>0</v>
      </c>
      <c r="O16" s="124">
        <f t="shared" si="6"/>
        <v>0</v>
      </c>
      <c r="P16" s="124">
        <f t="shared" si="6"/>
        <v>0</v>
      </c>
      <c r="Q16" s="124">
        <f t="shared" si="6"/>
        <v>0</v>
      </c>
      <c r="R16" s="124">
        <f t="shared" si="6"/>
        <v>0</v>
      </c>
      <c r="S16" s="124">
        <f t="shared" si="6"/>
        <v>0</v>
      </c>
      <c r="T16" s="124">
        <f t="shared" si="6"/>
        <v>0</v>
      </c>
      <c r="U16" s="124">
        <f t="shared" si="6"/>
        <v>0</v>
      </c>
      <c r="V16" s="124">
        <f t="shared" si="6"/>
        <v>0</v>
      </c>
      <c r="W16" s="124">
        <f t="shared" si="6"/>
        <v>0</v>
      </c>
      <c r="X16" s="124">
        <f t="shared" si="6"/>
        <v>0</v>
      </c>
      <c r="Y16" s="124">
        <f t="shared" si="6"/>
        <v>0</v>
      </c>
      <c r="Z16" s="124">
        <f t="shared" si="6"/>
        <v>0</v>
      </c>
      <c r="AA16" s="124">
        <f t="shared" si="6"/>
        <v>0</v>
      </c>
      <c r="AB16" s="124">
        <f t="shared" si="6"/>
        <v>0</v>
      </c>
      <c r="AC16" s="124">
        <f t="shared" si="6"/>
        <v>0</v>
      </c>
      <c r="AD16" s="124">
        <f t="shared" si="6"/>
        <v>0</v>
      </c>
      <c r="AE16" s="124">
        <f t="shared" si="6"/>
        <v>0</v>
      </c>
      <c r="AF16" s="124">
        <f t="shared" si="6"/>
        <v>0</v>
      </c>
      <c r="AG16" s="124">
        <f t="shared" si="6"/>
        <v>0</v>
      </c>
      <c r="AH16" s="124">
        <f t="shared" si="6"/>
        <v>0</v>
      </c>
      <c r="AI16" s="124">
        <f t="shared" si="6"/>
        <v>0</v>
      </c>
      <c r="AJ16" s="124">
        <f t="shared" si="6"/>
        <v>0</v>
      </c>
      <c r="AK16" s="124">
        <f t="shared" si="6"/>
        <v>0</v>
      </c>
      <c r="AL16" s="124">
        <f t="shared" si="6"/>
        <v>0</v>
      </c>
      <c r="AM16" s="124">
        <f t="shared" si="6"/>
        <v>0</v>
      </c>
      <c r="AN16" s="124">
        <f t="shared" si="6"/>
        <v>0</v>
      </c>
      <c r="AO16" s="124">
        <f t="shared" si="6"/>
        <v>0</v>
      </c>
      <c r="AP16" s="124">
        <f t="shared" si="6"/>
        <v>0</v>
      </c>
    </row>
    <row r="17" spans="1:42" s="101" customFormat="1" x14ac:dyDescent="0.2">
      <c r="A17" s="234" t="str">
        <f>'Inputs &amp; Results'!A68</f>
        <v>Other</v>
      </c>
      <c r="C17" s="186">
        <f>C596</f>
        <v>0</v>
      </c>
      <c r="D17" s="186">
        <f t="shared" ref="D17:AP17" si="7">D596</f>
        <v>0</v>
      </c>
      <c r="E17" s="186">
        <f t="shared" si="7"/>
        <v>0</v>
      </c>
      <c r="F17" s="186">
        <f t="shared" si="7"/>
        <v>0</v>
      </c>
      <c r="G17" s="186">
        <f t="shared" si="7"/>
        <v>0</v>
      </c>
      <c r="H17" s="186">
        <f t="shared" si="7"/>
        <v>0</v>
      </c>
      <c r="I17" s="186">
        <f t="shared" si="7"/>
        <v>0</v>
      </c>
      <c r="J17" s="186">
        <f t="shared" si="7"/>
        <v>0</v>
      </c>
      <c r="K17" s="186">
        <f t="shared" si="7"/>
        <v>0</v>
      </c>
      <c r="L17" s="186">
        <f t="shared" si="7"/>
        <v>0</v>
      </c>
      <c r="M17" s="186">
        <f t="shared" si="7"/>
        <v>0</v>
      </c>
      <c r="N17" s="186">
        <f t="shared" si="7"/>
        <v>0</v>
      </c>
      <c r="O17" s="186">
        <f t="shared" si="7"/>
        <v>0</v>
      </c>
      <c r="P17" s="186">
        <f t="shared" si="7"/>
        <v>0</v>
      </c>
      <c r="Q17" s="186">
        <f t="shared" si="7"/>
        <v>0</v>
      </c>
      <c r="R17" s="186">
        <f t="shared" si="7"/>
        <v>0</v>
      </c>
      <c r="S17" s="186">
        <f t="shared" si="7"/>
        <v>0</v>
      </c>
      <c r="T17" s="186">
        <f t="shared" si="7"/>
        <v>0</v>
      </c>
      <c r="U17" s="186">
        <f t="shared" si="7"/>
        <v>0</v>
      </c>
      <c r="V17" s="186">
        <f t="shared" si="7"/>
        <v>0</v>
      </c>
      <c r="W17" s="186">
        <f t="shared" si="7"/>
        <v>0</v>
      </c>
      <c r="X17" s="186">
        <f t="shared" si="7"/>
        <v>0</v>
      </c>
      <c r="Y17" s="186">
        <f t="shared" si="7"/>
        <v>0</v>
      </c>
      <c r="Z17" s="186">
        <f t="shared" si="7"/>
        <v>0</v>
      </c>
      <c r="AA17" s="186">
        <f t="shared" si="7"/>
        <v>0</v>
      </c>
      <c r="AB17" s="186">
        <f t="shared" si="7"/>
        <v>0</v>
      </c>
      <c r="AC17" s="186">
        <f t="shared" si="7"/>
        <v>0</v>
      </c>
      <c r="AD17" s="186">
        <f t="shared" si="7"/>
        <v>0</v>
      </c>
      <c r="AE17" s="186">
        <f t="shared" si="7"/>
        <v>0</v>
      </c>
      <c r="AF17" s="186">
        <f t="shared" si="7"/>
        <v>0</v>
      </c>
      <c r="AG17" s="186">
        <f t="shared" si="7"/>
        <v>0</v>
      </c>
      <c r="AH17" s="186">
        <f t="shared" si="7"/>
        <v>0</v>
      </c>
      <c r="AI17" s="186">
        <f t="shared" si="7"/>
        <v>0</v>
      </c>
      <c r="AJ17" s="186">
        <f t="shared" si="7"/>
        <v>0</v>
      </c>
      <c r="AK17" s="186">
        <f t="shared" si="7"/>
        <v>0</v>
      </c>
      <c r="AL17" s="186">
        <f t="shared" si="7"/>
        <v>0</v>
      </c>
      <c r="AM17" s="186">
        <f t="shared" si="7"/>
        <v>0</v>
      </c>
      <c r="AN17" s="186">
        <f t="shared" si="7"/>
        <v>0</v>
      </c>
      <c r="AO17" s="186">
        <f t="shared" si="7"/>
        <v>0</v>
      </c>
      <c r="AP17" s="186">
        <f t="shared" si="7"/>
        <v>0</v>
      </c>
    </row>
    <row r="18" spans="1:42" s="101" customFormat="1" x14ac:dyDescent="0.2">
      <c r="A18" s="234" t="s">
        <v>78</v>
      </c>
      <c r="C18" s="212">
        <f>SUM(C14:C17)</f>
        <v>0</v>
      </c>
      <c r="D18" s="212">
        <f t="shared" ref="D18:AP18" si="8">SUM(D14:D17)</f>
        <v>0</v>
      </c>
      <c r="E18" s="212">
        <f t="shared" si="8"/>
        <v>0</v>
      </c>
      <c r="F18" s="212">
        <f t="shared" si="8"/>
        <v>0</v>
      </c>
      <c r="G18" s="212">
        <f t="shared" si="8"/>
        <v>0</v>
      </c>
      <c r="H18" s="212">
        <f t="shared" si="8"/>
        <v>0</v>
      </c>
      <c r="I18" s="212">
        <f t="shared" si="8"/>
        <v>0</v>
      </c>
      <c r="J18" s="212">
        <f t="shared" si="8"/>
        <v>0</v>
      </c>
      <c r="K18" s="212">
        <f t="shared" si="8"/>
        <v>0</v>
      </c>
      <c r="L18" s="212">
        <f t="shared" si="8"/>
        <v>0</v>
      </c>
      <c r="M18" s="212">
        <f t="shared" si="8"/>
        <v>0</v>
      </c>
      <c r="N18" s="212">
        <f t="shared" si="8"/>
        <v>0</v>
      </c>
      <c r="O18" s="212">
        <f t="shared" si="8"/>
        <v>0</v>
      </c>
      <c r="P18" s="212">
        <f t="shared" si="8"/>
        <v>0</v>
      </c>
      <c r="Q18" s="212">
        <f t="shared" si="8"/>
        <v>0</v>
      </c>
      <c r="R18" s="212">
        <f t="shared" si="8"/>
        <v>0</v>
      </c>
      <c r="S18" s="212">
        <f t="shared" si="8"/>
        <v>0</v>
      </c>
      <c r="T18" s="212">
        <f t="shared" si="8"/>
        <v>0</v>
      </c>
      <c r="U18" s="212">
        <f t="shared" si="8"/>
        <v>0</v>
      </c>
      <c r="V18" s="212">
        <f t="shared" si="8"/>
        <v>0</v>
      </c>
      <c r="W18" s="212">
        <f t="shared" si="8"/>
        <v>0</v>
      </c>
      <c r="X18" s="212">
        <f t="shared" si="8"/>
        <v>0</v>
      </c>
      <c r="Y18" s="212">
        <f t="shared" si="8"/>
        <v>0</v>
      </c>
      <c r="Z18" s="212">
        <f t="shared" si="8"/>
        <v>0</v>
      </c>
      <c r="AA18" s="212">
        <f t="shared" si="8"/>
        <v>0</v>
      </c>
      <c r="AB18" s="212">
        <f t="shared" si="8"/>
        <v>0</v>
      </c>
      <c r="AC18" s="212">
        <f t="shared" si="8"/>
        <v>0</v>
      </c>
      <c r="AD18" s="212">
        <f t="shared" si="8"/>
        <v>0</v>
      </c>
      <c r="AE18" s="212">
        <f t="shared" si="8"/>
        <v>0</v>
      </c>
      <c r="AF18" s="212">
        <f t="shared" si="8"/>
        <v>0</v>
      </c>
      <c r="AG18" s="212">
        <f t="shared" si="8"/>
        <v>0</v>
      </c>
      <c r="AH18" s="212">
        <f t="shared" si="8"/>
        <v>0</v>
      </c>
      <c r="AI18" s="212">
        <f t="shared" si="8"/>
        <v>0</v>
      </c>
      <c r="AJ18" s="212">
        <f t="shared" si="8"/>
        <v>0</v>
      </c>
      <c r="AK18" s="212">
        <f t="shared" si="8"/>
        <v>0</v>
      </c>
      <c r="AL18" s="212">
        <f t="shared" si="8"/>
        <v>0</v>
      </c>
      <c r="AM18" s="212">
        <f t="shared" si="8"/>
        <v>0</v>
      </c>
      <c r="AN18" s="212">
        <f t="shared" si="8"/>
        <v>0</v>
      </c>
      <c r="AO18" s="212">
        <f t="shared" si="8"/>
        <v>0</v>
      </c>
      <c r="AP18" s="212">
        <f t="shared" si="8"/>
        <v>0</v>
      </c>
    </row>
    <row r="19" spans="1:42" x14ac:dyDescent="0.2">
      <c r="A19" s="163" t="s">
        <v>138</v>
      </c>
      <c r="C19" s="170">
        <f t="shared" ref="C19:AP19" si="9">IF(C2=AnalysisPeriod,SalvageValue*PreFinancingInstalledCostTotal,0)</f>
        <v>0</v>
      </c>
      <c r="D19" s="170">
        <f t="shared" si="9"/>
        <v>0</v>
      </c>
      <c r="E19" s="170">
        <f t="shared" si="9"/>
        <v>0</v>
      </c>
      <c r="F19" s="170">
        <f t="shared" si="9"/>
        <v>0</v>
      </c>
      <c r="G19" s="170">
        <f t="shared" si="9"/>
        <v>0</v>
      </c>
      <c r="H19" s="170">
        <f t="shared" si="9"/>
        <v>0</v>
      </c>
      <c r="I19" s="170">
        <f t="shared" si="9"/>
        <v>0</v>
      </c>
      <c r="J19" s="170">
        <f t="shared" si="9"/>
        <v>0</v>
      </c>
      <c r="K19" s="170">
        <f t="shared" si="9"/>
        <v>0</v>
      </c>
      <c r="L19" s="170">
        <f t="shared" si="9"/>
        <v>0</v>
      </c>
      <c r="M19" s="170">
        <f t="shared" si="9"/>
        <v>0</v>
      </c>
      <c r="N19" s="170">
        <f t="shared" si="9"/>
        <v>0</v>
      </c>
      <c r="O19" s="170">
        <f t="shared" si="9"/>
        <v>0</v>
      </c>
      <c r="P19" s="170">
        <f t="shared" si="9"/>
        <v>0</v>
      </c>
      <c r="Q19" s="170">
        <f t="shared" si="9"/>
        <v>0</v>
      </c>
      <c r="R19" s="170">
        <f t="shared" si="9"/>
        <v>0</v>
      </c>
      <c r="S19" s="170">
        <f t="shared" si="9"/>
        <v>0</v>
      </c>
      <c r="T19" s="170">
        <f t="shared" si="9"/>
        <v>0</v>
      </c>
      <c r="U19" s="170">
        <f t="shared" si="9"/>
        <v>0</v>
      </c>
      <c r="V19" s="170">
        <f t="shared" si="9"/>
        <v>0</v>
      </c>
      <c r="W19" s="170">
        <f t="shared" si="9"/>
        <v>0</v>
      </c>
      <c r="X19" s="170">
        <f t="shared" si="9"/>
        <v>0</v>
      </c>
      <c r="Y19" s="170">
        <f t="shared" si="9"/>
        <v>0</v>
      </c>
      <c r="Z19" s="170">
        <f t="shared" si="9"/>
        <v>0</v>
      </c>
      <c r="AA19" s="170">
        <f t="shared" si="9"/>
        <v>0</v>
      </c>
      <c r="AB19" s="170">
        <f t="shared" si="9"/>
        <v>0</v>
      </c>
      <c r="AC19" s="170">
        <f t="shared" si="9"/>
        <v>0</v>
      </c>
      <c r="AD19" s="170">
        <f t="shared" si="9"/>
        <v>0</v>
      </c>
      <c r="AE19" s="170">
        <f t="shared" si="9"/>
        <v>0</v>
      </c>
      <c r="AF19" s="170">
        <f t="shared" si="9"/>
        <v>0</v>
      </c>
      <c r="AG19" s="170">
        <f t="shared" si="9"/>
        <v>0</v>
      </c>
      <c r="AH19" s="170">
        <f t="shared" si="9"/>
        <v>0</v>
      </c>
      <c r="AI19" s="170">
        <f t="shared" si="9"/>
        <v>0</v>
      </c>
      <c r="AJ19" s="170">
        <f t="shared" si="9"/>
        <v>0</v>
      </c>
      <c r="AK19" s="170">
        <f t="shared" si="9"/>
        <v>0</v>
      </c>
      <c r="AL19" s="170">
        <f t="shared" si="9"/>
        <v>0</v>
      </c>
      <c r="AM19" s="170">
        <f t="shared" si="9"/>
        <v>0</v>
      </c>
      <c r="AN19" s="170">
        <f t="shared" si="9"/>
        <v>0</v>
      </c>
      <c r="AO19" s="170">
        <f t="shared" si="9"/>
        <v>0</v>
      </c>
      <c r="AP19" s="170">
        <f t="shared" si="9"/>
        <v>4022715</v>
      </c>
    </row>
    <row r="20" spans="1:42" x14ac:dyDescent="0.2">
      <c r="A20" s="163" t="s">
        <v>238</v>
      </c>
      <c r="C20" s="135">
        <f t="shared" ref="C20:AP20" si="10">C12+C18+C19</f>
        <v>5960599.2604721235</v>
      </c>
      <c r="D20" s="135">
        <f t="shared" si="10"/>
        <v>5990104.2268114612</v>
      </c>
      <c r="E20" s="135">
        <f t="shared" si="10"/>
        <v>6019755.242734178</v>
      </c>
      <c r="F20" s="135">
        <f t="shared" si="10"/>
        <v>6049553.0311857117</v>
      </c>
      <c r="G20" s="135">
        <f t="shared" si="10"/>
        <v>6079498.3186900821</v>
      </c>
      <c r="H20" s="135">
        <f t="shared" si="10"/>
        <v>6109591.8353675976</v>
      </c>
      <c r="I20" s="135">
        <f t="shared" si="10"/>
        <v>6139834.3149526678</v>
      </c>
      <c r="J20" s="135">
        <f t="shared" si="10"/>
        <v>6170226.4948116811</v>
      </c>
      <c r="K20" s="135">
        <f t="shared" si="10"/>
        <v>6200769.1159610022</v>
      </c>
      <c r="L20" s="135">
        <f t="shared" si="10"/>
        <v>6231462.9230850087</v>
      </c>
      <c r="M20" s="135">
        <f t="shared" si="10"/>
        <v>6262308.6645542802</v>
      </c>
      <c r="N20" s="135">
        <f t="shared" si="10"/>
        <v>6293307.092443821</v>
      </c>
      <c r="O20" s="135">
        <f t="shared" si="10"/>
        <v>6324458.9625514196</v>
      </c>
      <c r="P20" s="135">
        <f t="shared" si="10"/>
        <v>6355765.0344160488</v>
      </c>
      <c r="Q20" s="135">
        <f t="shared" si="10"/>
        <v>6387226.07133641</v>
      </c>
      <c r="R20" s="135">
        <f t="shared" si="10"/>
        <v>6418842.8403895237</v>
      </c>
      <c r="S20" s="135">
        <f t="shared" si="10"/>
        <v>6450616.1124494541</v>
      </c>
      <c r="T20" s="135">
        <f t="shared" si="10"/>
        <v>6482546.6622060789</v>
      </c>
      <c r="U20" s="135">
        <f t="shared" si="10"/>
        <v>6514635.2681839988</v>
      </c>
      <c r="V20" s="135">
        <f t="shared" si="10"/>
        <v>6546882.7127615074</v>
      </c>
      <c r="W20" s="135">
        <f t="shared" si="10"/>
        <v>6579289.7821896784</v>
      </c>
      <c r="X20" s="135">
        <f t="shared" si="10"/>
        <v>6611857.2666115165</v>
      </c>
      <c r="Y20" s="135">
        <f t="shared" si="10"/>
        <v>6644585.9600812458</v>
      </c>
      <c r="Z20" s="135">
        <f t="shared" si="10"/>
        <v>6677476.660583646</v>
      </c>
      <c r="AA20" s="135">
        <f t="shared" si="10"/>
        <v>6710530.170053537</v>
      </c>
      <c r="AB20" s="135">
        <f t="shared" si="10"/>
        <v>6743747.2943953024</v>
      </c>
      <c r="AC20" s="135">
        <f t="shared" si="10"/>
        <v>6777128.8435025597</v>
      </c>
      <c r="AD20" s="135">
        <f t="shared" si="10"/>
        <v>6810675.6312778946</v>
      </c>
      <c r="AE20" s="135">
        <f t="shared" si="10"/>
        <v>6844388.4756527217</v>
      </c>
      <c r="AF20" s="135">
        <f t="shared" si="10"/>
        <v>6878268.1986072036</v>
      </c>
      <c r="AG20" s="135">
        <f t="shared" si="10"/>
        <v>6912315.6261903094</v>
      </c>
      <c r="AH20" s="135">
        <f t="shared" si="10"/>
        <v>6946531.5885399496</v>
      </c>
      <c r="AI20" s="135">
        <f t="shared" si="10"/>
        <v>6980916.9199032234</v>
      </c>
      <c r="AJ20" s="135">
        <f t="shared" si="10"/>
        <v>7015472.458656745</v>
      </c>
      <c r="AK20" s="135">
        <f t="shared" si="10"/>
        <v>7050199.0473270956</v>
      </c>
      <c r="AL20" s="135">
        <f t="shared" si="10"/>
        <v>7085097.5326113645</v>
      </c>
      <c r="AM20" s="135">
        <f t="shared" si="10"/>
        <v>7120168.7653977908</v>
      </c>
      <c r="AN20" s="135">
        <f t="shared" si="10"/>
        <v>7155413.6007865109</v>
      </c>
      <c r="AO20" s="135">
        <f t="shared" si="10"/>
        <v>7190832.8981104037</v>
      </c>
      <c r="AP20" s="135">
        <f t="shared" si="10"/>
        <v>11249142.520956049</v>
      </c>
    </row>
    <row r="21" spans="1:42" x14ac:dyDescent="0.2">
      <c r="A21" s="167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</row>
    <row r="22" spans="1:42" x14ac:dyDescent="0.2">
      <c r="A22" s="165" t="s">
        <v>49</v>
      </c>
      <c r="C22" s="135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</row>
    <row r="23" spans="1:42" x14ac:dyDescent="0.2">
      <c r="A23" s="20" t="s">
        <v>5</v>
      </c>
      <c r="C23" s="135">
        <f t="shared" ref="C23:AP23" si="11">IF(C$2&lt;=AnalysisPeriod,OMFixedAnnual*(1+Inflation+OMFixedAnnualRealEsc)^B$2,0)</f>
        <v>10000</v>
      </c>
      <c r="D23" s="135">
        <f t="shared" si="11"/>
        <v>10250</v>
      </c>
      <c r="E23" s="135">
        <f t="shared" si="11"/>
        <v>10506.25</v>
      </c>
      <c r="F23" s="135">
        <f t="shared" si="11"/>
        <v>10768.906249999998</v>
      </c>
      <c r="G23" s="135">
        <f t="shared" si="11"/>
        <v>11038.128906249998</v>
      </c>
      <c r="H23" s="135">
        <f t="shared" si="11"/>
        <v>11314.082128906246</v>
      </c>
      <c r="I23" s="135">
        <f t="shared" si="11"/>
        <v>11596.934182128902</v>
      </c>
      <c r="J23" s="135">
        <f t="shared" si="11"/>
        <v>11886.857536682124</v>
      </c>
      <c r="K23" s="135">
        <f t="shared" si="11"/>
        <v>12184.028975099178</v>
      </c>
      <c r="L23" s="135">
        <f t="shared" si="11"/>
        <v>12488.629699476654</v>
      </c>
      <c r="M23" s="135">
        <f t="shared" si="11"/>
        <v>12800.845441963571</v>
      </c>
      <c r="N23" s="135">
        <f t="shared" si="11"/>
        <v>13120.866578012659</v>
      </c>
      <c r="O23" s="135">
        <f t="shared" si="11"/>
        <v>13448.888242462976</v>
      </c>
      <c r="P23" s="135">
        <f t="shared" si="11"/>
        <v>13785.110448524549</v>
      </c>
      <c r="Q23" s="135">
        <f t="shared" si="11"/>
        <v>14129.738209737661</v>
      </c>
      <c r="R23" s="135">
        <f t="shared" si="11"/>
        <v>14482.981664981105</v>
      </c>
      <c r="S23" s="135">
        <f t="shared" si="11"/>
        <v>14845.056206605632</v>
      </c>
      <c r="T23" s="135">
        <f t="shared" si="11"/>
        <v>15216.18261177077</v>
      </c>
      <c r="U23" s="135">
        <f t="shared" si="11"/>
        <v>15596.587177065039</v>
      </c>
      <c r="V23" s="135">
        <f t="shared" si="11"/>
        <v>15986.501856491666</v>
      </c>
      <c r="W23" s="135">
        <f t="shared" si="11"/>
        <v>16386.164402903956</v>
      </c>
      <c r="X23" s="135">
        <f t="shared" si="11"/>
        <v>16795.818512976552</v>
      </c>
      <c r="Y23" s="135">
        <f t="shared" si="11"/>
        <v>17215.713975800965</v>
      </c>
      <c r="Z23" s="135">
        <f t="shared" si="11"/>
        <v>17646.106825195991</v>
      </c>
      <c r="AA23" s="135">
        <f t="shared" si="11"/>
        <v>18087.259495825889</v>
      </c>
      <c r="AB23" s="135">
        <f t="shared" si="11"/>
        <v>18539.440983221535</v>
      </c>
      <c r="AC23" s="135">
        <f t="shared" si="11"/>
        <v>19002.927007802071</v>
      </c>
      <c r="AD23" s="135">
        <f t="shared" si="11"/>
        <v>19478.000182997122</v>
      </c>
      <c r="AE23" s="135">
        <f t="shared" si="11"/>
        <v>19964.950187572049</v>
      </c>
      <c r="AF23" s="135">
        <f t="shared" si="11"/>
        <v>20464.073942261351</v>
      </c>
      <c r="AG23" s="135">
        <f t="shared" si="11"/>
        <v>20975.675790817881</v>
      </c>
      <c r="AH23" s="135">
        <f t="shared" si="11"/>
        <v>21500.067685588332</v>
      </c>
      <c r="AI23" s="135">
        <f t="shared" si="11"/>
        <v>22037.569377728036</v>
      </c>
      <c r="AJ23" s="135">
        <f t="shared" si="11"/>
        <v>22588.508612171237</v>
      </c>
      <c r="AK23" s="135">
        <f t="shared" si="11"/>
        <v>23153.221327475516</v>
      </c>
      <c r="AL23" s="135">
        <f t="shared" si="11"/>
        <v>23732.051860662403</v>
      </c>
      <c r="AM23" s="135">
        <f t="shared" si="11"/>
        <v>24325.353157178964</v>
      </c>
      <c r="AN23" s="135">
        <f t="shared" si="11"/>
        <v>24933.486986108433</v>
      </c>
      <c r="AO23" s="135">
        <f t="shared" si="11"/>
        <v>25556.824160761142</v>
      </c>
      <c r="AP23" s="135">
        <f t="shared" si="11"/>
        <v>26195.744764780171</v>
      </c>
    </row>
    <row r="24" spans="1:42" x14ac:dyDescent="0.2">
      <c r="A24" s="20" t="s">
        <v>7</v>
      </c>
    </row>
    <row r="25" spans="1:42" x14ac:dyDescent="0.2">
      <c r="A25" s="167" t="s">
        <v>51</v>
      </c>
      <c r="C25" s="135">
        <f t="shared" ref="C25:AP25" si="12">IF(C$2&lt;=AnalysisPeriod,CapacityDC,0)</f>
        <v>10000</v>
      </c>
      <c r="D25" s="135">
        <f t="shared" si="12"/>
        <v>10000</v>
      </c>
      <c r="E25" s="135">
        <f t="shared" si="12"/>
        <v>10000</v>
      </c>
      <c r="F25" s="135">
        <f t="shared" si="12"/>
        <v>10000</v>
      </c>
      <c r="G25" s="135">
        <f t="shared" si="12"/>
        <v>10000</v>
      </c>
      <c r="H25" s="135">
        <f t="shared" si="12"/>
        <v>10000</v>
      </c>
      <c r="I25" s="135">
        <f t="shared" si="12"/>
        <v>10000</v>
      </c>
      <c r="J25" s="135">
        <f t="shared" si="12"/>
        <v>10000</v>
      </c>
      <c r="K25" s="135">
        <f t="shared" si="12"/>
        <v>10000</v>
      </c>
      <c r="L25" s="135">
        <f t="shared" si="12"/>
        <v>10000</v>
      </c>
      <c r="M25" s="135">
        <f t="shared" si="12"/>
        <v>10000</v>
      </c>
      <c r="N25" s="135">
        <f t="shared" si="12"/>
        <v>10000</v>
      </c>
      <c r="O25" s="135">
        <f t="shared" si="12"/>
        <v>10000</v>
      </c>
      <c r="P25" s="135">
        <f t="shared" si="12"/>
        <v>10000</v>
      </c>
      <c r="Q25" s="135">
        <f t="shared" si="12"/>
        <v>10000</v>
      </c>
      <c r="R25" s="135">
        <f t="shared" si="12"/>
        <v>10000</v>
      </c>
      <c r="S25" s="135">
        <f t="shared" si="12"/>
        <v>10000</v>
      </c>
      <c r="T25" s="135">
        <f t="shared" si="12"/>
        <v>10000</v>
      </c>
      <c r="U25" s="135">
        <f t="shared" si="12"/>
        <v>10000</v>
      </c>
      <c r="V25" s="135">
        <f t="shared" si="12"/>
        <v>10000</v>
      </c>
      <c r="W25" s="135">
        <f t="shared" si="12"/>
        <v>10000</v>
      </c>
      <c r="X25" s="135">
        <f t="shared" si="12"/>
        <v>10000</v>
      </c>
      <c r="Y25" s="135">
        <f t="shared" si="12"/>
        <v>10000</v>
      </c>
      <c r="Z25" s="135">
        <f t="shared" si="12"/>
        <v>10000</v>
      </c>
      <c r="AA25" s="135">
        <f t="shared" si="12"/>
        <v>10000</v>
      </c>
      <c r="AB25" s="135">
        <f t="shared" si="12"/>
        <v>10000</v>
      </c>
      <c r="AC25" s="135">
        <f t="shared" si="12"/>
        <v>10000</v>
      </c>
      <c r="AD25" s="135">
        <f t="shared" si="12"/>
        <v>10000</v>
      </c>
      <c r="AE25" s="135">
        <f t="shared" si="12"/>
        <v>10000</v>
      </c>
      <c r="AF25" s="135">
        <f t="shared" si="12"/>
        <v>10000</v>
      </c>
      <c r="AG25" s="135">
        <f t="shared" si="12"/>
        <v>10000</v>
      </c>
      <c r="AH25" s="135">
        <f t="shared" si="12"/>
        <v>10000</v>
      </c>
      <c r="AI25" s="135">
        <f t="shared" si="12"/>
        <v>10000</v>
      </c>
      <c r="AJ25" s="135">
        <f t="shared" si="12"/>
        <v>10000</v>
      </c>
      <c r="AK25" s="135">
        <f t="shared" si="12"/>
        <v>10000</v>
      </c>
      <c r="AL25" s="135">
        <f t="shared" si="12"/>
        <v>10000</v>
      </c>
      <c r="AM25" s="135">
        <f t="shared" si="12"/>
        <v>10000</v>
      </c>
      <c r="AN25" s="135">
        <f t="shared" si="12"/>
        <v>10000</v>
      </c>
      <c r="AO25" s="135">
        <f t="shared" si="12"/>
        <v>10000</v>
      </c>
      <c r="AP25" s="135">
        <f t="shared" si="12"/>
        <v>10000</v>
      </c>
    </row>
    <row r="26" spans="1:42" x14ac:dyDescent="0.2">
      <c r="A26" s="167" t="s">
        <v>52</v>
      </c>
      <c r="C26" s="168">
        <f t="shared" ref="C26:AP26" si="13">IF(C$2&lt;=AnalysisPeriod,OMCapacity*(1+Inflation+OMCapacityRealEsc)^B$2,0)</f>
        <v>22</v>
      </c>
      <c r="D26" s="168">
        <f t="shared" si="13"/>
        <v>22.494999999999997</v>
      </c>
      <c r="E26" s="168">
        <f t="shared" si="13"/>
        <v>23.001137499999999</v>
      </c>
      <c r="F26" s="168">
        <f t="shared" si="13"/>
        <v>23.518663093749996</v>
      </c>
      <c r="G26" s="168">
        <f t="shared" si="13"/>
        <v>24.047833013359369</v>
      </c>
      <c r="H26" s="168">
        <f t="shared" si="13"/>
        <v>24.588909256159958</v>
      </c>
      <c r="I26" s="168">
        <f t="shared" si="13"/>
        <v>25.142159714423553</v>
      </c>
      <c r="J26" s="168">
        <f t="shared" si="13"/>
        <v>25.70785830799808</v>
      </c>
      <c r="K26" s="168">
        <f t="shared" si="13"/>
        <v>26.286285119928035</v>
      </c>
      <c r="L26" s="168">
        <f t="shared" si="13"/>
        <v>26.877726535126413</v>
      </c>
      <c r="M26" s="168">
        <f t="shared" si="13"/>
        <v>27.482475382166754</v>
      </c>
      <c r="N26" s="168">
        <f t="shared" si="13"/>
        <v>28.100831078265504</v>
      </c>
      <c r="O26" s="168">
        <f t="shared" si="13"/>
        <v>28.73309977752648</v>
      </c>
      <c r="P26" s="168">
        <f t="shared" si="13"/>
        <v>29.379594522520826</v>
      </c>
      <c r="Q26" s="168">
        <f t="shared" si="13"/>
        <v>30.040635399277544</v>
      </c>
      <c r="R26" s="168">
        <f t="shared" si="13"/>
        <v>30.716549695761287</v>
      </c>
      <c r="S26" s="168">
        <f t="shared" si="13"/>
        <v>31.407672063915907</v>
      </c>
      <c r="T26" s="168">
        <f t="shared" si="13"/>
        <v>32.114344685354013</v>
      </c>
      <c r="U26" s="168">
        <f t="shared" si="13"/>
        <v>32.836917440774478</v>
      </c>
      <c r="V26" s="168">
        <f t="shared" si="13"/>
        <v>33.575748083191904</v>
      </c>
      <c r="W26" s="168">
        <f t="shared" si="13"/>
        <v>34.331202415063721</v>
      </c>
      <c r="X26" s="168">
        <f t="shared" si="13"/>
        <v>35.103654469402656</v>
      </c>
      <c r="Y26" s="168">
        <f t="shared" si="13"/>
        <v>35.89348669496421</v>
      </c>
      <c r="Z26" s="168">
        <f t="shared" si="13"/>
        <v>36.701090145600901</v>
      </c>
      <c r="AA26" s="168">
        <f t="shared" si="13"/>
        <v>37.526864673876915</v>
      </c>
      <c r="AB26" s="168">
        <f t="shared" si="13"/>
        <v>38.37121912903914</v>
      </c>
      <c r="AC26" s="168">
        <f t="shared" si="13"/>
        <v>39.234571559442522</v>
      </c>
      <c r="AD26" s="168">
        <f t="shared" si="13"/>
        <v>40.117349419529972</v>
      </c>
      <c r="AE26" s="168">
        <f t="shared" si="13"/>
        <v>41.019989781469398</v>
      </c>
      <c r="AF26" s="168">
        <f t="shared" si="13"/>
        <v>41.942939551552463</v>
      </c>
      <c r="AG26" s="168">
        <f t="shared" si="13"/>
        <v>42.886655691462394</v>
      </c>
      <c r="AH26" s="168">
        <f t="shared" si="13"/>
        <v>43.851605444520295</v>
      </c>
      <c r="AI26" s="168">
        <f t="shared" si="13"/>
        <v>44.838266567021989</v>
      </c>
      <c r="AJ26" s="168">
        <f t="shared" si="13"/>
        <v>45.847127564779981</v>
      </c>
      <c r="AK26" s="168">
        <f t="shared" si="13"/>
        <v>46.878687934987525</v>
      </c>
      <c r="AL26" s="168">
        <f t="shared" si="13"/>
        <v>47.933458413524747</v>
      </c>
      <c r="AM26" s="168">
        <f t="shared" si="13"/>
        <v>49.011961227829048</v>
      </c>
      <c r="AN26" s="168">
        <f t="shared" si="13"/>
        <v>50.114730355455208</v>
      </c>
      <c r="AO26" s="168">
        <f t="shared" si="13"/>
        <v>51.242311788452945</v>
      </c>
      <c r="AP26" s="168">
        <f t="shared" si="13"/>
        <v>52.395263803693133</v>
      </c>
    </row>
    <row r="27" spans="1:42" x14ac:dyDescent="0.2">
      <c r="A27" s="167" t="s">
        <v>53</v>
      </c>
      <c r="C27" s="135">
        <f>C25*C26</f>
        <v>220000</v>
      </c>
      <c r="D27" s="135">
        <f t="shared" ref="D27:AP27" si="14">D25*D26</f>
        <v>224949.99999999997</v>
      </c>
      <c r="E27" s="135">
        <f t="shared" si="14"/>
        <v>230011.375</v>
      </c>
      <c r="F27" s="135">
        <f t="shared" si="14"/>
        <v>235186.63093749995</v>
      </c>
      <c r="G27" s="135">
        <f t="shared" si="14"/>
        <v>240478.3301335937</v>
      </c>
      <c r="H27" s="135">
        <f t="shared" si="14"/>
        <v>245889.09256159959</v>
      </c>
      <c r="I27" s="135">
        <f t="shared" si="14"/>
        <v>251421.59714423554</v>
      </c>
      <c r="J27" s="135">
        <f t="shared" si="14"/>
        <v>257078.5830799808</v>
      </c>
      <c r="K27" s="135">
        <f t="shared" si="14"/>
        <v>262862.85119928035</v>
      </c>
      <c r="L27" s="135">
        <f t="shared" si="14"/>
        <v>268777.26535126416</v>
      </c>
      <c r="M27" s="135">
        <f t="shared" si="14"/>
        <v>274824.75382166752</v>
      </c>
      <c r="N27" s="135">
        <f t="shared" si="14"/>
        <v>281008.31078265503</v>
      </c>
      <c r="O27" s="135">
        <f t="shared" si="14"/>
        <v>287330.99777526478</v>
      </c>
      <c r="P27" s="135">
        <f t="shared" si="14"/>
        <v>293795.94522520824</v>
      </c>
      <c r="Q27" s="135">
        <f t="shared" si="14"/>
        <v>300406.35399277543</v>
      </c>
      <c r="R27" s="135">
        <f t="shared" si="14"/>
        <v>307165.49695761286</v>
      </c>
      <c r="S27" s="135">
        <f t="shared" si="14"/>
        <v>314076.72063915909</v>
      </c>
      <c r="T27" s="135">
        <f t="shared" si="14"/>
        <v>321143.44685354014</v>
      </c>
      <c r="U27" s="135">
        <f t="shared" si="14"/>
        <v>328369.17440774478</v>
      </c>
      <c r="V27" s="135">
        <f t="shared" si="14"/>
        <v>335757.48083191906</v>
      </c>
      <c r="W27" s="135">
        <f t="shared" si="14"/>
        <v>343312.02415063721</v>
      </c>
      <c r="X27" s="135">
        <f t="shared" si="14"/>
        <v>351036.54469402658</v>
      </c>
      <c r="Y27" s="135">
        <f t="shared" si="14"/>
        <v>358934.86694964208</v>
      </c>
      <c r="Z27" s="135">
        <f t="shared" si="14"/>
        <v>367010.90145600901</v>
      </c>
      <c r="AA27" s="135">
        <f t="shared" si="14"/>
        <v>375268.64673876914</v>
      </c>
      <c r="AB27" s="135">
        <f t="shared" si="14"/>
        <v>383712.19129039138</v>
      </c>
      <c r="AC27" s="135">
        <f t="shared" si="14"/>
        <v>392345.71559442522</v>
      </c>
      <c r="AD27" s="135">
        <f t="shared" si="14"/>
        <v>401173.49419529975</v>
      </c>
      <c r="AE27" s="135">
        <f t="shared" si="14"/>
        <v>410199.89781469398</v>
      </c>
      <c r="AF27" s="135">
        <f t="shared" si="14"/>
        <v>419429.39551552461</v>
      </c>
      <c r="AG27" s="135">
        <f t="shared" si="14"/>
        <v>428866.55691462394</v>
      </c>
      <c r="AH27" s="135">
        <f t="shared" si="14"/>
        <v>438516.05444520293</v>
      </c>
      <c r="AI27" s="135">
        <f t="shared" si="14"/>
        <v>448382.66567021987</v>
      </c>
      <c r="AJ27" s="135">
        <f t="shared" si="14"/>
        <v>458471.27564779983</v>
      </c>
      <c r="AK27" s="135">
        <f t="shared" si="14"/>
        <v>468786.87934987526</v>
      </c>
      <c r="AL27" s="135">
        <f t="shared" si="14"/>
        <v>479334.58413524745</v>
      </c>
      <c r="AM27" s="135">
        <f t="shared" si="14"/>
        <v>490119.6122782905</v>
      </c>
      <c r="AN27" s="135">
        <f t="shared" si="14"/>
        <v>501147.30355455208</v>
      </c>
      <c r="AO27" s="135">
        <f t="shared" si="14"/>
        <v>512423.11788452946</v>
      </c>
      <c r="AP27" s="135">
        <f t="shared" si="14"/>
        <v>523952.63803693134</v>
      </c>
    </row>
    <row r="28" spans="1:42" x14ac:dyDescent="0.2">
      <c r="A28" s="20" t="s">
        <v>9</v>
      </c>
    </row>
    <row r="29" spans="1:42" x14ac:dyDescent="0.2">
      <c r="A29" s="167" t="s">
        <v>55</v>
      </c>
      <c r="C29" s="135">
        <f>C5/1000</f>
        <v>16188.48</v>
      </c>
      <c r="D29" s="135">
        <f t="shared" ref="D29:AP29" si="15">D5/1000</f>
        <v>16107.5376</v>
      </c>
      <c r="E29" s="135">
        <f t="shared" si="15"/>
        <v>16026.999912000001</v>
      </c>
      <c r="F29" s="135">
        <f t="shared" si="15"/>
        <v>15946.86491244</v>
      </c>
      <c r="G29" s="135">
        <f t="shared" si="15"/>
        <v>15867.1305878778</v>
      </c>
      <c r="H29" s="135">
        <f t="shared" si="15"/>
        <v>15787.794934938413</v>
      </c>
      <c r="I29" s="135">
        <f t="shared" si="15"/>
        <v>15708.85596026372</v>
      </c>
      <c r="J29" s="135">
        <f t="shared" si="15"/>
        <v>15630.311680462401</v>
      </c>
      <c r="K29" s="135">
        <f t="shared" si="15"/>
        <v>15552.16012206009</v>
      </c>
      <c r="L29" s="135">
        <f t="shared" si="15"/>
        <v>15474.399321449788</v>
      </c>
      <c r="M29" s="135">
        <f t="shared" si="15"/>
        <v>15397.02732484254</v>
      </c>
      <c r="N29" s="135">
        <f t="shared" si="15"/>
        <v>15320.042188218327</v>
      </c>
      <c r="O29" s="135">
        <f t="shared" si="15"/>
        <v>15243.441977277236</v>
      </c>
      <c r="P29" s="135">
        <f t="shared" si="15"/>
        <v>15167.224767390851</v>
      </c>
      <c r="Q29" s="135">
        <f t="shared" si="15"/>
        <v>15091.388643553897</v>
      </c>
      <c r="R29" s="135">
        <f t="shared" si="15"/>
        <v>15015.931700336127</v>
      </c>
      <c r="S29" s="135">
        <f t="shared" si="15"/>
        <v>14940.852041834445</v>
      </c>
      <c r="T29" s="135">
        <f t="shared" si="15"/>
        <v>14866.147781625275</v>
      </c>
      <c r="U29" s="135">
        <f t="shared" si="15"/>
        <v>14791.817042717148</v>
      </c>
      <c r="V29" s="135">
        <f t="shared" si="15"/>
        <v>14717.85795750356</v>
      </c>
      <c r="W29" s="135">
        <f t="shared" si="15"/>
        <v>14644.268667716045</v>
      </c>
      <c r="X29" s="135">
        <f t="shared" si="15"/>
        <v>14571.047324377465</v>
      </c>
      <c r="Y29" s="135">
        <f t="shared" si="15"/>
        <v>14498.192087755579</v>
      </c>
      <c r="Z29" s="135">
        <f t="shared" si="15"/>
        <v>14425.701127316799</v>
      </c>
      <c r="AA29" s="135">
        <f t="shared" si="15"/>
        <v>14353.572621680216</v>
      </c>
      <c r="AB29" s="135">
        <f t="shared" si="15"/>
        <v>14281.804758571814</v>
      </c>
      <c r="AC29" s="135">
        <f t="shared" si="15"/>
        <v>14210.395734778956</v>
      </c>
      <c r="AD29" s="135">
        <f t="shared" si="15"/>
        <v>14139.34375610506</v>
      </c>
      <c r="AE29" s="135">
        <f t="shared" si="15"/>
        <v>14068.647037324537</v>
      </c>
      <c r="AF29" s="135">
        <f t="shared" si="15"/>
        <v>13998.303802137914</v>
      </c>
      <c r="AG29" s="135">
        <f t="shared" si="15"/>
        <v>13928.312283127225</v>
      </c>
      <c r="AH29" s="135">
        <f t="shared" si="15"/>
        <v>13858.670721711587</v>
      </c>
      <c r="AI29" s="135">
        <f t="shared" si="15"/>
        <v>13789.377368103029</v>
      </c>
      <c r="AJ29" s="135">
        <f t="shared" si="15"/>
        <v>13720.430481262514</v>
      </c>
      <c r="AK29" s="135">
        <f t="shared" si="15"/>
        <v>13651.828328856202</v>
      </c>
      <c r="AL29" s="135">
        <f t="shared" si="15"/>
        <v>13583.569187211922</v>
      </c>
      <c r="AM29" s="135">
        <f t="shared" si="15"/>
        <v>13515.651341275861</v>
      </c>
      <c r="AN29" s="135">
        <f t="shared" si="15"/>
        <v>13448.073084569483</v>
      </c>
      <c r="AO29" s="135">
        <f t="shared" si="15"/>
        <v>13380.832719146636</v>
      </c>
      <c r="AP29" s="135">
        <f t="shared" si="15"/>
        <v>13313.928555550903</v>
      </c>
    </row>
    <row r="30" spans="1:42" x14ac:dyDescent="0.2">
      <c r="A30" s="167" t="s">
        <v>56</v>
      </c>
      <c r="C30" s="168">
        <f t="shared" ref="C30:AP30" si="16">IF(C$2&lt;=AnalysisPeriod,OMVariable*(1+Inflation+OMVariableRealEsc)^B$2,0)</f>
        <v>3.5</v>
      </c>
      <c r="D30" s="168">
        <f t="shared" si="16"/>
        <v>3.5524999999999998</v>
      </c>
      <c r="E30" s="168">
        <f t="shared" si="16"/>
        <v>3.605787499999999</v>
      </c>
      <c r="F30" s="168">
        <f t="shared" si="16"/>
        <v>3.6598743124999986</v>
      </c>
      <c r="G30" s="168">
        <f t="shared" si="16"/>
        <v>3.7147724271874978</v>
      </c>
      <c r="H30" s="168">
        <f t="shared" si="16"/>
        <v>3.77049401359531</v>
      </c>
      <c r="I30" s="168">
        <f t="shared" si="16"/>
        <v>3.8270514237992388</v>
      </c>
      <c r="J30" s="168">
        <f t="shared" si="16"/>
        <v>3.884457195156227</v>
      </c>
      <c r="K30" s="168">
        <f t="shared" si="16"/>
        <v>3.9427240530835701</v>
      </c>
      <c r="L30" s="168">
        <f t="shared" si="16"/>
        <v>4.0018649138798228</v>
      </c>
      <c r="M30" s="168">
        <f t="shared" si="16"/>
        <v>4.0618928875880203</v>
      </c>
      <c r="N30" s="168">
        <f t="shared" si="16"/>
        <v>4.1228212809018396</v>
      </c>
      <c r="O30" s="168">
        <f t="shared" si="16"/>
        <v>4.1846636001153668</v>
      </c>
      <c r="P30" s="168">
        <f t="shared" si="16"/>
        <v>4.2474335541170962</v>
      </c>
      <c r="Q30" s="168">
        <f t="shared" si="16"/>
        <v>4.3111450574288517</v>
      </c>
      <c r="R30" s="168">
        <f t="shared" si="16"/>
        <v>4.3758122332902847</v>
      </c>
      <c r="S30" s="168">
        <f t="shared" si="16"/>
        <v>4.4414494167896379</v>
      </c>
      <c r="T30" s="168">
        <f t="shared" si="16"/>
        <v>4.5080711580414814</v>
      </c>
      <c r="U30" s="168">
        <f t="shared" si="16"/>
        <v>4.5756922254121033</v>
      </c>
      <c r="V30" s="168">
        <f t="shared" si="16"/>
        <v>4.6443276087932848</v>
      </c>
      <c r="W30" s="168">
        <f t="shared" si="16"/>
        <v>4.7139925229251824</v>
      </c>
      <c r="X30" s="168">
        <f t="shared" si="16"/>
        <v>4.7847024107690599</v>
      </c>
      <c r="Y30" s="168">
        <f t="shared" si="16"/>
        <v>4.8564729469305945</v>
      </c>
      <c r="Z30" s="168">
        <f t="shared" si="16"/>
        <v>4.9293200411345532</v>
      </c>
      <c r="AA30" s="168">
        <f t="shared" si="16"/>
        <v>5.0032598417515715</v>
      </c>
      <c r="AB30" s="168">
        <f t="shared" si="16"/>
        <v>5.0783087393778441</v>
      </c>
      <c r="AC30" s="168">
        <f t="shared" si="16"/>
        <v>5.1544833704685109</v>
      </c>
      <c r="AD30" s="168">
        <f t="shared" si="16"/>
        <v>5.2318006210255383</v>
      </c>
      <c r="AE30" s="168">
        <f t="shared" si="16"/>
        <v>5.31027763034092</v>
      </c>
      <c r="AF30" s="168">
        <f t="shared" si="16"/>
        <v>5.3899317947960341</v>
      </c>
      <c r="AG30" s="168">
        <f t="shared" si="16"/>
        <v>5.4707807717179726</v>
      </c>
      <c r="AH30" s="168">
        <f t="shared" si="16"/>
        <v>5.552842483293742</v>
      </c>
      <c r="AI30" s="168">
        <f t="shared" si="16"/>
        <v>5.6361351205431474</v>
      </c>
      <c r="AJ30" s="168">
        <f t="shared" si="16"/>
        <v>5.7206771473512932</v>
      </c>
      <c r="AK30" s="168">
        <f t="shared" si="16"/>
        <v>5.8064873045615624</v>
      </c>
      <c r="AL30" s="168">
        <f t="shared" si="16"/>
        <v>5.8935846141299848</v>
      </c>
      <c r="AM30" s="168">
        <f t="shared" si="16"/>
        <v>5.9819883833419345</v>
      </c>
      <c r="AN30" s="168">
        <f t="shared" si="16"/>
        <v>6.0717182090920616</v>
      </c>
      <c r="AO30" s="168">
        <f t="shared" si="16"/>
        <v>6.1627939822284423</v>
      </c>
      <c r="AP30" s="168">
        <f t="shared" si="16"/>
        <v>6.2552358919618678</v>
      </c>
    </row>
    <row r="31" spans="1:42" x14ac:dyDescent="0.2">
      <c r="A31" s="167" t="s">
        <v>53</v>
      </c>
      <c r="C31" s="171">
        <f>C29*C30</f>
        <v>56659.68</v>
      </c>
      <c r="D31" s="171">
        <f t="shared" ref="D31:AP31" si="17">D29*D30</f>
        <v>57222.027323999995</v>
      </c>
      <c r="E31" s="171">
        <f t="shared" si="17"/>
        <v>57789.95594519069</v>
      </c>
      <c r="F31" s="171">
        <f t="shared" si="17"/>
        <v>58363.521257946697</v>
      </c>
      <c r="G31" s="171">
        <f t="shared" si="17"/>
        <v>58942.779206431806</v>
      </c>
      <c r="H31" s="171">
        <f t="shared" si="17"/>
        <v>59527.786290055643</v>
      </c>
      <c r="I31" s="171">
        <f t="shared" si="17"/>
        <v>60118.599568984428</v>
      </c>
      <c r="J31" s="171">
        <f t="shared" si="17"/>
        <v>60715.276669706589</v>
      </c>
      <c r="K31" s="171">
        <f t="shared" si="17"/>
        <v>61317.87579065343</v>
      </c>
      <c r="L31" s="171">
        <f t="shared" si="17"/>
        <v>61926.455707875641</v>
      </c>
      <c r="M31" s="171">
        <f t="shared" si="17"/>
        <v>62541.075780776315</v>
      </c>
      <c r="N31" s="171">
        <f t="shared" si="17"/>
        <v>63161.795957900504</v>
      </c>
      <c r="O31" s="171">
        <f t="shared" si="17"/>
        <v>63788.676782782662</v>
      </c>
      <c r="P31" s="171">
        <f t="shared" si="17"/>
        <v>64421.779399851774</v>
      </c>
      <c r="Q31" s="171">
        <f t="shared" si="17"/>
        <v>65061.165560395282</v>
      </c>
      <c r="R31" s="171">
        <f t="shared" si="17"/>
        <v>65706.897628582214</v>
      </c>
      <c r="S31" s="171">
        <f t="shared" si="17"/>
        <v>66359.03858754586</v>
      </c>
      <c r="T31" s="171">
        <f t="shared" si="17"/>
        <v>67017.652045527255</v>
      </c>
      <c r="U31" s="171">
        <f t="shared" si="17"/>
        <v>67682.802242079109</v>
      </c>
      <c r="V31" s="171">
        <f t="shared" si="17"/>
        <v>68354.554054331733</v>
      </c>
      <c r="W31" s="171">
        <f t="shared" si="17"/>
        <v>69032.973003320963</v>
      </c>
      <c r="X31" s="171">
        <f t="shared" si="17"/>
        <v>69718.125260378918</v>
      </c>
      <c r="Y31" s="171">
        <f t="shared" si="17"/>
        <v>70410.07765358816</v>
      </c>
      <c r="Z31" s="171">
        <f t="shared" si="17"/>
        <v>71108.897674300009</v>
      </c>
      <c r="AA31" s="171">
        <f t="shared" si="17"/>
        <v>71814.65348371744</v>
      </c>
      <c r="AB31" s="171">
        <f t="shared" si="17"/>
        <v>72527.413919543324</v>
      </c>
      <c r="AC31" s="171">
        <f t="shared" si="17"/>
        <v>73247.248502694783</v>
      </c>
      <c r="AD31" s="171">
        <f t="shared" si="17"/>
        <v>73974.227444084012</v>
      </c>
      <c r="AE31" s="171">
        <f t="shared" si="17"/>
        <v>74708.421651466546</v>
      </c>
      <c r="AF31" s="171">
        <f t="shared" si="17"/>
        <v>75449.902736357355</v>
      </c>
      <c r="AG31" s="171">
        <f t="shared" si="17"/>
        <v>76198.743021015674</v>
      </c>
      <c r="AH31" s="171">
        <f t="shared" si="17"/>
        <v>76955.015545499249</v>
      </c>
      <c r="AI31" s="171">
        <f t="shared" si="17"/>
        <v>77718.794074788311</v>
      </c>
      <c r="AJ31" s="171">
        <f t="shared" si="17"/>
        <v>78490.153105980571</v>
      </c>
      <c r="AK31" s="171">
        <f t="shared" si="17"/>
        <v>79269.167875557425</v>
      </c>
      <c r="AL31" s="171">
        <f t="shared" si="17"/>
        <v>80055.914366722325</v>
      </c>
      <c r="AM31" s="171">
        <f t="shared" si="17"/>
        <v>80850.469316812043</v>
      </c>
      <c r="AN31" s="171">
        <f t="shared" si="17"/>
        <v>81652.910224781386</v>
      </c>
      <c r="AO31" s="171">
        <f t="shared" si="17"/>
        <v>82463.315358762338</v>
      </c>
      <c r="AP31" s="171">
        <f t="shared" si="17"/>
        <v>83281.763763698036</v>
      </c>
    </row>
    <row r="32" spans="1:42" x14ac:dyDescent="0.2">
      <c r="A32" s="163" t="s">
        <v>22</v>
      </c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</row>
    <row r="33" spans="1:42" x14ac:dyDescent="0.2">
      <c r="A33" s="172" t="s">
        <v>257</v>
      </c>
      <c r="C33" s="169">
        <f>IF(C$2&lt;=AnalysisPeriod,'Inputs &amp; Results'!$J$6,0)</f>
        <v>40227150</v>
      </c>
      <c r="D33" s="169">
        <f>IF(D$2&lt;=AnalysisPeriod,'Inputs &amp; Results'!$J$6,0)</f>
        <v>40227150</v>
      </c>
      <c r="E33" s="169">
        <f>IF(E$2&lt;=AnalysisPeriod,'Inputs &amp; Results'!$J$6,0)</f>
        <v>40227150</v>
      </c>
      <c r="F33" s="169">
        <f>IF(F$2&lt;=AnalysisPeriod,'Inputs &amp; Results'!$J$6,0)</f>
        <v>40227150</v>
      </c>
      <c r="G33" s="169">
        <f>IF(G$2&lt;=AnalysisPeriod,'Inputs &amp; Results'!$J$6,0)</f>
        <v>40227150</v>
      </c>
      <c r="H33" s="169">
        <f>IF(H$2&lt;=AnalysisPeriod,'Inputs &amp; Results'!$J$6,0)</f>
        <v>40227150</v>
      </c>
      <c r="I33" s="169">
        <f>IF(I$2&lt;=AnalysisPeriod,'Inputs &amp; Results'!$J$6,0)</f>
        <v>40227150</v>
      </c>
      <c r="J33" s="169">
        <f>IF(J$2&lt;=AnalysisPeriod,'Inputs &amp; Results'!$J$6,0)</f>
        <v>40227150</v>
      </c>
      <c r="K33" s="169">
        <f>IF(K$2&lt;=AnalysisPeriod,'Inputs &amp; Results'!$J$6,0)</f>
        <v>40227150</v>
      </c>
      <c r="L33" s="169">
        <f>IF(L$2&lt;=AnalysisPeriod,'Inputs &amp; Results'!$J$6,0)</f>
        <v>40227150</v>
      </c>
      <c r="M33" s="169">
        <f>IF(M$2&lt;=AnalysisPeriod,'Inputs &amp; Results'!$J$6,0)</f>
        <v>40227150</v>
      </c>
      <c r="N33" s="169">
        <f>IF(N$2&lt;=AnalysisPeriod,'Inputs &amp; Results'!$J$6,0)</f>
        <v>40227150</v>
      </c>
      <c r="O33" s="169">
        <f>IF(O$2&lt;=AnalysisPeriod,'Inputs &amp; Results'!$J$6,0)</f>
        <v>40227150</v>
      </c>
      <c r="P33" s="169">
        <f>IF(P$2&lt;=AnalysisPeriod,'Inputs &amp; Results'!$J$6,0)</f>
        <v>40227150</v>
      </c>
      <c r="Q33" s="169">
        <f>IF(Q$2&lt;=AnalysisPeriod,'Inputs &amp; Results'!$J$6,0)</f>
        <v>40227150</v>
      </c>
      <c r="R33" s="169">
        <f>IF(R$2&lt;=AnalysisPeriod,'Inputs &amp; Results'!$J$6,0)</f>
        <v>40227150</v>
      </c>
      <c r="S33" s="169">
        <f>IF(S$2&lt;=AnalysisPeriod,'Inputs &amp; Results'!$J$6,0)</f>
        <v>40227150</v>
      </c>
      <c r="T33" s="169">
        <f>IF(T$2&lt;=AnalysisPeriod,'Inputs &amp; Results'!$J$6,0)</f>
        <v>40227150</v>
      </c>
      <c r="U33" s="169">
        <f>IF(U$2&lt;=AnalysisPeriod,'Inputs &amp; Results'!$J$6,0)</f>
        <v>40227150</v>
      </c>
      <c r="V33" s="169">
        <f>IF(V$2&lt;=AnalysisPeriod,'Inputs &amp; Results'!$J$6,0)</f>
        <v>40227150</v>
      </c>
      <c r="W33" s="169">
        <f>IF(W$2&lt;=AnalysisPeriod,'Inputs &amp; Results'!$J$6,0)</f>
        <v>40227150</v>
      </c>
      <c r="X33" s="169">
        <f>IF(X$2&lt;=AnalysisPeriod,'Inputs &amp; Results'!$J$6,0)</f>
        <v>40227150</v>
      </c>
      <c r="Y33" s="169">
        <f>IF(Y$2&lt;=AnalysisPeriod,'Inputs &amp; Results'!$J$6,0)</f>
        <v>40227150</v>
      </c>
      <c r="Z33" s="169">
        <f>IF(Z$2&lt;=AnalysisPeriod,'Inputs &amp; Results'!$J$6,0)</f>
        <v>40227150</v>
      </c>
      <c r="AA33" s="169">
        <f>IF(AA$2&lt;=AnalysisPeriod,'Inputs &amp; Results'!$J$6,0)</f>
        <v>40227150</v>
      </c>
      <c r="AB33" s="169">
        <f>IF(AB$2&lt;=AnalysisPeriod,'Inputs &amp; Results'!$J$6,0)</f>
        <v>40227150</v>
      </c>
      <c r="AC33" s="169">
        <f>IF(AC$2&lt;=AnalysisPeriod,'Inputs &amp; Results'!$J$6,0)</f>
        <v>40227150</v>
      </c>
      <c r="AD33" s="169">
        <f>IF(AD$2&lt;=AnalysisPeriod,'Inputs &amp; Results'!$J$6,0)</f>
        <v>40227150</v>
      </c>
      <c r="AE33" s="169">
        <f>IF(AE$2&lt;=AnalysisPeriod,'Inputs &amp; Results'!$J$6,0)</f>
        <v>40227150</v>
      </c>
      <c r="AF33" s="169">
        <f>IF(AF$2&lt;=AnalysisPeriod,'Inputs &amp; Results'!$J$6,0)</f>
        <v>40227150</v>
      </c>
      <c r="AG33" s="169">
        <f>IF(AG$2&lt;=AnalysisPeriod,'Inputs &amp; Results'!$J$6,0)</f>
        <v>40227150</v>
      </c>
      <c r="AH33" s="169">
        <f>IF(AH$2&lt;=AnalysisPeriod,'Inputs &amp; Results'!$J$6,0)</f>
        <v>40227150</v>
      </c>
      <c r="AI33" s="169">
        <f>IF(AI$2&lt;=AnalysisPeriod,'Inputs &amp; Results'!$J$6,0)</f>
        <v>40227150</v>
      </c>
      <c r="AJ33" s="169">
        <f>IF(AJ$2&lt;=AnalysisPeriod,'Inputs &amp; Results'!$J$6,0)</f>
        <v>40227150</v>
      </c>
      <c r="AK33" s="169">
        <f>IF(AK$2&lt;=AnalysisPeriod,'Inputs &amp; Results'!$J$6,0)</f>
        <v>40227150</v>
      </c>
      <c r="AL33" s="169">
        <f>IF(AL$2&lt;=AnalysisPeriod,'Inputs &amp; Results'!$J$6,0)</f>
        <v>40227150</v>
      </c>
      <c r="AM33" s="169">
        <f>IF(AM$2&lt;=AnalysisPeriod,'Inputs &amp; Results'!$J$6,0)</f>
        <v>40227150</v>
      </c>
      <c r="AN33" s="169">
        <f>IF(AN$2&lt;=AnalysisPeriod,'Inputs &amp; Results'!$J$6,0)</f>
        <v>40227150</v>
      </c>
      <c r="AO33" s="169">
        <f>IF(AO$2&lt;=AnalysisPeriod,'Inputs &amp; Results'!$J$6,0)</f>
        <v>40227150</v>
      </c>
      <c r="AP33" s="169">
        <f>IF(AP$2&lt;=AnalysisPeriod,'Inputs &amp; Results'!$J$6,0)</f>
        <v>40227150</v>
      </c>
    </row>
    <row r="34" spans="1:42" x14ac:dyDescent="0.2">
      <c r="A34" s="172" t="s">
        <v>258</v>
      </c>
      <c r="C34" s="173">
        <f>IF(D$2&lt;=AnalysisPeriod,'Inputs &amp; Results'!$J$7,0)</f>
        <v>0.95</v>
      </c>
      <c r="D34" s="173">
        <f>'Inputs &amp; Results'!$J$7</f>
        <v>0.95</v>
      </c>
      <c r="E34" s="173">
        <f>'Inputs &amp; Results'!$J$7</f>
        <v>0.95</v>
      </c>
      <c r="F34" s="173">
        <f>'Inputs &amp; Results'!$J$7</f>
        <v>0.95</v>
      </c>
      <c r="G34" s="173">
        <f>'Inputs &amp; Results'!$J$7</f>
        <v>0.95</v>
      </c>
      <c r="H34" s="173">
        <f>'Inputs &amp; Results'!$J$7</f>
        <v>0.95</v>
      </c>
      <c r="I34" s="173">
        <f>'Inputs &amp; Results'!$J$7</f>
        <v>0.95</v>
      </c>
      <c r="J34" s="173">
        <f>'Inputs &amp; Results'!$J$7</f>
        <v>0.95</v>
      </c>
      <c r="K34" s="173">
        <f>'Inputs &amp; Results'!$J$7</f>
        <v>0.95</v>
      </c>
      <c r="L34" s="173">
        <f>'Inputs &amp; Results'!$J$7</f>
        <v>0.95</v>
      </c>
      <c r="M34" s="173">
        <f>'Inputs &amp; Results'!$J$7</f>
        <v>0.95</v>
      </c>
      <c r="N34" s="173">
        <f>'Inputs &amp; Results'!$J$7</f>
        <v>0.95</v>
      </c>
      <c r="O34" s="173">
        <f>'Inputs &amp; Results'!$J$7</f>
        <v>0.95</v>
      </c>
      <c r="P34" s="173">
        <f>'Inputs &amp; Results'!$J$7</f>
        <v>0.95</v>
      </c>
      <c r="Q34" s="173">
        <f>'Inputs &amp; Results'!$J$7</f>
        <v>0.95</v>
      </c>
      <c r="R34" s="173">
        <f>'Inputs &amp; Results'!$J$7</f>
        <v>0.95</v>
      </c>
      <c r="S34" s="173">
        <f>'Inputs &amp; Results'!$J$7</f>
        <v>0.95</v>
      </c>
      <c r="T34" s="173">
        <f>'Inputs &amp; Results'!$J$7</f>
        <v>0.95</v>
      </c>
      <c r="U34" s="173">
        <f>'Inputs &amp; Results'!$J$7</f>
        <v>0.95</v>
      </c>
      <c r="V34" s="173">
        <f>'Inputs &amp; Results'!$J$7</f>
        <v>0.95</v>
      </c>
      <c r="W34" s="173">
        <f>'Inputs &amp; Results'!$J$7</f>
        <v>0.95</v>
      </c>
      <c r="X34" s="173">
        <f>'Inputs &amp; Results'!$J$7</f>
        <v>0.95</v>
      </c>
      <c r="Y34" s="173">
        <f>'Inputs &amp; Results'!$J$7</f>
        <v>0.95</v>
      </c>
      <c r="Z34" s="173">
        <f>'Inputs &amp; Results'!$J$7</f>
        <v>0.95</v>
      </c>
      <c r="AA34" s="173">
        <f>'Inputs &amp; Results'!$J$7</f>
        <v>0.95</v>
      </c>
      <c r="AB34" s="173">
        <f>'Inputs &amp; Results'!$J$7</f>
        <v>0.95</v>
      </c>
      <c r="AC34" s="173">
        <f>'Inputs &amp; Results'!$J$7</f>
        <v>0.95</v>
      </c>
      <c r="AD34" s="173">
        <f>'Inputs &amp; Results'!$J$7</f>
        <v>0.95</v>
      </c>
      <c r="AE34" s="173">
        <f>'Inputs &amp; Results'!$J$7</f>
        <v>0.95</v>
      </c>
      <c r="AF34" s="173">
        <f>'Inputs &amp; Results'!$J$7</f>
        <v>0.95</v>
      </c>
      <c r="AG34" s="173">
        <f>'Inputs &amp; Results'!$J$7</f>
        <v>0.95</v>
      </c>
      <c r="AH34" s="173">
        <f>'Inputs &amp; Results'!$J$7</f>
        <v>0.95</v>
      </c>
      <c r="AI34" s="173">
        <f>'Inputs &amp; Results'!$J$7</f>
        <v>0.95</v>
      </c>
      <c r="AJ34" s="173">
        <f>'Inputs &amp; Results'!$J$7</f>
        <v>0.95</v>
      </c>
      <c r="AK34" s="173">
        <f>'Inputs &amp; Results'!$J$7</f>
        <v>0.95</v>
      </c>
      <c r="AL34" s="173">
        <f>'Inputs &amp; Results'!$J$7</f>
        <v>0.95</v>
      </c>
      <c r="AM34" s="173">
        <f>'Inputs &amp; Results'!$J$7</f>
        <v>0.95</v>
      </c>
      <c r="AN34" s="173">
        <f>'Inputs &amp; Results'!$J$7</f>
        <v>0.95</v>
      </c>
      <c r="AO34" s="173">
        <f>'Inputs &amp; Results'!$J$7</f>
        <v>0.95</v>
      </c>
      <c r="AP34" s="173">
        <f>'Inputs &amp; Results'!$J$7</f>
        <v>0.95</v>
      </c>
    </row>
    <row r="35" spans="1:42" x14ac:dyDescent="0.2">
      <c r="A35" s="172" t="s">
        <v>308</v>
      </c>
      <c r="C35" s="169">
        <f>C33*C34</f>
        <v>38215792.5</v>
      </c>
      <c r="D35" s="169">
        <f>D33*D34</f>
        <v>38215792.5</v>
      </c>
      <c r="E35" s="169">
        <f t="shared" ref="E35:K35" si="18">E33*E34</f>
        <v>38215792.5</v>
      </c>
      <c r="F35" s="169">
        <f t="shared" si="18"/>
        <v>38215792.5</v>
      </c>
      <c r="G35" s="169">
        <f t="shared" si="18"/>
        <v>38215792.5</v>
      </c>
      <c r="H35" s="169">
        <f t="shared" si="18"/>
        <v>38215792.5</v>
      </c>
      <c r="I35" s="169">
        <f t="shared" si="18"/>
        <v>38215792.5</v>
      </c>
      <c r="J35" s="169">
        <f t="shared" si="18"/>
        <v>38215792.5</v>
      </c>
      <c r="K35" s="169">
        <f t="shared" si="18"/>
        <v>38215792.5</v>
      </c>
      <c r="L35" s="169">
        <f>L33*L34</f>
        <v>38215792.5</v>
      </c>
      <c r="M35" s="169">
        <f t="shared" ref="M35:R35" si="19">M33*M34</f>
        <v>38215792.5</v>
      </c>
      <c r="N35" s="169">
        <f t="shared" si="19"/>
        <v>38215792.5</v>
      </c>
      <c r="O35" s="169">
        <f t="shared" si="19"/>
        <v>38215792.5</v>
      </c>
      <c r="P35" s="169">
        <f t="shared" si="19"/>
        <v>38215792.5</v>
      </c>
      <c r="Q35" s="169">
        <f t="shared" si="19"/>
        <v>38215792.5</v>
      </c>
      <c r="R35" s="169">
        <f t="shared" si="19"/>
        <v>38215792.5</v>
      </c>
      <c r="S35" s="169">
        <f>S33*S34</f>
        <v>38215792.5</v>
      </c>
      <c r="T35" s="169">
        <f t="shared" ref="T35:X35" si="20">T33*T34</f>
        <v>38215792.5</v>
      </c>
      <c r="U35" s="169">
        <f t="shared" si="20"/>
        <v>38215792.5</v>
      </c>
      <c r="V35" s="169">
        <f t="shared" si="20"/>
        <v>38215792.5</v>
      </c>
      <c r="W35" s="169">
        <f t="shared" si="20"/>
        <v>38215792.5</v>
      </c>
      <c r="X35" s="169">
        <f t="shared" si="20"/>
        <v>38215792.5</v>
      </c>
      <c r="Y35" s="169">
        <f>Y33*Y34</f>
        <v>38215792.5</v>
      </c>
      <c r="Z35" s="169">
        <f t="shared" ref="Z35:AF35" si="21">Z33*Z34</f>
        <v>38215792.5</v>
      </c>
      <c r="AA35" s="169">
        <f t="shared" si="21"/>
        <v>38215792.5</v>
      </c>
      <c r="AB35" s="169">
        <f t="shared" si="21"/>
        <v>38215792.5</v>
      </c>
      <c r="AC35" s="169">
        <f t="shared" si="21"/>
        <v>38215792.5</v>
      </c>
      <c r="AD35" s="169">
        <f t="shared" si="21"/>
        <v>38215792.5</v>
      </c>
      <c r="AE35" s="169">
        <f t="shared" si="21"/>
        <v>38215792.5</v>
      </c>
      <c r="AF35" s="169">
        <f t="shared" si="21"/>
        <v>38215792.5</v>
      </c>
      <c r="AG35" s="169">
        <f>AG33*AG34</f>
        <v>38215792.5</v>
      </c>
      <c r="AH35" s="169">
        <f t="shared" ref="AH35:AM35" si="22">AH33*AH34</f>
        <v>38215792.5</v>
      </c>
      <c r="AI35" s="169">
        <f t="shared" si="22"/>
        <v>38215792.5</v>
      </c>
      <c r="AJ35" s="169">
        <f t="shared" si="22"/>
        <v>38215792.5</v>
      </c>
      <c r="AK35" s="169">
        <f t="shared" si="22"/>
        <v>38215792.5</v>
      </c>
      <c r="AL35" s="169">
        <f t="shared" si="22"/>
        <v>38215792.5</v>
      </c>
      <c r="AM35" s="169">
        <f t="shared" si="22"/>
        <v>38215792.5</v>
      </c>
      <c r="AN35" s="169">
        <f>AN33*AN34</f>
        <v>38215792.5</v>
      </c>
      <c r="AO35" s="169">
        <f t="shared" ref="AO35:AP35" si="23">AO33*AO34</f>
        <v>38215792.5</v>
      </c>
      <c r="AP35" s="169">
        <f t="shared" si="23"/>
        <v>38215792.5</v>
      </c>
    </row>
    <row r="36" spans="1:42" x14ac:dyDescent="0.2">
      <c r="A36" s="172" t="s">
        <v>260</v>
      </c>
      <c r="C36" s="174">
        <v>1</v>
      </c>
      <c r="D36" s="175">
        <f>MAX(C36-'Inputs &amp; Results'!$J$9,0)</f>
        <v>0.95</v>
      </c>
      <c r="E36" s="175">
        <f>MAX(D36-'Inputs &amp; Results'!$J$9,0)</f>
        <v>0.89999999999999991</v>
      </c>
      <c r="F36" s="175">
        <f>MAX(E36-'Inputs &amp; Results'!$J$9,0)</f>
        <v>0.84999999999999987</v>
      </c>
      <c r="G36" s="175">
        <f>MAX(F36-'Inputs &amp; Results'!$J$9,0)</f>
        <v>0.79999999999999982</v>
      </c>
      <c r="H36" s="175">
        <f>MAX(G36-'Inputs &amp; Results'!$J$9,0)</f>
        <v>0.74999999999999978</v>
      </c>
      <c r="I36" s="175">
        <f>MAX(H36-'Inputs &amp; Results'!$J$9,0)</f>
        <v>0.69999999999999973</v>
      </c>
      <c r="J36" s="175">
        <f>MAX(I36-'Inputs &amp; Results'!$J$9,0)</f>
        <v>0.64999999999999969</v>
      </c>
      <c r="K36" s="175">
        <f>MAX(J36-'Inputs &amp; Results'!$J$9,0)</f>
        <v>0.59999999999999964</v>
      </c>
      <c r="L36" s="175">
        <f>MAX(K36-'Inputs &amp; Results'!$J$9,0)</f>
        <v>0.5499999999999996</v>
      </c>
      <c r="M36" s="175">
        <f>MAX(L36-'Inputs &amp; Results'!$J$9,0)</f>
        <v>0.49999999999999961</v>
      </c>
      <c r="N36" s="175">
        <f>MAX(M36-'Inputs &amp; Results'!$J$9,0)</f>
        <v>0.44999999999999962</v>
      </c>
      <c r="O36" s="175">
        <f>MAX(N36-'Inputs &amp; Results'!$J$9,0)</f>
        <v>0.39999999999999963</v>
      </c>
      <c r="P36" s="175">
        <f>MAX(O36-'Inputs &amp; Results'!$J$9,0)</f>
        <v>0.34999999999999964</v>
      </c>
      <c r="Q36" s="175">
        <f>MAX(P36-'Inputs &amp; Results'!$J$9,0)</f>
        <v>0.29999999999999966</v>
      </c>
      <c r="R36" s="175">
        <f>MAX(Q36-'Inputs &amp; Results'!$J$9,0)</f>
        <v>0.24999999999999967</v>
      </c>
      <c r="S36" s="175">
        <f>MAX(R36-'Inputs &amp; Results'!$J$9,0)</f>
        <v>0.19999999999999968</v>
      </c>
      <c r="T36" s="175">
        <f>MAX(S36-'Inputs &amp; Results'!$J$9,0)</f>
        <v>0.14999999999999969</v>
      </c>
      <c r="U36" s="175">
        <f>MAX(T36-'Inputs &amp; Results'!$J$9,0)</f>
        <v>9.9999999999999686E-2</v>
      </c>
      <c r="V36" s="175">
        <f>MAX(U36-'Inputs &amp; Results'!$J$9,0)</f>
        <v>4.9999999999999684E-2</v>
      </c>
      <c r="W36" s="175">
        <f>MAX(V36-'Inputs &amp; Results'!$J$9,0)</f>
        <v>0</v>
      </c>
      <c r="X36" s="175">
        <f>MAX(W36-'Inputs &amp; Results'!$J$9,0)</f>
        <v>0</v>
      </c>
      <c r="Y36" s="175">
        <f>MAX(X36-'Inputs &amp; Results'!$J$9,0)</f>
        <v>0</v>
      </c>
      <c r="Z36" s="175">
        <f>MAX(Y36-'Inputs &amp; Results'!$J$9,0)</f>
        <v>0</v>
      </c>
      <c r="AA36" s="175">
        <f>MAX(Z36-'Inputs &amp; Results'!$J$9,0)</f>
        <v>0</v>
      </c>
      <c r="AB36" s="175">
        <f>MAX(AA36-'Inputs &amp; Results'!$J$9,0)</f>
        <v>0</v>
      </c>
      <c r="AC36" s="175">
        <f>MAX(AB36-'Inputs &amp; Results'!$J$9,0)</f>
        <v>0</v>
      </c>
      <c r="AD36" s="175">
        <f>MAX(AC36-'Inputs &amp; Results'!$J$9,0)</f>
        <v>0</v>
      </c>
      <c r="AE36" s="175">
        <f>MAX(AD36-'Inputs &amp; Results'!$J$9,0)</f>
        <v>0</v>
      </c>
      <c r="AF36" s="175">
        <f>MAX(AE36-'Inputs &amp; Results'!$J$9,0)</f>
        <v>0</v>
      </c>
      <c r="AG36" s="175">
        <f>MAX(AF36-'Inputs &amp; Results'!$J$9,0)</f>
        <v>0</v>
      </c>
      <c r="AH36" s="175">
        <f>MAX(AG36-'Inputs &amp; Results'!$J$9,0)</f>
        <v>0</v>
      </c>
      <c r="AI36" s="175">
        <f>MAX(AH36-'Inputs &amp; Results'!$J$9,0)</f>
        <v>0</v>
      </c>
      <c r="AJ36" s="175">
        <f>MAX(AI36-'Inputs &amp; Results'!$J$9,0)</f>
        <v>0</v>
      </c>
      <c r="AK36" s="175">
        <f>MAX(AJ36-'Inputs &amp; Results'!$J$9,0)</f>
        <v>0</v>
      </c>
      <c r="AL36" s="175">
        <f>MAX(AK36-'Inputs &amp; Results'!$J$9,0)</f>
        <v>0</v>
      </c>
      <c r="AM36" s="175">
        <f>MAX(AL36-'Inputs &amp; Results'!$J$9,0)</f>
        <v>0</v>
      </c>
      <c r="AN36" s="175">
        <f>MAX(AM36-'Inputs &amp; Results'!$J$9,0)</f>
        <v>0</v>
      </c>
      <c r="AO36" s="175">
        <f>MAX(AN36-'Inputs &amp; Results'!$J$9,0)</f>
        <v>0</v>
      </c>
      <c r="AP36" s="175">
        <f>MAX(AO36-'Inputs &amp; Results'!$J$9,0)</f>
        <v>0</v>
      </c>
    </row>
    <row r="37" spans="1:42" x14ac:dyDescent="0.2">
      <c r="A37" s="172" t="s">
        <v>262</v>
      </c>
      <c r="C37" s="169">
        <f>C35*C36</f>
        <v>38215792.5</v>
      </c>
      <c r="D37" s="169">
        <f>D35*D36</f>
        <v>36305002.875</v>
      </c>
      <c r="E37" s="169">
        <f t="shared" ref="E37:K37" si="24">E35*E36</f>
        <v>34394213.25</v>
      </c>
      <c r="F37" s="169">
        <f t="shared" si="24"/>
        <v>32483423.624999996</v>
      </c>
      <c r="G37" s="169">
        <f t="shared" si="24"/>
        <v>30572633.999999993</v>
      </c>
      <c r="H37" s="169">
        <f t="shared" si="24"/>
        <v>28661844.374999993</v>
      </c>
      <c r="I37" s="169">
        <f t="shared" si="24"/>
        <v>26751054.749999989</v>
      </c>
      <c r="J37" s="169">
        <f t="shared" si="24"/>
        <v>24840265.124999989</v>
      </c>
      <c r="K37" s="169">
        <f t="shared" si="24"/>
        <v>22929475.499999985</v>
      </c>
      <c r="L37" s="169">
        <f>L35*L36</f>
        <v>21018685.874999985</v>
      </c>
      <c r="M37" s="169">
        <f t="shared" ref="M37:R37" si="25">M35*M36</f>
        <v>19107896.249999985</v>
      </c>
      <c r="N37" s="169">
        <f t="shared" si="25"/>
        <v>17197106.624999985</v>
      </c>
      <c r="O37" s="169">
        <f t="shared" si="25"/>
        <v>15286316.999999985</v>
      </c>
      <c r="P37" s="169">
        <f t="shared" si="25"/>
        <v>13375527.374999987</v>
      </c>
      <c r="Q37" s="169">
        <f t="shared" si="25"/>
        <v>11464737.749999987</v>
      </c>
      <c r="R37" s="169">
        <f t="shared" si="25"/>
        <v>9553948.124999987</v>
      </c>
      <c r="S37" s="169">
        <f>S35*S36</f>
        <v>7643158.4999999879</v>
      </c>
      <c r="T37" s="169">
        <f t="shared" ref="T37:X37" si="26">T35*T36</f>
        <v>5732368.8749999879</v>
      </c>
      <c r="U37" s="169">
        <f t="shared" si="26"/>
        <v>3821579.2499999879</v>
      </c>
      <c r="V37" s="169">
        <f t="shared" si="26"/>
        <v>1910789.6249999879</v>
      </c>
      <c r="W37" s="169">
        <f t="shared" si="26"/>
        <v>0</v>
      </c>
      <c r="X37" s="169">
        <f t="shared" si="26"/>
        <v>0</v>
      </c>
      <c r="Y37" s="169">
        <f>Y35*Y36</f>
        <v>0</v>
      </c>
      <c r="Z37" s="169">
        <f t="shared" ref="Z37:AF37" si="27">Z35*Z36</f>
        <v>0</v>
      </c>
      <c r="AA37" s="169">
        <f t="shared" si="27"/>
        <v>0</v>
      </c>
      <c r="AB37" s="169">
        <f t="shared" si="27"/>
        <v>0</v>
      </c>
      <c r="AC37" s="169">
        <f t="shared" si="27"/>
        <v>0</v>
      </c>
      <c r="AD37" s="169">
        <f t="shared" si="27"/>
        <v>0</v>
      </c>
      <c r="AE37" s="169">
        <f t="shared" si="27"/>
        <v>0</v>
      </c>
      <c r="AF37" s="169">
        <f t="shared" si="27"/>
        <v>0</v>
      </c>
      <c r="AG37" s="169">
        <f>AG35*AG36</f>
        <v>0</v>
      </c>
      <c r="AH37" s="169">
        <f t="shared" ref="AH37:AM37" si="28">AH35*AH36</f>
        <v>0</v>
      </c>
      <c r="AI37" s="169">
        <f t="shared" si="28"/>
        <v>0</v>
      </c>
      <c r="AJ37" s="169">
        <f t="shared" si="28"/>
        <v>0</v>
      </c>
      <c r="AK37" s="169">
        <f t="shared" si="28"/>
        <v>0</v>
      </c>
      <c r="AL37" s="169">
        <f t="shared" si="28"/>
        <v>0</v>
      </c>
      <c r="AM37" s="169">
        <f t="shared" si="28"/>
        <v>0</v>
      </c>
      <c r="AN37" s="169">
        <f>AN35*AN36</f>
        <v>0</v>
      </c>
      <c r="AO37" s="169">
        <f t="shared" ref="AO37:AP37" si="29">AO35*AO36</f>
        <v>0</v>
      </c>
      <c r="AP37" s="169">
        <f t="shared" si="29"/>
        <v>0</v>
      </c>
    </row>
    <row r="38" spans="1:42" x14ac:dyDescent="0.2">
      <c r="A38" s="172" t="s">
        <v>261</v>
      </c>
      <c r="C38" s="173">
        <f t="shared" ref="C38:AP38" si="30">PropertyTaxRate</f>
        <v>7.4999999999999997E-3</v>
      </c>
      <c r="D38" s="173">
        <f t="shared" si="30"/>
        <v>7.4999999999999997E-3</v>
      </c>
      <c r="E38" s="173">
        <f t="shared" si="30"/>
        <v>7.4999999999999997E-3</v>
      </c>
      <c r="F38" s="173">
        <f t="shared" si="30"/>
        <v>7.4999999999999997E-3</v>
      </c>
      <c r="G38" s="173">
        <f t="shared" si="30"/>
        <v>7.4999999999999997E-3</v>
      </c>
      <c r="H38" s="173">
        <f t="shared" si="30"/>
        <v>7.4999999999999997E-3</v>
      </c>
      <c r="I38" s="173">
        <f t="shared" si="30"/>
        <v>7.4999999999999997E-3</v>
      </c>
      <c r="J38" s="173">
        <f t="shared" si="30"/>
        <v>7.4999999999999997E-3</v>
      </c>
      <c r="K38" s="173">
        <f t="shared" si="30"/>
        <v>7.4999999999999997E-3</v>
      </c>
      <c r="L38" s="173">
        <f t="shared" si="30"/>
        <v>7.4999999999999997E-3</v>
      </c>
      <c r="M38" s="173">
        <f t="shared" si="30"/>
        <v>7.4999999999999997E-3</v>
      </c>
      <c r="N38" s="173">
        <f t="shared" si="30"/>
        <v>7.4999999999999997E-3</v>
      </c>
      <c r="O38" s="173">
        <f t="shared" si="30"/>
        <v>7.4999999999999997E-3</v>
      </c>
      <c r="P38" s="173">
        <f t="shared" si="30"/>
        <v>7.4999999999999997E-3</v>
      </c>
      <c r="Q38" s="173">
        <f t="shared" si="30"/>
        <v>7.4999999999999997E-3</v>
      </c>
      <c r="R38" s="173">
        <f t="shared" si="30"/>
        <v>7.4999999999999997E-3</v>
      </c>
      <c r="S38" s="173">
        <f t="shared" si="30"/>
        <v>7.4999999999999997E-3</v>
      </c>
      <c r="T38" s="173">
        <f t="shared" si="30"/>
        <v>7.4999999999999997E-3</v>
      </c>
      <c r="U38" s="173">
        <f t="shared" si="30"/>
        <v>7.4999999999999997E-3</v>
      </c>
      <c r="V38" s="173">
        <f t="shared" si="30"/>
        <v>7.4999999999999997E-3</v>
      </c>
      <c r="W38" s="173">
        <f t="shared" si="30"/>
        <v>7.4999999999999997E-3</v>
      </c>
      <c r="X38" s="173">
        <f t="shared" si="30"/>
        <v>7.4999999999999997E-3</v>
      </c>
      <c r="Y38" s="173">
        <f t="shared" si="30"/>
        <v>7.4999999999999997E-3</v>
      </c>
      <c r="Z38" s="173">
        <f t="shared" si="30"/>
        <v>7.4999999999999997E-3</v>
      </c>
      <c r="AA38" s="173">
        <f t="shared" si="30"/>
        <v>7.4999999999999997E-3</v>
      </c>
      <c r="AB38" s="173">
        <f t="shared" si="30"/>
        <v>7.4999999999999997E-3</v>
      </c>
      <c r="AC38" s="173">
        <f t="shared" si="30"/>
        <v>7.4999999999999997E-3</v>
      </c>
      <c r="AD38" s="173">
        <f t="shared" si="30"/>
        <v>7.4999999999999997E-3</v>
      </c>
      <c r="AE38" s="173">
        <f t="shared" si="30"/>
        <v>7.4999999999999997E-3</v>
      </c>
      <c r="AF38" s="173">
        <f t="shared" si="30"/>
        <v>7.4999999999999997E-3</v>
      </c>
      <c r="AG38" s="173">
        <f t="shared" si="30"/>
        <v>7.4999999999999997E-3</v>
      </c>
      <c r="AH38" s="173">
        <f t="shared" si="30"/>
        <v>7.4999999999999997E-3</v>
      </c>
      <c r="AI38" s="173">
        <f t="shared" si="30"/>
        <v>7.4999999999999997E-3</v>
      </c>
      <c r="AJ38" s="173">
        <f t="shared" si="30"/>
        <v>7.4999999999999997E-3</v>
      </c>
      <c r="AK38" s="173">
        <f t="shared" si="30"/>
        <v>7.4999999999999997E-3</v>
      </c>
      <c r="AL38" s="173">
        <f t="shared" si="30"/>
        <v>7.4999999999999997E-3</v>
      </c>
      <c r="AM38" s="173">
        <f t="shared" si="30"/>
        <v>7.4999999999999997E-3</v>
      </c>
      <c r="AN38" s="173">
        <f t="shared" si="30"/>
        <v>7.4999999999999997E-3</v>
      </c>
      <c r="AO38" s="173">
        <f t="shared" si="30"/>
        <v>7.4999999999999997E-3</v>
      </c>
      <c r="AP38" s="173">
        <f t="shared" si="30"/>
        <v>7.4999999999999997E-3</v>
      </c>
    </row>
    <row r="39" spans="1:42" x14ac:dyDescent="0.2">
      <c r="A39" s="172" t="s">
        <v>22</v>
      </c>
      <c r="C39" s="135">
        <f>C37*C38</f>
        <v>286618.44374999998</v>
      </c>
      <c r="D39" s="135">
        <f>D37*D38</f>
        <v>272287.52156249998</v>
      </c>
      <c r="E39" s="135">
        <f t="shared" ref="E39:K39" si="31">E37*E38</f>
        <v>257956.59937499999</v>
      </c>
      <c r="F39" s="135">
        <f t="shared" si="31"/>
        <v>243625.67718749997</v>
      </c>
      <c r="G39" s="135">
        <f t="shared" si="31"/>
        <v>229294.75499999995</v>
      </c>
      <c r="H39" s="135">
        <f t="shared" si="31"/>
        <v>214963.83281249992</v>
      </c>
      <c r="I39" s="135">
        <f t="shared" si="31"/>
        <v>200632.9106249999</v>
      </c>
      <c r="J39" s="135">
        <f t="shared" si="31"/>
        <v>186301.98843749991</v>
      </c>
      <c r="K39" s="135">
        <f t="shared" si="31"/>
        <v>171971.06624999989</v>
      </c>
      <c r="L39" s="135">
        <f>L37*L38</f>
        <v>157640.14406249989</v>
      </c>
      <c r="M39" s="135">
        <f t="shared" ref="M39:R39" si="32">M37*M38</f>
        <v>143309.22187499987</v>
      </c>
      <c r="N39" s="135">
        <f t="shared" si="32"/>
        <v>128978.29968749988</v>
      </c>
      <c r="O39" s="135">
        <f t="shared" si="32"/>
        <v>114647.37749999989</v>
      </c>
      <c r="P39" s="135">
        <f t="shared" si="32"/>
        <v>100316.45531249989</v>
      </c>
      <c r="Q39" s="135">
        <f t="shared" si="32"/>
        <v>85985.5331249999</v>
      </c>
      <c r="R39" s="135">
        <f t="shared" si="32"/>
        <v>71654.610937499892</v>
      </c>
      <c r="S39" s="135">
        <f>S37*S38</f>
        <v>57323.688749999907</v>
      </c>
      <c r="T39" s="135">
        <f t="shared" ref="T39:X39" si="33">T37*T38</f>
        <v>42992.766562499906</v>
      </c>
      <c r="U39" s="135">
        <f t="shared" si="33"/>
        <v>28661.84437499991</v>
      </c>
      <c r="V39" s="135">
        <f t="shared" si="33"/>
        <v>14330.922187499909</v>
      </c>
      <c r="W39" s="135">
        <f t="shared" si="33"/>
        <v>0</v>
      </c>
      <c r="X39" s="135">
        <f t="shared" si="33"/>
        <v>0</v>
      </c>
      <c r="Y39" s="135">
        <f>Y37*Y38</f>
        <v>0</v>
      </c>
      <c r="Z39" s="135">
        <f t="shared" ref="Z39:AF39" si="34">Z37*Z38</f>
        <v>0</v>
      </c>
      <c r="AA39" s="135">
        <f t="shared" si="34"/>
        <v>0</v>
      </c>
      <c r="AB39" s="135">
        <f t="shared" si="34"/>
        <v>0</v>
      </c>
      <c r="AC39" s="135">
        <f t="shared" si="34"/>
        <v>0</v>
      </c>
      <c r="AD39" s="135">
        <f t="shared" si="34"/>
        <v>0</v>
      </c>
      <c r="AE39" s="135">
        <f t="shared" si="34"/>
        <v>0</v>
      </c>
      <c r="AF39" s="135">
        <f t="shared" si="34"/>
        <v>0</v>
      </c>
      <c r="AG39" s="135">
        <f>AG37*AG38</f>
        <v>0</v>
      </c>
      <c r="AH39" s="135">
        <f t="shared" ref="AH39:AM39" si="35">AH37*AH38</f>
        <v>0</v>
      </c>
      <c r="AI39" s="135">
        <f t="shared" si="35"/>
        <v>0</v>
      </c>
      <c r="AJ39" s="135">
        <f t="shared" si="35"/>
        <v>0</v>
      </c>
      <c r="AK39" s="135">
        <f t="shared" si="35"/>
        <v>0</v>
      </c>
      <c r="AL39" s="135">
        <f t="shared" si="35"/>
        <v>0</v>
      </c>
      <c r="AM39" s="135">
        <f t="shared" si="35"/>
        <v>0</v>
      </c>
      <c r="AN39" s="135">
        <f>AN37*AN38</f>
        <v>0</v>
      </c>
      <c r="AO39" s="135">
        <f t="shared" ref="AO39:AP39" si="36">AO37*AO38</f>
        <v>0</v>
      </c>
      <c r="AP39" s="135">
        <f t="shared" si="36"/>
        <v>0</v>
      </c>
    </row>
    <row r="40" spans="1:42" x14ac:dyDescent="0.2">
      <c r="A40" s="163" t="s">
        <v>126</v>
      </c>
      <c r="C40" s="170">
        <f>IF(C$2&lt;=AnalysisPeriod,PreFinancingInstalledCostTotal*'Inputs &amp; Results'!$J$12*(1+Inflation)^B$2,0)</f>
        <v>201135.75</v>
      </c>
      <c r="D40" s="170">
        <f>IF(D$2&lt;=AnalysisPeriod,PreFinancingInstalledCostTotal*'Inputs &amp; Results'!$J$12*(1+Inflation)^C$2,0)</f>
        <v>204152.78624999998</v>
      </c>
      <c r="E40" s="170">
        <f>IF(E$2&lt;=AnalysisPeriod,PreFinancingInstalledCostTotal*'Inputs &amp; Results'!$J$12*(1+Inflation)^D$2,0)</f>
        <v>207215.07804374993</v>
      </c>
      <c r="F40" s="170">
        <f>IF(F$2&lt;=AnalysisPeriod,PreFinancingInstalledCostTotal*'Inputs &amp; Results'!$J$12*(1+Inflation)^E$2,0)</f>
        <v>210323.30421440618</v>
      </c>
      <c r="G40" s="170">
        <f>IF(G$2&lt;=AnalysisPeriod,PreFinancingInstalledCostTotal*'Inputs &amp; Results'!$J$12*(1+Inflation)^F$2,0)</f>
        <v>213478.15377762224</v>
      </c>
      <c r="H40" s="170">
        <f>IF(H$2&lt;=AnalysisPeriod,PreFinancingInstalledCostTotal*'Inputs &amp; Results'!$J$12*(1+Inflation)^G$2,0)</f>
        <v>216680.32608428653</v>
      </c>
      <c r="I40" s="170">
        <f>IF(I$2&lt;=AnalysisPeriod,PreFinancingInstalledCostTotal*'Inputs &amp; Results'!$J$12*(1+Inflation)^H$2,0)</f>
        <v>219930.53097555079</v>
      </c>
      <c r="J40" s="170">
        <f>IF(J$2&lt;=AnalysisPeriod,PreFinancingInstalledCostTotal*'Inputs &amp; Results'!$J$12*(1+Inflation)^I$2,0)</f>
        <v>223229.488940184</v>
      </c>
      <c r="K40" s="170">
        <f>IF(K$2&lt;=AnalysisPeriod,PreFinancingInstalledCostTotal*'Inputs &amp; Results'!$J$12*(1+Inflation)^J$2,0)</f>
        <v>226577.93127428676</v>
      </c>
      <c r="L40" s="170">
        <f>IF(L$2&lt;=AnalysisPeriod,PreFinancingInstalledCostTotal*'Inputs &amp; Results'!$J$12*(1+Inflation)^K$2,0)</f>
        <v>229976.60024340104</v>
      </c>
      <c r="M40" s="170">
        <f>IF(M$2&lt;=AnalysisPeriod,PreFinancingInstalledCostTotal*'Inputs &amp; Results'!$J$12*(1+Inflation)^L$2,0)</f>
        <v>233426.24924705201</v>
      </c>
      <c r="N40" s="170">
        <f>IF(N$2&lt;=AnalysisPeriod,PreFinancingInstalledCostTotal*'Inputs &amp; Results'!$J$12*(1+Inflation)^M$2,0)</f>
        <v>236927.64298575779</v>
      </c>
      <c r="O40" s="170">
        <f>IF(O$2&lt;=AnalysisPeriod,PreFinancingInstalledCostTotal*'Inputs &amp; Results'!$J$12*(1+Inflation)^N$2,0)</f>
        <v>240481.55763054409</v>
      </c>
      <c r="P40" s="170">
        <f>IF(P$2&lt;=AnalysisPeriod,PreFinancingInstalledCostTotal*'Inputs &amp; Results'!$J$12*(1+Inflation)^O$2,0)</f>
        <v>244088.78099500225</v>
      </c>
      <c r="Q40" s="170">
        <f>IF(Q$2&lt;=AnalysisPeriod,PreFinancingInstalledCostTotal*'Inputs &amp; Results'!$J$12*(1+Inflation)^P$2,0)</f>
        <v>247750.1127099272</v>
      </c>
      <c r="R40" s="170">
        <f>IF(R$2&lt;=AnalysisPeriod,PreFinancingInstalledCostTotal*'Inputs &amp; Results'!$J$12*(1+Inflation)^Q$2,0)</f>
        <v>251466.36440057607</v>
      </c>
      <c r="S40" s="170">
        <f>IF(S$2&lt;=AnalysisPeriod,PreFinancingInstalledCostTotal*'Inputs &amp; Results'!$J$12*(1+Inflation)^R$2,0)</f>
        <v>255238.35986658468</v>
      </c>
      <c r="T40" s="170">
        <f>IF(T$2&lt;=AnalysisPeriod,PreFinancingInstalledCostTotal*'Inputs &amp; Results'!$J$12*(1+Inflation)^S$2,0)</f>
        <v>259066.93526458342</v>
      </c>
      <c r="U40" s="170">
        <f>IF(U$2&lt;=AnalysisPeriod,PreFinancingInstalledCostTotal*'Inputs &amp; Results'!$J$12*(1+Inflation)^T$2,0)</f>
        <v>262952.93929355213</v>
      </c>
      <c r="V40" s="170">
        <f>IF(V$2&lt;=AnalysisPeriod,PreFinancingInstalledCostTotal*'Inputs &amp; Results'!$J$12*(1+Inflation)^U$2,0)</f>
        <v>266897.23338295543</v>
      </c>
      <c r="W40" s="170">
        <f>IF(W$2&lt;=AnalysisPeriod,PreFinancingInstalledCostTotal*'Inputs &amp; Results'!$J$12*(1+Inflation)^V$2,0)</f>
        <v>270900.69188369968</v>
      </c>
      <c r="X40" s="170">
        <f>IF(X$2&lt;=AnalysisPeriod,PreFinancingInstalledCostTotal*'Inputs &amp; Results'!$J$12*(1+Inflation)^W$2,0)</f>
        <v>274964.20226195513</v>
      </c>
      <c r="Y40" s="170">
        <f>IF(Y$2&lt;=AnalysisPeriod,PreFinancingInstalledCostTotal*'Inputs &amp; Results'!$J$12*(1+Inflation)^X$2,0)</f>
        <v>279088.66529588442</v>
      </c>
      <c r="Z40" s="170">
        <f>IF(Z$2&lt;=AnalysisPeriod,PreFinancingInstalledCostTotal*'Inputs &amp; Results'!$J$12*(1+Inflation)^Y$2,0)</f>
        <v>283274.99527532264</v>
      </c>
      <c r="AA40" s="170">
        <f>IF(AA$2&lt;=AnalysisPeriod,PreFinancingInstalledCostTotal*'Inputs &amp; Results'!$J$12*(1+Inflation)^Z$2,0)</f>
        <v>287524.12020445243</v>
      </c>
      <c r="AB40" s="170">
        <f>IF(AB$2&lt;=AnalysisPeriod,PreFinancingInstalledCostTotal*'Inputs &amp; Results'!$J$12*(1+Inflation)^AA$2,0)</f>
        <v>291836.98200751923</v>
      </c>
      <c r="AC40" s="170">
        <f>IF(AC$2&lt;=AnalysisPeriod,PreFinancingInstalledCostTotal*'Inputs &amp; Results'!$J$12*(1+Inflation)^AB$2,0)</f>
        <v>296214.53673763195</v>
      </c>
      <c r="AD40" s="170">
        <f>IF(AD$2&lt;=AnalysisPeriod,PreFinancingInstalledCostTotal*'Inputs &amp; Results'!$J$12*(1+Inflation)^AC$2,0)</f>
        <v>300657.75478869642</v>
      </c>
      <c r="AE40" s="170">
        <f>IF(AE$2&lt;=AnalysisPeriod,PreFinancingInstalledCostTotal*'Inputs &amp; Results'!$J$12*(1+Inflation)^AD$2,0)</f>
        <v>305167.62111052679</v>
      </c>
      <c r="AF40" s="170">
        <f>IF(AF$2&lt;=AnalysisPeriod,PreFinancingInstalledCostTotal*'Inputs &amp; Results'!$J$12*(1+Inflation)^AE$2,0)</f>
        <v>309745.13542718469</v>
      </c>
      <c r="AG40" s="170">
        <f>IF(AG$2&lt;=AnalysisPeriod,PreFinancingInstalledCostTotal*'Inputs &amp; Results'!$J$12*(1+Inflation)^AF$2,0)</f>
        <v>314391.31245859235</v>
      </c>
      <c r="AH40" s="170">
        <f>IF(AH$2&lt;=AnalysisPeriod,PreFinancingInstalledCostTotal*'Inputs &amp; Results'!$J$12*(1+Inflation)^AG$2,0)</f>
        <v>319107.18214547122</v>
      </c>
      <c r="AI40" s="170">
        <f>IF(AI$2&lt;=AnalysisPeriod,PreFinancingInstalledCostTotal*'Inputs &amp; Results'!$J$12*(1+Inflation)^AH$2,0)</f>
        <v>323893.78987765324</v>
      </c>
      <c r="AJ40" s="170">
        <f>IF(AJ$2&lt;=AnalysisPeriod,PreFinancingInstalledCostTotal*'Inputs &amp; Results'!$J$12*(1+Inflation)^AI$2,0)</f>
        <v>328752.19672581798</v>
      </c>
      <c r="AK40" s="170">
        <f>IF(AK$2&lt;=AnalysisPeriod,PreFinancingInstalledCostTotal*'Inputs &amp; Results'!$J$12*(1+Inflation)^AJ$2,0)</f>
        <v>333683.4796767052</v>
      </c>
      <c r="AL40" s="170">
        <f>IF(AL$2&lt;=AnalysisPeriod,PreFinancingInstalledCostTotal*'Inputs &amp; Results'!$J$12*(1+Inflation)^AK$2,0)</f>
        <v>338688.73187185579</v>
      </c>
      <c r="AM40" s="170">
        <f>IF(AM$2&lt;=AnalysisPeriod,PreFinancingInstalledCostTotal*'Inputs &amp; Results'!$J$12*(1+Inflation)^AL$2,0)</f>
        <v>343769.06284993357</v>
      </c>
      <c r="AN40" s="170">
        <f>IF(AN$2&lt;=AnalysisPeriod,PreFinancingInstalledCostTotal*'Inputs &amp; Results'!$J$12*(1+Inflation)^AM$2,0)</f>
        <v>348925.59879268252</v>
      </c>
      <c r="AO40" s="170">
        <f>IF(AO$2&lt;=AnalysisPeriod,PreFinancingInstalledCostTotal*'Inputs &amp; Results'!$J$12*(1+Inflation)^AN$2,0)</f>
        <v>354159.48277457268</v>
      </c>
      <c r="AP40" s="170">
        <f>IF(AP$2&lt;=AnalysisPeriod,PreFinancingInstalledCostTotal*'Inputs &amp; Results'!$J$12*(1+Inflation)^AO$2,0)</f>
        <v>359471.87501619122</v>
      </c>
    </row>
    <row r="41" spans="1:42" x14ac:dyDescent="0.2">
      <c r="A41" s="20" t="s">
        <v>73</v>
      </c>
      <c r="C41" s="135">
        <f t="shared" ref="C41:AP41" si="37">C23+C27+C31+C39+C40</f>
        <v>774413.87375000003</v>
      </c>
      <c r="D41" s="135">
        <f t="shared" si="37"/>
        <v>768862.33513649995</v>
      </c>
      <c r="E41" s="135">
        <f t="shared" si="37"/>
        <v>763479.25836394064</v>
      </c>
      <c r="F41" s="135">
        <f t="shared" si="37"/>
        <v>758268.03984735277</v>
      </c>
      <c r="G41" s="135">
        <f t="shared" si="37"/>
        <v>753232.14702389773</v>
      </c>
      <c r="H41" s="135">
        <f t="shared" si="37"/>
        <v>748375.11987734796</v>
      </c>
      <c r="I41" s="135">
        <f t="shared" si="37"/>
        <v>743700.57249589951</v>
      </c>
      <c r="J41" s="135">
        <f t="shared" si="37"/>
        <v>739212.19466405339</v>
      </c>
      <c r="K41" s="135">
        <f t="shared" si="37"/>
        <v>734913.7534893197</v>
      </c>
      <c r="L41" s="135">
        <f t="shared" si="37"/>
        <v>730809.09506451734</v>
      </c>
      <c r="M41" s="135">
        <f t="shared" si="37"/>
        <v>726902.14616645931</v>
      </c>
      <c r="N41" s="135">
        <f t="shared" si="37"/>
        <v>723196.91599182587</v>
      </c>
      <c r="O41" s="135">
        <f t="shared" si="37"/>
        <v>719697.49793105444</v>
      </c>
      <c r="P41" s="135">
        <f t="shared" si="37"/>
        <v>716408.07138108672</v>
      </c>
      <c r="Q41" s="135">
        <f t="shared" si="37"/>
        <v>713332.90359783545</v>
      </c>
      <c r="R41" s="135">
        <f t="shared" si="37"/>
        <v>710476.35158925212</v>
      </c>
      <c r="S41" s="135">
        <f t="shared" si="37"/>
        <v>707842.8640498952</v>
      </c>
      <c r="T41" s="135">
        <f t="shared" si="37"/>
        <v>705436.98333792144</v>
      </c>
      <c r="U41" s="135">
        <f t="shared" si="37"/>
        <v>703263.34749544098</v>
      </c>
      <c r="V41" s="135">
        <f t="shared" si="37"/>
        <v>701326.69231319777</v>
      </c>
      <c r="W41" s="135">
        <f t="shared" si="37"/>
        <v>699631.8534405618</v>
      </c>
      <c r="X41" s="135">
        <f t="shared" si="37"/>
        <v>712514.69072933728</v>
      </c>
      <c r="Y41" s="135">
        <f t="shared" si="37"/>
        <v>725649.3238749156</v>
      </c>
      <c r="Z41" s="135">
        <f t="shared" si="37"/>
        <v>739040.90123082767</v>
      </c>
      <c r="AA41" s="135">
        <f t="shared" si="37"/>
        <v>752694.67992276489</v>
      </c>
      <c r="AB41" s="135">
        <f t="shared" si="37"/>
        <v>766616.0282006755</v>
      </c>
      <c r="AC41" s="135">
        <f t="shared" si="37"/>
        <v>780810.42784255394</v>
      </c>
      <c r="AD41" s="135">
        <f t="shared" si="37"/>
        <v>795283.47661107732</v>
      </c>
      <c r="AE41" s="135">
        <f t="shared" si="37"/>
        <v>810040.89076425927</v>
      </c>
      <c r="AF41" s="135">
        <f t="shared" si="37"/>
        <v>825088.507621328</v>
      </c>
      <c r="AG41" s="135">
        <f t="shared" si="37"/>
        <v>840432.2881850499</v>
      </c>
      <c r="AH41" s="135">
        <f t="shared" si="37"/>
        <v>856078.31982176169</v>
      </c>
      <c r="AI41" s="135">
        <f t="shared" si="37"/>
        <v>872032.81900038943</v>
      </c>
      <c r="AJ41" s="135">
        <f t="shared" si="37"/>
        <v>888302.13409176958</v>
      </c>
      <c r="AK41" s="135">
        <f t="shared" si="37"/>
        <v>904892.74822961341</v>
      </c>
      <c r="AL41" s="135">
        <f t="shared" si="37"/>
        <v>921811.28223448794</v>
      </c>
      <c r="AM41" s="135">
        <f t="shared" si="37"/>
        <v>939064.49760221504</v>
      </c>
      <c r="AN41" s="135">
        <f t="shared" si="37"/>
        <v>956659.29955812439</v>
      </c>
      <c r="AO41" s="135">
        <f t="shared" si="37"/>
        <v>974602.74017862557</v>
      </c>
      <c r="AP41" s="135">
        <f t="shared" si="37"/>
        <v>992902.02158160089</v>
      </c>
    </row>
    <row r="43" spans="1:42" ht="13.5" thickBot="1" x14ac:dyDescent="0.25">
      <c r="A43" s="165" t="s">
        <v>112</v>
      </c>
      <c r="C43" s="176">
        <f t="shared" ref="C43:AP43" si="38">C20-C41</f>
        <v>5186185.3867221233</v>
      </c>
      <c r="D43" s="176">
        <f t="shared" si="38"/>
        <v>5221241.891674961</v>
      </c>
      <c r="E43" s="176">
        <f t="shared" si="38"/>
        <v>5256275.9843702372</v>
      </c>
      <c r="F43" s="176">
        <f t="shared" si="38"/>
        <v>5291284.9913383592</v>
      </c>
      <c r="G43" s="176">
        <f t="shared" si="38"/>
        <v>5326266.1716661844</v>
      </c>
      <c r="H43" s="176">
        <f t="shared" si="38"/>
        <v>5361216.7154902499</v>
      </c>
      <c r="I43" s="176">
        <f t="shared" si="38"/>
        <v>5396133.7424567686</v>
      </c>
      <c r="J43" s="176">
        <f t="shared" si="38"/>
        <v>5431014.3001476275</v>
      </c>
      <c r="K43" s="176">
        <f t="shared" si="38"/>
        <v>5465855.362471683</v>
      </c>
      <c r="L43" s="176">
        <f t="shared" si="38"/>
        <v>5500653.8280204916</v>
      </c>
      <c r="M43" s="176">
        <f t="shared" si="38"/>
        <v>5535406.5183878206</v>
      </c>
      <c r="N43" s="176">
        <f t="shared" si="38"/>
        <v>5570110.176451995</v>
      </c>
      <c r="O43" s="176">
        <f t="shared" si="38"/>
        <v>5604761.4646203648</v>
      </c>
      <c r="P43" s="176">
        <f t="shared" si="38"/>
        <v>5639356.9630349623</v>
      </c>
      <c r="Q43" s="176">
        <f t="shared" si="38"/>
        <v>5673893.1677385746</v>
      </c>
      <c r="R43" s="176">
        <f t="shared" si="38"/>
        <v>5708366.4888002714</v>
      </c>
      <c r="S43" s="176">
        <f t="shared" si="38"/>
        <v>5742773.2483995594</v>
      </c>
      <c r="T43" s="176">
        <f t="shared" si="38"/>
        <v>5777109.6788681578</v>
      </c>
      <c r="U43" s="176">
        <f t="shared" si="38"/>
        <v>5811371.9206885574</v>
      </c>
      <c r="V43" s="176">
        <f t="shared" si="38"/>
        <v>5845556.0204483094</v>
      </c>
      <c r="W43" s="176">
        <f t="shared" si="38"/>
        <v>5879657.9287491161</v>
      </c>
      <c r="X43" s="176">
        <f t="shared" si="38"/>
        <v>5899342.5758821797</v>
      </c>
      <c r="Y43" s="176">
        <f t="shared" si="38"/>
        <v>5918936.6362063298</v>
      </c>
      <c r="Z43" s="176">
        <f t="shared" si="38"/>
        <v>5938435.7593528181</v>
      </c>
      <c r="AA43" s="176">
        <f t="shared" si="38"/>
        <v>5957835.4901307719</v>
      </c>
      <c r="AB43" s="176">
        <f t="shared" si="38"/>
        <v>5977131.2661946267</v>
      </c>
      <c r="AC43" s="176">
        <f t="shared" si="38"/>
        <v>5996318.415660006</v>
      </c>
      <c r="AD43" s="176">
        <f t="shared" si="38"/>
        <v>6015392.1546668168</v>
      </c>
      <c r="AE43" s="176">
        <f t="shared" si="38"/>
        <v>6034347.584888462</v>
      </c>
      <c r="AF43" s="176">
        <f t="shared" si="38"/>
        <v>6053179.6909858752</v>
      </c>
      <c r="AG43" s="176">
        <f t="shared" si="38"/>
        <v>6071883.3380052596</v>
      </c>
      <c r="AH43" s="176">
        <f t="shared" si="38"/>
        <v>6090453.2687181877</v>
      </c>
      <c r="AI43" s="176">
        <f t="shared" si="38"/>
        <v>6108884.100902834</v>
      </c>
      <c r="AJ43" s="176">
        <f t="shared" si="38"/>
        <v>6127170.3245649757</v>
      </c>
      <c r="AK43" s="176">
        <f t="shared" si="38"/>
        <v>6145306.2990974821</v>
      </c>
      <c r="AL43" s="176">
        <f t="shared" si="38"/>
        <v>6163286.2503768764</v>
      </c>
      <c r="AM43" s="176">
        <f t="shared" si="38"/>
        <v>6181104.2677955758</v>
      </c>
      <c r="AN43" s="176">
        <f t="shared" si="38"/>
        <v>6198754.3012283863</v>
      </c>
      <c r="AO43" s="176">
        <f t="shared" si="38"/>
        <v>6216230.1579317786</v>
      </c>
      <c r="AP43" s="176">
        <f t="shared" si="38"/>
        <v>10256240.499374447</v>
      </c>
    </row>
    <row r="44" spans="1:42" ht="13.5" thickTop="1" x14ac:dyDescent="0.2"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</row>
    <row r="45" spans="1:42" x14ac:dyDescent="0.2">
      <c r="A45" s="162" t="s">
        <v>243</v>
      </c>
      <c r="B45" s="101"/>
      <c r="C45" s="124"/>
      <c r="D45" s="124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</row>
    <row r="46" spans="1:42" x14ac:dyDescent="0.2">
      <c r="A46" s="165" t="s">
        <v>175</v>
      </c>
      <c r="B46" s="135"/>
      <c r="C46" s="135"/>
      <c r="D46" s="135"/>
      <c r="E46" s="135"/>
      <c r="F46" s="135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</row>
    <row r="47" spans="1:42" x14ac:dyDescent="0.2">
      <c r="A47" s="163" t="s">
        <v>112</v>
      </c>
      <c r="B47" s="135">
        <v>0</v>
      </c>
      <c r="C47" s="135">
        <f>C43</f>
        <v>5186185.3867221233</v>
      </c>
      <c r="D47" s="135">
        <f t="shared" ref="D47:AP47" si="39">D43</f>
        <v>5221241.891674961</v>
      </c>
      <c r="E47" s="135">
        <f t="shared" si="39"/>
        <v>5256275.9843702372</v>
      </c>
      <c r="F47" s="135">
        <f t="shared" si="39"/>
        <v>5291284.9913383592</v>
      </c>
      <c r="G47" s="135">
        <f t="shared" si="39"/>
        <v>5326266.1716661844</v>
      </c>
      <c r="H47" s="135">
        <f t="shared" si="39"/>
        <v>5361216.7154902499</v>
      </c>
      <c r="I47" s="135">
        <f t="shared" si="39"/>
        <v>5396133.7424567686</v>
      </c>
      <c r="J47" s="135">
        <f t="shared" si="39"/>
        <v>5431014.3001476275</v>
      </c>
      <c r="K47" s="135">
        <f t="shared" si="39"/>
        <v>5465855.362471683</v>
      </c>
      <c r="L47" s="135">
        <f t="shared" si="39"/>
        <v>5500653.8280204916</v>
      </c>
      <c r="M47" s="135">
        <f t="shared" si="39"/>
        <v>5535406.5183878206</v>
      </c>
      <c r="N47" s="135">
        <f t="shared" si="39"/>
        <v>5570110.176451995</v>
      </c>
      <c r="O47" s="135">
        <f t="shared" si="39"/>
        <v>5604761.4646203648</v>
      </c>
      <c r="P47" s="135">
        <f t="shared" si="39"/>
        <v>5639356.9630349623</v>
      </c>
      <c r="Q47" s="135">
        <f t="shared" si="39"/>
        <v>5673893.1677385746</v>
      </c>
      <c r="R47" s="135">
        <f t="shared" si="39"/>
        <v>5708366.4888002714</v>
      </c>
      <c r="S47" s="135">
        <f t="shared" si="39"/>
        <v>5742773.2483995594</v>
      </c>
      <c r="T47" s="135">
        <f t="shared" si="39"/>
        <v>5777109.6788681578</v>
      </c>
      <c r="U47" s="135">
        <f t="shared" si="39"/>
        <v>5811371.9206885574</v>
      </c>
      <c r="V47" s="135">
        <f t="shared" si="39"/>
        <v>5845556.0204483094</v>
      </c>
      <c r="W47" s="135">
        <f t="shared" si="39"/>
        <v>5879657.9287491161</v>
      </c>
      <c r="X47" s="135">
        <f t="shared" si="39"/>
        <v>5899342.5758821797</v>
      </c>
      <c r="Y47" s="135">
        <f t="shared" si="39"/>
        <v>5918936.6362063298</v>
      </c>
      <c r="Z47" s="135">
        <f t="shared" si="39"/>
        <v>5938435.7593528181</v>
      </c>
      <c r="AA47" s="135">
        <f t="shared" si="39"/>
        <v>5957835.4901307719</v>
      </c>
      <c r="AB47" s="135">
        <f t="shared" si="39"/>
        <v>5977131.2661946267</v>
      </c>
      <c r="AC47" s="135">
        <f t="shared" si="39"/>
        <v>5996318.415660006</v>
      </c>
      <c r="AD47" s="135">
        <f t="shared" si="39"/>
        <v>6015392.1546668168</v>
      </c>
      <c r="AE47" s="135">
        <f t="shared" si="39"/>
        <v>6034347.584888462</v>
      </c>
      <c r="AF47" s="135">
        <f t="shared" si="39"/>
        <v>6053179.6909858752</v>
      </c>
      <c r="AG47" s="135">
        <f t="shared" si="39"/>
        <v>6071883.3380052596</v>
      </c>
      <c r="AH47" s="135">
        <f t="shared" si="39"/>
        <v>6090453.2687181877</v>
      </c>
      <c r="AI47" s="135">
        <f t="shared" si="39"/>
        <v>6108884.100902834</v>
      </c>
      <c r="AJ47" s="135">
        <f t="shared" si="39"/>
        <v>6127170.3245649757</v>
      </c>
      <c r="AK47" s="135">
        <f t="shared" si="39"/>
        <v>6145306.2990974821</v>
      </c>
      <c r="AL47" s="135">
        <f t="shared" si="39"/>
        <v>6163286.2503768764</v>
      </c>
      <c r="AM47" s="135">
        <f t="shared" si="39"/>
        <v>6181104.2677955758</v>
      </c>
      <c r="AN47" s="135">
        <f t="shared" si="39"/>
        <v>6198754.3012283863</v>
      </c>
      <c r="AO47" s="135">
        <f t="shared" si="39"/>
        <v>6216230.1579317786</v>
      </c>
      <c r="AP47" s="135">
        <f t="shared" si="39"/>
        <v>10256240.499374447</v>
      </c>
    </row>
    <row r="48" spans="1:42" x14ac:dyDescent="0.2">
      <c r="A48" s="163" t="s">
        <v>121</v>
      </c>
      <c r="B48" s="170">
        <v>0</v>
      </c>
      <c r="C48" s="170">
        <f t="shared" ref="C48:AP48" si="40">C705</f>
        <v>6776.1213953125007</v>
      </c>
      <c r="D48" s="170">
        <f t="shared" si="40"/>
        <v>11022.150933383791</v>
      </c>
      <c r="E48" s="170">
        <f t="shared" si="40"/>
        <v>15269.654512563315</v>
      </c>
      <c r="F48" s="170">
        <f t="shared" si="40"/>
        <v>19518.661851482586</v>
      </c>
      <c r="G48" s="170">
        <f t="shared" si="40"/>
        <v>23769.203290216774</v>
      </c>
      <c r="H48" s="170">
        <f t="shared" si="40"/>
        <v>28021.309803623877</v>
      </c>
      <c r="I48" s="170">
        <f t="shared" si="40"/>
        <v>32275.013014975622</v>
      </c>
      <c r="J48" s="170">
        <f t="shared" si="40"/>
        <v>36530.345209886385</v>
      </c>
      <c r="K48" s="170">
        <f t="shared" si="40"/>
        <v>40787.339350546878</v>
      </c>
      <c r="L48" s="170">
        <f t="shared" si="40"/>
        <v>45046.029090269272</v>
      </c>
      <c r="M48" s="170">
        <f t="shared" si="40"/>
        <v>49306.448788350688</v>
      </c>
      <c r="N48" s="170">
        <f t="shared" si="40"/>
        <v>53568.63352526207</v>
      </c>
      <c r="O48" s="170">
        <f t="shared" si="40"/>
        <v>6297.3531068967268</v>
      </c>
      <c r="P48" s="170">
        <f t="shared" si="40"/>
        <v>11403.279000766337</v>
      </c>
      <c r="Q48" s="170">
        <f t="shared" si="40"/>
        <v>16511.079658844716</v>
      </c>
      <c r="R48" s="170">
        <f t="shared" si="40"/>
        <v>21620.793204951438</v>
      </c>
      <c r="S48" s="170">
        <f t="shared" si="40"/>
        <v>26732.458565163892</v>
      </c>
      <c r="T48" s="170">
        <f t="shared" si="40"/>
        <v>31846.115485115948</v>
      </c>
      <c r="U48" s="170">
        <f t="shared" si="40"/>
        <v>36961.804547676074</v>
      </c>
      <c r="V48" s="170">
        <f t="shared" si="40"/>
        <v>42079.567191013273</v>
      </c>
      <c r="W48" s="170">
        <f t="shared" si="40"/>
        <v>47199.445727059538</v>
      </c>
      <c r="X48" s="170">
        <f t="shared" si="40"/>
        <v>52446.878929518141</v>
      </c>
      <c r="Y48" s="170">
        <f t="shared" si="40"/>
        <v>57696.515345723783</v>
      </c>
      <c r="Z48" s="170">
        <f t="shared" si="40"/>
        <v>62948.400023769842</v>
      </c>
      <c r="AA48" s="170">
        <f t="shared" si="40"/>
        <v>6586.0784493241936</v>
      </c>
      <c r="AB48" s="170">
        <f t="shared" si="40"/>
        <v>12847.040886474646</v>
      </c>
      <c r="AC48" s="170">
        <f t="shared" si="40"/>
        <v>19110.392523059818</v>
      </c>
      <c r="AD48" s="170">
        <f t="shared" si="40"/>
        <v>25376.182339503135</v>
      </c>
      <c r="AE48" s="170">
        <f t="shared" si="40"/>
        <v>31644.460353062212</v>
      </c>
      <c r="AF48" s="170">
        <f t="shared" si="40"/>
        <v>37915.277640280299</v>
      </c>
      <c r="AG48" s="170">
        <f t="shared" si="40"/>
        <v>44188.686359931598</v>
      </c>
      <c r="AH48" s="170">
        <f t="shared" si="40"/>
        <v>50464.739776471564</v>
      </c>
      <c r="AI48" s="170">
        <f t="shared" si="40"/>
        <v>56743.492284003289</v>
      </c>
      <c r="AJ48" s="170">
        <f t="shared" si="40"/>
        <v>63024.999430771604</v>
      </c>
      <c r="AK48" s="170">
        <f t="shared" si="40"/>
        <v>69309.317944196475</v>
      </c>
      <c r="AL48" s="170">
        <f t="shared" si="40"/>
        <v>75596.50575645786</v>
      </c>
      <c r="AM48" s="170">
        <f t="shared" si="40"/>
        <v>8216.8143540193832</v>
      </c>
      <c r="AN48" s="170">
        <f t="shared" si="40"/>
        <v>8370.7688711335886</v>
      </c>
      <c r="AO48" s="170">
        <f t="shared" si="40"/>
        <v>8527.773976562974</v>
      </c>
      <c r="AP48" s="170">
        <f t="shared" si="40"/>
        <v>8687.8926888390088</v>
      </c>
    </row>
    <row r="49" spans="1:42" x14ac:dyDescent="0.2">
      <c r="A49" s="163" t="s">
        <v>53</v>
      </c>
      <c r="B49" s="135">
        <f>SUM(B47:B48)</f>
        <v>0</v>
      </c>
      <c r="C49" s="135">
        <f t="shared" ref="C49:AP49" si="41">SUM(C47:C48)</f>
        <v>5192961.5081174355</v>
      </c>
      <c r="D49" s="135">
        <f t="shared" si="41"/>
        <v>5232264.0426083449</v>
      </c>
      <c r="E49" s="135">
        <f t="shared" si="41"/>
        <v>5271545.6388828009</v>
      </c>
      <c r="F49" s="135">
        <f t="shared" si="41"/>
        <v>5310803.6531898417</v>
      </c>
      <c r="G49" s="135">
        <f t="shared" si="41"/>
        <v>5350035.3749564011</v>
      </c>
      <c r="H49" s="135">
        <f t="shared" si="41"/>
        <v>5389238.0252938736</v>
      </c>
      <c r="I49" s="135">
        <f t="shared" si="41"/>
        <v>5428408.7554717446</v>
      </c>
      <c r="J49" s="135">
        <f t="shared" si="41"/>
        <v>5467544.6453575138</v>
      </c>
      <c r="K49" s="135">
        <f t="shared" si="41"/>
        <v>5506642.7018222297</v>
      </c>
      <c r="L49" s="135">
        <f t="shared" si="41"/>
        <v>5545699.8571107611</v>
      </c>
      <c r="M49" s="135">
        <f t="shared" si="41"/>
        <v>5584712.967176171</v>
      </c>
      <c r="N49" s="135">
        <f t="shared" si="41"/>
        <v>5623678.8099772567</v>
      </c>
      <c r="O49" s="135">
        <f t="shared" si="41"/>
        <v>5611058.8177272612</v>
      </c>
      <c r="P49" s="135">
        <f t="shared" si="41"/>
        <v>5650760.2420357289</v>
      </c>
      <c r="Q49" s="135">
        <f t="shared" si="41"/>
        <v>5690404.2473974191</v>
      </c>
      <c r="R49" s="135">
        <f t="shared" si="41"/>
        <v>5729987.2820052225</v>
      </c>
      <c r="S49" s="135">
        <f t="shared" si="41"/>
        <v>5769505.7069647238</v>
      </c>
      <c r="T49" s="135">
        <f t="shared" si="41"/>
        <v>5808955.7943532737</v>
      </c>
      <c r="U49" s="135">
        <f t="shared" si="41"/>
        <v>5848333.7252362333</v>
      </c>
      <c r="V49" s="135">
        <f t="shared" si="41"/>
        <v>5887635.5876393225</v>
      </c>
      <c r="W49" s="135">
        <f t="shared" si="41"/>
        <v>5926857.3744761758</v>
      </c>
      <c r="X49" s="135">
        <f t="shared" si="41"/>
        <v>5951789.4548116978</v>
      </c>
      <c r="Y49" s="135">
        <f t="shared" si="41"/>
        <v>5976633.1515520532</v>
      </c>
      <c r="Z49" s="135">
        <f t="shared" si="41"/>
        <v>6001384.1593765877</v>
      </c>
      <c r="AA49" s="135">
        <f t="shared" si="41"/>
        <v>5964421.5685800957</v>
      </c>
      <c r="AB49" s="135">
        <f t="shared" si="41"/>
        <v>5989978.3070811015</v>
      </c>
      <c r="AC49" s="135">
        <f t="shared" si="41"/>
        <v>6015428.8081830656</v>
      </c>
      <c r="AD49" s="135">
        <f t="shared" si="41"/>
        <v>6040768.3370063202</v>
      </c>
      <c r="AE49" s="135">
        <f t="shared" si="41"/>
        <v>6065992.0452415245</v>
      </c>
      <c r="AF49" s="135">
        <f t="shared" si="41"/>
        <v>6091094.9686261555</v>
      </c>
      <c r="AG49" s="135">
        <f t="shared" si="41"/>
        <v>6116072.0243651913</v>
      </c>
      <c r="AH49" s="135">
        <f t="shared" si="41"/>
        <v>6140918.0084946593</v>
      </c>
      <c r="AI49" s="135">
        <f t="shared" si="41"/>
        <v>6165627.5931868376</v>
      </c>
      <c r="AJ49" s="135">
        <f t="shared" si="41"/>
        <v>6190195.3239957476</v>
      </c>
      <c r="AK49" s="135">
        <f t="shared" si="41"/>
        <v>6214615.6170416782</v>
      </c>
      <c r="AL49" s="135">
        <f t="shared" si="41"/>
        <v>6238882.7561333347</v>
      </c>
      <c r="AM49" s="135">
        <f t="shared" si="41"/>
        <v>6189321.082149595</v>
      </c>
      <c r="AN49" s="135">
        <f t="shared" si="41"/>
        <v>6207125.0700995196</v>
      </c>
      <c r="AO49" s="135">
        <f t="shared" si="41"/>
        <v>6224757.9319083411</v>
      </c>
      <c r="AP49" s="135">
        <f t="shared" si="41"/>
        <v>10264928.392063286</v>
      </c>
    </row>
    <row r="50" spans="1:42" x14ac:dyDescent="0.2">
      <c r="A50" s="163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</row>
    <row r="51" spans="1:42" x14ac:dyDescent="0.2">
      <c r="A51" s="165" t="s">
        <v>168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</row>
    <row r="52" spans="1:42" x14ac:dyDescent="0.2">
      <c r="A52" s="163" t="s">
        <v>169</v>
      </c>
      <c r="B52" s="135">
        <f>-AEPFInstalledCostTotal+'Inputs &amp; Results'!B180</f>
        <v>-43210095.75</v>
      </c>
      <c r="C52" s="135">
        <v>0</v>
      </c>
      <c r="D52" s="135">
        <v>0</v>
      </c>
      <c r="E52" s="135">
        <v>0</v>
      </c>
      <c r="F52" s="135">
        <v>0</v>
      </c>
      <c r="G52" s="135">
        <v>0</v>
      </c>
      <c r="H52" s="135">
        <v>0</v>
      </c>
      <c r="I52" s="135">
        <v>0</v>
      </c>
      <c r="J52" s="135">
        <v>0</v>
      </c>
      <c r="K52" s="135">
        <v>0</v>
      </c>
      <c r="L52" s="135">
        <v>0</v>
      </c>
      <c r="M52" s="135">
        <v>0</v>
      </c>
      <c r="N52" s="135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35">
        <v>0</v>
      </c>
      <c r="V52" s="135">
        <v>0</v>
      </c>
      <c r="W52" s="135">
        <v>0</v>
      </c>
      <c r="X52" s="135">
        <v>0</v>
      </c>
      <c r="Y52" s="135">
        <v>0</v>
      </c>
      <c r="Z52" s="135">
        <v>0</v>
      </c>
      <c r="AA52" s="135">
        <v>0</v>
      </c>
      <c r="AB52" s="135">
        <v>0</v>
      </c>
      <c r="AC52" s="135">
        <v>0</v>
      </c>
      <c r="AD52" s="135">
        <v>0</v>
      </c>
      <c r="AE52" s="135">
        <v>0</v>
      </c>
      <c r="AF52" s="135">
        <v>0</v>
      </c>
      <c r="AG52" s="135">
        <v>0</v>
      </c>
      <c r="AH52" s="135">
        <v>0</v>
      </c>
      <c r="AI52" s="135">
        <v>0</v>
      </c>
      <c r="AJ52" s="135">
        <v>0</v>
      </c>
      <c r="AK52" s="135">
        <v>0</v>
      </c>
      <c r="AL52" s="135">
        <v>0</v>
      </c>
      <c r="AM52" s="135">
        <v>0</v>
      </c>
      <c r="AN52" s="135">
        <v>0</v>
      </c>
      <c r="AO52" s="135">
        <v>0</v>
      </c>
      <c r="AP52" s="135">
        <v>0</v>
      </c>
    </row>
    <row r="53" spans="1:42" x14ac:dyDescent="0.2">
      <c r="A53" s="163" t="s">
        <v>170</v>
      </c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</row>
    <row r="54" spans="1:42" x14ac:dyDescent="0.2">
      <c r="A54" s="167" t="s">
        <v>177</v>
      </c>
      <c r="B54" s="135">
        <f t="shared" ref="B54:AP54" si="42">-B603-B604</f>
        <v>-387206.93687500001</v>
      </c>
      <c r="C54" s="135">
        <f t="shared" si="42"/>
        <v>2775.7693067500368</v>
      </c>
      <c r="D54" s="135">
        <f t="shared" si="42"/>
        <v>2691.5383862796589</v>
      </c>
      <c r="E54" s="135">
        <f t="shared" si="42"/>
        <v>2605.6092582939309</v>
      </c>
      <c r="F54" s="135">
        <f t="shared" si="42"/>
        <v>2517.9464117275202</v>
      </c>
      <c r="G54" s="135">
        <f t="shared" si="42"/>
        <v>2428.5135732748895</v>
      </c>
      <c r="H54" s="135">
        <f t="shared" si="42"/>
        <v>2337.2736907242215</v>
      </c>
      <c r="I54" s="135">
        <f t="shared" si="42"/>
        <v>2244.1889159230632</v>
      </c>
      <c r="J54" s="135">
        <f t="shared" si="42"/>
        <v>2149.2205873668427</v>
      </c>
      <c r="K54" s="135">
        <f t="shared" si="42"/>
        <v>2052.3292124011787</v>
      </c>
      <c r="L54" s="135">
        <f t="shared" si="42"/>
        <v>1953.4744490290177</v>
      </c>
      <c r="M54" s="135">
        <f t="shared" si="42"/>
        <v>1852.6150873167207</v>
      </c>
      <c r="N54" s="135">
        <f t="shared" si="42"/>
        <v>1749.7090303857112</v>
      </c>
      <c r="O54" s="135">
        <f t="shared" si="42"/>
        <v>1644.7132749838638</v>
      </c>
      <c r="P54" s="135">
        <f t="shared" si="42"/>
        <v>1537.5838916256325</v>
      </c>
      <c r="Q54" s="135">
        <f t="shared" si="42"/>
        <v>1428.2760042916634</v>
      </c>
      <c r="R54" s="135">
        <f t="shared" si="42"/>
        <v>1316.7437696784618</v>
      </c>
      <c r="S54" s="135">
        <f t="shared" si="42"/>
        <v>1202.9403559868806</v>
      </c>
      <c r="T54" s="135">
        <f t="shared" si="42"/>
        <v>1086.817921240232</v>
      </c>
      <c r="U54" s="135">
        <f t="shared" si="42"/>
        <v>968.3275911216042</v>
      </c>
      <c r="V54" s="135">
        <f t="shared" si="42"/>
        <v>847.41943631798495</v>
      </c>
      <c r="W54" s="135">
        <f t="shared" si="42"/>
        <v>-6441.4186443877406</v>
      </c>
      <c r="X54" s="135">
        <f t="shared" si="42"/>
        <v>-6567.316572789161</v>
      </c>
      <c r="Y54" s="135">
        <f t="shared" si="42"/>
        <v>-6695.7886779560358</v>
      </c>
      <c r="Z54" s="135">
        <f t="shared" si="42"/>
        <v>-6826.8893459686078</v>
      </c>
      <c r="AA54" s="135">
        <f t="shared" si="42"/>
        <v>-6960.6741389553063</v>
      </c>
      <c r="AB54" s="135">
        <f t="shared" si="42"/>
        <v>-7097.1998209392186</v>
      </c>
      <c r="AC54" s="135">
        <f t="shared" si="42"/>
        <v>-7236.524384261691</v>
      </c>
      <c r="AD54" s="135">
        <f t="shared" si="42"/>
        <v>-7378.7070765909739</v>
      </c>
      <c r="AE54" s="135">
        <f t="shared" si="42"/>
        <v>-7523.8084285343648</v>
      </c>
      <c r="AF54" s="135">
        <f t="shared" si="42"/>
        <v>-7671.8902818609495</v>
      </c>
      <c r="AG54" s="135">
        <f t="shared" si="42"/>
        <v>-7823.015818355896</v>
      </c>
      <c r="AH54" s="135">
        <f t="shared" si="42"/>
        <v>-7977.2495893138694</v>
      </c>
      <c r="AI54" s="135">
        <f t="shared" si="42"/>
        <v>-8134.6575456900755</v>
      </c>
      <c r="AJ54" s="135">
        <f t="shared" si="42"/>
        <v>-8295.3070689219167</v>
      </c>
      <c r="AK54" s="135">
        <f t="shared" si="42"/>
        <v>-8459.2670024372637</v>
      </c>
      <c r="AL54" s="135">
        <f t="shared" si="42"/>
        <v>-8626.607683863549</v>
      </c>
      <c r="AM54" s="135">
        <f t="shared" si="42"/>
        <v>-8797.4009779546759</v>
      </c>
      <c r="AN54" s="135">
        <f t="shared" si="42"/>
        <v>-8971.7203102505882</v>
      </c>
      <c r="AO54" s="135">
        <f t="shared" si="42"/>
        <v>-9149.6407014876604</v>
      </c>
      <c r="AP54" s="135">
        <f t="shared" si="42"/>
        <v>496451.01079080044</v>
      </c>
    </row>
    <row r="55" spans="1:42" x14ac:dyDescent="0.2">
      <c r="A55" s="167" t="s">
        <v>293</v>
      </c>
      <c r="B55" s="169">
        <f>-B609-B610</f>
        <v>0</v>
      </c>
      <c r="C55" s="169">
        <f t="shared" ref="C55:AP55" si="43">-C609-C610</f>
        <v>-245406.02862510949</v>
      </c>
      <c r="D55" s="169">
        <f t="shared" si="43"/>
        <v>-245406.02862510949</v>
      </c>
      <c r="E55" s="169">
        <f t="shared" si="43"/>
        <v>-245406.02862510949</v>
      </c>
      <c r="F55" s="169">
        <f t="shared" si="43"/>
        <v>-245406.02862510949</v>
      </c>
      <c r="G55" s="169">
        <f t="shared" si="43"/>
        <v>-245406.02862510949</v>
      </c>
      <c r="H55" s="169">
        <f t="shared" si="43"/>
        <v>-245406.02862510949</v>
      </c>
      <c r="I55" s="169">
        <f t="shared" si="43"/>
        <v>-245406.02862510949</v>
      </c>
      <c r="J55" s="169">
        <f t="shared" si="43"/>
        <v>-245406.02862510949</v>
      </c>
      <c r="K55" s="169">
        <f t="shared" si="43"/>
        <v>-245406.02862510949</v>
      </c>
      <c r="L55" s="169">
        <f t="shared" si="43"/>
        <v>-245406.02862510949</v>
      </c>
      <c r="M55" s="169">
        <f t="shared" si="43"/>
        <v>-245406.02862510949</v>
      </c>
      <c r="N55" s="169">
        <f t="shared" si="43"/>
        <v>2699466.3148762044</v>
      </c>
      <c r="O55" s="169">
        <f t="shared" si="43"/>
        <v>-293411.90721039008</v>
      </c>
      <c r="P55" s="169">
        <f t="shared" si="43"/>
        <v>-293411.90721039008</v>
      </c>
      <c r="Q55" s="169">
        <f t="shared" si="43"/>
        <v>-293411.90721039008</v>
      </c>
      <c r="R55" s="169">
        <f t="shared" si="43"/>
        <v>-293411.90721039008</v>
      </c>
      <c r="S55" s="169">
        <f t="shared" si="43"/>
        <v>-293411.90721039008</v>
      </c>
      <c r="T55" s="169">
        <f t="shared" si="43"/>
        <v>-293411.90721039008</v>
      </c>
      <c r="U55" s="169">
        <f t="shared" si="43"/>
        <v>-293411.90721039008</v>
      </c>
      <c r="V55" s="169">
        <f t="shared" si="43"/>
        <v>-293411.90721039008</v>
      </c>
      <c r="W55" s="169">
        <f t="shared" si="43"/>
        <v>-293411.90721039008</v>
      </c>
      <c r="X55" s="169">
        <f t="shared" si="43"/>
        <v>-293411.90721039008</v>
      </c>
      <c r="Y55" s="169">
        <f t="shared" si="43"/>
        <v>-293411.90721039008</v>
      </c>
      <c r="Z55" s="169">
        <f t="shared" si="43"/>
        <v>3227530.9793142909</v>
      </c>
      <c r="AA55" s="169">
        <f t="shared" si="43"/>
        <v>-350808.60798392771</v>
      </c>
      <c r="AB55" s="169">
        <f t="shared" si="43"/>
        <v>-350808.60798392771</v>
      </c>
      <c r="AC55" s="169">
        <f t="shared" si="43"/>
        <v>-350808.60798392771</v>
      </c>
      <c r="AD55" s="169">
        <f t="shared" si="43"/>
        <v>-350808.60798392771</v>
      </c>
      <c r="AE55" s="169">
        <f t="shared" si="43"/>
        <v>-350808.60798392771</v>
      </c>
      <c r="AF55" s="169">
        <f t="shared" si="43"/>
        <v>-350808.60798392771</v>
      </c>
      <c r="AG55" s="169">
        <f t="shared" si="43"/>
        <v>-350808.60798392771</v>
      </c>
      <c r="AH55" s="169">
        <f t="shared" si="43"/>
        <v>-350808.60798392771</v>
      </c>
      <c r="AI55" s="169">
        <f t="shared" si="43"/>
        <v>-350808.60798392771</v>
      </c>
      <c r="AJ55" s="169">
        <f t="shared" si="43"/>
        <v>-350808.60798392771</v>
      </c>
      <c r="AK55" s="169">
        <f t="shared" si="43"/>
        <v>-350808.60798392771</v>
      </c>
      <c r="AL55" s="169">
        <f t="shared" si="43"/>
        <v>3858894.6878232048</v>
      </c>
      <c r="AM55" s="169">
        <f t="shared" si="43"/>
        <v>0</v>
      </c>
      <c r="AN55" s="169">
        <f t="shared" si="43"/>
        <v>0</v>
      </c>
      <c r="AO55" s="169">
        <f t="shared" si="43"/>
        <v>0</v>
      </c>
      <c r="AP55" s="169">
        <f t="shared" si="43"/>
        <v>0</v>
      </c>
    </row>
    <row r="56" spans="1:42" x14ac:dyDescent="0.2">
      <c r="A56" s="167" t="s">
        <v>294</v>
      </c>
      <c r="B56" s="169">
        <f>-B641-B642</f>
        <v>0</v>
      </c>
      <c r="C56" s="169">
        <f t="shared" ref="C56:AP56" si="44">-C641-C642</f>
        <v>0</v>
      </c>
      <c r="D56" s="169">
        <f t="shared" si="44"/>
        <v>0</v>
      </c>
      <c r="E56" s="169">
        <f t="shared" si="44"/>
        <v>0</v>
      </c>
      <c r="F56" s="169">
        <f t="shared" si="44"/>
        <v>0</v>
      </c>
      <c r="G56" s="169">
        <f t="shared" si="44"/>
        <v>0</v>
      </c>
      <c r="H56" s="169">
        <f t="shared" si="44"/>
        <v>0</v>
      </c>
      <c r="I56" s="169">
        <f t="shared" si="44"/>
        <v>0</v>
      </c>
      <c r="J56" s="169">
        <f t="shared" si="44"/>
        <v>0</v>
      </c>
      <c r="K56" s="169">
        <f t="shared" si="44"/>
        <v>0</v>
      </c>
      <c r="L56" s="169">
        <f t="shared" si="44"/>
        <v>0</v>
      </c>
      <c r="M56" s="169">
        <f t="shared" si="44"/>
        <v>0</v>
      </c>
      <c r="N56" s="169">
        <f t="shared" si="44"/>
        <v>0</v>
      </c>
      <c r="O56" s="169">
        <f t="shared" si="44"/>
        <v>0</v>
      </c>
      <c r="P56" s="169">
        <f t="shared" si="44"/>
        <v>0</v>
      </c>
      <c r="Q56" s="169">
        <f t="shared" si="44"/>
        <v>0</v>
      </c>
      <c r="R56" s="169">
        <f t="shared" si="44"/>
        <v>0</v>
      </c>
      <c r="S56" s="169">
        <f t="shared" si="44"/>
        <v>0</v>
      </c>
      <c r="T56" s="169">
        <f t="shared" si="44"/>
        <v>0</v>
      </c>
      <c r="U56" s="169">
        <f t="shared" si="44"/>
        <v>0</v>
      </c>
      <c r="V56" s="169">
        <f t="shared" si="44"/>
        <v>0</v>
      </c>
      <c r="W56" s="169">
        <f t="shared" si="44"/>
        <v>0</v>
      </c>
      <c r="X56" s="169">
        <f t="shared" si="44"/>
        <v>0</v>
      </c>
      <c r="Y56" s="169">
        <f t="shared" si="44"/>
        <v>0</v>
      </c>
      <c r="Z56" s="169">
        <f t="shared" si="44"/>
        <v>0</v>
      </c>
      <c r="AA56" s="169">
        <f t="shared" si="44"/>
        <v>0</v>
      </c>
      <c r="AB56" s="169">
        <f t="shared" si="44"/>
        <v>0</v>
      </c>
      <c r="AC56" s="169">
        <f t="shared" si="44"/>
        <v>0</v>
      </c>
      <c r="AD56" s="169">
        <f t="shared" si="44"/>
        <v>0</v>
      </c>
      <c r="AE56" s="169">
        <f t="shared" si="44"/>
        <v>0</v>
      </c>
      <c r="AF56" s="169">
        <f t="shared" si="44"/>
        <v>0</v>
      </c>
      <c r="AG56" s="169">
        <f t="shared" si="44"/>
        <v>0</v>
      </c>
      <c r="AH56" s="169">
        <f t="shared" si="44"/>
        <v>0</v>
      </c>
      <c r="AI56" s="169">
        <f t="shared" si="44"/>
        <v>0</v>
      </c>
      <c r="AJ56" s="169">
        <f t="shared" si="44"/>
        <v>0</v>
      </c>
      <c r="AK56" s="169">
        <f t="shared" si="44"/>
        <v>0</v>
      </c>
      <c r="AL56" s="169">
        <f t="shared" si="44"/>
        <v>0</v>
      </c>
      <c r="AM56" s="169">
        <f t="shared" si="44"/>
        <v>0</v>
      </c>
      <c r="AN56" s="169">
        <f t="shared" si="44"/>
        <v>0</v>
      </c>
      <c r="AO56" s="169">
        <f t="shared" si="44"/>
        <v>0</v>
      </c>
      <c r="AP56" s="169">
        <f t="shared" si="44"/>
        <v>0</v>
      </c>
    </row>
    <row r="57" spans="1:42" x14ac:dyDescent="0.2">
      <c r="A57" s="167" t="s">
        <v>295</v>
      </c>
      <c r="B57" s="170">
        <f>-B673-B674</f>
        <v>0</v>
      </c>
      <c r="C57" s="170">
        <f t="shared" ref="C57:AP57" si="45">-C673-C674</f>
        <v>0</v>
      </c>
      <c r="D57" s="170">
        <f t="shared" si="45"/>
        <v>0</v>
      </c>
      <c r="E57" s="170">
        <f t="shared" si="45"/>
        <v>0</v>
      </c>
      <c r="F57" s="170">
        <f t="shared" si="45"/>
        <v>0</v>
      </c>
      <c r="G57" s="170">
        <f t="shared" si="45"/>
        <v>0</v>
      </c>
      <c r="H57" s="170">
        <f t="shared" si="45"/>
        <v>0</v>
      </c>
      <c r="I57" s="170">
        <f t="shared" si="45"/>
        <v>0</v>
      </c>
      <c r="J57" s="170">
        <f t="shared" si="45"/>
        <v>0</v>
      </c>
      <c r="K57" s="170">
        <f t="shared" si="45"/>
        <v>0</v>
      </c>
      <c r="L57" s="170">
        <f t="shared" si="45"/>
        <v>0</v>
      </c>
      <c r="M57" s="170">
        <f t="shared" si="45"/>
        <v>0</v>
      </c>
      <c r="N57" s="170">
        <f t="shared" si="45"/>
        <v>0</v>
      </c>
      <c r="O57" s="170">
        <f t="shared" si="45"/>
        <v>0</v>
      </c>
      <c r="P57" s="170">
        <f t="shared" si="45"/>
        <v>0</v>
      </c>
      <c r="Q57" s="170">
        <f t="shared" si="45"/>
        <v>0</v>
      </c>
      <c r="R57" s="170">
        <f t="shared" si="45"/>
        <v>0</v>
      </c>
      <c r="S57" s="170">
        <f t="shared" si="45"/>
        <v>0</v>
      </c>
      <c r="T57" s="170">
        <f t="shared" si="45"/>
        <v>0</v>
      </c>
      <c r="U57" s="170">
        <f t="shared" si="45"/>
        <v>0</v>
      </c>
      <c r="V57" s="170">
        <f t="shared" si="45"/>
        <v>0</v>
      </c>
      <c r="W57" s="170">
        <f t="shared" si="45"/>
        <v>0</v>
      </c>
      <c r="X57" s="170">
        <f t="shared" si="45"/>
        <v>0</v>
      </c>
      <c r="Y57" s="170">
        <f t="shared" si="45"/>
        <v>0</v>
      </c>
      <c r="Z57" s="170">
        <f t="shared" si="45"/>
        <v>0</v>
      </c>
      <c r="AA57" s="170">
        <f t="shared" si="45"/>
        <v>0</v>
      </c>
      <c r="AB57" s="170">
        <f t="shared" si="45"/>
        <v>0</v>
      </c>
      <c r="AC57" s="170">
        <f t="shared" si="45"/>
        <v>0</v>
      </c>
      <c r="AD57" s="170">
        <f t="shared" si="45"/>
        <v>0</v>
      </c>
      <c r="AE57" s="170">
        <f t="shared" si="45"/>
        <v>0</v>
      </c>
      <c r="AF57" s="170">
        <f t="shared" si="45"/>
        <v>0</v>
      </c>
      <c r="AG57" s="170">
        <f t="shared" si="45"/>
        <v>0</v>
      </c>
      <c r="AH57" s="170">
        <f t="shared" si="45"/>
        <v>0</v>
      </c>
      <c r="AI57" s="170">
        <f t="shared" si="45"/>
        <v>0</v>
      </c>
      <c r="AJ57" s="170">
        <f t="shared" si="45"/>
        <v>0</v>
      </c>
      <c r="AK57" s="170">
        <f t="shared" si="45"/>
        <v>0</v>
      </c>
      <c r="AL57" s="170">
        <f t="shared" si="45"/>
        <v>0</v>
      </c>
      <c r="AM57" s="170">
        <f t="shared" si="45"/>
        <v>0</v>
      </c>
      <c r="AN57" s="170">
        <f t="shared" si="45"/>
        <v>0</v>
      </c>
      <c r="AO57" s="170">
        <f t="shared" si="45"/>
        <v>0</v>
      </c>
      <c r="AP57" s="170">
        <f t="shared" si="45"/>
        <v>0</v>
      </c>
    </row>
    <row r="58" spans="1:42" x14ac:dyDescent="0.2">
      <c r="A58" s="167" t="s">
        <v>53</v>
      </c>
      <c r="B58" s="135">
        <f t="shared" ref="B58:AP58" si="46">SUM(B54:B57)</f>
        <v>-387206.93687500001</v>
      </c>
      <c r="C58" s="135">
        <f t="shared" si="46"/>
        <v>-242630.25931835946</v>
      </c>
      <c r="D58" s="135">
        <f t="shared" si="46"/>
        <v>-242714.49023882984</v>
      </c>
      <c r="E58" s="135">
        <f t="shared" si="46"/>
        <v>-242800.41936681556</v>
      </c>
      <c r="F58" s="135">
        <f t="shared" si="46"/>
        <v>-242888.08221338197</v>
      </c>
      <c r="G58" s="135">
        <f t="shared" si="46"/>
        <v>-242977.51505183461</v>
      </c>
      <c r="H58" s="135">
        <f t="shared" si="46"/>
        <v>-243068.75493438527</v>
      </c>
      <c r="I58" s="135">
        <f t="shared" si="46"/>
        <v>-243161.83970918643</v>
      </c>
      <c r="J58" s="135">
        <f t="shared" si="46"/>
        <v>-243256.80803774265</v>
      </c>
      <c r="K58" s="135">
        <f t="shared" si="46"/>
        <v>-243353.69941270832</v>
      </c>
      <c r="L58" s="135">
        <f t="shared" si="46"/>
        <v>-243452.55417608048</v>
      </c>
      <c r="M58" s="135">
        <f t="shared" si="46"/>
        <v>-243553.41353779277</v>
      </c>
      <c r="N58" s="135">
        <f t="shared" si="46"/>
        <v>2701216.02390659</v>
      </c>
      <c r="O58" s="135">
        <f t="shared" si="46"/>
        <v>-291767.19393540622</v>
      </c>
      <c r="P58" s="135">
        <f t="shared" si="46"/>
        <v>-291874.32331876445</v>
      </c>
      <c r="Q58" s="135">
        <f t="shared" si="46"/>
        <v>-291983.63120609842</v>
      </c>
      <c r="R58" s="135">
        <f t="shared" si="46"/>
        <v>-292095.16344071162</v>
      </c>
      <c r="S58" s="135">
        <f t="shared" si="46"/>
        <v>-292208.9668544032</v>
      </c>
      <c r="T58" s="135">
        <f t="shared" si="46"/>
        <v>-292325.08928914985</v>
      </c>
      <c r="U58" s="135">
        <f t="shared" si="46"/>
        <v>-292443.57961926848</v>
      </c>
      <c r="V58" s="135">
        <f t="shared" si="46"/>
        <v>-292564.4877740721</v>
      </c>
      <c r="W58" s="135">
        <f t="shared" si="46"/>
        <v>-299853.32585477782</v>
      </c>
      <c r="X58" s="135">
        <f t="shared" si="46"/>
        <v>-299979.22378317924</v>
      </c>
      <c r="Y58" s="135">
        <f t="shared" si="46"/>
        <v>-300107.69588834612</v>
      </c>
      <c r="Z58" s="135">
        <f t="shared" si="46"/>
        <v>3220704.0899683223</v>
      </c>
      <c r="AA58" s="135">
        <f t="shared" si="46"/>
        <v>-357769.28212288301</v>
      </c>
      <c r="AB58" s="135">
        <f t="shared" si="46"/>
        <v>-357905.80780486693</v>
      </c>
      <c r="AC58" s="135">
        <f t="shared" si="46"/>
        <v>-358045.1323681894</v>
      </c>
      <c r="AD58" s="135">
        <f t="shared" si="46"/>
        <v>-358187.31506051868</v>
      </c>
      <c r="AE58" s="135">
        <f t="shared" si="46"/>
        <v>-358332.41641246207</v>
      </c>
      <c r="AF58" s="135">
        <f t="shared" si="46"/>
        <v>-358480.49826578866</v>
      </c>
      <c r="AG58" s="135">
        <f t="shared" si="46"/>
        <v>-358631.6238022836</v>
      </c>
      <c r="AH58" s="135">
        <f t="shared" si="46"/>
        <v>-358785.85757324158</v>
      </c>
      <c r="AI58" s="135">
        <f t="shared" si="46"/>
        <v>-358943.26552961778</v>
      </c>
      <c r="AJ58" s="135">
        <f t="shared" si="46"/>
        <v>-359103.91505284962</v>
      </c>
      <c r="AK58" s="135">
        <f t="shared" si="46"/>
        <v>-359267.87498636497</v>
      </c>
      <c r="AL58" s="135">
        <f t="shared" si="46"/>
        <v>3850268.0801393413</v>
      </c>
      <c r="AM58" s="135">
        <f t="shared" si="46"/>
        <v>-8797.4009779546759</v>
      </c>
      <c r="AN58" s="135">
        <f t="shared" si="46"/>
        <v>-8971.7203102505882</v>
      </c>
      <c r="AO58" s="135">
        <f t="shared" si="46"/>
        <v>-9149.6407014876604</v>
      </c>
      <c r="AP58" s="135">
        <f t="shared" si="46"/>
        <v>496451.01079080044</v>
      </c>
    </row>
    <row r="59" spans="1:42" x14ac:dyDescent="0.2">
      <c r="A59" s="163" t="s">
        <v>187</v>
      </c>
    </row>
    <row r="60" spans="1:42" x14ac:dyDescent="0.2">
      <c r="A60" s="167" t="s">
        <v>300</v>
      </c>
      <c r="B60" s="169">
        <f>B610</f>
        <v>0</v>
      </c>
      <c r="C60" s="169">
        <f t="shared" ref="C60:AP60" si="47">C610</f>
        <v>0</v>
      </c>
      <c r="D60" s="169">
        <f t="shared" si="47"/>
        <v>0</v>
      </c>
      <c r="E60" s="169">
        <f t="shared" si="47"/>
        <v>0</v>
      </c>
      <c r="F60" s="169">
        <f t="shared" si="47"/>
        <v>0</v>
      </c>
      <c r="G60" s="169">
        <f t="shared" si="47"/>
        <v>0</v>
      </c>
      <c r="H60" s="169">
        <f t="shared" si="47"/>
        <v>0</v>
      </c>
      <c r="I60" s="169">
        <f t="shared" si="47"/>
        <v>0</v>
      </c>
      <c r="J60" s="169">
        <f t="shared" si="47"/>
        <v>0</v>
      </c>
      <c r="K60" s="169">
        <f t="shared" si="47"/>
        <v>0</v>
      </c>
      <c r="L60" s="169">
        <f t="shared" si="47"/>
        <v>0</v>
      </c>
      <c r="M60" s="169">
        <f t="shared" si="47"/>
        <v>0</v>
      </c>
      <c r="N60" s="169">
        <f t="shared" si="47"/>
        <v>-2944872.3435013141</v>
      </c>
      <c r="O60" s="169">
        <f t="shared" si="47"/>
        <v>0</v>
      </c>
      <c r="P60" s="169">
        <f t="shared" si="47"/>
        <v>0</v>
      </c>
      <c r="Q60" s="169">
        <f t="shared" si="47"/>
        <v>0</v>
      </c>
      <c r="R60" s="169">
        <f t="shared" si="47"/>
        <v>0</v>
      </c>
      <c r="S60" s="169">
        <f t="shared" si="47"/>
        <v>0</v>
      </c>
      <c r="T60" s="169">
        <f t="shared" si="47"/>
        <v>0</v>
      </c>
      <c r="U60" s="169">
        <f t="shared" si="47"/>
        <v>0</v>
      </c>
      <c r="V60" s="169">
        <f t="shared" si="47"/>
        <v>0</v>
      </c>
      <c r="W60" s="169">
        <f t="shared" si="47"/>
        <v>0</v>
      </c>
      <c r="X60" s="169">
        <f t="shared" si="47"/>
        <v>0</v>
      </c>
      <c r="Y60" s="169">
        <f t="shared" si="47"/>
        <v>0</v>
      </c>
      <c r="Z60" s="169">
        <f t="shared" si="47"/>
        <v>-3520942.886524681</v>
      </c>
      <c r="AA60" s="169">
        <f t="shared" si="47"/>
        <v>0</v>
      </c>
      <c r="AB60" s="169">
        <f t="shared" si="47"/>
        <v>0</v>
      </c>
      <c r="AC60" s="169">
        <f t="shared" si="47"/>
        <v>0</v>
      </c>
      <c r="AD60" s="169">
        <f t="shared" si="47"/>
        <v>0</v>
      </c>
      <c r="AE60" s="169">
        <f t="shared" si="47"/>
        <v>0</v>
      </c>
      <c r="AF60" s="169">
        <f t="shared" si="47"/>
        <v>0</v>
      </c>
      <c r="AG60" s="169">
        <f t="shared" si="47"/>
        <v>0</v>
      </c>
      <c r="AH60" s="169">
        <f t="shared" si="47"/>
        <v>0</v>
      </c>
      <c r="AI60" s="169">
        <f t="shared" si="47"/>
        <v>0</v>
      </c>
      <c r="AJ60" s="169">
        <f t="shared" si="47"/>
        <v>0</v>
      </c>
      <c r="AK60" s="169">
        <f t="shared" si="47"/>
        <v>0</v>
      </c>
      <c r="AL60" s="169">
        <f t="shared" si="47"/>
        <v>-4209703.2958071325</v>
      </c>
      <c r="AM60" s="169">
        <f t="shared" si="47"/>
        <v>0</v>
      </c>
      <c r="AN60" s="169">
        <f t="shared" si="47"/>
        <v>0</v>
      </c>
      <c r="AO60" s="169">
        <f t="shared" si="47"/>
        <v>0</v>
      </c>
      <c r="AP60" s="169">
        <f t="shared" si="47"/>
        <v>0</v>
      </c>
    </row>
    <row r="61" spans="1:42" x14ac:dyDescent="0.2">
      <c r="A61" s="167" t="s">
        <v>301</v>
      </c>
      <c r="B61" s="169">
        <f>B642</f>
        <v>0</v>
      </c>
      <c r="C61" s="169">
        <f t="shared" ref="C61:AP61" si="48">C642</f>
        <v>0</v>
      </c>
      <c r="D61" s="169">
        <f t="shared" si="48"/>
        <v>0</v>
      </c>
      <c r="E61" s="169">
        <f t="shared" si="48"/>
        <v>0</v>
      </c>
      <c r="F61" s="169">
        <f t="shared" si="48"/>
        <v>0</v>
      </c>
      <c r="G61" s="169">
        <f t="shared" si="48"/>
        <v>0</v>
      </c>
      <c r="H61" s="169">
        <f t="shared" si="48"/>
        <v>0</v>
      </c>
      <c r="I61" s="169">
        <f t="shared" si="48"/>
        <v>0</v>
      </c>
      <c r="J61" s="169">
        <f t="shared" si="48"/>
        <v>0</v>
      </c>
      <c r="K61" s="169">
        <f t="shared" si="48"/>
        <v>0</v>
      </c>
      <c r="L61" s="169">
        <f t="shared" si="48"/>
        <v>0</v>
      </c>
      <c r="M61" s="169">
        <f t="shared" si="48"/>
        <v>0</v>
      </c>
      <c r="N61" s="169">
        <f t="shared" si="48"/>
        <v>0</v>
      </c>
      <c r="O61" s="169">
        <f t="shared" si="48"/>
        <v>0</v>
      </c>
      <c r="P61" s="169">
        <f t="shared" si="48"/>
        <v>0</v>
      </c>
      <c r="Q61" s="169">
        <f t="shared" si="48"/>
        <v>0</v>
      </c>
      <c r="R61" s="169">
        <f t="shared" si="48"/>
        <v>0</v>
      </c>
      <c r="S61" s="169">
        <f t="shared" si="48"/>
        <v>0</v>
      </c>
      <c r="T61" s="169">
        <f t="shared" si="48"/>
        <v>0</v>
      </c>
      <c r="U61" s="169">
        <f t="shared" si="48"/>
        <v>0</v>
      </c>
      <c r="V61" s="169">
        <f t="shared" si="48"/>
        <v>0</v>
      </c>
      <c r="W61" s="169">
        <f t="shared" si="48"/>
        <v>0</v>
      </c>
      <c r="X61" s="169">
        <f t="shared" si="48"/>
        <v>0</v>
      </c>
      <c r="Y61" s="169">
        <f t="shared" si="48"/>
        <v>0</v>
      </c>
      <c r="Z61" s="169">
        <f t="shared" si="48"/>
        <v>0</v>
      </c>
      <c r="AA61" s="169">
        <f t="shared" si="48"/>
        <v>0</v>
      </c>
      <c r="AB61" s="169">
        <f t="shared" si="48"/>
        <v>0</v>
      </c>
      <c r="AC61" s="169">
        <f t="shared" si="48"/>
        <v>0</v>
      </c>
      <c r="AD61" s="169">
        <f t="shared" si="48"/>
        <v>0</v>
      </c>
      <c r="AE61" s="169">
        <f t="shared" si="48"/>
        <v>0</v>
      </c>
      <c r="AF61" s="169">
        <f t="shared" si="48"/>
        <v>0</v>
      </c>
      <c r="AG61" s="169">
        <f t="shared" si="48"/>
        <v>0</v>
      </c>
      <c r="AH61" s="169">
        <f t="shared" si="48"/>
        <v>0</v>
      </c>
      <c r="AI61" s="169">
        <f t="shared" si="48"/>
        <v>0</v>
      </c>
      <c r="AJ61" s="169">
        <f t="shared" si="48"/>
        <v>0</v>
      </c>
      <c r="AK61" s="169">
        <f t="shared" si="48"/>
        <v>0</v>
      </c>
      <c r="AL61" s="169">
        <f t="shared" si="48"/>
        <v>0</v>
      </c>
      <c r="AM61" s="169">
        <f t="shared" si="48"/>
        <v>0</v>
      </c>
      <c r="AN61" s="169">
        <f t="shared" si="48"/>
        <v>0</v>
      </c>
      <c r="AO61" s="169">
        <f t="shared" si="48"/>
        <v>0</v>
      </c>
      <c r="AP61" s="169">
        <f t="shared" si="48"/>
        <v>0</v>
      </c>
    </row>
    <row r="62" spans="1:42" x14ac:dyDescent="0.2">
      <c r="A62" s="167" t="s">
        <v>302</v>
      </c>
      <c r="B62" s="170">
        <f>B674</f>
        <v>0</v>
      </c>
      <c r="C62" s="170">
        <f t="shared" ref="C62:AP62" si="49">C674</f>
        <v>0</v>
      </c>
      <c r="D62" s="170">
        <f t="shared" si="49"/>
        <v>0</v>
      </c>
      <c r="E62" s="170">
        <f t="shared" si="49"/>
        <v>0</v>
      </c>
      <c r="F62" s="170">
        <f t="shared" si="49"/>
        <v>0</v>
      </c>
      <c r="G62" s="170">
        <f t="shared" si="49"/>
        <v>0</v>
      </c>
      <c r="H62" s="170">
        <f t="shared" si="49"/>
        <v>0</v>
      </c>
      <c r="I62" s="170">
        <f t="shared" si="49"/>
        <v>0</v>
      </c>
      <c r="J62" s="170">
        <f t="shared" si="49"/>
        <v>0</v>
      </c>
      <c r="K62" s="170">
        <f t="shared" si="49"/>
        <v>0</v>
      </c>
      <c r="L62" s="170">
        <f t="shared" si="49"/>
        <v>0</v>
      </c>
      <c r="M62" s="170">
        <f t="shared" si="49"/>
        <v>0</v>
      </c>
      <c r="N62" s="170">
        <f t="shared" si="49"/>
        <v>0</v>
      </c>
      <c r="O62" s="170">
        <f t="shared" si="49"/>
        <v>0</v>
      </c>
      <c r="P62" s="170">
        <f t="shared" si="49"/>
        <v>0</v>
      </c>
      <c r="Q62" s="170">
        <f t="shared" si="49"/>
        <v>0</v>
      </c>
      <c r="R62" s="170">
        <f t="shared" si="49"/>
        <v>0</v>
      </c>
      <c r="S62" s="170">
        <f t="shared" si="49"/>
        <v>0</v>
      </c>
      <c r="T62" s="170">
        <f t="shared" si="49"/>
        <v>0</v>
      </c>
      <c r="U62" s="170">
        <f t="shared" si="49"/>
        <v>0</v>
      </c>
      <c r="V62" s="170">
        <f t="shared" si="49"/>
        <v>0</v>
      </c>
      <c r="W62" s="170">
        <f t="shared" si="49"/>
        <v>0</v>
      </c>
      <c r="X62" s="170">
        <f t="shared" si="49"/>
        <v>0</v>
      </c>
      <c r="Y62" s="170">
        <f t="shared" si="49"/>
        <v>0</v>
      </c>
      <c r="Z62" s="170">
        <f t="shared" si="49"/>
        <v>0</v>
      </c>
      <c r="AA62" s="170">
        <f t="shared" si="49"/>
        <v>0</v>
      </c>
      <c r="AB62" s="170">
        <f t="shared" si="49"/>
        <v>0</v>
      </c>
      <c r="AC62" s="170">
        <f t="shared" si="49"/>
        <v>0</v>
      </c>
      <c r="AD62" s="170">
        <f t="shared" si="49"/>
        <v>0</v>
      </c>
      <c r="AE62" s="170">
        <f t="shared" si="49"/>
        <v>0</v>
      </c>
      <c r="AF62" s="170">
        <f t="shared" si="49"/>
        <v>0</v>
      </c>
      <c r="AG62" s="170">
        <f t="shared" si="49"/>
        <v>0</v>
      </c>
      <c r="AH62" s="170">
        <f t="shared" si="49"/>
        <v>0</v>
      </c>
      <c r="AI62" s="170">
        <f t="shared" si="49"/>
        <v>0</v>
      </c>
      <c r="AJ62" s="170">
        <f t="shared" si="49"/>
        <v>0</v>
      </c>
      <c r="AK62" s="170">
        <f t="shared" si="49"/>
        <v>0</v>
      </c>
      <c r="AL62" s="170">
        <f t="shared" si="49"/>
        <v>0</v>
      </c>
      <c r="AM62" s="170">
        <f t="shared" si="49"/>
        <v>0</v>
      </c>
      <c r="AN62" s="170">
        <f t="shared" si="49"/>
        <v>0</v>
      </c>
      <c r="AO62" s="170">
        <f t="shared" si="49"/>
        <v>0</v>
      </c>
      <c r="AP62" s="170">
        <f t="shared" si="49"/>
        <v>0</v>
      </c>
    </row>
    <row r="63" spans="1:42" x14ac:dyDescent="0.2">
      <c r="A63" s="167" t="s">
        <v>53</v>
      </c>
      <c r="B63" s="230">
        <f>SUM(B60:B62)</f>
        <v>0</v>
      </c>
      <c r="C63" s="230">
        <f t="shared" ref="C63:AP63" si="50">SUM(C60:C62)</f>
        <v>0</v>
      </c>
      <c r="D63" s="230">
        <f t="shared" si="50"/>
        <v>0</v>
      </c>
      <c r="E63" s="230">
        <f t="shared" si="50"/>
        <v>0</v>
      </c>
      <c r="F63" s="230">
        <f t="shared" si="50"/>
        <v>0</v>
      </c>
      <c r="G63" s="230">
        <f t="shared" si="50"/>
        <v>0</v>
      </c>
      <c r="H63" s="230">
        <f t="shared" si="50"/>
        <v>0</v>
      </c>
      <c r="I63" s="230">
        <f t="shared" si="50"/>
        <v>0</v>
      </c>
      <c r="J63" s="230">
        <f t="shared" si="50"/>
        <v>0</v>
      </c>
      <c r="K63" s="230">
        <f t="shared" si="50"/>
        <v>0</v>
      </c>
      <c r="L63" s="230">
        <f t="shared" si="50"/>
        <v>0</v>
      </c>
      <c r="M63" s="230">
        <f t="shared" si="50"/>
        <v>0</v>
      </c>
      <c r="N63" s="230">
        <f t="shared" si="50"/>
        <v>-2944872.3435013141</v>
      </c>
      <c r="O63" s="230">
        <f t="shared" si="50"/>
        <v>0</v>
      </c>
      <c r="P63" s="230">
        <f t="shared" si="50"/>
        <v>0</v>
      </c>
      <c r="Q63" s="230">
        <f t="shared" si="50"/>
        <v>0</v>
      </c>
      <c r="R63" s="230">
        <f t="shared" si="50"/>
        <v>0</v>
      </c>
      <c r="S63" s="230">
        <f t="shared" si="50"/>
        <v>0</v>
      </c>
      <c r="T63" s="230">
        <f t="shared" si="50"/>
        <v>0</v>
      </c>
      <c r="U63" s="230">
        <f t="shared" si="50"/>
        <v>0</v>
      </c>
      <c r="V63" s="230">
        <f t="shared" si="50"/>
        <v>0</v>
      </c>
      <c r="W63" s="230">
        <f t="shared" si="50"/>
        <v>0</v>
      </c>
      <c r="X63" s="230">
        <f t="shared" si="50"/>
        <v>0</v>
      </c>
      <c r="Y63" s="230">
        <f t="shared" si="50"/>
        <v>0</v>
      </c>
      <c r="Z63" s="230">
        <f t="shared" si="50"/>
        <v>-3520942.886524681</v>
      </c>
      <c r="AA63" s="230">
        <f t="shared" si="50"/>
        <v>0</v>
      </c>
      <c r="AB63" s="230">
        <f t="shared" si="50"/>
        <v>0</v>
      </c>
      <c r="AC63" s="230">
        <f t="shared" si="50"/>
        <v>0</v>
      </c>
      <c r="AD63" s="230">
        <f t="shared" si="50"/>
        <v>0</v>
      </c>
      <c r="AE63" s="230">
        <f t="shared" si="50"/>
        <v>0</v>
      </c>
      <c r="AF63" s="230">
        <f t="shared" si="50"/>
        <v>0</v>
      </c>
      <c r="AG63" s="230">
        <f t="shared" si="50"/>
        <v>0</v>
      </c>
      <c r="AH63" s="230">
        <f t="shared" si="50"/>
        <v>0</v>
      </c>
      <c r="AI63" s="230">
        <f t="shared" si="50"/>
        <v>0</v>
      </c>
      <c r="AJ63" s="230">
        <f t="shared" si="50"/>
        <v>0</v>
      </c>
      <c r="AK63" s="230">
        <f t="shared" si="50"/>
        <v>0</v>
      </c>
      <c r="AL63" s="230">
        <f t="shared" si="50"/>
        <v>-4209703.2958071325</v>
      </c>
      <c r="AM63" s="230">
        <f t="shared" si="50"/>
        <v>0</v>
      </c>
      <c r="AN63" s="230">
        <f t="shared" si="50"/>
        <v>0</v>
      </c>
      <c r="AO63" s="230">
        <f t="shared" si="50"/>
        <v>0</v>
      </c>
      <c r="AP63" s="230">
        <f t="shared" si="50"/>
        <v>0</v>
      </c>
    </row>
    <row r="64" spans="1:42" x14ac:dyDescent="0.2">
      <c r="A64" s="163" t="s">
        <v>53</v>
      </c>
      <c r="B64" s="135">
        <f t="shared" ref="B64:AP64" si="51">B52+B58+B63</f>
        <v>-43597302.686875001</v>
      </c>
      <c r="C64" s="135">
        <f t="shared" si="51"/>
        <v>-242630.25931835946</v>
      </c>
      <c r="D64" s="135">
        <f t="shared" si="51"/>
        <v>-242714.49023882984</v>
      </c>
      <c r="E64" s="135">
        <f t="shared" si="51"/>
        <v>-242800.41936681556</v>
      </c>
      <c r="F64" s="135">
        <f t="shared" si="51"/>
        <v>-242888.08221338197</v>
      </c>
      <c r="G64" s="135">
        <f t="shared" si="51"/>
        <v>-242977.51505183461</v>
      </c>
      <c r="H64" s="135">
        <f t="shared" si="51"/>
        <v>-243068.75493438527</v>
      </c>
      <c r="I64" s="135">
        <f t="shared" si="51"/>
        <v>-243161.83970918643</v>
      </c>
      <c r="J64" s="135">
        <f t="shared" si="51"/>
        <v>-243256.80803774265</v>
      </c>
      <c r="K64" s="135">
        <f t="shared" si="51"/>
        <v>-243353.69941270832</v>
      </c>
      <c r="L64" s="135">
        <f t="shared" si="51"/>
        <v>-243452.55417608048</v>
      </c>
      <c r="M64" s="135">
        <f t="shared" si="51"/>
        <v>-243553.41353779277</v>
      </c>
      <c r="N64" s="135">
        <f t="shared" si="51"/>
        <v>-243656.3195947241</v>
      </c>
      <c r="O64" s="135">
        <f t="shared" si="51"/>
        <v>-291767.19393540622</v>
      </c>
      <c r="P64" s="135">
        <f t="shared" si="51"/>
        <v>-291874.32331876445</v>
      </c>
      <c r="Q64" s="135">
        <f t="shared" si="51"/>
        <v>-291983.63120609842</v>
      </c>
      <c r="R64" s="135">
        <f t="shared" si="51"/>
        <v>-292095.16344071162</v>
      </c>
      <c r="S64" s="135">
        <f t="shared" si="51"/>
        <v>-292208.9668544032</v>
      </c>
      <c r="T64" s="135">
        <f t="shared" si="51"/>
        <v>-292325.08928914985</v>
      </c>
      <c r="U64" s="135">
        <f t="shared" si="51"/>
        <v>-292443.57961926848</v>
      </c>
      <c r="V64" s="135">
        <f t="shared" si="51"/>
        <v>-292564.4877740721</v>
      </c>
      <c r="W64" s="135">
        <f t="shared" si="51"/>
        <v>-299853.32585477782</v>
      </c>
      <c r="X64" s="135">
        <f t="shared" si="51"/>
        <v>-299979.22378317924</v>
      </c>
      <c r="Y64" s="135">
        <f t="shared" si="51"/>
        <v>-300107.69588834612</v>
      </c>
      <c r="Z64" s="135">
        <f t="shared" si="51"/>
        <v>-300238.79655635869</v>
      </c>
      <c r="AA64" s="135">
        <f t="shared" si="51"/>
        <v>-357769.28212288301</v>
      </c>
      <c r="AB64" s="135">
        <f t="shared" si="51"/>
        <v>-357905.80780486693</v>
      </c>
      <c r="AC64" s="135">
        <f t="shared" si="51"/>
        <v>-358045.1323681894</v>
      </c>
      <c r="AD64" s="135">
        <f t="shared" si="51"/>
        <v>-358187.31506051868</v>
      </c>
      <c r="AE64" s="135">
        <f t="shared" si="51"/>
        <v>-358332.41641246207</v>
      </c>
      <c r="AF64" s="135">
        <f t="shared" si="51"/>
        <v>-358480.49826578866</v>
      </c>
      <c r="AG64" s="135">
        <f t="shared" si="51"/>
        <v>-358631.6238022836</v>
      </c>
      <c r="AH64" s="135">
        <f t="shared" si="51"/>
        <v>-358785.85757324158</v>
      </c>
      <c r="AI64" s="135">
        <f t="shared" si="51"/>
        <v>-358943.26552961778</v>
      </c>
      <c r="AJ64" s="135">
        <f t="shared" si="51"/>
        <v>-359103.91505284962</v>
      </c>
      <c r="AK64" s="135">
        <f t="shared" si="51"/>
        <v>-359267.87498636497</v>
      </c>
      <c r="AL64" s="135">
        <f t="shared" si="51"/>
        <v>-359435.2156677912</v>
      </c>
      <c r="AM64" s="135">
        <f t="shared" si="51"/>
        <v>-8797.4009779546759</v>
      </c>
      <c r="AN64" s="135">
        <f t="shared" si="51"/>
        <v>-8971.7203102505882</v>
      </c>
      <c r="AO64" s="135">
        <f t="shared" si="51"/>
        <v>-9149.6407014876604</v>
      </c>
      <c r="AP64" s="135">
        <f t="shared" si="51"/>
        <v>496451.01079080044</v>
      </c>
    </row>
    <row r="65" spans="1:42" x14ac:dyDescent="0.2">
      <c r="A65" s="163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</row>
    <row r="66" spans="1:42" x14ac:dyDescent="0.2">
      <c r="A66" s="165" t="s">
        <v>172</v>
      </c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</row>
    <row r="67" spans="1:42" x14ac:dyDescent="0.2">
      <c r="A67" s="163" t="s">
        <v>189</v>
      </c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</row>
    <row r="68" spans="1:42" x14ac:dyDescent="0.2">
      <c r="A68" s="167" t="s">
        <v>190</v>
      </c>
      <c r="B68" s="135">
        <f>'Inputs &amp; Results'!B194+'Inputs &amp; Results'!B195</f>
        <v>0</v>
      </c>
      <c r="C68" s="135">
        <v>0</v>
      </c>
      <c r="D68" s="135">
        <v>0</v>
      </c>
      <c r="E68" s="135">
        <v>0</v>
      </c>
      <c r="F68" s="135">
        <v>0</v>
      </c>
      <c r="G68" s="135">
        <v>0</v>
      </c>
      <c r="H68" s="135">
        <v>0</v>
      </c>
      <c r="I68" s="135">
        <v>0</v>
      </c>
      <c r="J68" s="135">
        <v>0</v>
      </c>
      <c r="K68" s="135">
        <v>0</v>
      </c>
      <c r="L68" s="135">
        <v>0</v>
      </c>
      <c r="M68" s="135">
        <v>0</v>
      </c>
      <c r="N68" s="135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35">
        <v>0</v>
      </c>
      <c r="V68" s="135">
        <v>0</v>
      </c>
      <c r="W68" s="135">
        <v>0</v>
      </c>
      <c r="X68" s="135">
        <v>0</v>
      </c>
      <c r="Y68" s="135">
        <v>0</v>
      </c>
      <c r="Z68" s="135">
        <v>0</v>
      </c>
      <c r="AA68" s="135">
        <v>0</v>
      </c>
      <c r="AB68" s="135">
        <v>0</v>
      </c>
      <c r="AC68" s="135">
        <v>0</v>
      </c>
      <c r="AD68" s="135">
        <v>0</v>
      </c>
      <c r="AE68" s="135">
        <v>0</v>
      </c>
      <c r="AF68" s="135">
        <v>0</v>
      </c>
      <c r="AG68" s="135">
        <v>0</v>
      </c>
      <c r="AH68" s="135">
        <v>0</v>
      </c>
      <c r="AI68" s="135">
        <v>0</v>
      </c>
      <c r="AJ68" s="135">
        <v>0</v>
      </c>
      <c r="AK68" s="135">
        <v>0</v>
      </c>
      <c r="AL68" s="135">
        <v>0</v>
      </c>
      <c r="AM68" s="135">
        <v>0</v>
      </c>
      <c r="AN68" s="135">
        <v>0</v>
      </c>
      <c r="AO68" s="135">
        <v>0</v>
      </c>
      <c r="AP68" s="135">
        <v>0</v>
      </c>
    </row>
    <row r="69" spans="1:42" x14ac:dyDescent="0.2">
      <c r="A69" s="167" t="s">
        <v>166</v>
      </c>
      <c r="B69" s="170">
        <f>'Inputs &amp; Results'!B196</f>
        <v>0</v>
      </c>
      <c r="C69" s="170">
        <v>0</v>
      </c>
      <c r="D69" s="170">
        <v>0</v>
      </c>
      <c r="E69" s="170">
        <v>0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0</v>
      </c>
      <c r="L69" s="170">
        <v>0</v>
      </c>
      <c r="M69" s="170">
        <v>0</v>
      </c>
      <c r="N69" s="170">
        <v>0</v>
      </c>
      <c r="O69" s="170">
        <v>0</v>
      </c>
      <c r="P69" s="170">
        <v>0</v>
      </c>
      <c r="Q69" s="170">
        <v>0</v>
      </c>
      <c r="R69" s="170">
        <v>0</v>
      </c>
      <c r="S69" s="170">
        <v>0</v>
      </c>
      <c r="T69" s="170">
        <v>0</v>
      </c>
      <c r="U69" s="170">
        <v>0</v>
      </c>
      <c r="V69" s="170">
        <v>0</v>
      </c>
      <c r="W69" s="170">
        <v>0</v>
      </c>
      <c r="X69" s="170">
        <v>0</v>
      </c>
      <c r="Y69" s="170">
        <v>0</v>
      </c>
      <c r="Z69" s="170">
        <v>0</v>
      </c>
      <c r="AA69" s="170">
        <v>0</v>
      </c>
      <c r="AB69" s="170">
        <v>0</v>
      </c>
      <c r="AC69" s="170">
        <v>0</v>
      </c>
      <c r="AD69" s="170">
        <v>0</v>
      </c>
      <c r="AE69" s="170">
        <v>0</v>
      </c>
      <c r="AF69" s="170">
        <v>0</v>
      </c>
      <c r="AG69" s="170">
        <v>0</v>
      </c>
      <c r="AH69" s="170">
        <v>0</v>
      </c>
      <c r="AI69" s="170">
        <v>0</v>
      </c>
      <c r="AJ69" s="170">
        <v>0</v>
      </c>
      <c r="AK69" s="170">
        <v>0</v>
      </c>
      <c r="AL69" s="170">
        <v>0</v>
      </c>
      <c r="AM69" s="170">
        <v>0</v>
      </c>
      <c r="AN69" s="170">
        <v>0</v>
      </c>
      <c r="AO69" s="170">
        <v>0</v>
      </c>
      <c r="AP69" s="170">
        <v>0</v>
      </c>
    </row>
    <row r="70" spans="1:42" x14ac:dyDescent="0.2">
      <c r="A70" s="167" t="s">
        <v>53</v>
      </c>
      <c r="B70" s="135">
        <f>SUM(B68:B69)</f>
        <v>0</v>
      </c>
      <c r="C70" s="135">
        <f t="shared" ref="C70:AP70" si="52">SUM(C68:C69)</f>
        <v>0</v>
      </c>
      <c r="D70" s="135">
        <f t="shared" si="52"/>
        <v>0</v>
      </c>
      <c r="E70" s="135">
        <f t="shared" si="52"/>
        <v>0</v>
      </c>
      <c r="F70" s="135">
        <f t="shared" si="52"/>
        <v>0</v>
      </c>
      <c r="G70" s="135">
        <f t="shared" si="52"/>
        <v>0</v>
      </c>
      <c r="H70" s="135">
        <f t="shared" si="52"/>
        <v>0</v>
      </c>
      <c r="I70" s="135">
        <f t="shared" si="52"/>
        <v>0</v>
      </c>
      <c r="J70" s="135">
        <f t="shared" si="52"/>
        <v>0</v>
      </c>
      <c r="K70" s="135">
        <f t="shared" si="52"/>
        <v>0</v>
      </c>
      <c r="L70" s="135">
        <f t="shared" si="52"/>
        <v>0</v>
      </c>
      <c r="M70" s="135">
        <f t="shared" si="52"/>
        <v>0</v>
      </c>
      <c r="N70" s="135">
        <f t="shared" si="52"/>
        <v>0</v>
      </c>
      <c r="O70" s="135">
        <f t="shared" si="52"/>
        <v>0</v>
      </c>
      <c r="P70" s="135">
        <f t="shared" si="52"/>
        <v>0</v>
      </c>
      <c r="Q70" s="135">
        <f t="shared" si="52"/>
        <v>0</v>
      </c>
      <c r="R70" s="135">
        <f t="shared" si="52"/>
        <v>0</v>
      </c>
      <c r="S70" s="135">
        <f t="shared" si="52"/>
        <v>0</v>
      </c>
      <c r="T70" s="135">
        <f t="shared" si="52"/>
        <v>0</v>
      </c>
      <c r="U70" s="135">
        <f t="shared" si="52"/>
        <v>0</v>
      </c>
      <c r="V70" s="135">
        <f t="shared" si="52"/>
        <v>0</v>
      </c>
      <c r="W70" s="135">
        <f t="shared" si="52"/>
        <v>0</v>
      </c>
      <c r="X70" s="135">
        <f t="shared" si="52"/>
        <v>0</v>
      </c>
      <c r="Y70" s="135">
        <f t="shared" si="52"/>
        <v>0</v>
      </c>
      <c r="Z70" s="135">
        <f t="shared" si="52"/>
        <v>0</v>
      </c>
      <c r="AA70" s="135">
        <f t="shared" si="52"/>
        <v>0</v>
      </c>
      <c r="AB70" s="135">
        <f t="shared" si="52"/>
        <v>0</v>
      </c>
      <c r="AC70" s="135">
        <f t="shared" si="52"/>
        <v>0</v>
      </c>
      <c r="AD70" s="135">
        <f t="shared" si="52"/>
        <v>0</v>
      </c>
      <c r="AE70" s="135">
        <f t="shared" si="52"/>
        <v>0</v>
      </c>
      <c r="AF70" s="135">
        <f t="shared" si="52"/>
        <v>0</v>
      </c>
      <c r="AG70" s="135">
        <f t="shared" si="52"/>
        <v>0</v>
      </c>
      <c r="AH70" s="135">
        <f t="shared" si="52"/>
        <v>0</v>
      </c>
      <c r="AI70" s="135">
        <f t="shared" si="52"/>
        <v>0</v>
      </c>
      <c r="AJ70" s="135">
        <f t="shared" si="52"/>
        <v>0</v>
      </c>
      <c r="AK70" s="135">
        <f t="shared" si="52"/>
        <v>0</v>
      </c>
      <c r="AL70" s="135">
        <f t="shared" si="52"/>
        <v>0</v>
      </c>
      <c r="AM70" s="135">
        <f t="shared" si="52"/>
        <v>0</v>
      </c>
      <c r="AN70" s="135">
        <f t="shared" si="52"/>
        <v>0</v>
      </c>
      <c r="AO70" s="135">
        <f t="shared" si="52"/>
        <v>0</v>
      </c>
      <c r="AP70" s="135">
        <f t="shared" si="52"/>
        <v>0</v>
      </c>
    </row>
    <row r="71" spans="1:42" x14ac:dyDescent="0.2">
      <c r="A71" s="163" t="s">
        <v>310</v>
      </c>
      <c r="B71" s="170">
        <f>'Inputs &amp; Results'!$B$192</f>
        <v>43597302.686875001</v>
      </c>
      <c r="C71" s="135">
        <v>0</v>
      </c>
      <c r="D71" s="135">
        <v>0</v>
      </c>
      <c r="E71" s="135">
        <v>0</v>
      </c>
      <c r="F71" s="135">
        <v>0</v>
      </c>
      <c r="G71" s="135">
        <v>0</v>
      </c>
      <c r="H71" s="135">
        <v>0</v>
      </c>
      <c r="I71" s="135">
        <v>0</v>
      </c>
      <c r="J71" s="135">
        <v>0</v>
      </c>
      <c r="K71" s="135">
        <v>0</v>
      </c>
      <c r="L71" s="135">
        <v>0</v>
      </c>
      <c r="M71" s="135">
        <v>0</v>
      </c>
      <c r="N71" s="135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35">
        <v>0</v>
      </c>
      <c r="V71" s="135">
        <v>0</v>
      </c>
      <c r="W71" s="135">
        <v>0</v>
      </c>
      <c r="X71" s="135">
        <v>0</v>
      </c>
      <c r="Y71" s="135">
        <v>0</v>
      </c>
      <c r="Z71" s="135">
        <v>0</v>
      </c>
      <c r="AA71" s="135">
        <v>0</v>
      </c>
      <c r="AB71" s="135">
        <v>0</v>
      </c>
      <c r="AC71" s="135">
        <v>0</v>
      </c>
      <c r="AD71" s="135">
        <v>0</v>
      </c>
      <c r="AE71" s="135">
        <v>0</v>
      </c>
      <c r="AF71" s="135">
        <v>0</v>
      </c>
      <c r="AG71" s="135">
        <v>0</v>
      </c>
      <c r="AH71" s="135">
        <v>0</v>
      </c>
      <c r="AI71" s="135">
        <v>0</v>
      </c>
      <c r="AJ71" s="135">
        <v>0</v>
      </c>
      <c r="AK71" s="135">
        <v>0</v>
      </c>
      <c r="AL71" s="135">
        <v>0</v>
      </c>
      <c r="AM71" s="135">
        <v>0</v>
      </c>
      <c r="AN71" s="135">
        <v>0</v>
      </c>
      <c r="AO71" s="135">
        <v>0</v>
      </c>
      <c r="AP71" s="135">
        <v>0</v>
      </c>
    </row>
    <row r="72" spans="1:42" x14ac:dyDescent="0.2">
      <c r="A72" s="163" t="s">
        <v>53</v>
      </c>
      <c r="B72" s="170">
        <f t="shared" ref="B72:AP72" si="53">SUM(B70:B71)</f>
        <v>43597302.686875001</v>
      </c>
      <c r="C72" s="177">
        <f t="shared" si="53"/>
        <v>0</v>
      </c>
      <c r="D72" s="177">
        <f t="shared" si="53"/>
        <v>0</v>
      </c>
      <c r="E72" s="177">
        <f t="shared" si="53"/>
        <v>0</v>
      </c>
      <c r="F72" s="177">
        <f t="shared" si="53"/>
        <v>0</v>
      </c>
      <c r="G72" s="177">
        <f t="shared" si="53"/>
        <v>0</v>
      </c>
      <c r="H72" s="177">
        <f t="shared" si="53"/>
        <v>0</v>
      </c>
      <c r="I72" s="177">
        <f t="shared" si="53"/>
        <v>0</v>
      </c>
      <c r="J72" s="177">
        <f t="shared" si="53"/>
        <v>0</v>
      </c>
      <c r="K72" s="177">
        <f t="shared" si="53"/>
        <v>0</v>
      </c>
      <c r="L72" s="177">
        <f t="shared" si="53"/>
        <v>0</v>
      </c>
      <c r="M72" s="177">
        <f t="shared" si="53"/>
        <v>0</v>
      </c>
      <c r="N72" s="177">
        <f t="shared" si="53"/>
        <v>0</v>
      </c>
      <c r="O72" s="177">
        <f t="shared" si="53"/>
        <v>0</v>
      </c>
      <c r="P72" s="177">
        <f t="shared" si="53"/>
        <v>0</v>
      </c>
      <c r="Q72" s="177">
        <f t="shared" si="53"/>
        <v>0</v>
      </c>
      <c r="R72" s="177">
        <f t="shared" si="53"/>
        <v>0</v>
      </c>
      <c r="S72" s="177">
        <f t="shared" si="53"/>
        <v>0</v>
      </c>
      <c r="T72" s="177">
        <f t="shared" si="53"/>
        <v>0</v>
      </c>
      <c r="U72" s="177">
        <f t="shared" si="53"/>
        <v>0</v>
      </c>
      <c r="V72" s="177">
        <f t="shared" si="53"/>
        <v>0</v>
      </c>
      <c r="W72" s="177">
        <f t="shared" si="53"/>
        <v>0</v>
      </c>
      <c r="X72" s="177">
        <f t="shared" si="53"/>
        <v>0</v>
      </c>
      <c r="Y72" s="177">
        <f t="shared" si="53"/>
        <v>0</v>
      </c>
      <c r="Z72" s="177">
        <f t="shared" si="53"/>
        <v>0</v>
      </c>
      <c r="AA72" s="177">
        <f t="shared" si="53"/>
        <v>0</v>
      </c>
      <c r="AB72" s="177">
        <f t="shared" si="53"/>
        <v>0</v>
      </c>
      <c r="AC72" s="177">
        <f t="shared" si="53"/>
        <v>0</v>
      </c>
      <c r="AD72" s="177">
        <f t="shared" si="53"/>
        <v>0</v>
      </c>
      <c r="AE72" s="177">
        <f t="shared" si="53"/>
        <v>0</v>
      </c>
      <c r="AF72" s="177">
        <f t="shared" si="53"/>
        <v>0</v>
      </c>
      <c r="AG72" s="177">
        <f t="shared" si="53"/>
        <v>0</v>
      </c>
      <c r="AH72" s="177">
        <f t="shared" si="53"/>
        <v>0</v>
      </c>
      <c r="AI72" s="177">
        <f t="shared" si="53"/>
        <v>0</v>
      </c>
      <c r="AJ72" s="177">
        <f t="shared" si="53"/>
        <v>0</v>
      </c>
      <c r="AK72" s="177">
        <f t="shared" si="53"/>
        <v>0</v>
      </c>
      <c r="AL72" s="177">
        <f t="shared" si="53"/>
        <v>0</v>
      </c>
      <c r="AM72" s="177">
        <f t="shared" si="53"/>
        <v>0</v>
      </c>
      <c r="AN72" s="177">
        <f t="shared" si="53"/>
        <v>0</v>
      </c>
      <c r="AO72" s="177">
        <f t="shared" si="53"/>
        <v>0</v>
      </c>
      <c r="AP72" s="177">
        <f t="shared" si="53"/>
        <v>0</v>
      </c>
    </row>
    <row r="73" spans="1:42" ht="13.5" thickBot="1" x14ac:dyDescent="0.25">
      <c r="A73" s="165" t="s">
        <v>174</v>
      </c>
      <c r="B73" s="176">
        <f t="shared" ref="B73:AP73" si="54">B49+B64+B72</f>
        <v>0</v>
      </c>
      <c r="C73" s="176">
        <f t="shared" si="54"/>
        <v>4950331.2487990763</v>
      </c>
      <c r="D73" s="176">
        <f t="shared" si="54"/>
        <v>4989549.5523695154</v>
      </c>
      <c r="E73" s="176">
        <f t="shared" si="54"/>
        <v>5028745.2195159858</v>
      </c>
      <c r="F73" s="176">
        <f t="shared" si="54"/>
        <v>5067915.5709764594</v>
      </c>
      <c r="G73" s="176">
        <f t="shared" si="54"/>
        <v>5107057.8599045668</v>
      </c>
      <c r="H73" s="176">
        <f t="shared" si="54"/>
        <v>5146169.2703594882</v>
      </c>
      <c r="I73" s="176">
        <f t="shared" si="54"/>
        <v>5185246.9157625586</v>
      </c>
      <c r="J73" s="176">
        <f t="shared" si="54"/>
        <v>5224287.8373197708</v>
      </c>
      <c r="K73" s="176">
        <f t="shared" si="54"/>
        <v>5263289.0024095215</v>
      </c>
      <c r="L73" s="176">
        <f t="shared" si="54"/>
        <v>5302247.3029346811</v>
      </c>
      <c r="M73" s="176">
        <f t="shared" si="54"/>
        <v>5341159.5536383782</v>
      </c>
      <c r="N73" s="176">
        <f t="shared" si="54"/>
        <v>5380022.4903825326</v>
      </c>
      <c r="O73" s="176">
        <f t="shared" si="54"/>
        <v>5319291.6237918548</v>
      </c>
      <c r="P73" s="176">
        <f t="shared" si="54"/>
        <v>5358885.9187169643</v>
      </c>
      <c r="Q73" s="176">
        <f t="shared" si="54"/>
        <v>5398420.6161913211</v>
      </c>
      <c r="R73" s="176">
        <f t="shared" si="54"/>
        <v>5437892.1185645107</v>
      </c>
      <c r="S73" s="176">
        <f t="shared" si="54"/>
        <v>5477296.740110321</v>
      </c>
      <c r="T73" s="176">
        <f t="shared" si="54"/>
        <v>5516630.7050641235</v>
      </c>
      <c r="U73" s="176">
        <f t="shared" si="54"/>
        <v>5555890.1456169644</v>
      </c>
      <c r="V73" s="176">
        <f t="shared" si="54"/>
        <v>5595071.0998652503</v>
      </c>
      <c r="W73" s="176">
        <f t="shared" si="54"/>
        <v>5627004.0486213975</v>
      </c>
      <c r="X73" s="176">
        <f t="shared" si="54"/>
        <v>5651810.2310285186</v>
      </c>
      <c r="Y73" s="176">
        <f t="shared" si="54"/>
        <v>5676525.4556637071</v>
      </c>
      <c r="Z73" s="176">
        <f t="shared" si="54"/>
        <v>5701145.3628202286</v>
      </c>
      <c r="AA73" s="176">
        <f t="shared" si="54"/>
        <v>5606652.2864572126</v>
      </c>
      <c r="AB73" s="176">
        <f t="shared" si="54"/>
        <v>5632072.4992762348</v>
      </c>
      <c r="AC73" s="176">
        <f t="shared" si="54"/>
        <v>5657383.6758148763</v>
      </c>
      <c r="AD73" s="176">
        <f t="shared" si="54"/>
        <v>5682581.0219458016</v>
      </c>
      <c r="AE73" s="176">
        <f t="shared" si="54"/>
        <v>5707659.628829062</v>
      </c>
      <c r="AF73" s="176">
        <f t="shared" si="54"/>
        <v>5732614.4703603666</v>
      </c>
      <c r="AG73" s="176">
        <f t="shared" si="54"/>
        <v>5757440.4005629076</v>
      </c>
      <c r="AH73" s="176">
        <f t="shared" si="54"/>
        <v>5782132.1509214174</v>
      </c>
      <c r="AI73" s="176">
        <f t="shared" si="54"/>
        <v>5806684.32765722</v>
      </c>
      <c r="AJ73" s="176">
        <f t="shared" si="54"/>
        <v>5831091.4089428978</v>
      </c>
      <c r="AK73" s="176">
        <f t="shared" si="54"/>
        <v>5855347.7420553137</v>
      </c>
      <c r="AL73" s="176">
        <f t="shared" si="54"/>
        <v>5879447.540465543</v>
      </c>
      <c r="AM73" s="176">
        <f t="shared" si="54"/>
        <v>6180523.6811716408</v>
      </c>
      <c r="AN73" s="176">
        <f t="shared" si="54"/>
        <v>6198153.3497892693</v>
      </c>
      <c r="AO73" s="176">
        <f t="shared" si="54"/>
        <v>6215608.2912068535</v>
      </c>
      <c r="AP73" s="176">
        <f t="shared" si="54"/>
        <v>10761379.402854087</v>
      </c>
    </row>
    <row r="74" spans="1:42" ht="13.5" thickTop="1" x14ac:dyDescent="0.2">
      <c r="B74" s="135"/>
      <c r="C74" s="135"/>
      <c r="D74" s="135"/>
      <c r="E74" s="135"/>
      <c r="F74" s="135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</row>
    <row r="75" spans="1:42" x14ac:dyDescent="0.2">
      <c r="A75" s="162" t="s">
        <v>229</v>
      </c>
      <c r="B75" s="135"/>
      <c r="C75" s="135"/>
      <c r="D75" s="135"/>
      <c r="E75" s="135"/>
      <c r="F75" s="135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</row>
    <row r="76" spans="1:42" x14ac:dyDescent="0.2">
      <c r="A76" s="178" t="s">
        <v>198</v>
      </c>
      <c r="B76" s="135"/>
      <c r="C76" s="135"/>
      <c r="D76" s="135"/>
      <c r="E76" s="135"/>
      <c r="F76" s="135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</row>
    <row r="77" spans="1:42" x14ac:dyDescent="0.2">
      <c r="A77" s="163" t="s">
        <v>199</v>
      </c>
      <c r="B77" s="169">
        <f>-B71</f>
        <v>-43597302.686875001</v>
      </c>
      <c r="C77" s="169">
        <f t="shared" ref="C77:AP77" si="55">-C71</f>
        <v>0</v>
      </c>
      <c r="D77" s="169">
        <f t="shared" si="55"/>
        <v>0</v>
      </c>
      <c r="E77" s="169">
        <f t="shared" si="55"/>
        <v>0</v>
      </c>
      <c r="F77" s="169">
        <f t="shared" si="55"/>
        <v>0</v>
      </c>
      <c r="G77" s="169">
        <f t="shared" si="55"/>
        <v>0</v>
      </c>
      <c r="H77" s="169">
        <f t="shared" si="55"/>
        <v>0</v>
      </c>
      <c r="I77" s="169">
        <f t="shared" si="55"/>
        <v>0</v>
      </c>
      <c r="J77" s="169">
        <f t="shared" si="55"/>
        <v>0</v>
      </c>
      <c r="K77" s="169">
        <f t="shared" si="55"/>
        <v>0</v>
      </c>
      <c r="L77" s="169">
        <f t="shared" si="55"/>
        <v>0</v>
      </c>
      <c r="M77" s="169">
        <f t="shared" si="55"/>
        <v>0</v>
      </c>
      <c r="N77" s="169">
        <f t="shared" si="55"/>
        <v>0</v>
      </c>
      <c r="O77" s="169">
        <f t="shared" si="55"/>
        <v>0</v>
      </c>
      <c r="P77" s="169">
        <f t="shared" si="55"/>
        <v>0</v>
      </c>
      <c r="Q77" s="169">
        <f t="shared" si="55"/>
        <v>0</v>
      </c>
      <c r="R77" s="169">
        <f t="shared" si="55"/>
        <v>0</v>
      </c>
      <c r="S77" s="169">
        <f t="shared" si="55"/>
        <v>0</v>
      </c>
      <c r="T77" s="169">
        <f t="shared" si="55"/>
        <v>0</v>
      </c>
      <c r="U77" s="169">
        <f t="shared" si="55"/>
        <v>0</v>
      </c>
      <c r="V77" s="169">
        <f t="shared" si="55"/>
        <v>0</v>
      </c>
      <c r="W77" s="169">
        <f t="shared" si="55"/>
        <v>0</v>
      </c>
      <c r="X77" s="169">
        <f t="shared" si="55"/>
        <v>0</v>
      </c>
      <c r="Y77" s="169">
        <f t="shared" si="55"/>
        <v>0</v>
      </c>
      <c r="Z77" s="169">
        <f t="shared" si="55"/>
        <v>0</v>
      </c>
      <c r="AA77" s="169">
        <f t="shared" si="55"/>
        <v>0</v>
      </c>
      <c r="AB77" s="169">
        <f t="shared" si="55"/>
        <v>0</v>
      </c>
      <c r="AC77" s="169">
        <f t="shared" si="55"/>
        <v>0</v>
      </c>
      <c r="AD77" s="169">
        <f t="shared" si="55"/>
        <v>0</v>
      </c>
      <c r="AE77" s="169">
        <f t="shared" si="55"/>
        <v>0</v>
      </c>
      <c r="AF77" s="169">
        <f t="shared" si="55"/>
        <v>0</v>
      </c>
      <c r="AG77" s="169">
        <f t="shared" si="55"/>
        <v>0</v>
      </c>
      <c r="AH77" s="169">
        <f t="shared" si="55"/>
        <v>0</v>
      </c>
      <c r="AI77" s="169">
        <f t="shared" si="55"/>
        <v>0</v>
      </c>
      <c r="AJ77" s="169">
        <f t="shared" si="55"/>
        <v>0</v>
      </c>
      <c r="AK77" s="169">
        <f t="shared" si="55"/>
        <v>0</v>
      </c>
      <c r="AL77" s="169">
        <f t="shared" si="55"/>
        <v>0</v>
      </c>
      <c r="AM77" s="169">
        <f t="shared" si="55"/>
        <v>0</v>
      </c>
      <c r="AN77" s="169">
        <f t="shared" si="55"/>
        <v>0</v>
      </c>
      <c r="AO77" s="169">
        <f t="shared" si="55"/>
        <v>0</v>
      </c>
      <c r="AP77" s="169">
        <f t="shared" si="55"/>
        <v>0</v>
      </c>
    </row>
    <row r="78" spans="1:42" x14ac:dyDescent="0.2">
      <c r="A78" s="163" t="s">
        <v>200</v>
      </c>
      <c r="B78" s="170">
        <f>B73</f>
        <v>0</v>
      </c>
      <c r="C78" s="170">
        <f t="shared" ref="C78:AP78" si="56">C73</f>
        <v>4950331.2487990763</v>
      </c>
      <c r="D78" s="170">
        <f t="shared" si="56"/>
        <v>4989549.5523695154</v>
      </c>
      <c r="E78" s="170">
        <f t="shared" si="56"/>
        <v>5028745.2195159858</v>
      </c>
      <c r="F78" s="170">
        <f t="shared" si="56"/>
        <v>5067915.5709764594</v>
      </c>
      <c r="G78" s="170">
        <f t="shared" si="56"/>
        <v>5107057.8599045668</v>
      </c>
      <c r="H78" s="170">
        <f t="shared" si="56"/>
        <v>5146169.2703594882</v>
      </c>
      <c r="I78" s="170">
        <f t="shared" si="56"/>
        <v>5185246.9157625586</v>
      </c>
      <c r="J78" s="170">
        <f t="shared" si="56"/>
        <v>5224287.8373197708</v>
      </c>
      <c r="K78" s="170">
        <f t="shared" si="56"/>
        <v>5263289.0024095215</v>
      </c>
      <c r="L78" s="170">
        <f t="shared" si="56"/>
        <v>5302247.3029346811</v>
      </c>
      <c r="M78" s="170">
        <f t="shared" si="56"/>
        <v>5341159.5536383782</v>
      </c>
      <c r="N78" s="170">
        <f t="shared" si="56"/>
        <v>5380022.4903825326</v>
      </c>
      <c r="O78" s="170">
        <f t="shared" si="56"/>
        <v>5319291.6237918548</v>
      </c>
      <c r="P78" s="170">
        <f t="shared" si="56"/>
        <v>5358885.9187169643</v>
      </c>
      <c r="Q78" s="170">
        <f t="shared" si="56"/>
        <v>5398420.6161913211</v>
      </c>
      <c r="R78" s="170">
        <f t="shared" si="56"/>
        <v>5437892.1185645107</v>
      </c>
      <c r="S78" s="170">
        <f t="shared" si="56"/>
        <v>5477296.740110321</v>
      </c>
      <c r="T78" s="170">
        <f t="shared" si="56"/>
        <v>5516630.7050641235</v>
      </c>
      <c r="U78" s="170">
        <f t="shared" si="56"/>
        <v>5555890.1456169644</v>
      </c>
      <c r="V78" s="170">
        <f t="shared" si="56"/>
        <v>5595071.0998652503</v>
      </c>
      <c r="W78" s="170">
        <f t="shared" si="56"/>
        <v>5627004.0486213975</v>
      </c>
      <c r="X78" s="170">
        <f t="shared" si="56"/>
        <v>5651810.2310285186</v>
      </c>
      <c r="Y78" s="170">
        <f t="shared" si="56"/>
        <v>5676525.4556637071</v>
      </c>
      <c r="Z78" s="170">
        <f t="shared" si="56"/>
        <v>5701145.3628202286</v>
      </c>
      <c r="AA78" s="170">
        <f t="shared" si="56"/>
        <v>5606652.2864572126</v>
      </c>
      <c r="AB78" s="170">
        <f t="shared" si="56"/>
        <v>5632072.4992762348</v>
      </c>
      <c r="AC78" s="170">
        <f t="shared" si="56"/>
        <v>5657383.6758148763</v>
      </c>
      <c r="AD78" s="170">
        <f t="shared" si="56"/>
        <v>5682581.0219458016</v>
      </c>
      <c r="AE78" s="170">
        <f t="shared" si="56"/>
        <v>5707659.628829062</v>
      </c>
      <c r="AF78" s="170">
        <f t="shared" si="56"/>
        <v>5732614.4703603666</v>
      </c>
      <c r="AG78" s="170">
        <f t="shared" si="56"/>
        <v>5757440.4005629076</v>
      </c>
      <c r="AH78" s="170">
        <f t="shared" si="56"/>
        <v>5782132.1509214174</v>
      </c>
      <c r="AI78" s="170">
        <f t="shared" si="56"/>
        <v>5806684.32765722</v>
      </c>
      <c r="AJ78" s="170">
        <f t="shared" si="56"/>
        <v>5831091.4089428978</v>
      </c>
      <c r="AK78" s="170">
        <f t="shared" si="56"/>
        <v>5855347.7420553137</v>
      </c>
      <c r="AL78" s="170">
        <f t="shared" si="56"/>
        <v>5879447.540465543</v>
      </c>
      <c r="AM78" s="170">
        <f t="shared" si="56"/>
        <v>6180523.6811716408</v>
      </c>
      <c r="AN78" s="170">
        <f t="shared" si="56"/>
        <v>6198153.3497892693</v>
      </c>
      <c r="AO78" s="170">
        <f t="shared" si="56"/>
        <v>6215608.2912068535</v>
      </c>
      <c r="AP78" s="170">
        <f t="shared" si="56"/>
        <v>10761379.402854087</v>
      </c>
    </row>
    <row r="79" spans="1:42" x14ac:dyDescent="0.2">
      <c r="A79" s="163" t="s">
        <v>53</v>
      </c>
      <c r="B79" s="135">
        <f>SUM(B77:B78)</f>
        <v>-43597302.686875001</v>
      </c>
      <c r="C79" s="135">
        <f t="shared" ref="C79:AP79" si="57">SUM(C77:C78)</f>
        <v>4950331.2487990763</v>
      </c>
      <c r="D79" s="135">
        <f t="shared" si="57"/>
        <v>4989549.5523695154</v>
      </c>
      <c r="E79" s="135">
        <f t="shared" si="57"/>
        <v>5028745.2195159858</v>
      </c>
      <c r="F79" s="135">
        <f t="shared" si="57"/>
        <v>5067915.5709764594</v>
      </c>
      <c r="G79" s="135">
        <f t="shared" si="57"/>
        <v>5107057.8599045668</v>
      </c>
      <c r="H79" s="135">
        <f t="shared" si="57"/>
        <v>5146169.2703594882</v>
      </c>
      <c r="I79" s="135">
        <f t="shared" si="57"/>
        <v>5185246.9157625586</v>
      </c>
      <c r="J79" s="135">
        <f t="shared" si="57"/>
        <v>5224287.8373197708</v>
      </c>
      <c r="K79" s="135">
        <f t="shared" si="57"/>
        <v>5263289.0024095215</v>
      </c>
      <c r="L79" s="135">
        <f t="shared" si="57"/>
        <v>5302247.3029346811</v>
      </c>
      <c r="M79" s="135">
        <f t="shared" si="57"/>
        <v>5341159.5536383782</v>
      </c>
      <c r="N79" s="135">
        <f t="shared" si="57"/>
        <v>5380022.4903825326</v>
      </c>
      <c r="O79" s="135">
        <f t="shared" si="57"/>
        <v>5319291.6237918548</v>
      </c>
      <c r="P79" s="135">
        <f t="shared" si="57"/>
        <v>5358885.9187169643</v>
      </c>
      <c r="Q79" s="135">
        <f t="shared" si="57"/>
        <v>5398420.6161913211</v>
      </c>
      <c r="R79" s="135">
        <f t="shared" si="57"/>
        <v>5437892.1185645107</v>
      </c>
      <c r="S79" s="135">
        <f t="shared" si="57"/>
        <v>5477296.740110321</v>
      </c>
      <c r="T79" s="135">
        <f t="shared" si="57"/>
        <v>5516630.7050641235</v>
      </c>
      <c r="U79" s="135">
        <f t="shared" si="57"/>
        <v>5555890.1456169644</v>
      </c>
      <c r="V79" s="135">
        <f t="shared" si="57"/>
        <v>5595071.0998652503</v>
      </c>
      <c r="W79" s="135">
        <f t="shared" si="57"/>
        <v>5627004.0486213975</v>
      </c>
      <c r="X79" s="135">
        <f t="shared" si="57"/>
        <v>5651810.2310285186</v>
      </c>
      <c r="Y79" s="135">
        <f t="shared" si="57"/>
        <v>5676525.4556637071</v>
      </c>
      <c r="Z79" s="135">
        <f t="shared" si="57"/>
        <v>5701145.3628202286</v>
      </c>
      <c r="AA79" s="135">
        <f t="shared" si="57"/>
        <v>5606652.2864572126</v>
      </c>
      <c r="AB79" s="135">
        <f t="shared" si="57"/>
        <v>5632072.4992762348</v>
      </c>
      <c r="AC79" s="135">
        <f t="shared" si="57"/>
        <v>5657383.6758148763</v>
      </c>
      <c r="AD79" s="135">
        <f t="shared" si="57"/>
        <v>5682581.0219458016</v>
      </c>
      <c r="AE79" s="135">
        <f t="shared" si="57"/>
        <v>5707659.628829062</v>
      </c>
      <c r="AF79" s="135">
        <f t="shared" si="57"/>
        <v>5732614.4703603666</v>
      </c>
      <c r="AG79" s="135">
        <f t="shared" si="57"/>
        <v>5757440.4005629076</v>
      </c>
      <c r="AH79" s="135">
        <f t="shared" si="57"/>
        <v>5782132.1509214174</v>
      </c>
      <c r="AI79" s="135">
        <f t="shared" si="57"/>
        <v>5806684.32765722</v>
      </c>
      <c r="AJ79" s="135">
        <f t="shared" si="57"/>
        <v>5831091.4089428978</v>
      </c>
      <c r="AK79" s="135">
        <f t="shared" si="57"/>
        <v>5855347.7420553137</v>
      </c>
      <c r="AL79" s="135">
        <f t="shared" si="57"/>
        <v>5879447.540465543</v>
      </c>
      <c r="AM79" s="135">
        <f t="shared" si="57"/>
        <v>6180523.6811716408</v>
      </c>
      <c r="AN79" s="135">
        <f t="shared" si="57"/>
        <v>6198153.3497892693</v>
      </c>
      <c r="AO79" s="135">
        <f t="shared" si="57"/>
        <v>6215608.2912068535</v>
      </c>
      <c r="AP79" s="135">
        <f t="shared" si="57"/>
        <v>10761379.402854087</v>
      </c>
    </row>
    <row r="80" spans="1:42" x14ac:dyDescent="0.2">
      <c r="A80" s="163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</row>
    <row r="81" spans="1:42" x14ac:dyDescent="0.2">
      <c r="A81" s="163" t="s">
        <v>323</v>
      </c>
      <c r="B81" s="184">
        <f>ROUND(IF(ISERROR(IRR($B79:B$79)),0,IRR($B79:B$79)),4)</f>
        <v>0</v>
      </c>
      <c r="C81" s="184">
        <f>ROUND(IF(ISERROR(IRR($B79:C$79)),0,IRR($B79:C$79)),4)</f>
        <v>-0.88649999999999995</v>
      </c>
      <c r="D81" s="184">
        <f>ROUND(IF(ISERROR(IRR($B79:D$79)),0,IRR($B79:D$79)),4)</f>
        <v>-0.60019999999999996</v>
      </c>
      <c r="E81" s="184">
        <f>ROUND(IF(ISERROR(IRR($B79:E$79)),0,IRR($B79:E$79)),4)</f>
        <v>-0.38950000000000001</v>
      </c>
      <c r="F81" s="184">
        <f>ROUND(IF(ISERROR(IRR($B79:F$79)),0,IRR($B79:F$79)),4)</f>
        <v>-0.25109999999999999</v>
      </c>
      <c r="G81" s="184">
        <f>ROUND(IF(ISERROR(IRR($B79:G$79)),0,IRR($B79:G$79)),4)</f>
        <v>-0.15859999999999999</v>
      </c>
      <c r="H81" s="184">
        <f>ROUND(IF(ISERROR(IRR($B79:H$79)),0,IRR($B79:H$79)),4)</f>
        <v>-9.4500000000000001E-2</v>
      </c>
      <c r="I81" s="184">
        <f>ROUND(IF(ISERROR(IRR($B79:I$79)),0,IRR($B79:I$79)),4)</f>
        <v>-4.87E-2</v>
      </c>
      <c r="J81" s="184">
        <f>ROUND(IF(ISERROR(IRR($B79:J$79)),0,IRR($B79:J$79)),4)</f>
        <v>-1.49E-2</v>
      </c>
      <c r="K81" s="184">
        <f>ROUND(IF(ISERROR(IRR($B79:K$79)),0,IRR($B79:K$79)),4)</f>
        <v>1.06E-2</v>
      </c>
      <c r="L81" s="184">
        <f>ROUND(IF(ISERROR(IRR($B79:L$79)),0,IRR($B79:L$79)),4)</f>
        <v>3.0200000000000001E-2</v>
      </c>
      <c r="M81" s="184">
        <f>ROUND(IF(ISERROR(IRR($B79:M$79)),0,IRR($B79:M$79)),4)</f>
        <v>4.5600000000000002E-2</v>
      </c>
      <c r="N81" s="184">
        <f>ROUND(IF(ISERROR(IRR($B79:N$79)),0,IRR($B79:N$79)),4)</f>
        <v>5.79E-2</v>
      </c>
      <c r="O81" s="184">
        <f>ROUND(IF(ISERROR(IRR($B79:O$79)),0,IRR($B79:O$79)),4)</f>
        <v>6.7599999999999993E-2</v>
      </c>
      <c r="P81" s="184">
        <f>ROUND(IF(ISERROR(IRR($B79:P$79)),0,IRR($B79:P$79)),4)</f>
        <v>7.5499999999999998E-2</v>
      </c>
      <c r="Q81" s="184">
        <f>ROUND(IF(ISERROR(IRR($B79:Q$79)),0,IRR($B79:Q$79)),4)</f>
        <v>8.2000000000000003E-2</v>
      </c>
      <c r="R81" s="184">
        <f>ROUND(IF(ISERROR(IRR($B79:R$79)),0,IRR($B79:R$79)),4)</f>
        <v>8.7400000000000005E-2</v>
      </c>
      <c r="S81" s="184">
        <f>ROUND(IF(ISERROR(IRR($B79:S$79)),0,IRR($B79:S$79)),4)</f>
        <v>9.1999999999999998E-2</v>
      </c>
      <c r="T81" s="184">
        <f>ROUND(IF(ISERROR(IRR($B79:T$79)),0,IRR($B79:T$79)),4)</f>
        <v>9.5799999999999996E-2</v>
      </c>
      <c r="U81" s="184">
        <f>ROUND(IF(ISERROR(IRR($B79:U$79)),0,IRR($B79:U$79)),4)</f>
        <v>9.9000000000000005E-2</v>
      </c>
      <c r="V81" s="184">
        <f>ROUND(IF(ISERROR(IRR($B79:V$79)),0,IRR($B79:V$79)),4)</f>
        <v>0.1018</v>
      </c>
      <c r="W81" s="184">
        <f>ROUND(IF(ISERROR(IRR($B79:W$79)),0,IRR($B79:W$79)),4)</f>
        <v>0.1041</v>
      </c>
      <c r="X81" s="184">
        <f>ROUND(IF(ISERROR(IRR($B79:X$79)),0,IRR($B79:X$79)),4)</f>
        <v>0.1062</v>
      </c>
      <c r="Y81" s="184">
        <f>ROUND(IF(ISERROR(IRR($B79:Y$79)),0,IRR($B79:Y$79)),4)</f>
        <v>0.1079</v>
      </c>
      <c r="Z81" s="184">
        <f>ROUND(IF(ISERROR(IRR($B79:Z$79)),0,IRR($B79:Z$79)),4)</f>
        <v>0.1094</v>
      </c>
      <c r="AA81" s="184">
        <f>ROUND(IF(ISERROR(IRR($B79:AA$79)),0,IRR($B79:AA$79)),4)</f>
        <v>0.11070000000000001</v>
      </c>
      <c r="AB81" s="184">
        <f>ROUND(IF(ISERROR(IRR($B79:AB$79)),0,IRR($B79:AB$79)),4)</f>
        <v>0.1118</v>
      </c>
      <c r="AC81" s="184">
        <f>ROUND(IF(ISERROR(IRR($B79:AC$79)),0,IRR($B79:AC$79)),4)</f>
        <v>0.11269999999999999</v>
      </c>
      <c r="AD81" s="184">
        <f>ROUND(IF(ISERROR(IRR($B79:AD$79)),0,IRR($B79:AD$79)),4)</f>
        <v>0.11360000000000001</v>
      </c>
      <c r="AE81" s="184">
        <f>ROUND(IF(ISERROR(IRR($B79:AE$79)),0,IRR($B79:AE$79)),4)</f>
        <v>0.1143</v>
      </c>
      <c r="AF81" s="184">
        <f>ROUND(IF(ISERROR(IRR($B79:AF$79)),0,IRR($B79:AF$79)),4)</f>
        <v>0.115</v>
      </c>
      <c r="AG81" s="184">
        <f>ROUND(IF(ISERROR(IRR($B79:AG$79)),0,IRR($B79:AG$79)),4)</f>
        <v>0.11550000000000001</v>
      </c>
      <c r="AH81" s="184">
        <f>ROUND(IF(ISERROR(IRR($B79:AH$79)),0,IRR($B79:AH$79)),4)</f>
        <v>0.11600000000000001</v>
      </c>
      <c r="AI81" s="184">
        <f>ROUND(IF(ISERROR(IRR($B79:AI$79)),0,IRR($B79:AI$79)),4)</f>
        <v>0.11650000000000001</v>
      </c>
      <c r="AJ81" s="184">
        <f>ROUND(IF(ISERROR(IRR($B79:AJ$79)),0,IRR($B79:AJ$79)),4)</f>
        <v>0.1169</v>
      </c>
      <c r="AK81" s="184">
        <f>ROUND(IF(ISERROR(IRR($B79:AK$79)),0,IRR($B79:AK$79)),4)</f>
        <v>0.1172</v>
      </c>
      <c r="AL81" s="184">
        <f>ROUND(IF(ISERROR(IRR($B79:AL$79)),0,IRR($B79:AL$79)),4)</f>
        <v>0.11749999999999999</v>
      </c>
      <c r="AM81" s="184">
        <f>ROUND(IF(ISERROR(IRR($B79:AM$79)),0,IRR($B79:AM$79)),4)</f>
        <v>0.1178</v>
      </c>
      <c r="AN81" s="184">
        <f>ROUND(IF(ISERROR(IRR($B79:AN$79)),0,IRR($B79:AN$79)),4)</f>
        <v>0.11799999999999999</v>
      </c>
      <c r="AO81" s="184">
        <f>ROUND(IF(ISERROR(IRR($B79:AO$79)),0,IRR($B79:AO$79)),4)</f>
        <v>0.1183</v>
      </c>
      <c r="AP81" s="184">
        <f>ROUND(IF(ISERROR(IRR($B79:AP$79)),0,IRR($B79:AP$79)),4)</f>
        <v>0.1186</v>
      </c>
    </row>
    <row r="82" spans="1:42" x14ac:dyDescent="0.2">
      <c r="A82" s="163" t="s">
        <v>324</v>
      </c>
      <c r="B82" s="230">
        <f>B79</f>
        <v>-43597302.686875001</v>
      </c>
      <c r="C82" s="230">
        <f>NPV(DiscountRate,$C79:C79)+$B$79</f>
        <v>-39013662.641690671</v>
      </c>
      <c r="D82" s="230">
        <f>NPV(DiscountRate,$C79:D79)+$B$79</f>
        <v>-34735928.114624903</v>
      </c>
      <c r="E82" s="230">
        <f>NPV(DiscountRate,$C79:E79)+$B$79</f>
        <v>-30743948.027497061</v>
      </c>
      <c r="F82" s="230">
        <f>NPV(DiscountRate,$C79:F79)+$B$79</f>
        <v>-27018878.79137738</v>
      </c>
      <c r="G82" s="230">
        <f>NPV(DiscountRate,$C79:G79)+$B$79</f>
        <v>-23543101.025647175</v>
      </c>
      <c r="H82" s="230">
        <f>NPV(DiscountRate,$C79:H79)+$B$79</f>
        <v>-20300141.456667438</v>
      </c>
      <c r="I82" s="230">
        <f>NPV(DiscountRate,$C79:I79)+$B$79</f>
        <v>-17274599.684257381</v>
      </c>
      <c r="J82" s="230">
        <f>NPV(DiscountRate,$C79:J79)+$B$79</f>
        <v>-14452079.522071388</v>
      </c>
      <c r="K82" s="230">
        <f>NPV(DiscountRate,$C79:K79)+$B$79</f>
        <v>-11819124.634901661</v>
      </c>
      <c r="L82" s="230">
        <f>NPV(DiscountRate,$C79:L79)+$B$79</f>
        <v>-9363158.2119677365</v>
      </c>
      <c r="M82" s="230">
        <f>NPV(DiscountRate,$C79:M79)+$B$79</f>
        <v>-7072426.4304245934</v>
      </c>
      <c r="N82" s="230">
        <f>NPV(DiscountRate,$C79:N79)+$B$79</f>
        <v>-4935945.4776688144</v>
      </c>
      <c r="O82" s="230">
        <f>NPV(DiscountRate,$C79:O79)+$B$79</f>
        <v>-2980052.98687426</v>
      </c>
      <c r="P82" s="230">
        <f>NPV(DiscountRate,$C79:P79)+$B$79</f>
        <v>-1155561.1064414978</v>
      </c>
      <c r="Q82" s="230">
        <f>NPV(DiscountRate,$C79:Q79)+$B$79</f>
        <v>546246.21272966266</v>
      </c>
      <c r="R82" s="230">
        <f>NPV(DiscountRate,$C79:R79)+$B$79</f>
        <v>2133515.0857637823</v>
      </c>
      <c r="S82" s="230">
        <f>NPV(DiscountRate,$C79:S79)+$B$79</f>
        <v>3613858.3324685916</v>
      </c>
      <c r="T82" s="230">
        <f>NPV(DiscountRate,$C79:T79)+$B$79</f>
        <v>4994389.8104029074</v>
      </c>
      <c r="U82" s="230">
        <f>NPV(DiscountRate,$C79:U79)+$B$79</f>
        <v>6281756.5833809674</v>
      </c>
      <c r="V82" s="230">
        <f>NPV(DiscountRate,$C79:V79)+$B$79</f>
        <v>7482169.0581553057</v>
      </c>
      <c r="W82" s="230">
        <f>NPV(DiscountRate,$C79:W79)+$B$79</f>
        <v>8600005.7541618645</v>
      </c>
      <c r="X82" s="230">
        <f>NPV(DiscountRate,$C79:X79)+$B$79</f>
        <v>9639602.5937152579</v>
      </c>
      <c r="Y82" s="230">
        <f>NPV(DiscountRate,$C79:Y79)+$B$79</f>
        <v>10606401.640478447</v>
      </c>
      <c r="Z82" s="230">
        <f>NPV(DiscountRate,$C79:Z79)+$B$79</f>
        <v>11505468.486080065</v>
      </c>
      <c r="AA82" s="230">
        <f>NPV(DiscountRate,$C79:AA79)+$B$79</f>
        <v>12324140.106523737</v>
      </c>
      <c r="AB82" s="230">
        <f>NPV(DiscountRate,$C79:AB79)+$B$79</f>
        <v>13085606.242321841</v>
      </c>
      <c r="AC82" s="230">
        <f>NPV(DiscountRate,$C79:AC79)+$B$79</f>
        <v>13793836.104831278</v>
      </c>
      <c r="AD82" s="230">
        <f>NPV(DiscountRate,$C79:AD79)+$B$79</f>
        <v>14452525.214185171</v>
      </c>
      <c r="AE82" s="230">
        <f>NPV(DiscountRate,$C79:AE79)+$B$79</f>
        <v>15065114.162321605</v>
      </c>
      <c r="AF82" s="230">
        <f>NPV(DiscountRate,$C79:AF79)+$B$79</f>
        <v>15634806.096922413</v>
      </c>
      <c r="AG82" s="230">
        <f>NPV(DiscountRate,$C79:AG79)+$B$79</f>
        <v>16164583.012961671</v>
      </c>
      <c r="AH82" s="230">
        <f>NPV(DiscountRate,$C79:AH79)+$B$79</f>
        <v>16657220.932722487</v>
      </c>
      <c r="AI82" s="230">
        <f>NPV(DiscountRate,$C79:AI79)+$B$79</f>
        <v>17115304.049689941</v>
      </c>
      <c r="AJ82" s="230">
        <f>NPV(DiscountRate,$C79:AJ79)+$B$79</f>
        <v>17541237.906642966</v>
      </c>
      <c r="AK82" s="230">
        <f>NPV(DiscountRate,$C79:AK79)+$B$79</f>
        <v>17937261.673523024</v>
      </c>
      <c r="AL82" s="230">
        <f>NPV(DiscountRate,$C79:AL79)+$B$79</f>
        <v>18305459.58623106</v>
      </c>
      <c r="AM82" s="230">
        <f>NPV(DiscountRate,$C79:AM79)+$B$79</f>
        <v>18663841.695986748</v>
      </c>
      <c r="AN82" s="230">
        <f>NPV(DiscountRate,$C79:AN79)+$B$79</f>
        <v>18996623.528178498</v>
      </c>
      <c r="AO82" s="230">
        <f>NPV(DiscountRate,$C79:AO79)+$B$79</f>
        <v>19305622.59890566</v>
      </c>
      <c r="AP82" s="230">
        <f>NPV(DiscountRate,$C79:AP79)+$B$79</f>
        <v>19800978.936417602</v>
      </c>
    </row>
    <row r="83" spans="1:42" x14ac:dyDescent="0.2">
      <c r="A83" s="163"/>
      <c r="B83" s="135"/>
      <c r="C83" s="135"/>
      <c r="D83" s="135"/>
      <c r="E83" s="135"/>
      <c r="F83" s="135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</row>
    <row r="84" spans="1:42" x14ac:dyDescent="0.2">
      <c r="A84" s="178" t="s">
        <v>203</v>
      </c>
      <c r="B84" s="135"/>
      <c r="C84" s="135"/>
      <c r="D84" s="135"/>
      <c r="E84" s="135"/>
      <c r="F84" s="135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</row>
    <row r="85" spans="1:42" s="101" customFormat="1" x14ac:dyDescent="0.2">
      <c r="A85" s="180" t="s">
        <v>204</v>
      </c>
      <c r="B85" s="181"/>
      <c r="C85" s="181"/>
      <c r="D85" s="181"/>
      <c r="E85" s="181"/>
      <c r="F85" s="181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</row>
    <row r="86" spans="1:42" x14ac:dyDescent="0.2">
      <c r="A86" s="167" t="s">
        <v>199</v>
      </c>
      <c r="B86" s="169">
        <f>B77</f>
        <v>-43597302.686875001</v>
      </c>
      <c r="C86" s="169">
        <f t="shared" ref="C86:AP87" si="58">C77</f>
        <v>0</v>
      </c>
      <c r="D86" s="169">
        <f t="shared" si="58"/>
        <v>0</v>
      </c>
      <c r="E86" s="169">
        <f t="shared" si="58"/>
        <v>0</v>
      </c>
      <c r="F86" s="169">
        <f t="shared" si="58"/>
        <v>0</v>
      </c>
      <c r="G86" s="169">
        <f t="shared" si="58"/>
        <v>0</v>
      </c>
      <c r="H86" s="169">
        <f t="shared" si="58"/>
        <v>0</v>
      </c>
      <c r="I86" s="169">
        <f t="shared" si="58"/>
        <v>0</v>
      </c>
      <c r="J86" s="169">
        <f t="shared" si="58"/>
        <v>0</v>
      </c>
      <c r="K86" s="169">
        <f t="shared" si="58"/>
        <v>0</v>
      </c>
      <c r="L86" s="169">
        <f t="shared" si="58"/>
        <v>0</v>
      </c>
      <c r="M86" s="169">
        <f t="shared" si="58"/>
        <v>0</v>
      </c>
      <c r="N86" s="169">
        <f t="shared" si="58"/>
        <v>0</v>
      </c>
      <c r="O86" s="169">
        <f t="shared" si="58"/>
        <v>0</v>
      </c>
      <c r="P86" s="169">
        <f t="shared" si="58"/>
        <v>0</v>
      </c>
      <c r="Q86" s="169">
        <f t="shared" si="58"/>
        <v>0</v>
      </c>
      <c r="R86" s="169">
        <f t="shared" si="58"/>
        <v>0</v>
      </c>
      <c r="S86" s="169">
        <f t="shared" si="58"/>
        <v>0</v>
      </c>
      <c r="T86" s="169">
        <f t="shared" si="58"/>
        <v>0</v>
      </c>
      <c r="U86" s="169">
        <f t="shared" si="58"/>
        <v>0</v>
      </c>
      <c r="V86" s="169">
        <f t="shared" si="58"/>
        <v>0</v>
      </c>
      <c r="W86" s="169">
        <f t="shared" si="58"/>
        <v>0</v>
      </c>
      <c r="X86" s="169">
        <f t="shared" si="58"/>
        <v>0</v>
      </c>
      <c r="Y86" s="169">
        <f t="shared" si="58"/>
        <v>0</v>
      </c>
      <c r="Z86" s="169">
        <f t="shared" si="58"/>
        <v>0</v>
      </c>
      <c r="AA86" s="169">
        <f t="shared" si="58"/>
        <v>0</v>
      </c>
      <c r="AB86" s="169">
        <f t="shared" si="58"/>
        <v>0</v>
      </c>
      <c r="AC86" s="169">
        <f t="shared" si="58"/>
        <v>0</v>
      </c>
      <c r="AD86" s="169">
        <f t="shared" si="58"/>
        <v>0</v>
      </c>
      <c r="AE86" s="169">
        <f t="shared" si="58"/>
        <v>0</v>
      </c>
      <c r="AF86" s="169">
        <f t="shared" si="58"/>
        <v>0</v>
      </c>
      <c r="AG86" s="169">
        <f t="shared" si="58"/>
        <v>0</v>
      </c>
      <c r="AH86" s="169">
        <f t="shared" si="58"/>
        <v>0</v>
      </c>
      <c r="AI86" s="169">
        <f t="shared" si="58"/>
        <v>0</v>
      </c>
      <c r="AJ86" s="169">
        <f t="shared" si="58"/>
        <v>0</v>
      </c>
      <c r="AK86" s="169">
        <f t="shared" si="58"/>
        <v>0</v>
      </c>
      <c r="AL86" s="169">
        <f t="shared" si="58"/>
        <v>0</v>
      </c>
      <c r="AM86" s="169">
        <f t="shared" si="58"/>
        <v>0</v>
      </c>
      <c r="AN86" s="169">
        <f t="shared" si="58"/>
        <v>0</v>
      </c>
      <c r="AO86" s="169">
        <f t="shared" si="58"/>
        <v>0</v>
      </c>
      <c r="AP86" s="169">
        <f t="shared" si="58"/>
        <v>0</v>
      </c>
    </row>
    <row r="87" spans="1:42" x14ac:dyDescent="0.2">
      <c r="A87" s="167" t="s">
        <v>200</v>
      </c>
      <c r="B87" s="170">
        <f>B78</f>
        <v>0</v>
      </c>
      <c r="C87" s="170">
        <f t="shared" si="58"/>
        <v>4950331.2487990763</v>
      </c>
      <c r="D87" s="170">
        <f t="shared" si="58"/>
        <v>4989549.5523695154</v>
      </c>
      <c r="E87" s="170">
        <f t="shared" si="58"/>
        <v>5028745.2195159858</v>
      </c>
      <c r="F87" s="170">
        <f t="shared" si="58"/>
        <v>5067915.5709764594</v>
      </c>
      <c r="G87" s="170">
        <f t="shared" si="58"/>
        <v>5107057.8599045668</v>
      </c>
      <c r="H87" s="170">
        <f t="shared" si="58"/>
        <v>5146169.2703594882</v>
      </c>
      <c r="I87" s="170">
        <f t="shared" si="58"/>
        <v>5185246.9157625586</v>
      </c>
      <c r="J87" s="170">
        <f t="shared" si="58"/>
        <v>5224287.8373197708</v>
      </c>
      <c r="K87" s="170">
        <f t="shared" si="58"/>
        <v>5263289.0024095215</v>
      </c>
      <c r="L87" s="170">
        <f t="shared" si="58"/>
        <v>5302247.3029346811</v>
      </c>
      <c r="M87" s="170">
        <f t="shared" si="58"/>
        <v>5341159.5536383782</v>
      </c>
      <c r="N87" s="170">
        <f t="shared" si="58"/>
        <v>5380022.4903825326</v>
      </c>
      <c r="O87" s="170">
        <f t="shared" si="58"/>
        <v>5319291.6237918548</v>
      </c>
      <c r="P87" s="170">
        <f t="shared" si="58"/>
        <v>5358885.9187169643</v>
      </c>
      <c r="Q87" s="170">
        <f t="shared" si="58"/>
        <v>5398420.6161913211</v>
      </c>
      <c r="R87" s="170">
        <f t="shared" si="58"/>
        <v>5437892.1185645107</v>
      </c>
      <c r="S87" s="170">
        <f t="shared" si="58"/>
        <v>5477296.740110321</v>
      </c>
      <c r="T87" s="170">
        <f t="shared" si="58"/>
        <v>5516630.7050641235</v>
      </c>
      <c r="U87" s="170">
        <f t="shared" si="58"/>
        <v>5555890.1456169644</v>
      </c>
      <c r="V87" s="170">
        <f t="shared" si="58"/>
        <v>5595071.0998652503</v>
      </c>
      <c r="W87" s="170">
        <f t="shared" si="58"/>
        <v>5627004.0486213975</v>
      </c>
      <c r="X87" s="170">
        <f t="shared" si="58"/>
        <v>5651810.2310285186</v>
      </c>
      <c r="Y87" s="170">
        <f t="shared" si="58"/>
        <v>5676525.4556637071</v>
      </c>
      <c r="Z87" s="170">
        <f t="shared" si="58"/>
        <v>5701145.3628202286</v>
      </c>
      <c r="AA87" s="170">
        <f t="shared" si="58"/>
        <v>5606652.2864572126</v>
      </c>
      <c r="AB87" s="170">
        <f t="shared" si="58"/>
        <v>5632072.4992762348</v>
      </c>
      <c r="AC87" s="170">
        <f t="shared" si="58"/>
        <v>5657383.6758148763</v>
      </c>
      <c r="AD87" s="170">
        <f t="shared" si="58"/>
        <v>5682581.0219458016</v>
      </c>
      <c r="AE87" s="170">
        <f t="shared" si="58"/>
        <v>5707659.628829062</v>
      </c>
      <c r="AF87" s="170">
        <f t="shared" si="58"/>
        <v>5732614.4703603666</v>
      </c>
      <c r="AG87" s="170">
        <f t="shared" si="58"/>
        <v>5757440.4005629076</v>
      </c>
      <c r="AH87" s="170">
        <f t="shared" si="58"/>
        <v>5782132.1509214174</v>
      </c>
      <c r="AI87" s="170">
        <f t="shared" si="58"/>
        <v>5806684.32765722</v>
      </c>
      <c r="AJ87" s="170">
        <f t="shared" si="58"/>
        <v>5831091.4089428978</v>
      </c>
      <c r="AK87" s="170">
        <f t="shared" si="58"/>
        <v>5855347.7420553137</v>
      </c>
      <c r="AL87" s="170">
        <f t="shared" si="58"/>
        <v>5879447.540465543</v>
      </c>
      <c r="AM87" s="170">
        <f t="shared" si="58"/>
        <v>6180523.6811716408</v>
      </c>
      <c r="AN87" s="170">
        <f t="shared" si="58"/>
        <v>6198153.3497892693</v>
      </c>
      <c r="AO87" s="170">
        <f t="shared" si="58"/>
        <v>6215608.2912068535</v>
      </c>
      <c r="AP87" s="170">
        <f t="shared" si="58"/>
        <v>10761379.402854087</v>
      </c>
    </row>
    <row r="88" spans="1:42" x14ac:dyDescent="0.2">
      <c r="A88" s="167" t="s">
        <v>205</v>
      </c>
      <c r="B88" s="135">
        <f>SUM(B86:B87)</f>
        <v>-43597302.686875001</v>
      </c>
      <c r="C88" s="135">
        <f t="shared" ref="C88:AP88" si="59">SUM(C86:C87)</f>
        <v>4950331.2487990763</v>
      </c>
      <c r="D88" s="135">
        <f t="shared" si="59"/>
        <v>4989549.5523695154</v>
      </c>
      <c r="E88" s="135">
        <f t="shared" si="59"/>
        <v>5028745.2195159858</v>
      </c>
      <c r="F88" s="135">
        <f t="shared" si="59"/>
        <v>5067915.5709764594</v>
      </c>
      <c r="G88" s="135">
        <f t="shared" si="59"/>
        <v>5107057.8599045668</v>
      </c>
      <c r="H88" s="135">
        <f t="shared" si="59"/>
        <v>5146169.2703594882</v>
      </c>
      <c r="I88" s="135">
        <f t="shared" si="59"/>
        <v>5185246.9157625586</v>
      </c>
      <c r="J88" s="135">
        <f t="shared" si="59"/>
        <v>5224287.8373197708</v>
      </c>
      <c r="K88" s="135">
        <f t="shared" si="59"/>
        <v>5263289.0024095215</v>
      </c>
      <c r="L88" s="135">
        <f t="shared" si="59"/>
        <v>5302247.3029346811</v>
      </c>
      <c r="M88" s="135">
        <f t="shared" si="59"/>
        <v>5341159.5536383782</v>
      </c>
      <c r="N88" s="135">
        <f t="shared" si="59"/>
        <v>5380022.4903825326</v>
      </c>
      <c r="O88" s="135">
        <f t="shared" si="59"/>
        <v>5319291.6237918548</v>
      </c>
      <c r="P88" s="135">
        <f t="shared" si="59"/>
        <v>5358885.9187169643</v>
      </c>
      <c r="Q88" s="135">
        <f t="shared" si="59"/>
        <v>5398420.6161913211</v>
      </c>
      <c r="R88" s="135">
        <f t="shared" si="59"/>
        <v>5437892.1185645107</v>
      </c>
      <c r="S88" s="135">
        <f t="shared" si="59"/>
        <v>5477296.740110321</v>
      </c>
      <c r="T88" s="135">
        <f t="shared" si="59"/>
        <v>5516630.7050641235</v>
      </c>
      <c r="U88" s="135">
        <f t="shared" si="59"/>
        <v>5555890.1456169644</v>
      </c>
      <c r="V88" s="135">
        <f t="shared" si="59"/>
        <v>5595071.0998652503</v>
      </c>
      <c r="W88" s="135">
        <f t="shared" si="59"/>
        <v>5627004.0486213975</v>
      </c>
      <c r="X88" s="135">
        <f t="shared" si="59"/>
        <v>5651810.2310285186</v>
      </c>
      <c r="Y88" s="135">
        <f t="shared" si="59"/>
        <v>5676525.4556637071</v>
      </c>
      <c r="Z88" s="135">
        <f t="shared" si="59"/>
        <v>5701145.3628202286</v>
      </c>
      <c r="AA88" s="135">
        <f t="shared" si="59"/>
        <v>5606652.2864572126</v>
      </c>
      <c r="AB88" s="135">
        <f t="shared" si="59"/>
        <v>5632072.4992762348</v>
      </c>
      <c r="AC88" s="135">
        <f t="shared" si="59"/>
        <v>5657383.6758148763</v>
      </c>
      <c r="AD88" s="135">
        <f t="shared" si="59"/>
        <v>5682581.0219458016</v>
      </c>
      <c r="AE88" s="135">
        <f t="shared" si="59"/>
        <v>5707659.628829062</v>
      </c>
      <c r="AF88" s="135">
        <f t="shared" si="59"/>
        <v>5732614.4703603666</v>
      </c>
      <c r="AG88" s="135">
        <f t="shared" si="59"/>
        <v>5757440.4005629076</v>
      </c>
      <c r="AH88" s="135">
        <f t="shared" si="59"/>
        <v>5782132.1509214174</v>
      </c>
      <c r="AI88" s="135">
        <f t="shared" si="59"/>
        <v>5806684.32765722</v>
      </c>
      <c r="AJ88" s="135">
        <f t="shared" si="59"/>
        <v>5831091.4089428978</v>
      </c>
      <c r="AK88" s="135">
        <f t="shared" si="59"/>
        <v>5855347.7420553137</v>
      </c>
      <c r="AL88" s="135">
        <f t="shared" si="59"/>
        <v>5879447.540465543</v>
      </c>
      <c r="AM88" s="135">
        <f t="shared" si="59"/>
        <v>6180523.6811716408</v>
      </c>
      <c r="AN88" s="135">
        <f t="shared" si="59"/>
        <v>6198153.3497892693</v>
      </c>
      <c r="AO88" s="135">
        <f t="shared" si="59"/>
        <v>6215608.2912068535</v>
      </c>
      <c r="AP88" s="135">
        <f t="shared" si="59"/>
        <v>10761379.402854087</v>
      </c>
    </row>
    <row r="89" spans="1:42" x14ac:dyDescent="0.2">
      <c r="A89" s="163" t="s">
        <v>33</v>
      </c>
      <c r="B89" s="135"/>
      <c r="C89" s="135"/>
      <c r="D89" s="135"/>
      <c r="E89" s="135"/>
      <c r="F89" s="135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</row>
    <row r="90" spans="1:42" x14ac:dyDescent="0.2">
      <c r="A90" s="167" t="s">
        <v>37</v>
      </c>
      <c r="B90" s="135">
        <v>0</v>
      </c>
      <c r="C90" s="135">
        <f>I288+K288</f>
        <v>0</v>
      </c>
      <c r="D90" s="135">
        <v>0</v>
      </c>
      <c r="E90" s="135">
        <v>0</v>
      </c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5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5">
        <v>0</v>
      </c>
      <c r="Y90" s="135">
        <v>0</v>
      </c>
      <c r="Z90" s="135">
        <v>0</v>
      </c>
      <c r="AA90" s="135">
        <v>0</v>
      </c>
      <c r="AB90" s="135">
        <v>0</v>
      </c>
      <c r="AC90" s="135">
        <v>0</v>
      </c>
      <c r="AD90" s="135">
        <v>0</v>
      </c>
      <c r="AE90" s="135">
        <v>0</v>
      </c>
      <c r="AF90" s="135">
        <v>0</v>
      </c>
      <c r="AG90" s="135">
        <v>0</v>
      </c>
      <c r="AH90" s="135">
        <v>0</v>
      </c>
      <c r="AI90" s="135">
        <v>0</v>
      </c>
      <c r="AJ90" s="135">
        <v>0</v>
      </c>
      <c r="AK90" s="135">
        <v>0</v>
      </c>
      <c r="AL90" s="135">
        <v>0</v>
      </c>
      <c r="AM90" s="135">
        <v>0</v>
      </c>
      <c r="AN90" s="135">
        <v>0</v>
      </c>
      <c r="AO90" s="135">
        <v>0</v>
      </c>
      <c r="AP90" s="135">
        <v>0</v>
      </c>
    </row>
    <row r="91" spans="1:42" x14ac:dyDescent="0.2">
      <c r="A91" s="167" t="s">
        <v>36</v>
      </c>
      <c r="B91" s="170">
        <v>0</v>
      </c>
      <c r="C91" s="170">
        <f>I422+K422</f>
        <v>12032855.541577501</v>
      </c>
      <c r="D91" s="170">
        <v>0</v>
      </c>
      <c r="E91" s="170">
        <v>0</v>
      </c>
      <c r="F91" s="170">
        <v>0</v>
      </c>
      <c r="G91" s="170">
        <v>0</v>
      </c>
      <c r="H91" s="170">
        <v>0</v>
      </c>
      <c r="I91" s="170">
        <v>0</v>
      </c>
      <c r="J91" s="170">
        <v>0</v>
      </c>
      <c r="K91" s="170">
        <v>0</v>
      </c>
      <c r="L91" s="170">
        <v>0</v>
      </c>
      <c r="M91" s="170">
        <v>0</v>
      </c>
      <c r="N91" s="170">
        <v>0</v>
      </c>
      <c r="O91" s="170">
        <v>0</v>
      </c>
      <c r="P91" s="170">
        <v>0</v>
      </c>
      <c r="Q91" s="170">
        <v>0</v>
      </c>
      <c r="R91" s="170">
        <v>0</v>
      </c>
      <c r="S91" s="170">
        <v>0</v>
      </c>
      <c r="T91" s="170">
        <v>0</v>
      </c>
      <c r="U91" s="170">
        <v>0</v>
      </c>
      <c r="V91" s="170">
        <v>0</v>
      </c>
      <c r="W91" s="170">
        <v>0</v>
      </c>
      <c r="X91" s="170">
        <v>0</v>
      </c>
      <c r="Y91" s="170">
        <v>0</v>
      </c>
      <c r="Z91" s="170">
        <v>0</v>
      </c>
      <c r="AA91" s="170">
        <v>0</v>
      </c>
      <c r="AB91" s="170">
        <v>0</v>
      </c>
      <c r="AC91" s="170">
        <v>0</v>
      </c>
      <c r="AD91" s="170">
        <v>0</v>
      </c>
      <c r="AE91" s="170">
        <v>0</v>
      </c>
      <c r="AF91" s="170">
        <v>0</v>
      </c>
      <c r="AG91" s="170">
        <v>0</v>
      </c>
      <c r="AH91" s="170">
        <v>0</v>
      </c>
      <c r="AI91" s="170">
        <v>0</v>
      </c>
      <c r="AJ91" s="170">
        <v>0</v>
      </c>
      <c r="AK91" s="170">
        <v>0</v>
      </c>
      <c r="AL91" s="170">
        <v>0</v>
      </c>
      <c r="AM91" s="170">
        <v>0</v>
      </c>
      <c r="AN91" s="170">
        <v>0</v>
      </c>
      <c r="AO91" s="170">
        <v>0</v>
      </c>
      <c r="AP91" s="170">
        <v>0</v>
      </c>
    </row>
    <row r="92" spans="1:42" x14ac:dyDescent="0.2">
      <c r="A92" s="167" t="s">
        <v>53</v>
      </c>
      <c r="B92" s="135">
        <f>SUM(B90:B91)</f>
        <v>0</v>
      </c>
      <c r="C92" s="135">
        <f>SUM(C90:C91)</f>
        <v>12032855.541577501</v>
      </c>
      <c r="D92" s="135">
        <f>SUM(D90:D91)</f>
        <v>0</v>
      </c>
      <c r="E92" s="135">
        <f t="shared" ref="E92:AP92" si="60">SUM(E90:E91)</f>
        <v>0</v>
      </c>
      <c r="F92" s="135">
        <f t="shared" si="60"/>
        <v>0</v>
      </c>
      <c r="G92" s="135">
        <f t="shared" si="60"/>
        <v>0</v>
      </c>
      <c r="H92" s="135">
        <f t="shared" si="60"/>
        <v>0</v>
      </c>
      <c r="I92" s="135">
        <f t="shared" si="60"/>
        <v>0</v>
      </c>
      <c r="J92" s="135">
        <f t="shared" si="60"/>
        <v>0</v>
      </c>
      <c r="K92" s="135">
        <f t="shared" si="60"/>
        <v>0</v>
      </c>
      <c r="L92" s="135">
        <f t="shared" si="60"/>
        <v>0</v>
      </c>
      <c r="M92" s="135">
        <f t="shared" si="60"/>
        <v>0</v>
      </c>
      <c r="N92" s="135">
        <f t="shared" si="60"/>
        <v>0</v>
      </c>
      <c r="O92" s="135">
        <f t="shared" si="60"/>
        <v>0</v>
      </c>
      <c r="P92" s="135">
        <f t="shared" si="60"/>
        <v>0</v>
      </c>
      <c r="Q92" s="135">
        <f t="shared" si="60"/>
        <v>0</v>
      </c>
      <c r="R92" s="135">
        <f t="shared" si="60"/>
        <v>0</v>
      </c>
      <c r="S92" s="135">
        <f t="shared" si="60"/>
        <v>0</v>
      </c>
      <c r="T92" s="135">
        <f t="shared" si="60"/>
        <v>0</v>
      </c>
      <c r="U92" s="135">
        <f t="shared" si="60"/>
        <v>0</v>
      </c>
      <c r="V92" s="135">
        <f t="shared" si="60"/>
        <v>0</v>
      </c>
      <c r="W92" s="135">
        <f t="shared" si="60"/>
        <v>0</v>
      </c>
      <c r="X92" s="135">
        <f t="shared" si="60"/>
        <v>0</v>
      </c>
      <c r="Y92" s="135">
        <f t="shared" si="60"/>
        <v>0</v>
      </c>
      <c r="Z92" s="135">
        <f t="shared" si="60"/>
        <v>0</v>
      </c>
      <c r="AA92" s="135">
        <f t="shared" si="60"/>
        <v>0</v>
      </c>
      <c r="AB92" s="135">
        <f t="shared" si="60"/>
        <v>0</v>
      </c>
      <c r="AC92" s="135">
        <f t="shared" si="60"/>
        <v>0</v>
      </c>
      <c r="AD92" s="135">
        <f t="shared" si="60"/>
        <v>0</v>
      </c>
      <c r="AE92" s="135">
        <f t="shared" si="60"/>
        <v>0</v>
      </c>
      <c r="AF92" s="135">
        <f t="shared" si="60"/>
        <v>0</v>
      </c>
      <c r="AG92" s="135">
        <f t="shared" si="60"/>
        <v>0</v>
      </c>
      <c r="AH92" s="135">
        <f t="shared" si="60"/>
        <v>0</v>
      </c>
      <c r="AI92" s="135">
        <f t="shared" si="60"/>
        <v>0</v>
      </c>
      <c r="AJ92" s="135">
        <f t="shared" si="60"/>
        <v>0</v>
      </c>
      <c r="AK92" s="135">
        <f t="shared" si="60"/>
        <v>0</v>
      </c>
      <c r="AL92" s="135">
        <f t="shared" si="60"/>
        <v>0</v>
      </c>
      <c r="AM92" s="135">
        <f t="shared" si="60"/>
        <v>0</v>
      </c>
      <c r="AN92" s="135">
        <f t="shared" si="60"/>
        <v>0</v>
      </c>
      <c r="AO92" s="135">
        <f t="shared" si="60"/>
        <v>0</v>
      </c>
      <c r="AP92" s="135">
        <f t="shared" si="60"/>
        <v>0</v>
      </c>
    </row>
    <row r="93" spans="1:42" x14ac:dyDescent="0.2">
      <c r="A93" s="163" t="s">
        <v>38</v>
      </c>
      <c r="B93" s="135"/>
      <c r="C93" s="135"/>
      <c r="D93" s="135"/>
      <c r="E93" s="135"/>
      <c r="F93" s="135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</row>
    <row r="94" spans="1:42" x14ac:dyDescent="0.2">
      <c r="A94" s="167" t="s">
        <v>37</v>
      </c>
      <c r="B94" s="135">
        <f>B552</f>
        <v>0</v>
      </c>
      <c r="C94" s="135">
        <f t="shared" ref="C94:AO94" si="61">C552</f>
        <v>0</v>
      </c>
      <c r="D94" s="135">
        <f t="shared" si="61"/>
        <v>0</v>
      </c>
      <c r="E94" s="135">
        <f t="shared" si="61"/>
        <v>0</v>
      </c>
      <c r="F94" s="135">
        <f t="shared" si="61"/>
        <v>0</v>
      </c>
      <c r="G94" s="135">
        <f t="shared" si="61"/>
        <v>0</v>
      </c>
      <c r="H94" s="135">
        <f t="shared" si="61"/>
        <v>0</v>
      </c>
      <c r="I94" s="135">
        <f t="shared" si="61"/>
        <v>0</v>
      </c>
      <c r="J94" s="135">
        <f t="shared" si="61"/>
        <v>0</v>
      </c>
      <c r="K94" s="135">
        <f t="shared" si="61"/>
        <v>0</v>
      </c>
      <c r="L94" s="135">
        <f t="shared" si="61"/>
        <v>0</v>
      </c>
      <c r="M94" s="135">
        <f t="shared" si="61"/>
        <v>0</v>
      </c>
      <c r="N94" s="135">
        <f t="shared" si="61"/>
        <v>0</v>
      </c>
      <c r="O94" s="135">
        <f t="shared" si="61"/>
        <v>0</v>
      </c>
      <c r="P94" s="135">
        <f t="shared" si="61"/>
        <v>0</v>
      </c>
      <c r="Q94" s="135">
        <f t="shared" si="61"/>
        <v>0</v>
      </c>
      <c r="R94" s="135">
        <f t="shared" si="61"/>
        <v>0</v>
      </c>
      <c r="S94" s="135">
        <f t="shared" si="61"/>
        <v>0</v>
      </c>
      <c r="T94" s="135">
        <f t="shared" si="61"/>
        <v>0</v>
      </c>
      <c r="U94" s="135">
        <f t="shared" si="61"/>
        <v>0</v>
      </c>
      <c r="V94" s="135">
        <f t="shared" si="61"/>
        <v>0</v>
      </c>
      <c r="W94" s="135">
        <f t="shared" si="61"/>
        <v>0</v>
      </c>
      <c r="X94" s="135">
        <f t="shared" si="61"/>
        <v>0</v>
      </c>
      <c r="Y94" s="135">
        <f t="shared" si="61"/>
        <v>0</v>
      </c>
      <c r="Z94" s="135">
        <f t="shared" si="61"/>
        <v>0</v>
      </c>
      <c r="AA94" s="135">
        <f t="shared" si="61"/>
        <v>0</v>
      </c>
      <c r="AB94" s="135">
        <f t="shared" si="61"/>
        <v>0</v>
      </c>
      <c r="AC94" s="135">
        <f t="shared" si="61"/>
        <v>0</v>
      </c>
      <c r="AD94" s="135">
        <f t="shared" si="61"/>
        <v>0</v>
      </c>
      <c r="AE94" s="135">
        <f t="shared" si="61"/>
        <v>0</v>
      </c>
      <c r="AF94" s="135">
        <f t="shared" si="61"/>
        <v>0</v>
      </c>
      <c r="AG94" s="135">
        <f t="shared" si="61"/>
        <v>0</v>
      </c>
      <c r="AH94" s="135">
        <f t="shared" si="61"/>
        <v>0</v>
      </c>
      <c r="AI94" s="135">
        <f t="shared" si="61"/>
        <v>0</v>
      </c>
      <c r="AJ94" s="135">
        <f t="shared" si="61"/>
        <v>0</v>
      </c>
      <c r="AK94" s="135">
        <f t="shared" si="61"/>
        <v>0</v>
      </c>
      <c r="AL94" s="135">
        <f t="shared" si="61"/>
        <v>0</v>
      </c>
      <c r="AM94" s="135">
        <f t="shared" si="61"/>
        <v>0</v>
      </c>
      <c r="AN94" s="135">
        <f t="shared" si="61"/>
        <v>0</v>
      </c>
      <c r="AO94" s="135">
        <f t="shared" si="61"/>
        <v>0</v>
      </c>
      <c r="AP94" s="135">
        <f>AP552</f>
        <v>0</v>
      </c>
    </row>
    <row r="95" spans="1:42" x14ac:dyDescent="0.2">
      <c r="A95" s="167" t="s">
        <v>36</v>
      </c>
      <c r="B95" s="170">
        <f>B558</f>
        <v>0</v>
      </c>
      <c r="C95" s="170">
        <f t="shared" ref="C95:AO95" si="62">C558</f>
        <v>0</v>
      </c>
      <c r="D95" s="170">
        <f t="shared" si="62"/>
        <v>0</v>
      </c>
      <c r="E95" s="170">
        <f t="shared" si="62"/>
        <v>0</v>
      </c>
      <c r="F95" s="170">
        <f t="shared" si="62"/>
        <v>0</v>
      </c>
      <c r="G95" s="170">
        <f t="shared" si="62"/>
        <v>0</v>
      </c>
      <c r="H95" s="170">
        <f t="shared" si="62"/>
        <v>0</v>
      </c>
      <c r="I95" s="170">
        <f t="shared" si="62"/>
        <v>0</v>
      </c>
      <c r="J95" s="170">
        <f t="shared" si="62"/>
        <v>0</v>
      </c>
      <c r="K95" s="170">
        <f t="shared" si="62"/>
        <v>0</v>
      </c>
      <c r="L95" s="170">
        <f t="shared" si="62"/>
        <v>0</v>
      </c>
      <c r="M95" s="170">
        <f t="shared" si="62"/>
        <v>0</v>
      </c>
      <c r="N95" s="170">
        <f t="shared" si="62"/>
        <v>0</v>
      </c>
      <c r="O95" s="170">
        <f t="shared" si="62"/>
        <v>0</v>
      </c>
      <c r="P95" s="170">
        <f t="shared" si="62"/>
        <v>0</v>
      </c>
      <c r="Q95" s="170">
        <f t="shared" si="62"/>
        <v>0</v>
      </c>
      <c r="R95" s="170">
        <f t="shared" si="62"/>
        <v>0</v>
      </c>
      <c r="S95" s="170">
        <f t="shared" si="62"/>
        <v>0</v>
      </c>
      <c r="T95" s="170">
        <f t="shared" si="62"/>
        <v>0</v>
      </c>
      <c r="U95" s="170">
        <f t="shared" si="62"/>
        <v>0</v>
      </c>
      <c r="V95" s="170">
        <f t="shared" si="62"/>
        <v>0</v>
      </c>
      <c r="W95" s="170">
        <f t="shared" si="62"/>
        <v>0</v>
      </c>
      <c r="X95" s="170">
        <f t="shared" si="62"/>
        <v>0</v>
      </c>
      <c r="Y95" s="170">
        <f t="shared" si="62"/>
        <v>0</v>
      </c>
      <c r="Z95" s="170">
        <f t="shared" si="62"/>
        <v>0</v>
      </c>
      <c r="AA95" s="170">
        <f t="shared" si="62"/>
        <v>0</v>
      </c>
      <c r="AB95" s="170">
        <f t="shared" si="62"/>
        <v>0</v>
      </c>
      <c r="AC95" s="170">
        <f t="shared" si="62"/>
        <v>0</v>
      </c>
      <c r="AD95" s="170">
        <f t="shared" si="62"/>
        <v>0</v>
      </c>
      <c r="AE95" s="170">
        <f t="shared" si="62"/>
        <v>0</v>
      </c>
      <c r="AF95" s="170">
        <f t="shared" si="62"/>
        <v>0</v>
      </c>
      <c r="AG95" s="170">
        <f t="shared" si="62"/>
        <v>0</v>
      </c>
      <c r="AH95" s="170">
        <f t="shared" si="62"/>
        <v>0</v>
      </c>
      <c r="AI95" s="170">
        <f t="shared" si="62"/>
        <v>0</v>
      </c>
      <c r="AJ95" s="170">
        <f t="shared" si="62"/>
        <v>0</v>
      </c>
      <c r="AK95" s="170">
        <f t="shared" si="62"/>
        <v>0</v>
      </c>
      <c r="AL95" s="170">
        <f t="shared" si="62"/>
        <v>0</v>
      </c>
      <c r="AM95" s="170">
        <f t="shared" si="62"/>
        <v>0</v>
      </c>
      <c r="AN95" s="170">
        <f t="shared" si="62"/>
        <v>0</v>
      </c>
      <c r="AO95" s="170">
        <f t="shared" si="62"/>
        <v>0</v>
      </c>
      <c r="AP95" s="170">
        <f>AP558</f>
        <v>0</v>
      </c>
    </row>
    <row r="96" spans="1:42" x14ac:dyDescent="0.2">
      <c r="A96" s="167" t="s">
        <v>53</v>
      </c>
      <c r="B96" s="135">
        <f>SUM(B94:B95)</f>
        <v>0</v>
      </c>
      <c r="C96" s="135">
        <f>SUM(C94:C95)</f>
        <v>0</v>
      </c>
      <c r="D96" s="135">
        <f>SUM(D94:D95)</f>
        <v>0</v>
      </c>
      <c r="E96" s="135">
        <f t="shared" ref="E96:AP96" si="63">SUM(E94:E95)</f>
        <v>0</v>
      </c>
      <c r="F96" s="135">
        <f t="shared" si="63"/>
        <v>0</v>
      </c>
      <c r="G96" s="135">
        <f t="shared" si="63"/>
        <v>0</v>
      </c>
      <c r="H96" s="135">
        <f t="shared" si="63"/>
        <v>0</v>
      </c>
      <c r="I96" s="135">
        <f t="shared" si="63"/>
        <v>0</v>
      </c>
      <c r="J96" s="135">
        <f t="shared" si="63"/>
        <v>0</v>
      </c>
      <c r="K96" s="135">
        <f t="shared" si="63"/>
        <v>0</v>
      </c>
      <c r="L96" s="135">
        <f t="shared" si="63"/>
        <v>0</v>
      </c>
      <c r="M96" s="135">
        <f t="shared" si="63"/>
        <v>0</v>
      </c>
      <c r="N96" s="135">
        <f t="shared" si="63"/>
        <v>0</v>
      </c>
      <c r="O96" s="135">
        <f t="shared" si="63"/>
        <v>0</v>
      </c>
      <c r="P96" s="135">
        <f t="shared" si="63"/>
        <v>0</v>
      </c>
      <c r="Q96" s="135">
        <f t="shared" si="63"/>
        <v>0</v>
      </c>
      <c r="R96" s="135">
        <f t="shared" si="63"/>
        <v>0</v>
      </c>
      <c r="S96" s="135">
        <f t="shared" si="63"/>
        <v>0</v>
      </c>
      <c r="T96" s="135">
        <f t="shared" si="63"/>
        <v>0</v>
      </c>
      <c r="U96" s="135">
        <f t="shared" si="63"/>
        <v>0</v>
      </c>
      <c r="V96" s="135">
        <f t="shared" si="63"/>
        <v>0</v>
      </c>
      <c r="W96" s="135">
        <f t="shared" si="63"/>
        <v>0</v>
      </c>
      <c r="X96" s="135">
        <f t="shared" si="63"/>
        <v>0</v>
      </c>
      <c r="Y96" s="135">
        <f t="shared" si="63"/>
        <v>0</v>
      </c>
      <c r="Z96" s="135">
        <f t="shared" si="63"/>
        <v>0</v>
      </c>
      <c r="AA96" s="135">
        <f t="shared" si="63"/>
        <v>0</v>
      </c>
      <c r="AB96" s="135">
        <f t="shared" si="63"/>
        <v>0</v>
      </c>
      <c r="AC96" s="135">
        <f t="shared" si="63"/>
        <v>0</v>
      </c>
      <c r="AD96" s="135">
        <f t="shared" si="63"/>
        <v>0</v>
      </c>
      <c r="AE96" s="135">
        <f t="shared" si="63"/>
        <v>0</v>
      </c>
      <c r="AF96" s="135">
        <f t="shared" si="63"/>
        <v>0</v>
      </c>
      <c r="AG96" s="135">
        <f t="shared" si="63"/>
        <v>0</v>
      </c>
      <c r="AH96" s="135">
        <f t="shared" si="63"/>
        <v>0</v>
      </c>
      <c r="AI96" s="135">
        <f t="shared" si="63"/>
        <v>0</v>
      </c>
      <c r="AJ96" s="135">
        <f t="shared" si="63"/>
        <v>0</v>
      </c>
      <c r="AK96" s="135">
        <f t="shared" si="63"/>
        <v>0</v>
      </c>
      <c r="AL96" s="135">
        <f t="shared" si="63"/>
        <v>0</v>
      </c>
      <c r="AM96" s="135">
        <f t="shared" si="63"/>
        <v>0</v>
      </c>
      <c r="AN96" s="135">
        <f t="shared" si="63"/>
        <v>0</v>
      </c>
      <c r="AO96" s="135">
        <f t="shared" si="63"/>
        <v>0</v>
      </c>
      <c r="AP96" s="135">
        <f t="shared" si="63"/>
        <v>0</v>
      </c>
    </row>
    <row r="97" spans="1:42" x14ac:dyDescent="0.2">
      <c r="A97" s="163" t="s">
        <v>206</v>
      </c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</row>
    <row r="98" spans="1:42" x14ac:dyDescent="0.2">
      <c r="A98" s="167" t="s">
        <v>37</v>
      </c>
      <c r="B98" s="135">
        <f>B237</f>
        <v>0</v>
      </c>
      <c r="C98" s="135">
        <f>C237</f>
        <v>94359.327574732306</v>
      </c>
      <c r="D98" s="135">
        <f t="shared" ref="D98:AP98" si="64">D237</f>
        <v>321984.05751781247</v>
      </c>
      <c r="E98" s="135">
        <f t="shared" si="64"/>
        <v>79466.517326909743</v>
      </c>
      <c r="F98" s="135">
        <f t="shared" si="64"/>
        <v>-67007.614666668786</v>
      </c>
      <c r="G98" s="135">
        <f t="shared" si="64"/>
        <v>-69442.311229147934</v>
      </c>
      <c r="H98" s="135">
        <f t="shared" si="64"/>
        <v>-179857.14276192526</v>
      </c>
      <c r="I98" s="135">
        <f t="shared" si="64"/>
        <v>-290137.13791947288</v>
      </c>
      <c r="J98" s="135">
        <f t="shared" si="64"/>
        <v>-292293.20864066179</v>
      </c>
      <c r="K98" s="135">
        <f t="shared" si="64"/>
        <v>-294436.40819127788</v>
      </c>
      <c r="L98" s="135">
        <f t="shared" si="64"/>
        <v>-296591.74528709042</v>
      </c>
      <c r="M98" s="135">
        <f t="shared" si="64"/>
        <v>-298730.27278574463</v>
      </c>
      <c r="N98" s="135">
        <f t="shared" si="64"/>
        <v>-268486.99191623321</v>
      </c>
      <c r="O98" s="135">
        <f t="shared" si="64"/>
        <v>-248349.54132043145</v>
      </c>
      <c r="P98" s="135">
        <f t="shared" si="64"/>
        <v>-271272.21451058978</v>
      </c>
      <c r="Q98" s="135">
        <f t="shared" si="64"/>
        <v>-285884.58202948893</v>
      </c>
      <c r="R98" s="135">
        <f t="shared" si="64"/>
        <v>-290327.61874006852</v>
      </c>
      <c r="S98" s="135">
        <f t="shared" si="64"/>
        <v>-304089.26394926017</v>
      </c>
      <c r="T98" s="135">
        <f t="shared" si="64"/>
        <v>-315588.37433984264</v>
      </c>
      <c r="U98" s="135">
        <f t="shared" si="64"/>
        <v>-317754.16053840541</v>
      </c>
      <c r="V98" s="135">
        <f t="shared" si="64"/>
        <v>-319915.76297057531</v>
      </c>
      <c r="W98" s="135">
        <f t="shared" si="64"/>
        <v>-323871.34998243582</v>
      </c>
      <c r="X98" s="135">
        <f t="shared" si="64"/>
        <v>-327041.00313672307</v>
      </c>
      <c r="Y98" s="135">
        <f t="shared" si="64"/>
        <v>-328407.40645744262</v>
      </c>
      <c r="Z98" s="135">
        <f t="shared" si="64"/>
        <v>-291038.34013602056</v>
      </c>
      <c r="AA98" s="135">
        <f t="shared" si="64"/>
        <v>-265767.1745911506</v>
      </c>
      <c r="AB98" s="135">
        <f t="shared" si="64"/>
        <v>-291960.2331298397</v>
      </c>
      <c r="AC98" s="135">
        <f t="shared" si="64"/>
        <v>-308232.47344312794</v>
      </c>
      <c r="AD98" s="135">
        <f t="shared" si="64"/>
        <v>-309626.14752840699</v>
      </c>
      <c r="AE98" s="135">
        <f t="shared" si="64"/>
        <v>-322167.79854585341</v>
      </c>
      <c r="AF98" s="135">
        <f t="shared" si="64"/>
        <v>-334702.80639651825</v>
      </c>
      <c r="AG98" s="135">
        <f t="shared" si="64"/>
        <v>-336076.54446216521</v>
      </c>
      <c r="AH98" s="135">
        <f t="shared" si="64"/>
        <v>-337443.07358928595</v>
      </c>
      <c r="AI98" s="135">
        <f t="shared" si="64"/>
        <v>-338802.10074735578</v>
      </c>
      <c r="AJ98" s="135">
        <f t="shared" si="64"/>
        <v>-340153.32594184583</v>
      </c>
      <c r="AK98" s="135">
        <f t="shared" si="64"/>
        <v>-341496.44205937203</v>
      </c>
      <c r="AL98" s="135">
        <f t="shared" si="64"/>
        <v>-296524.39845553465</v>
      </c>
      <c r="AM98" s="135">
        <f t="shared" si="64"/>
        <v>-266014.46463410195</v>
      </c>
      <c r="AN98" s="135">
        <f t="shared" si="64"/>
        <v>-296629.99517382996</v>
      </c>
      <c r="AO98" s="135">
        <f t="shared" si="64"/>
        <v>-315381.58929480449</v>
      </c>
      <c r="AP98" s="135">
        <f t="shared" si="64"/>
        <v>-537744.67304228665</v>
      </c>
    </row>
    <row r="99" spans="1:42" x14ac:dyDescent="0.2">
      <c r="A99" s="167" t="s">
        <v>36</v>
      </c>
      <c r="B99" s="170">
        <f>B275</f>
        <v>0</v>
      </c>
      <c r="C99" s="170">
        <f>C275</f>
        <v>567442.68355168565</v>
      </c>
      <c r="D99" s="170">
        <f t="shared" ref="D99:AP99" si="65">D275</f>
        <v>1936295.0368002993</v>
      </c>
      <c r="E99" s="170">
        <f t="shared" si="65"/>
        <v>477882.73828864348</v>
      </c>
      <c r="F99" s="170">
        <f t="shared" si="65"/>
        <v>-402959.42820001277</v>
      </c>
      <c r="G99" s="170">
        <f t="shared" si="65"/>
        <v>-417600.80798255774</v>
      </c>
      <c r="H99" s="170">
        <f t="shared" si="65"/>
        <v>-1081595.4539728505</v>
      </c>
      <c r="I99" s="170">
        <f t="shared" si="65"/>
        <v>-1744779.2430339209</v>
      </c>
      <c r="J99" s="170">
        <f t="shared" si="65"/>
        <v>-1757745.0683254341</v>
      </c>
      <c r="K99" s="170">
        <f t="shared" si="65"/>
        <v>-1770633.4910775481</v>
      </c>
      <c r="L99" s="170">
        <f t="shared" si="65"/>
        <v>-1783594.9046128208</v>
      </c>
      <c r="M99" s="170">
        <f t="shared" si="65"/>
        <v>-1796455.2313433641</v>
      </c>
      <c r="N99" s="170">
        <f t="shared" si="65"/>
        <v>-1614583.1377508026</v>
      </c>
      <c r="O99" s="170">
        <f t="shared" si="65"/>
        <v>-1493483.8325769582</v>
      </c>
      <c r="P99" s="170">
        <f t="shared" si="65"/>
        <v>-1631332.4536250464</v>
      </c>
      <c r="Q99" s="170">
        <f t="shared" si="65"/>
        <v>-1719205.9182955176</v>
      </c>
      <c r="R99" s="170">
        <f t="shared" si="65"/>
        <v>-1745924.7254232299</v>
      </c>
      <c r="S99" s="170">
        <f t="shared" si="65"/>
        <v>-1828682.2554766873</v>
      </c>
      <c r="T99" s="170">
        <f t="shared" si="65"/>
        <v>-1897833.7238709626</v>
      </c>
      <c r="U99" s="170">
        <f t="shared" si="65"/>
        <v>-1910857.9745105014</v>
      </c>
      <c r="V99" s="170">
        <f t="shared" si="65"/>
        <v>-1923857.0655003232</v>
      </c>
      <c r="W99" s="170">
        <f t="shared" si="65"/>
        <v>-1947644.5273943753</v>
      </c>
      <c r="X99" s="170">
        <f t="shared" si="65"/>
        <v>-1966705.6688631119</v>
      </c>
      <c r="Y99" s="170">
        <f t="shared" si="65"/>
        <v>-1974922.7215599844</v>
      </c>
      <c r="Z99" s="170">
        <f t="shared" si="65"/>
        <v>-1750198.7454543416</v>
      </c>
      <c r="AA99" s="170">
        <f t="shared" si="65"/>
        <v>-1598227.1453822372</v>
      </c>
      <c r="AB99" s="170">
        <f t="shared" si="65"/>
        <v>-1755742.6746853541</v>
      </c>
      <c r="AC99" s="170">
        <f t="shared" si="65"/>
        <v>-1853598.0107511738</v>
      </c>
      <c r="AD99" s="170">
        <f t="shared" si="65"/>
        <v>-1861979.0599094653</v>
      </c>
      <c r="AE99" s="170">
        <f t="shared" si="65"/>
        <v>-1937399.9885280184</v>
      </c>
      <c r="AF99" s="170">
        <f t="shared" si="65"/>
        <v>-2012780.9675572438</v>
      </c>
      <c r="AG99" s="170">
        <f t="shared" si="65"/>
        <v>-2021042.12874293</v>
      </c>
      <c r="AH99" s="170">
        <f t="shared" si="65"/>
        <v>-2029259.9379937514</v>
      </c>
      <c r="AI99" s="170">
        <f t="shared" si="65"/>
        <v>-2037432.6331306892</v>
      </c>
      <c r="AJ99" s="170">
        <f t="shared" si="65"/>
        <v>-2045558.4100957364</v>
      </c>
      <c r="AK99" s="170">
        <f t="shared" si="65"/>
        <v>-2053635.4220206779</v>
      </c>
      <c r="AL99" s="170">
        <f t="shared" si="65"/>
        <v>-1783189.9052576015</v>
      </c>
      <c r="AM99" s="170">
        <f t="shared" si="65"/>
        <v>-1599714.2577768948</v>
      </c>
      <c r="AN99" s="170">
        <f t="shared" si="65"/>
        <v>-1783824.9255226231</v>
      </c>
      <c r="AO99" s="170">
        <f t="shared" si="65"/>
        <v>-1896590.1938046652</v>
      </c>
      <c r="AP99" s="170">
        <f t="shared" si="65"/>
        <v>-3233800.9201588421</v>
      </c>
    </row>
    <row r="100" spans="1:42" x14ac:dyDescent="0.2">
      <c r="A100" s="167" t="s">
        <v>53</v>
      </c>
      <c r="B100" s="177">
        <f>SUM(B98:B99)</f>
        <v>0</v>
      </c>
      <c r="C100" s="177">
        <f>SUM(C98:C99)</f>
        <v>661802.0111264179</v>
      </c>
      <c r="D100" s="177">
        <f>SUM(D98:D99)</f>
        <v>2258279.0943181119</v>
      </c>
      <c r="E100" s="177">
        <f t="shared" ref="E100:AP100" si="66">SUM(E98:E99)</f>
        <v>557349.25561555324</v>
      </c>
      <c r="F100" s="177">
        <f t="shared" si="66"/>
        <v>-469967.04286668159</v>
      </c>
      <c r="G100" s="177">
        <f t="shared" si="66"/>
        <v>-487043.11921170569</v>
      </c>
      <c r="H100" s="177">
        <f t="shared" si="66"/>
        <v>-1261452.5967347757</v>
      </c>
      <c r="I100" s="177">
        <f t="shared" si="66"/>
        <v>-2034916.3809533939</v>
      </c>
      <c r="J100" s="177">
        <f t="shared" si="66"/>
        <v>-2050038.2769660959</v>
      </c>
      <c r="K100" s="177">
        <f t="shared" si="66"/>
        <v>-2065069.899268826</v>
      </c>
      <c r="L100" s="177">
        <f t="shared" si="66"/>
        <v>-2080186.6498999111</v>
      </c>
      <c r="M100" s="177">
        <f t="shared" si="66"/>
        <v>-2095185.5041291087</v>
      </c>
      <c r="N100" s="177">
        <f t="shared" si="66"/>
        <v>-1883070.1296670358</v>
      </c>
      <c r="O100" s="177">
        <f t="shared" si="66"/>
        <v>-1741833.3738973897</v>
      </c>
      <c r="P100" s="177">
        <f t="shared" si="66"/>
        <v>-1902604.6681356363</v>
      </c>
      <c r="Q100" s="177">
        <f t="shared" si="66"/>
        <v>-2005090.5003250064</v>
      </c>
      <c r="R100" s="177">
        <f t="shared" si="66"/>
        <v>-2036252.3441632984</v>
      </c>
      <c r="S100" s="177">
        <f t="shared" si="66"/>
        <v>-2132771.5194259477</v>
      </c>
      <c r="T100" s="177">
        <f t="shared" si="66"/>
        <v>-2213422.0982108051</v>
      </c>
      <c r="U100" s="177">
        <f t="shared" si="66"/>
        <v>-2228612.1350489068</v>
      </c>
      <c r="V100" s="177">
        <f t="shared" si="66"/>
        <v>-2243772.8284708983</v>
      </c>
      <c r="W100" s="177">
        <f t="shared" si="66"/>
        <v>-2271515.8773768111</v>
      </c>
      <c r="X100" s="177">
        <f t="shared" si="66"/>
        <v>-2293746.6719998349</v>
      </c>
      <c r="Y100" s="177">
        <f t="shared" si="66"/>
        <v>-2303330.1280174269</v>
      </c>
      <c r="Z100" s="177">
        <f t="shared" si="66"/>
        <v>-2041237.0855903621</v>
      </c>
      <c r="AA100" s="177">
        <f t="shared" si="66"/>
        <v>-1863994.3199733878</v>
      </c>
      <c r="AB100" s="177">
        <f t="shared" si="66"/>
        <v>-2047702.9078151938</v>
      </c>
      <c r="AC100" s="177">
        <f t="shared" si="66"/>
        <v>-2161830.484194302</v>
      </c>
      <c r="AD100" s="177">
        <f t="shared" si="66"/>
        <v>-2171605.2074378724</v>
      </c>
      <c r="AE100" s="177">
        <f t="shared" si="66"/>
        <v>-2259567.7870738716</v>
      </c>
      <c r="AF100" s="177">
        <f t="shared" si="66"/>
        <v>-2347483.7739537619</v>
      </c>
      <c r="AG100" s="177">
        <f t="shared" si="66"/>
        <v>-2357118.6732050953</v>
      </c>
      <c r="AH100" s="177">
        <f t="shared" si="66"/>
        <v>-2366703.0115830372</v>
      </c>
      <c r="AI100" s="177">
        <f t="shared" si="66"/>
        <v>-2376234.7338780449</v>
      </c>
      <c r="AJ100" s="177">
        <f t="shared" si="66"/>
        <v>-2385711.7360375822</v>
      </c>
      <c r="AK100" s="177">
        <f t="shared" si="66"/>
        <v>-2395131.86408005</v>
      </c>
      <c r="AL100" s="177">
        <f t="shared" si="66"/>
        <v>-2079714.3037131361</v>
      </c>
      <c r="AM100" s="177">
        <f t="shared" si="66"/>
        <v>-1865728.7224109969</v>
      </c>
      <c r="AN100" s="177">
        <f t="shared" si="66"/>
        <v>-2080454.9206964532</v>
      </c>
      <c r="AO100" s="177">
        <f t="shared" si="66"/>
        <v>-2211971.7830994697</v>
      </c>
      <c r="AP100" s="177">
        <f t="shared" si="66"/>
        <v>-3771545.5932011288</v>
      </c>
    </row>
    <row r="101" spans="1:42" x14ac:dyDescent="0.2">
      <c r="A101" s="163" t="s">
        <v>53</v>
      </c>
      <c r="B101" s="135">
        <f>B88+B92+B96+B100</f>
        <v>-43597302.686875001</v>
      </c>
      <c r="C101" s="135">
        <f t="shared" ref="C101:AP101" si="67">C88+C92+C96+C100</f>
        <v>17644988.801502995</v>
      </c>
      <c r="D101" s="135">
        <f t="shared" si="67"/>
        <v>7247828.6466876268</v>
      </c>
      <c r="E101" s="135">
        <f t="shared" si="67"/>
        <v>5586094.4751315387</v>
      </c>
      <c r="F101" s="135">
        <f t="shared" si="67"/>
        <v>4597948.5281097777</v>
      </c>
      <c r="G101" s="135">
        <f t="shared" si="67"/>
        <v>4620014.7406928614</v>
      </c>
      <c r="H101" s="135">
        <f t="shared" si="67"/>
        <v>3884716.6736247125</v>
      </c>
      <c r="I101" s="135">
        <f t="shared" si="67"/>
        <v>3150330.5348091647</v>
      </c>
      <c r="J101" s="135">
        <f t="shared" si="67"/>
        <v>3174249.5603536749</v>
      </c>
      <c r="K101" s="135">
        <f t="shared" si="67"/>
        <v>3198219.1031406955</v>
      </c>
      <c r="L101" s="135">
        <f t="shared" si="67"/>
        <v>3222060.6530347699</v>
      </c>
      <c r="M101" s="135">
        <f t="shared" si="67"/>
        <v>3245974.0495092692</v>
      </c>
      <c r="N101" s="135">
        <f t="shared" si="67"/>
        <v>3496952.3607154968</v>
      </c>
      <c r="O101" s="135">
        <f t="shared" si="67"/>
        <v>3577458.2498944653</v>
      </c>
      <c r="P101" s="135">
        <f t="shared" si="67"/>
        <v>3456281.2505813278</v>
      </c>
      <c r="Q101" s="135">
        <f t="shared" si="67"/>
        <v>3393330.1158663146</v>
      </c>
      <c r="R101" s="135">
        <f t="shared" si="67"/>
        <v>3401639.7744012121</v>
      </c>
      <c r="S101" s="135">
        <f t="shared" si="67"/>
        <v>3344525.2206843733</v>
      </c>
      <c r="T101" s="135">
        <f t="shared" si="67"/>
        <v>3303208.6068533184</v>
      </c>
      <c r="U101" s="135">
        <f t="shared" si="67"/>
        <v>3327278.0105680577</v>
      </c>
      <c r="V101" s="135">
        <f t="shared" si="67"/>
        <v>3351298.271394352</v>
      </c>
      <c r="W101" s="135">
        <f t="shared" si="67"/>
        <v>3355488.1712445864</v>
      </c>
      <c r="X101" s="135">
        <f t="shared" si="67"/>
        <v>3358063.5590286837</v>
      </c>
      <c r="Y101" s="135">
        <f t="shared" si="67"/>
        <v>3373195.3276462802</v>
      </c>
      <c r="Z101" s="135">
        <f t="shared" si="67"/>
        <v>3659908.2772298665</v>
      </c>
      <c r="AA101" s="135">
        <f t="shared" si="67"/>
        <v>3742657.9664838249</v>
      </c>
      <c r="AB101" s="135">
        <f t="shared" si="67"/>
        <v>3584369.591461041</v>
      </c>
      <c r="AC101" s="135">
        <f t="shared" si="67"/>
        <v>3495553.1916205743</v>
      </c>
      <c r="AD101" s="135">
        <f t="shared" si="67"/>
        <v>3510975.8145079291</v>
      </c>
      <c r="AE101" s="135">
        <f t="shared" si="67"/>
        <v>3448091.8417551904</v>
      </c>
      <c r="AF101" s="135">
        <f t="shared" si="67"/>
        <v>3385130.6964066047</v>
      </c>
      <c r="AG101" s="135">
        <f t="shared" si="67"/>
        <v>3400321.7273578122</v>
      </c>
      <c r="AH101" s="135">
        <f t="shared" si="67"/>
        <v>3415429.1393383802</v>
      </c>
      <c r="AI101" s="135">
        <f t="shared" si="67"/>
        <v>3430449.5937791751</v>
      </c>
      <c r="AJ101" s="135">
        <f t="shared" si="67"/>
        <v>3445379.6729053156</v>
      </c>
      <c r="AK101" s="135">
        <f t="shared" si="67"/>
        <v>3460215.8779752636</v>
      </c>
      <c r="AL101" s="135">
        <f t="shared" si="67"/>
        <v>3799733.2367524067</v>
      </c>
      <c r="AM101" s="135">
        <f t="shared" si="67"/>
        <v>4314794.9587606434</v>
      </c>
      <c r="AN101" s="135">
        <f t="shared" si="67"/>
        <v>4117698.4290928161</v>
      </c>
      <c r="AO101" s="135">
        <f t="shared" si="67"/>
        <v>4003636.5081073837</v>
      </c>
      <c r="AP101" s="135">
        <f t="shared" si="67"/>
        <v>6989833.8096529581</v>
      </c>
    </row>
    <row r="102" spans="1:42" x14ac:dyDescent="0.2">
      <c r="A102" s="167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</row>
    <row r="103" spans="1:42" x14ac:dyDescent="0.2">
      <c r="A103" s="163" t="s">
        <v>323</v>
      </c>
      <c r="B103" s="184">
        <f>ROUND(IF(ISERROR(IRR($B101:B101)),0,IRR($B101:B101)),4)</f>
        <v>0</v>
      </c>
      <c r="C103" s="184">
        <f>ROUND(IF(ISERROR(IRR($B101:C101)),0,IRR($B101:C101)),4)</f>
        <v>-0.59530000000000005</v>
      </c>
      <c r="D103" s="184">
        <f>ROUND(IF(ISERROR(IRR($B101:D101)),0,IRR($B101:D101)),4)</f>
        <v>-0.34239999999999998</v>
      </c>
      <c r="E103" s="184">
        <f>ROUND(IF(ISERROR(IRR($B101:E101)),0,IRR($B101:E101)),4)</f>
        <v>-0.19270000000000001</v>
      </c>
      <c r="F103" s="184">
        <f>ROUND(IF(ISERROR(IRR($B101:F101)),0,IRR($B101:F101)),4)</f>
        <v>-0.1038</v>
      </c>
      <c r="G103" s="184">
        <f>ROUND(IF(ISERROR(IRR($B101:G101)),0,IRR($B101:G101)),4)</f>
        <v>-3.9600000000000003E-2</v>
      </c>
      <c r="H103" s="184">
        <f>ROUND(IF(ISERROR(IRR($B101:H101)),0,IRR($B101:H101)),4)</f>
        <v>-1E-4</v>
      </c>
      <c r="I103" s="184">
        <f>ROUND(IF(ISERROR(IRR($B101:I101)),0,IRR($B101:I101)),4)</f>
        <v>2.46E-2</v>
      </c>
      <c r="J103" s="184">
        <f>ROUND(IF(ISERROR(IRR($B101:J101)),0,IRR($B101:J101)),4)</f>
        <v>4.4299999999999999E-2</v>
      </c>
      <c r="K103" s="184">
        <f>ROUND(IF(ISERROR(IRR($B101:K101)),0,IRR($B101:K101)),4)</f>
        <v>0.06</v>
      </c>
      <c r="L103" s="184">
        <f>ROUND(IF(ISERROR(IRR($B101:L101)),0,IRR($B101:L101)),4)</f>
        <v>7.2599999999999998E-2</v>
      </c>
      <c r="M103" s="184">
        <f>ROUND(IF(ISERROR(IRR($B101:M101)),0,IRR($B101:M101)),4)</f>
        <v>8.2799999999999999E-2</v>
      </c>
      <c r="N103" s="184">
        <f>ROUND(IF(ISERROR(IRR($B101:N101)),0,IRR($B101:N101)),4)</f>
        <v>9.1600000000000001E-2</v>
      </c>
      <c r="O103" s="184">
        <f>ROUND(IF(ISERROR(IRR($B101:O101)),0,IRR($B101:O101)),4)</f>
        <v>9.8799999999999999E-2</v>
      </c>
      <c r="P103" s="184">
        <f>ROUND(IF(ISERROR(IRR($B101:P101)),0,IRR($B101:P101)),4)</f>
        <v>0.1045</v>
      </c>
      <c r="Q103" s="184">
        <f>ROUND(IF(ISERROR(IRR($B101:Q101)),0,IRR($B101:Q101)),4)</f>
        <v>0.1091</v>
      </c>
      <c r="R103" s="184">
        <f>ROUND(IF(ISERROR(IRR($B101:R101)),0,IRR($B101:R101)),4)</f>
        <v>0.1129</v>
      </c>
      <c r="S103" s="184">
        <f>ROUND(IF(ISERROR(IRR($B101:S101)),0,IRR($B101:S101)),4)</f>
        <v>0.11609999999999999</v>
      </c>
      <c r="T103" s="184">
        <f>ROUND(IF(ISERROR(IRR($B101:T101)),0,IRR($B101:T101)),4)</f>
        <v>0.1187</v>
      </c>
      <c r="U103" s="184">
        <f>ROUND(IF(ISERROR(IRR($B101:U101)),0,IRR($B101:U101)),4)</f>
        <v>0.12089999999999999</v>
      </c>
      <c r="V103" s="184">
        <f>ROUND(IF(ISERROR(IRR($B101:V101)),0,IRR($B101:V101)),4)</f>
        <v>0.12280000000000001</v>
      </c>
      <c r="W103" s="184">
        <f>ROUND(IF(ISERROR(IRR($B101:W101)),0,IRR($B101:W101)),4)</f>
        <v>0.1244</v>
      </c>
      <c r="X103" s="184">
        <f>ROUND(IF(ISERROR(IRR($B101:X101)),0,IRR($B101:X101)),4)</f>
        <v>0.12570000000000001</v>
      </c>
      <c r="Y103" s="184">
        <f>ROUND(IF(ISERROR(IRR($B101:Y101)),0,IRR($B101:Y101)),4)</f>
        <v>0.12690000000000001</v>
      </c>
      <c r="Z103" s="184">
        <f>ROUND(IF(ISERROR(IRR($B101:Z101)),0,IRR($B101:Z101)),4)</f>
        <v>0.128</v>
      </c>
      <c r="AA103" s="184">
        <f>ROUND(IF(ISERROR(IRR($B101:AA101)),0,IRR($B101:AA101)),4)</f>
        <v>0.12889999999999999</v>
      </c>
      <c r="AB103" s="184">
        <f>ROUND(IF(ISERROR(IRR($B101:AB101)),0,IRR($B101:AB101)),4)</f>
        <v>0.12970000000000001</v>
      </c>
      <c r="AC103" s="184">
        <f>ROUND(IF(ISERROR(IRR($B101:AC101)),0,IRR($B101:AC101)),4)</f>
        <v>0.13039999999999999</v>
      </c>
      <c r="AD103" s="184">
        <f>ROUND(IF(ISERROR(IRR($B101:AD101)),0,IRR($B101:AD101)),4)</f>
        <v>0.13100000000000001</v>
      </c>
      <c r="AE103" s="184">
        <f>ROUND(IF(ISERROR(IRR($B101:AE101)),0,IRR($B101:AE101)),4)</f>
        <v>0.13150000000000001</v>
      </c>
      <c r="AF103" s="184">
        <f>ROUND(IF(ISERROR(IRR($B101:AF101)),0,IRR($B101:AF101)),4)</f>
        <v>0.13189999999999999</v>
      </c>
      <c r="AG103" s="184">
        <f>ROUND(IF(ISERROR(IRR($B101:AG101)),0,IRR($B101:AG101)),4)</f>
        <v>0.13220000000000001</v>
      </c>
      <c r="AH103" s="184">
        <f>ROUND(IF(ISERROR(IRR($B101:AH101)),0,IRR($B101:AH101)),4)</f>
        <v>0.1326</v>
      </c>
      <c r="AI103" s="184">
        <f>ROUND(IF(ISERROR(IRR($B101:AI101)),0,IRR($B101:AI101)),4)</f>
        <v>0.1328</v>
      </c>
      <c r="AJ103" s="184">
        <f>ROUND(IF(ISERROR(IRR($B101:AJ101)),0,IRR($B101:AJ101)),4)</f>
        <v>0.1331</v>
      </c>
      <c r="AK103" s="184">
        <f>ROUND(IF(ISERROR(IRR($B101:AK101)),0,IRR($B101:AK101)),4)</f>
        <v>0.1333</v>
      </c>
      <c r="AL103" s="184">
        <f>ROUND(IF(ISERROR(IRR($B101:AL101)),0,IRR($B101:AL101)),4)</f>
        <v>0.13350000000000001</v>
      </c>
      <c r="AM103" s="184">
        <f>ROUND(IF(ISERROR(IRR($B101:AM101)),0,IRR($B101:AM101)),4)</f>
        <v>0.13370000000000001</v>
      </c>
      <c r="AN103" s="184">
        <f>ROUND(IF(ISERROR(IRR($B101:AN101)),0,IRR($B101:AN101)),4)</f>
        <v>0.13389999999999999</v>
      </c>
      <c r="AO103" s="184">
        <f>ROUND(IF(ISERROR(IRR($B101:AO101)),0,IRR($B101:AO101)),4)</f>
        <v>0.13400000000000001</v>
      </c>
      <c r="AP103" s="184">
        <f>ROUND(IF(ISERROR(IRR($B101:AP101)),0,IRR($B101:AP101)),4)</f>
        <v>0.13420000000000001</v>
      </c>
    </row>
    <row r="104" spans="1:42" x14ac:dyDescent="0.2">
      <c r="A104" s="163" t="s">
        <v>324</v>
      </c>
      <c r="B104" s="230">
        <f>B101</f>
        <v>-43597302.686875001</v>
      </c>
      <c r="C104" s="230">
        <f>NPV(DiscountRate,$C101:C101)+$B101</f>
        <v>-27259350.092890747</v>
      </c>
      <c r="D104" s="230">
        <f>NPV(DiscountRate,$C101:D101)+$B101</f>
        <v>-21045505.231190108</v>
      </c>
      <c r="E104" s="230">
        <f>NPV(DiscountRate,$C101:E101)+$B101</f>
        <v>-16611083.335446049</v>
      </c>
      <c r="F104" s="230">
        <f>NPV(DiscountRate,$C101:F101)+$B101</f>
        <v>-13231453.905663848</v>
      </c>
      <c r="G104" s="230">
        <f>NPV(DiscountRate,$C101:G101)+$B101</f>
        <v>-10087149.503100034</v>
      </c>
      <c r="H104" s="230">
        <f>NPV(DiscountRate,$C101:H101)+$B101</f>
        <v>-7639119.0463353768</v>
      </c>
      <c r="I104" s="230">
        <f>NPV(DiscountRate,$C101:I101)+$B101</f>
        <v>-5800931.437373206</v>
      </c>
      <c r="J104" s="230">
        <f>NPV(DiscountRate,$C101:J101)+$B101</f>
        <v>-4085983.168270044</v>
      </c>
      <c r="K104" s="230">
        <f>NPV(DiscountRate,$C101:K101)+$B101</f>
        <v>-2486077.3652638122</v>
      </c>
      <c r="L104" s="230">
        <f>NPV(DiscountRate,$C101:L101)+$B101</f>
        <v>-993639.85256422311</v>
      </c>
      <c r="M104" s="230">
        <f>NPV(DiscountRate,$C101:M101)+$B101</f>
        <v>398502.77912518382</v>
      </c>
      <c r="N104" s="230">
        <f>NPV(DiscountRate,$C101:N101)+$B101</f>
        <v>1787190.6748948917</v>
      </c>
      <c r="O104" s="230">
        <f>NPV(DiscountRate,$C101:O101)+$B101</f>
        <v>3102614.6489825696</v>
      </c>
      <c r="P104" s="230">
        <f>NPV(DiscountRate,$C101:P101)+$B101</f>
        <v>4279343.7627994642</v>
      </c>
      <c r="Q104" s="230">
        <f>NPV(DiscountRate,$C101:Q101)+$B101</f>
        <v>5349062.9340372607</v>
      </c>
      <c r="R104" s="230">
        <f>NPV(DiscountRate,$C101:R101)+$B101</f>
        <v>6341969.1582613587</v>
      </c>
      <c r="S104" s="230">
        <f>NPV(DiscountRate,$C101:S101)+$B101</f>
        <v>7245890.4827383533</v>
      </c>
      <c r="T104" s="230">
        <f>NPV(DiscountRate,$C101:T101)+$B101</f>
        <v>8072515.2295713127</v>
      </c>
      <c r="U104" s="230">
        <f>NPV(DiscountRate,$C101:U101)+$B101</f>
        <v>8843485.6848898083</v>
      </c>
      <c r="V104" s="230">
        <f>NPV(DiscountRate,$C101:V101)+$B101</f>
        <v>9562500.7214937806</v>
      </c>
      <c r="W104" s="230">
        <f>NPV(DiscountRate,$C101:W101)+$B101</f>
        <v>10229087.732703082</v>
      </c>
      <c r="X104" s="230">
        <f>NPV(DiscountRate,$C101:X101)+$B101</f>
        <v>10846771.646402061</v>
      </c>
      <c r="Y104" s="230">
        <f>NPV(DiscountRate,$C101:Y101)+$B101</f>
        <v>11421278.36759726</v>
      </c>
      <c r="Z104" s="230">
        <f>NPV(DiscountRate,$C101:Z101)+$B101</f>
        <v>11998443.477516957</v>
      </c>
      <c r="AA104" s="230">
        <f>NPV(DiscountRate,$C101:AA101)+$B101</f>
        <v>12544938.552588552</v>
      </c>
      <c r="AB104" s="230">
        <f>NPV(DiscountRate,$C101:AB101)+$B101</f>
        <v>13029551.643494755</v>
      </c>
      <c r="AC104" s="230">
        <f>NPV(DiscountRate,$C101:AC101)+$B101</f>
        <v>13467148.825895377</v>
      </c>
      <c r="AD104" s="230">
        <f>NPV(DiscountRate,$C101:AD101)+$B101</f>
        <v>13874119.095793858</v>
      </c>
      <c r="AE104" s="230">
        <f>NPV(DiscountRate,$C101:AE101)+$B101</f>
        <v>14244194.238983855</v>
      </c>
      <c r="AF104" s="230">
        <f>NPV(DiscountRate,$C101:AF101)+$B101</f>
        <v>14580599.497925192</v>
      </c>
      <c r="AG104" s="230">
        <f>NPV(DiscountRate,$C101:AG101)+$B101</f>
        <v>14893483.66743996</v>
      </c>
      <c r="AH104" s="230">
        <f>NPV(DiscountRate,$C101:AH101)+$B101</f>
        <v>15184478.383986868</v>
      </c>
      <c r="AI104" s="230">
        <f>NPV(DiscountRate,$C101:AI101)+$B101</f>
        <v>15455102.883933142</v>
      </c>
      <c r="AJ104" s="230">
        <f>NPV(DiscountRate,$C101:AJ101)+$B101</f>
        <v>15706771.69682423</v>
      </c>
      <c r="AK104" s="230">
        <f>NPV(DiscountRate,$C101:AK101)+$B101</f>
        <v>15940801.815372393</v>
      </c>
      <c r="AL104" s="230">
        <f>NPV(DiscountRate,$C101:AL101)+$B101</f>
        <v>16178758.500416443</v>
      </c>
      <c r="AM104" s="230">
        <f>NPV(DiscountRate,$C101:AM101)+$B101</f>
        <v>16428954.988651678</v>
      </c>
      <c r="AN104" s="230">
        <f>NPV(DiscountRate,$C101:AN101)+$B101</f>
        <v>16650036.19628156</v>
      </c>
      <c r="AO104" s="230">
        <f>NPV(DiscountRate,$C101:AO101)+$B101</f>
        <v>16849070.61134994</v>
      </c>
      <c r="AP104" s="230">
        <f>NPV(DiscountRate,$C101:AP101)+$B101</f>
        <v>17170819.185222216</v>
      </c>
    </row>
    <row r="105" spans="1:42" x14ac:dyDescent="0.2">
      <c r="A105" s="163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</row>
    <row r="106" spans="1:42" x14ac:dyDescent="0.2">
      <c r="A106" s="162" t="s">
        <v>435</v>
      </c>
      <c r="B106" s="135"/>
      <c r="C106" s="135"/>
      <c r="D106" s="135"/>
      <c r="E106" s="135"/>
      <c r="F106" s="135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</row>
    <row r="107" spans="1:42" x14ac:dyDescent="0.2">
      <c r="A107" s="163" t="s">
        <v>438</v>
      </c>
      <c r="B107" s="233">
        <f>SUM(C107:AP107)</f>
        <v>0</v>
      </c>
      <c r="C107" s="169">
        <f>IF(C101&lt;0,1,0)</f>
        <v>0</v>
      </c>
      <c r="D107" s="169">
        <f t="shared" ref="D107:AP107" si="68">IF(D101&lt;0,1,0)</f>
        <v>0</v>
      </c>
      <c r="E107" s="169">
        <f t="shared" si="68"/>
        <v>0</v>
      </c>
      <c r="F107" s="169">
        <f t="shared" si="68"/>
        <v>0</v>
      </c>
      <c r="G107" s="169">
        <f t="shared" si="68"/>
        <v>0</v>
      </c>
      <c r="H107" s="169">
        <f t="shared" si="68"/>
        <v>0</v>
      </c>
      <c r="I107" s="169">
        <f t="shared" si="68"/>
        <v>0</v>
      </c>
      <c r="J107" s="169">
        <f t="shared" si="68"/>
        <v>0</v>
      </c>
      <c r="K107" s="169">
        <f t="shared" si="68"/>
        <v>0</v>
      </c>
      <c r="L107" s="169">
        <f t="shared" si="68"/>
        <v>0</v>
      </c>
      <c r="M107" s="169">
        <f t="shared" si="68"/>
        <v>0</v>
      </c>
      <c r="N107" s="169">
        <f t="shared" si="68"/>
        <v>0</v>
      </c>
      <c r="O107" s="169">
        <f t="shared" si="68"/>
        <v>0</v>
      </c>
      <c r="P107" s="169">
        <f t="shared" si="68"/>
        <v>0</v>
      </c>
      <c r="Q107" s="169">
        <f t="shared" si="68"/>
        <v>0</v>
      </c>
      <c r="R107" s="169">
        <f t="shared" si="68"/>
        <v>0</v>
      </c>
      <c r="S107" s="169">
        <f t="shared" si="68"/>
        <v>0</v>
      </c>
      <c r="T107" s="169">
        <f t="shared" si="68"/>
        <v>0</v>
      </c>
      <c r="U107" s="169">
        <f t="shared" si="68"/>
        <v>0</v>
      </c>
      <c r="V107" s="169">
        <f t="shared" si="68"/>
        <v>0</v>
      </c>
      <c r="W107" s="169">
        <f t="shared" si="68"/>
        <v>0</v>
      </c>
      <c r="X107" s="169">
        <f t="shared" si="68"/>
        <v>0</v>
      </c>
      <c r="Y107" s="169">
        <f t="shared" si="68"/>
        <v>0</v>
      </c>
      <c r="Z107" s="169">
        <f t="shared" si="68"/>
        <v>0</v>
      </c>
      <c r="AA107" s="169">
        <f t="shared" si="68"/>
        <v>0</v>
      </c>
      <c r="AB107" s="169">
        <f t="shared" si="68"/>
        <v>0</v>
      </c>
      <c r="AC107" s="169">
        <f t="shared" si="68"/>
        <v>0</v>
      </c>
      <c r="AD107" s="169">
        <f t="shared" si="68"/>
        <v>0</v>
      </c>
      <c r="AE107" s="169">
        <f t="shared" si="68"/>
        <v>0</v>
      </c>
      <c r="AF107" s="169">
        <f t="shared" si="68"/>
        <v>0</v>
      </c>
      <c r="AG107" s="169">
        <f t="shared" si="68"/>
        <v>0</v>
      </c>
      <c r="AH107" s="169">
        <f t="shared" si="68"/>
        <v>0</v>
      </c>
      <c r="AI107" s="169">
        <f t="shared" si="68"/>
        <v>0</v>
      </c>
      <c r="AJ107" s="169">
        <f t="shared" si="68"/>
        <v>0</v>
      </c>
      <c r="AK107" s="169">
        <f t="shared" si="68"/>
        <v>0</v>
      </c>
      <c r="AL107" s="169">
        <f t="shared" si="68"/>
        <v>0</v>
      </c>
      <c r="AM107" s="169">
        <f t="shared" si="68"/>
        <v>0</v>
      </c>
      <c r="AN107" s="169">
        <f t="shared" si="68"/>
        <v>0</v>
      </c>
      <c r="AO107" s="169">
        <f t="shared" si="68"/>
        <v>0</v>
      </c>
      <c r="AP107" s="169">
        <f t="shared" si="68"/>
        <v>0</v>
      </c>
    </row>
    <row r="108" spans="1:42" x14ac:dyDescent="0.2">
      <c r="A108" s="163" t="s">
        <v>439</v>
      </c>
      <c r="B108" s="363" t="str">
        <f>IF(B107&gt;0,SUM(C108:AP108),"N/A")</f>
        <v>N/A</v>
      </c>
      <c r="C108" s="169">
        <f>IF(AND(B101&gt;=0,C101&lt;0),C$2,0)</f>
        <v>0</v>
      </c>
      <c r="D108" s="169">
        <f t="shared" ref="D108:AP108" si="69">IF(AND(C101&gt;=0,D101&lt;0),D$2,0)</f>
        <v>0</v>
      </c>
      <c r="E108" s="169">
        <f t="shared" si="69"/>
        <v>0</v>
      </c>
      <c r="F108" s="169">
        <f t="shared" si="69"/>
        <v>0</v>
      </c>
      <c r="G108" s="169">
        <f t="shared" si="69"/>
        <v>0</v>
      </c>
      <c r="H108" s="169">
        <f t="shared" si="69"/>
        <v>0</v>
      </c>
      <c r="I108" s="169">
        <f t="shared" si="69"/>
        <v>0</v>
      </c>
      <c r="J108" s="169">
        <f t="shared" si="69"/>
        <v>0</v>
      </c>
      <c r="K108" s="169">
        <f t="shared" si="69"/>
        <v>0</v>
      </c>
      <c r="L108" s="169">
        <f t="shared" si="69"/>
        <v>0</v>
      </c>
      <c r="M108" s="169">
        <f t="shared" si="69"/>
        <v>0</v>
      </c>
      <c r="N108" s="169">
        <f t="shared" si="69"/>
        <v>0</v>
      </c>
      <c r="O108" s="169">
        <f t="shared" si="69"/>
        <v>0</v>
      </c>
      <c r="P108" s="169">
        <f t="shared" si="69"/>
        <v>0</v>
      </c>
      <c r="Q108" s="169">
        <f t="shared" si="69"/>
        <v>0</v>
      </c>
      <c r="R108" s="169">
        <f t="shared" si="69"/>
        <v>0</v>
      </c>
      <c r="S108" s="169">
        <f t="shared" si="69"/>
        <v>0</v>
      </c>
      <c r="T108" s="169">
        <f t="shared" si="69"/>
        <v>0</v>
      </c>
      <c r="U108" s="169">
        <f t="shared" si="69"/>
        <v>0</v>
      </c>
      <c r="V108" s="169">
        <f t="shared" si="69"/>
        <v>0</v>
      </c>
      <c r="W108" s="169">
        <f t="shared" si="69"/>
        <v>0</v>
      </c>
      <c r="X108" s="169">
        <f t="shared" si="69"/>
        <v>0</v>
      </c>
      <c r="Y108" s="169">
        <f t="shared" si="69"/>
        <v>0</v>
      </c>
      <c r="Z108" s="169">
        <f t="shared" si="69"/>
        <v>0</v>
      </c>
      <c r="AA108" s="169">
        <f t="shared" si="69"/>
        <v>0</v>
      </c>
      <c r="AB108" s="169">
        <f t="shared" si="69"/>
        <v>0</v>
      </c>
      <c r="AC108" s="169">
        <f t="shared" si="69"/>
        <v>0</v>
      </c>
      <c r="AD108" s="169">
        <f t="shared" si="69"/>
        <v>0</v>
      </c>
      <c r="AE108" s="169">
        <f t="shared" si="69"/>
        <v>0</v>
      </c>
      <c r="AF108" s="169">
        <f t="shared" si="69"/>
        <v>0</v>
      </c>
      <c r="AG108" s="169">
        <f t="shared" si="69"/>
        <v>0</v>
      </c>
      <c r="AH108" s="169">
        <f t="shared" si="69"/>
        <v>0</v>
      </c>
      <c r="AI108" s="169">
        <f t="shared" si="69"/>
        <v>0</v>
      </c>
      <c r="AJ108" s="169">
        <f t="shared" si="69"/>
        <v>0</v>
      </c>
      <c r="AK108" s="169">
        <f t="shared" si="69"/>
        <v>0</v>
      </c>
      <c r="AL108" s="169">
        <f t="shared" si="69"/>
        <v>0</v>
      </c>
      <c r="AM108" s="169">
        <f t="shared" si="69"/>
        <v>0</v>
      </c>
      <c r="AN108" s="169">
        <f t="shared" si="69"/>
        <v>0</v>
      </c>
      <c r="AO108" s="169">
        <f t="shared" si="69"/>
        <v>0</v>
      </c>
      <c r="AP108" s="169">
        <f t="shared" si="69"/>
        <v>0</v>
      </c>
    </row>
    <row r="109" spans="1:42" x14ac:dyDescent="0.2">
      <c r="A109" s="163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</row>
    <row r="110" spans="1:42" x14ac:dyDescent="0.2">
      <c r="A110" s="162" t="s">
        <v>233</v>
      </c>
      <c r="B110" s="135"/>
      <c r="C110" s="135"/>
      <c r="D110" s="135"/>
      <c r="E110" s="135"/>
      <c r="F110" s="135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</row>
    <row r="111" spans="1:42" x14ac:dyDescent="0.2">
      <c r="A111" s="163" t="s">
        <v>356</v>
      </c>
      <c r="B111" s="179">
        <f>SUM(C111:AP111)</f>
        <v>262949308.42679879</v>
      </c>
      <c r="C111" s="135">
        <f t="shared" ref="C111:AP111" si="70">C12</f>
        <v>5960599.2604721235</v>
      </c>
      <c r="D111" s="135">
        <f t="shared" si="70"/>
        <v>5990104.2268114612</v>
      </c>
      <c r="E111" s="135">
        <f t="shared" si="70"/>
        <v>6019755.242734178</v>
      </c>
      <c r="F111" s="135">
        <f t="shared" si="70"/>
        <v>6049553.0311857117</v>
      </c>
      <c r="G111" s="135">
        <f t="shared" si="70"/>
        <v>6079498.3186900821</v>
      </c>
      <c r="H111" s="135">
        <f t="shared" si="70"/>
        <v>6109591.8353675976</v>
      </c>
      <c r="I111" s="135">
        <f t="shared" si="70"/>
        <v>6139834.3149526678</v>
      </c>
      <c r="J111" s="135">
        <f t="shared" si="70"/>
        <v>6170226.4948116811</v>
      </c>
      <c r="K111" s="135">
        <f t="shared" si="70"/>
        <v>6200769.1159610022</v>
      </c>
      <c r="L111" s="135">
        <f t="shared" si="70"/>
        <v>6231462.9230850087</v>
      </c>
      <c r="M111" s="135">
        <f t="shared" si="70"/>
        <v>6262308.6645542802</v>
      </c>
      <c r="N111" s="135">
        <f t="shared" si="70"/>
        <v>6293307.092443821</v>
      </c>
      <c r="O111" s="135">
        <f t="shared" si="70"/>
        <v>6324458.9625514196</v>
      </c>
      <c r="P111" s="135">
        <f t="shared" si="70"/>
        <v>6355765.0344160488</v>
      </c>
      <c r="Q111" s="135">
        <f t="shared" si="70"/>
        <v>6387226.07133641</v>
      </c>
      <c r="R111" s="135">
        <f t="shared" si="70"/>
        <v>6418842.8403895237</v>
      </c>
      <c r="S111" s="135">
        <f t="shared" si="70"/>
        <v>6450616.1124494541</v>
      </c>
      <c r="T111" s="135">
        <f t="shared" si="70"/>
        <v>6482546.6622060789</v>
      </c>
      <c r="U111" s="135">
        <f t="shared" si="70"/>
        <v>6514635.2681839988</v>
      </c>
      <c r="V111" s="135">
        <f t="shared" si="70"/>
        <v>6546882.7127615074</v>
      </c>
      <c r="W111" s="135">
        <f t="shared" si="70"/>
        <v>6579289.7821896784</v>
      </c>
      <c r="X111" s="135">
        <f t="shared" si="70"/>
        <v>6611857.2666115165</v>
      </c>
      <c r="Y111" s="135">
        <f t="shared" si="70"/>
        <v>6644585.9600812458</v>
      </c>
      <c r="Z111" s="135">
        <f t="shared" si="70"/>
        <v>6677476.660583646</v>
      </c>
      <c r="AA111" s="135">
        <f t="shared" si="70"/>
        <v>6710530.170053537</v>
      </c>
      <c r="AB111" s="135">
        <f t="shared" si="70"/>
        <v>6743747.2943953024</v>
      </c>
      <c r="AC111" s="135">
        <f t="shared" si="70"/>
        <v>6777128.8435025597</v>
      </c>
      <c r="AD111" s="135">
        <f t="shared" si="70"/>
        <v>6810675.6312778946</v>
      </c>
      <c r="AE111" s="135">
        <f t="shared" si="70"/>
        <v>6844388.4756527217</v>
      </c>
      <c r="AF111" s="135">
        <f t="shared" si="70"/>
        <v>6878268.1986072036</v>
      </c>
      <c r="AG111" s="135">
        <f t="shared" si="70"/>
        <v>6912315.6261903094</v>
      </c>
      <c r="AH111" s="135">
        <f t="shared" si="70"/>
        <v>6946531.5885399496</v>
      </c>
      <c r="AI111" s="135">
        <f t="shared" si="70"/>
        <v>6980916.9199032234</v>
      </c>
      <c r="AJ111" s="135">
        <f t="shared" si="70"/>
        <v>7015472.458656745</v>
      </c>
      <c r="AK111" s="135">
        <f t="shared" si="70"/>
        <v>7050199.0473270956</v>
      </c>
      <c r="AL111" s="135">
        <f t="shared" si="70"/>
        <v>7085097.5326113645</v>
      </c>
      <c r="AM111" s="135">
        <f t="shared" si="70"/>
        <v>7120168.7653977908</v>
      </c>
      <c r="AN111" s="135">
        <f t="shared" si="70"/>
        <v>7155413.6007865109</v>
      </c>
      <c r="AO111" s="135">
        <f t="shared" si="70"/>
        <v>7190832.8981104037</v>
      </c>
      <c r="AP111" s="135">
        <f t="shared" si="70"/>
        <v>7226427.5209560487</v>
      </c>
    </row>
    <row r="112" spans="1:42" x14ac:dyDescent="0.2">
      <c r="A112" s="163" t="s">
        <v>119</v>
      </c>
      <c r="B112" s="179">
        <f>SUM(C112:AP112)</f>
        <v>588224217.44537127</v>
      </c>
      <c r="C112" s="135">
        <f t="shared" ref="C112:AP112" si="71">C5</f>
        <v>16188480</v>
      </c>
      <c r="D112" s="135">
        <f t="shared" si="71"/>
        <v>16107537.6</v>
      </c>
      <c r="E112" s="135">
        <f t="shared" si="71"/>
        <v>16026999.912</v>
      </c>
      <c r="F112" s="135">
        <f t="shared" si="71"/>
        <v>15946864.91244</v>
      </c>
      <c r="G112" s="135">
        <f t="shared" si="71"/>
        <v>15867130.587877801</v>
      </c>
      <c r="H112" s="135">
        <f t="shared" si="71"/>
        <v>15787794.934938412</v>
      </c>
      <c r="I112" s="135">
        <f t="shared" si="71"/>
        <v>15708855.96026372</v>
      </c>
      <c r="J112" s="135">
        <f t="shared" si="71"/>
        <v>15630311.680462401</v>
      </c>
      <c r="K112" s="135">
        <f t="shared" si="71"/>
        <v>15552160.12206009</v>
      </c>
      <c r="L112" s="135">
        <f t="shared" si="71"/>
        <v>15474399.321449788</v>
      </c>
      <c r="M112" s="135">
        <f t="shared" si="71"/>
        <v>15397027.324842541</v>
      </c>
      <c r="N112" s="135">
        <f t="shared" si="71"/>
        <v>15320042.188218327</v>
      </c>
      <c r="O112" s="135">
        <f t="shared" si="71"/>
        <v>15243441.977277236</v>
      </c>
      <c r="P112" s="135">
        <f t="shared" si="71"/>
        <v>15167224.767390851</v>
      </c>
      <c r="Q112" s="135">
        <f t="shared" si="71"/>
        <v>15091388.643553898</v>
      </c>
      <c r="R112" s="135">
        <f t="shared" si="71"/>
        <v>15015931.700336127</v>
      </c>
      <c r="S112" s="135">
        <f t="shared" si="71"/>
        <v>14940852.041834446</v>
      </c>
      <c r="T112" s="135">
        <f t="shared" si="71"/>
        <v>14866147.781625275</v>
      </c>
      <c r="U112" s="135">
        <f t="shared" si="71"/>
        <v>14791817.042717148</v>
      </c>
      <c r="V112" s="135">
        <f t="shared" si="71"/>
        <v>14717857.957503561</v>
      </c>
      <c r="W112" s="135">
        <f t="shared" si="71"/>
        <v>14644268.667716045</v>
      </c>
      <c r="X112" s="135">
        <f t="shared" si="71"/>
        <v>14571047.324377464</v>
      </c>
      <c r="Y112" s="135">
        <f t="shared" si="71"/>
        <v>14498192.087755578</v>
      </c>
      <c r="Z112" s="135">
        <f t="shared" si="71"/>
        <v>14425701.127316799</v>
      </c>
      <c r="AA112" s="135">
        <f t="shared" si="71"/>
        <v>14353572.621680215</v>
      </c>
      <c r="AB112" s="135">
        <f t="shared" si="71"/>
        <v>14281804.758571815</v>
      </c>
      <c r="AC112" s="135">
        <f t="shared" si="71"/>
        <v>14210395.734778956</v>
      </c>
      <c r="AD112" s="135">
        <f t="shared" si="71"/>
        <v>14139343.75610506</v>
      </c>
      <c r="AE112" s="135">
        <f t="shared" si="71"/>
        <v>14068647.037324537</v>
      </c>
      <c r="AF112" s="135">
        <f t="shared" si="71"/>
        <v>13998303.802137915</v>
      </c>
      <c r="AG112" s="135">
        <f t="shared" si="71"/>
        <v>13928312.283127224</v>
      </c>
      <c r="AH112" s="135">
        <f t="shared" si="71"/>
        <v>13858670.721711587</v>
      </c>
      <c r="AI112" s="135">
        <f t="shared" si="71"/>
        <v>13789377.368103029</v>
      </c>
      <c r="AJ112" s="135">
        <f t="shared" si="71"/>
        <v>13720430.481262514</v>
      </c>
      <c r="AK112" s="135">
        <f t="shared" si="71"/>
        <v>13651828.328856202</v>
      </c>
      <c r="AL112" s="135">
        <f t="shared" si="71"/>
        <v>13583569.187211921</v>
      </c>
      <c r="AM112" s="135">
        <f t="shared" si="71"/>
        <v>13515651.341275861</v>
      </c>
      <c r="AN112" s="135">
        <f t="shared" si="71"/>
        <v>13448073.084569484</v>
      </c>
      <c r="AO112" s="135">
        <f t="shared" si="71"/>
        <v>13380832.719146635</v>
      </c>
      <c r="AP112" s="135">
        <f t="shared" si="71"/>
        <v>13313928.555550903</v>
      </c>
    </row>
    <row r="113" spans="1:42" x14ac:dyDescent="0.2">
      <c r="B113" s="135"/>
      <c r="C113" s="135"/>
      <c r="D113" s="135"/>
      <c r="E113" s="135"/>
      <c r="F113" s="135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</row>
    <row r="114" spans="1:42" x14ac:dyDescent="0.2">
      <c r="A114" s="20" t="s">
        <v>354</v>
      </c>
      <c r="B114" s="179">
        <f>NPV(DiscountRate,C111:AP111)</f>
        <v>74967534.886071458</v>
      </c>
      <c r="C114" s="135"/>
      <c r="D114" s="135"/>
      <c r="E114" s="135"/>
      <c r="F114" s="135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</row>
    <row r="115" spans="1:42" x14ac:dyDescent="0.2">
      <c r="A115" s="20" t="s">
        <v>355</v>
      </c>
      <c r="B115" s="179">
        <f>NPV(DiscountRate,C112:AP112)</f>
        <v>183278725.94683611</v>
      </c>
      <c r="C115" s="135"/>
      <c r="D115" s="135"/>
      <c r="E115" s="135"/>
      <c r="F115" s="135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</row>
    <row r="116" spans="1:42" x14ac:dyDescent="0.2">
      <c r="A116" s="20" t="s">
        <v>309</v>
      </c>
      <c r="B116" s="182">
        <f>B114/B115</f>
        <v>0.40903566138831293</v>
      </c>
      <c r="C116" s="135"/>
      <c r="D116" s="135"/>
      <c r="E116" s="135"/>
      <c r="F116" s="135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</row>
    <row r="117" spans="1:42" x14ac:dyDescent="0.2">
      <c r="B117" s="135"/>
      <c r="C117" s="135"/>
      <c r="D117" s="135"/>
      <c r="E117" s="135"/>
      <c r="F117" s="135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</row>
    <row r="118" spans="1:42" x14ac:dyDescent="0.2">
      <c r="A118" s="162" t="s">
        <v>230</v>
      </c>
      <c r="B118" s="135"/>
      <c r="C118" s="135"/>
      <c r="D118" s="135"/>
      <c r="E118" s="135"/>
      <c r="F118" s="135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</row>
    <row r="119" spans="1:42" s="101" customFormat="1" x14ac:dyDescent="0.2">
      <c r="A119" s="178" t="s">
        <v>226</v>
      </c>
      <c r="B119" s="181"/>
      <c r="C119" s="181"/>
      <c r="D119" s="181"/>
      <c r="E119" s="181"/>
      <c r="F119" s="181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</row>
    <row r="120" spans="1:42" x14ac:dyDescent="0.2">
      <c r="A120" s="163" t="s">
        <v>199</v>
      </c>
      <c r="B120" s="169">
        <f>B129</f>
        <v>-26158381.612124998</v>
      </c>
      <c r="C120" s="169">
        <f t="shared" ref="C120:AP121" si="72">C129</f>
        <v>0</v>
      </c>
      <c r="D120" s="169">
        <f t="shared" si="72"/>
        <v>0</v>
      </c>
      <c r="E120" s="169">
        <f t="shared" si="72"/>
        <v>0</v>
      </c>
      <c r="F120" s="169">
        <f t="shared" si="72"/>
        <v>0</v>
      </c>
      <c r="G120" s="169">
        <f t="shared" si="72"/>
        <v>0</v>
      </c>
      <c r="H120" s="169">
        <f t="shared" si="72"/>
        <v>0</v>
      </c>
      <c r="I120" s="169">
        <f t="shared" si="72"/>
        <v>0</v>
      </c>
      <c r="J120" s="169">
        <f t="shared" si="72"/>
        <v>0</v>
      </c>
      <c r="K120" s="169">
        <f t="shared" si="72"/>
        <v>0</v>
      </c>
      <c r="L120" s="169">
        <f t="shared" si="72"/>
        <v>0</v>
      </c>
      <c r="M120" s="169">
        <f t="shared" si="72"/>
        <v>0</v>
      </c>
      <c r="N120" s="169">
        <f t="shared" si="72"/>
        <v>0</v>
      </c>
      <c r="O120" s="169">
        <f t="shared" si="72"/>
        <v>0</v>
      </c>
      <c r="P120" s="169">
        <f t="shared" si="72"/>
        <v>0</v>
      </c>
      <c r="Q120" s="169">
        <f t="shared" si="72"/>
        <v>0</v>
      </c>
      <c r="R120" s="169">
        <f t="shared" si="72"/>
        <v>0</v>
      </c>
      <c r="S120" s="169">
        <f t="shared" si="72"/>
        <v>0</v>
      </c>
      <c r="T120" s="169">
        <f t="shared" si="72"/>
        <v>0</v>
      </c>
      <c r="U120" s="169">
        <f t="shared" si="72"/>
        <v>0</v>
      </c>
      <c r="V120" s="169">
        <f t="shared" si="72"/>
        <v>0</v>
      </c>
      <c r="W120" s="169">
        <f t="shared" si="72"/>
        <v>0</v>
      </c>
      <c r="X120" s="169">
        <f t="shared" si="72"/>
        <v>0</v>
      </c>
      <c r="Y120" s="169">
        <f t="shared" si="72"/>
        <v>0</v>
      </c>
      <c r="Z120" s="169">
        <f t="shared" si="72"/>
        <v>0</v>
      </c>
      <c r="AA120" s="169">
        <f t="shared" si="72"/>
        <v>0</v>
      </c>
      <c r="AB120" s="169">
        <f t="shared" si="72"/>
        <v>0</v>
      </c>
      <c r="AC120" s="169">
        <f t="shared" si="72"/>
        <v>0</v>
      </c>
      <c r="AD120" s="169">
        <f t="shared" si="72"/>
        <v>0</v>
      </c>
      <c r="AE120" s="169">
        <f t="shared" si="72"/>
        <v>0</v>
      </c>
      <c r="AF120" s="169">
        <f t="shared" si="72"/>
        <v>0</v>
      </c>
      <c r="AG120" s="169">
        <f t="shared" si="72"/>
        <v>0</v>
      </c>
      <c r="AH120" s="169">
        <f t="shared" si="72"/>
        <v>0</v>
      </c>
      <c r="AI120" s="169">
        <f t="shared" si="72"/>
        <v>0</v>
      </c>
      <c r="AJ120" s="169">
        <f t="shared" si="72"/>
        <v>0</v>
      </c>
      <c r="AK120" s="169">
        <f t="shared" si="72"/>
        <v>0</v>
      </c>
      <c r="AL120" s="169">
        <f t="shared" si="72"/>
        <v>0</v>
      </c>
      <c r="AM120" s="169">
        <f t="shared" si="72"/>
        <v>0</v>
      </c>
      <c r="AN120" s="169">
        <f t="shared" si="72"/>
        <v>0</v>
      </c>
      <c r="AO120" s="169">
        <f t="shared" si="72"/>
        <v>0</v>
      </c>
      <c r="AP120" s="169">
        <f t="shared" si="72"/>
        <v>0</v>
      </c>
    </row>
    <row r="121" spans="1:42" x14ac:dyDescent="0.2">
      <c r="A121" s="163" t="s">
        <v>200</v>
      </c>
      <c r="B121" s="170">
        <f>B130</f>
        <v>0</v>
      </c>
      <c r="C121" s="170">
        <f t="shared" si="72"/>
        <v>0</v>
      </c>
      <c r="D121" s="170">
        <f t="shared" si="72"/>
        <v>0</v>
      </c>
      <c r="E121" s="170">
        <f t="shared" si="72"/>
        <v>0</v>
      </c>
      <c r="F121" s="170">
        <f t="shared" si="72"/>
        <v>5067915.5709764594</v>
      </c>
      <c r="G121" s="170">
        <f t="shared" si="72"/>
        <v>5107057.8599045668</v>
      </c>
      <c r="H121" s="170">
        <f t="shared" si="72"/>
        <v>5146169.2703594882</v>
      </c>
      <c r="I121" s="170">
        <f t="shared" si="72"/>
        <v>5185246.9157625586</v>
      </c>
      <c r="J121" s="170">
        <f t="shared" si="72"/>
        <v>5224287.8373197708</v>
      </c>
      <c r="K121" s="170">
        <f t="shared" si="72"/>
        <v>526328.90024095215</v>
      </c>
      <c r="L121" s="170">
        <f t="shared" si="72"/>
        <v>530224.73029346811</v>
      </c>
      <c r="M121" s="170">
        <f t="shared" si="72"/>
        <v>534115.95536383789</v>
      </c>
      <c r="N121" s="170">
        <f t="shared" si="72"/>
        <v>538002.24903825333</v>
      </c>
      <c r="O121" s="170">
        <f t="shared" si="72"/>
        <v>531929.16237918555</v>
      </c>
      <c r="P121" s="170">
        <f t="shared" si="72"/>
        <v>535888.59187169641</v>
      </c>
      <c r="Q121" s="170">
        <f t="shared" si="72"/>
        <v>539842.06161913218</v>
      </c>
      <c r="R121" s="170">
        <f t="shared" si="72"/>
        <v>543789.21185645112</v>
      </c>
      <c r="S121" s="170">
        <f t="shared" si="72"/>
        <v>547729.6740110321</v>
      </c>
      <c r="T121" s="170">
        <f t="shared" si="72"/>
        <v>551663.07050641242</v>
      </c>
      <c r="U121" s="170">
        <f t="shared" si="72"/>
        <v>555589.01456169644</v>
      </c>
      <c r="V121" s="170">
        <f t="shared" si="72"/>
        <v>559507.10998652503</v>
      </c>
      <c r="W121" s="170">
        <f t="shared" si="72"/>
        <v>562700.40486213972</v>
      </c>
      <c r="X121" s="170">
        <f t="shared" si="72"/>
        <v>565181.02310285193</v>
      </c>
      <c r="Y121" s="170">
        <f t="shared" si="72"/>
        <v>567652.54556637071</v>
      </c>
      <c r="Z121" s="170">
        <f t="shared" si="72"/>
        <v>570114.53628202283</v>
      </c>
      <c r="AA121" s="170">
        <f t="shared" si="72"/>
        <v>560665.22864572133</v>
      </c>
      <c r="AB121" s="170">
        <f t="shared" si="72"/>
        <v>563207.24992762355</v>
      </c>
      <c r="AC121" s="170">
        <f t="shared" si="72"/>
        <v>565738.36758148763</v>
      </c>
      <c r="AD121" s="170">
        <f t="shared" si="72"/>
        <v>568258.10219458013</v>
      </c>
      <c r="AE121" s="170">
        <f t="shared" si="72"/>
        <v>570765.9628829062</v>
      </c>
      <c r="AF121" s="170">
        <f t="shared" si="72"/>
        <v>573261.44703603664</v>
      </c>
      <c r="AG121" s="170">
        <f t="shared" si="72"/>
        <v>575744.0400562908</v>
      </c>
      <c r="AH121" s="170">
        <f t="shared" si="72"/>
        <v>578213.21509214176</v>
      </c>
      <c r="AI121" s="170">
        <f t="shared" si="72"/>
        <v>580668.43276572204</v>
      </c>
      <c r="AJ121" s="170">
        <f t="shared" si="72"/>
        <v>583109.14089428983</v>
      </c>
      <c r="AK121" s="170">
        <f t="shared" si="72"/>
        <v>585534.77420553134</v>
      </c>
      <c r="AL121" s="170">
        <f t="shared" si="72"/>
        <v>587944.75404655433</v>
      </c>
      <c r="AM121" s="170">
        <f t="shared" si="72"/>
        <v>618052.36811716412</v>
      </c>
      <c r="AN121" s="170">
        <f t="shared" si="72"/>
        <v>619815.33497892693</v>
      </c>
      <c r="AO121" s="170">
        <f t="shared" si="72"/>
        <v>621560.82912068535</v>
      </c>
      <c r="AP121" s="170">
        <f t="shared" si="72"/>
        <v>1076137.9402854086</v>
      </c>
    </row>
    <row r="122" spans="1:42" x14ac:dyDescent="0.2">
      <c r="A122" s="163" t="s">
        <v>53</v>
      </c>
      <c r="B122" s="135">
        <f>SUM(B120:B121)</f>
        <v>-26158381.612124998</v>
      </c>
      <c r="C122" s="135">
        <f t="shared" ref="C122:AP122" si="73">SUM(C120:C121)</f>
        <v>0</v>
      </c>
      <c r="D122" s="135">
        <f t="shared" si="73"/>
        <v>0</v>
      </c>
      <c r="E122" s="135">
        <f t="shared" si="73"/>
        <v>0</v>
      </c>
      <c r="F122" s="135">
        <f t="shared" si="73"/>
        <v>5067915.5709764594</v>
      </c>
      <c r="G122" s="135">
        <f t="shared" si="73"/>
        <v>5107057.8599045668</v>
      </c>
      <c r="H122" s="135">
        <f t="shared" si="73"/>
        <v>5146169.2703594882</v>
      </c>
      <c r="I122" s="135">
        <f t="shared" si="73"/>
        <v>5185246.9157625586</v>
      </c>
      <c r="J122" s="135">
        <f t="shared" si="73"/>
        <v>5224287.8373197708</v>
      </c>
      <c r="K122" s="135">
        <f t="shared" si="73"/>
        <v>526328.90024095215</v>
      </c>
      <c r="L122" s="135">
        <f t="shared" si="73"/>
        <v>530224.73029346811</v>
      </c>
      <c r="M122" s="135">
        <f t="shared" si="73"/>
        <v>534115.95536383789</v>
      </c>
      <c r="N122" s="135">
        <f t="shared" si="73"/>
        <v>538002.24903825333</v>
      </c>
      <c r="O122" s="135">
        <f t="shared" si="73"/>
        <v>531929.16237918555</v>
      </c>
      <c r="P122" s="135">
        <f t="shared" si="73"/>
        <v>535888.59187169641</v>
      </c>
      <c r="Q122" s="135">
        <f t="shared" si="73"/>
        <v>539842.06161913218</v>
      </c>
      <c r="R122" s="135">
        <f t="shared" si="73"/>
        <v>543789.21185645112</v>
      </c>
      <c r="S122" s="135">
        <f t="shared" si="73"/>
        <v>547729.6740110321</v>
      </c>
      <c r="T122" s="135">
        <f t="shared" si="73"/>
        <v>551663.07050641242</v>
      </c>
      <c r="U122" s="135">
        <f t="shared" si="73"/>
        <v>555589.01456169644</v>
      </c>
      <c r="V122" s="135">
        <f t="shared" si="73"/>
        <v>559507.10998652503</v>
      </c>
      <c r="W122" s="135">
        <f t="shared" si="73"/>
        <v>562700.40486213972</v>
      </c>
      <c r="X122" s="135">
        <f t="shared" si="73"/>
        <v>565181.02310285193</v>
      </c>
      <c r="Y122" s="135">
        <f t="shared" si="73"/>
        <v>567652.54556637071</v>
      </c>
      <c r="Z122" s="135">
        <f t="shared" si="73"/>
        <v>570114.53628202283</v>
      </c>
      <c r="AA122" s="135">
        <f t="shared" si="73"/>
        <v>560665.22864572133</v>
      </c>
      <c r="AB122" s="135">
        <f t="shared" si="73"/>
        <v>563207.24992762355</v>
      </c>
      <c r="AC122" s="135">
        <f t="shared" si="73"/>
        <v>565738.36758148763</v>
      </c>
      <c r="AD122" s="135">
        <f t="shared" si="73"/>
        <v>568258.10219458013</v>
      </c>
      <c r="AE122" s="135">
        <f t="shared" si="73"/>
        <v>570765.9628829062</v>
      </c>
      <c r="AF122" s="135">
        <f t="shared" si="73"/>
        <v>573261.44703603664</v>
      </c>
      <c r="AG122" s="135">
        <f t="shared" si="73"/>
        <v>575744.0400562908</v>
      </c>
      <c r="AH122" s="135">
        <f t="shared" si="73"/>
        <v>578213.21509214176</v>
      </c>
      <c r="AI122" s="135">
        <f t="shared" si="73"/>
        <v>580668.43276572204</v>
      </c>
      <c r="AJ122" s="135">
        <f t="shared" si="73"/>
        <v>583109.14089428983</v>
      </c>
      <c r="AK122" s="135">
        <f t="shared" si="73"/>
        <v>585534.77420553134</v>
      </c>
      <c r="AL122" s="135">
        <f t="shared" si="73"/>
        <v>587944.75404655433</v>
      </c>
      <c r="AM122" s="135">
        <f t="shared" si="73"/>
        <v>618052.36811716412</v>
      </c>
      <c r="AN122" s="135">
        <f t="shared" si="73"/>
        <v>619815.33497892693</v>
      </c>
      <c r="AO122" s="135">
        <f t="shared" si="73"/>
        <v>621560.82912068535</v>
      </c>
      <c r="AP122" s="135">
        <f t="shared" si="73"/>
        <v>1076137.9402854086</v>
      </c>
    </row>
    <row r="123" spans="1:42" x14ac:dyDescent="0.2">
      <c r="A123" s="163"/>
      <c r="B123" s="135"/>
      <c r="C123" s="135"/>
      <c r="D123" s="135"/>
      <c r="E123" s="135"/>
      <c r="F123" s="135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</row>
    <row r="124" spans="1:42" x14ac:dyDescent="0.2">
      <c r="A124" s="163" t="s">
        <v>323</v>
      </c>
      <c r="B124" s="184">
        <f>ROUND(IF(ISERROR(IRR($B122:B122)),0,IRR($B122:B122)),4)</f>
        <v>0</v>
      </c>
      <c r="C124" s="184">
        <f>ROUND(IF(ISERROR(IRR($B122:C122)),0,IRR($B122:C122)),4)</f>
        <v>0</v>
      </c>
      <c r="D124" s="184">
        <f>ROUND(IF(ISERROR(IRR($B122:D122)),0,IRR($B122:D122)),4)</f>
        <v>0</v>
      </c>
      <c r="E124" s="184">
        <f>ROUND(IF(ISERROR(IRR($B122:E122)),0,IRR($B122:E122)),4)</f>
        <v>0</v>
      </c>
      <c r="F124" s="184">
        <f>ROUND(IF(ISERROR(IRR($B122:F122)),0,IRR($B122:F122)),4)</f>
        <v>-0.33660000000000001</v>
      </c>
      <c r="G124" s="184">
        <f>ROUND(IF(ISERROR(IRR($B122:G122)),0,IRR($B122:G122)),4)</f>
        <v>-0.18820000000000001</v>
      </c>
      <c r="H124" s="184">
        <f>ROUND(IF(ISERROR(IRR($B122:H122)),0,IRR($B122:H122)),4)</f>
        <v>-0.1007</v>
      </c>
      <c r="I124" s="184">
        <f>ROUND(IF(ISERROR(IRR($B122:I122)),0,IRR($B122:I122)),4)</f>
        <v>-4.2999999999999997E-2</v>
      </c>
      <c r="J124" s="184">
        <f>ROUND(IF(ISERROR(IRR($B122:J122)),0,IRR($B122:J122)),4)</f>
        <v>-2.7000000000000001E-3</v>
      </c>
      <c r="K124" s="184">
        <f>ROUND(IF(ISERROR(IRR($B122:K122)),0,IRR($B122:K122)),4)</f>
        <v>5.9999999999999995E-4</v>
      </c>
      <c r="L124" s="184">
        <f>ROUND(IF(ISERROR(IRR($B122:L122)),0,IRR($B122:L122)),4)</f>
        <v>3.8999999999999998E-3</v>
      </c>
      <c r="M124" s="184">
        <f>ROUND(IF(ISERROR(IRR($B122:M122)),0,IRR($B122:M122)),4)</f>
        <v>7.0000000000000001E-3</v>
      </c>
      <c r="N124" s="184">
        <f>ROUND(IF(ISERROR(IRR($B122:N122)),0,IRR($B122:N122)),4)</f>
        <v>0.01</v>
      </c>
      <c r="O124" s="184">
        <f>ROUND(IF(ISERROR(IRR($B122:O122)),0,IRR($B122:O122)),4)</f>
        <v>1.2800000000000001E-2</v>
      </c>
      <c r="P124" s="184">
        <f>ROUND(IF(ISERROR(IRR($B122:P122)),0,IRR($B122:P122)),4)</f>
        <v>1.54E-2</v>
      </c>
      <c r="Q124" s="184">
        <f>ROUND(IF(ISERROR(IRR($B122:Q122)),0,IRR($B122:Q122)),4)</f>
        <v>1.7899999999999999E-2</v>
      </c>
      <c r="R124" s="184">
        <f>ROUND(IF(ISERROR(IRR($B122:R122)),0,IRR($B122:R122)),4)</f>
        <v>2.0199999999999999E-2</v>
      </c>
      <c r="S124" s="184">
        <f>ROUND(IF(ISERROR(IRR($B122:S122)),0,IRR($B122:S122)),4)</f>
        <v>2.24E-2</v>
      </c>
      <c r="T124" s="184">
        <f>ROUND(IF(ISERROR(IRR($B122:T122)),0,IRR($B122:T122)),4)</f>
        <v>2.4400000000000002E-2</v>
      </c>
      <c r="U124" s="184">
        <f>ROUND(IF(ISERROR(IRR($B122:U122)),0,IRR($B122:U122)),4)</f>
        <v>2.63E-2</v>
      </c>
      <c r="V124" s="184">
        <f>ROUND(IF(ISERROR(IRR($B122:V122)),0,IRR($B122:V122)),4)</f>
        <v>2.81E-2</v>
      </c>
      <c r="W124" s="184">
        <f>ROUND(IF(ISERROR(IRR($B122:W122)),0,IRR($B122:W122)),4)</f>
        <v>2.9700000000000001E-2</v>
      </c>
      <c r="X124" s="184">
        <f>ROUND(IF(ISERROR(IRR($B122:X122)),0,IRR($B122:X122)),4)</f>
        <v>3.1199999999999999E-2</v>
      </c>
      <c r="Y124" s="184">
        <f>ROUND(IF(ISERROR(IRR($B122:Y122)),0,IRR($B122:Y122)),4)</f>
        <v>3.27E-2</v>
      </c>
      <c r="Z124" s="184">
        <f>ROUND(IF(ISERROR(IRR($B122:Z122)),0,IRR($B122:Z122)),4)</f>
        <v>3.4000000000000002E-2</v>
      </c>
      <c r="AA124" s="184">
        <f>ROUND(IF(ISERROR(IRR($B122:AA122)),0,IRR($B122:AA122)),4)</f>
        <v>3.5200000000000002E-2</v>
      </c>
      <c r="AB124" s="184">
        <f>ROUND(IF(ISERROR(IRR($B122:AB122)),0,IRR($B122:AB122)),4)</f>
        <v>3.6299999999999999E-2</v>
      </c>
      <c r="AC124" s="184">
        <f>ROUND(IF(ISERROR(IRR($B122:AC122)),0,IRR($B122:AC122)),4)</f>
        <v>3.73E-2</v>
      </c>
      <c r="AD124" s="184">
        <f>ROUND(IF(ISERROR(IRR($B122:AD122)),0,IRR($B122:AD122)),4)</f>
        <v>3.8300000000000001E-2</v>
      </c>
      <c r="AE124" s="184">
        <f>ROUND(IF(ISERROR(IRR($B122:AE122)),0,IRR($B122:AE122)),4)</f>
        <v>3.9199999999999999E-2</v>
      </c>
      <c r="AF124" s="184">
        <f>ROUND(IF(ISERROR(IRR($B122:AF122)),0,IRR($B122:AF122)),4)</f>
        <v>0.04</v>
      </c>
      <c r="AG124" s="184">
        <f>ROUND(IF(ISERROR(IRR($B122:AG122)),0,IRR($B122:AG122)),4)</f>
        <v>4.0800000000000003E-2</v>
      </c>
      <c r="AH124" s="184">
        <f>ROUND(IF(ISERROR(IRR($B122:AH122)),0,IRR($B122:AH122)),4)</f>
        <v>4.1500000000000002E-2</v>
      </c>
      <c r="AI124" s="184">
        <f>ROUND(IF(ISERROR(IRR($B122:AI122)),0,IRR($B122:AI122)),4)</f>
        <v>4.2099999999999999E-2</v>
      </c>
      <c r="AJ124" s="184">
        <f>ROUND(IF(ISERROR(IRR($B122:AJ122)),0,IRR($B122:AJ122)),4)</f>
        <v>4.2799999999999998E-2</v>
      </c>
      <c r="AK124" s="184">
        <f>ROUND(IF(ISERROR(IRR($B122:AK122)),0,IRR($B122:AK122)),4)</f>
        <v>4.3400000000000001E-2</v>
      </c>
      <c r="AL124" s="184">
        <f>ROUND(IF(ISERROR(IRR($B122:AL122)),0,IRR($B122:AL122)),4)</f>
        <v>4.3900000000000002E-2</v>
      </c>
      <c r="AM124" s="184">
        <f>ROUND(IF(ISERROR(IRR($B122:AM122)),0,IRR($B122:AM122)),4)</f>
        <v>4.4400000000000002E-2</v>
      </c>
      <c r="AN124" s="184">
        <f>ROUND(IF(ISERROR(IRR($B122:AN122)),0,IRR($B122:AN122)),4)</f>
        <v>4.4900000000000002E-2</v>
      </c>
      <c r="AO124" s="184">
        <f>ROUND(IF(ISERROR(IRR($B122:AO122)),0,IRR($B122:AO122)),4)</f>
        <v>4.5400000000000003E-2</v>
      </c>
      <c r="AP124" s="184">
        <f>ROUND(IF(ISERROR(IRR($B122:AP122)),0,IRR($B122:AP122)),4)</f>
        <v>4.6100000000000002E-2</v>
      </c>
    </row>
    <row r="125" spans="1:42" x14ac:dyDescent="0.2">
      <c r="A125" s="163" t="s">
        <v>324</v>
      </c>
      <c r="B125" s="230">
        <f>B122</f>
        <v>-26158381.612124998</v>
      </c>
      <c r="C125" s="230">
        <f>NPV(DiscountRate,$C122:C122)+$B$122</f>
        <v>-26158381.612124998</v>
      </c>
      <c r="D125" s="230">
        <f>NPV(DiscountRate,$C122:D122)+$B$122</f>
        <v>-26158381.612124998</v>
      </c>
      <c r="E125" s="230">
        <f>NPV(DiscountRate,$C122:E122)+$B$122</f>
        <v>-26158381.612124998</v>
      </c>
      <c r="F125" s="230">
        <f>NPV(DiscountRate,$C122:F122)+$B$122</f>
        <v>-22433312.376005318</v>
      </c>
      <c r="G125" s="230">
        <f>NPV(DiscountRate,$C122:G122)+$B$122</f>
        <v>-18957534.610275112</v>
      </c>
      <c r="H125" s="230">
        <f>NPV(DiscountRate,$C122:H122)+$B$122</f>
        <v>-15714575.041295374</v>
      </c>
      <c r="I125" s="230">
        <f>NPV(DiscountRate,$C122:I122)+$B$122</f>
        <v>-12689033.268885318</v>
      </c>
      <c r="J125" s="230">
        <f>NPV(DiscountRate,$C122:J122)+$B$122</f>
        <v>-9866513.1066993233</v>
      </c>
      <c r="K125" s="230">
        <f>NPV(DiscountRate,$C122:K122)+$B$122</f>
        <v>-9603217.6179823522</v>
      </c>
      <c r="L125" s="230">
        <f>NPV(DiscountRate,$C122:L122)+$B$122</f>
        <v>-9357620.9756889604</v>
      </c>
      <c r="M125" s="230">
        <f>NPV(DiscountRate,$C122:M122)+$B$122</f>
        <v>-9128547.7975346483</v>
      </c>
      <c r="N125" s="230">
        <f>NPV(DiscountRate,$C122:N122)+$B$122</f>
        <v>-8914899.7022590674</v>
      </c>
      <c r="O125" s="230">
        <f>NPV(DiscountRate,$C122:O122)+$B$122</f>
        <v>-8719310.4531796128</v>
      </c>
      <c r="P125" s="230">
        <f>NPV(DiscountRate,$C122:P122)+$B$122</f>
        <v>-8536861.265136335</v>
      </c>
      <c r="Q125" s="230">
        <f>NPV(DiscountRate,$C122:Q122)+$B$122</f>
        <v>-8366680.5332192183</v>
      </c>
      <c r="R125" s="230">
        <f>NPV(DiscountRate,$C122:R122)+$B$122</f>
        <v>-8207953.6459158063</v>
      </c>
      <c r="S125" s="230">
        <f>NPV(DiscountRate,$C122:S122)+$B$122</f>
        <v>-8059919.3212453276</v>
      </c>
      <c r="T125" s="230">
        <f>NPV(DiscountRate,$C122:T122)+$B$122</f>
        <v>-7921866.1734518968</v>
      </c>
      <c r="U125" s="230">
        <f>NPV(DiscountRate,$C122:U122)+$B$122</f>
        <v>-7793129.4961540923</v>
      </c>
      <c r="V125" s="230">
        <f>NPV(DiscountRate,$C122:V122)+$B$122</f>
        <v>-7673088.2486766577</v>
      </c>
      <c r="W125" s="230">
        <f>NPV(DiscountRate,$C122:W122)+$B$122</f>
        <v>-7561304.5790759996</v>
      </c>
      <c r="X125" s="230">
        <f>NPV(DiscountRate,$C122:X122)+$B$122</f>
        <v>-7457344.8951206617</v>
      </c>
      <c r="Y125" s="230">
        <f>NPV(DiscountRate,$C122:Y122)+$B$122</f>
        <v>-7360664.9904443398</v>
      </c>
      <c r="Z125" s="230">
        <f>NPV(DiscountRate,$C122:Z122)+$B$122</f>
        <v>-7270758.3058841787</v>
      </c>
      <c r="AA125" s="230">
        <f>NPV(DiscountRate,$C122:AA122)+$B$122</f>
        <v>-7188891.14383981</v>
      </c>
      <c r="AB125" s="230">
        <f>NPV(DiscountRate,$C122:AB122)+$B$122</f>
        <v>-7112744.5302600041</v>
      </c>
      <c r="AC125" s="230">
        <f>NPV(DiscountRate,$C122:AC122)+$B$122</f>
        <v>-7041921.5440090597</v>
      </c>
      <c r="AD125" s="230">
        <f>NPV(DiscountRate,$C122:AD122)+$B$122</f>
        <v>-6976052.6330736689</v>
      </c>
      <c r="AE125" s="230">
        <f>NPV(DiscountRate,$C122:AE122)+$B$122</f>
        <v>-6914793.738260027</v>
      </c>
      <c r="AF125" s="230">
        <f>NPV(DiscountRate,$C122:AF122)+$B$122</f>
        <v>-6857824.5447999425</v>
      </c>
      <c r="AG125" s="230">
        <f>NPV(DiscountRate,$C122:AG122)+$B$122</f>
        <v>-6804846.8531960174</v>
      </c>
      <c r="AH125" s="230">
        <f>NPV(DiscountRate,$C122:AH122)+$B$122</f>
        <v>-6755583.0612199381</v>
      </c>
      <c r="AI125" s="230">
        <f>NPV(DiscountRate,$C122:AI122)+$B$122</f>
        <v>-6709774.7495231889</v>
      </c>
      <c r="AJ125" s="230">
        <f>NPV(DiscountRate,$C122:AJ122)+$B$122</f>
        <v>-6667181.3638278842</v>
      </c>
      <c r="AK125" s="230">
        <f>NPV(DiscountRate,$C122:AK122)+$B$122</f>
        <v>-6627578.9871398807</v>
      </c>
      <c r="AL125" s="230">
        <f>NPV(DiscountRate,$C122:AL122)+$B$122</f>
        <v>-6590759.195869077</v>
      </c>
      <c r="AM125" s="230">
        <f>NPV(DiscountRate,$C122:AM122)+$B$122</f>
        <v>-6554920.9848935083</v>
      </c>
      <c r="AN125" s="230">
        <f>NPV(DiscountRate,$C122:AN122)+$B$122</f>
        <v>-6521642.8016743325</v>
      </c>
      <c r="AO125" s="230">
        <f>NPV(DiscountRate,$C122:AO122)+$B$122</f>
        <v>-6490742.894601617</v>
      </c>
      <c r="AP125" s="230">
        <f>NPV(DiscountRate,$C122:AP122)+$B$122</f>
        <v>-6441207.2608504221</v>
      </c>
    </row>
    <row r="126" spans="1:42" x14ac:dyDescent="0.2">
      <c r="A126" s="163"/>
      <c r="B126" s="135"/>
      <c r="C126" s="135"/>
      <c r="D126" s="135"/>
      <c r="E126" s="135"/>
      <c r="F126" s="135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</row>
    <row r="127" spans="1:42" x14ac:dyDescent="0.2">
      <c r="A127" s="165" t="s">
        <v>225</v>
      </c>
      <c r="B127" s="135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</row>
    <row r="128" spans="1:42" s="101" customFormat="1" x14ac:dyDescent="0.2">
      <c r="A128" s="180" t="s">
        <v>204</v>
      </c>
      <c r="B128" s="181"/>
      <c r="C128" s="181"/>
      <c r="D128" s="181"/>
      <c r="E128" s="181"/>
      <c r="F128" s="181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</row>
    <row r="129" spans="1:42" x14ac:dyDescent="0.2">
      <c r="A129" s="167" t="s">
        <v>199</v>
      </c>
      <c r="B129" s="124">
        <f>-'Inputs &amp; Results'!$B$210</f>
        <v>-26158381.612124998</v>
      </c>
      <c r="C129" s="169">
        <v>0</v>
      </c>
      <c r="D129" s="169">
        <v>0</v>
      </c>
      <c r="E129" s="169">
        <v>0</v>
      </c>
      <c r="F129" s="169">
        <v>0</v>
      </c>
      <c r="G129" s="169">
        <v>0</v>
      </c>
      <c r="H129" s="169">
        <v>0</v>
      </c>
      <c r="I129" s="169">
        <v>0</v>
      </c>
      <c r="J129" s="169">
        <v>0</v>
      </c>
      <c r="K129" s="169">
        <v>0</v>
      </c>
      <c r="L129" s="169">
        <v>0</v>
      </c>
      <c r="M129" s="169">
        <v>0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169">
        <v>0</v>
      </c>
      <c r="V129" s="169">
        <v>0</v>
      </c>
      <c r="W129" s="169">
        <v>0</v>
      </c>
      <c r="X129" s="169">
        <v>0</v>
      </c>
      <c r="Y129" s="169">
        <v>0</v>
      </c>
      <c r="Z129" s="169">
        <v>0</v>
      </c>
      <c r="AA129" s="169">
        <v>0</v>
      </c>
      <c r="AB129" s="169">
        <v>0</v>
      </c>
      <c r="AC129" s="169">
        <v>0</v>
      </c>
      <c r="AD129" s="169">
        <v>0</v>
      </c>
      <c r="AE129" s="169">
        <v>0</v>
      </c>
      <c r="AF129" s="169">
        <v>0</v>
      </c>
      <c r="AG129" s="169">
        <v>0</v>
      </c>
      <c r="AH129" s="169">
        <v>0</v>
      </c>
      <c r="AI129" s="169">
        <v>0</v>
      </c>
      <c r="AJ129" s="169">
        <v>0</v>
      </c>
      <c r="AK129" s="169">
        <v>0</v>
      </c>
      <c r="AL129" s="169">
        <v>0</v>
      </c>
      <c r="AM129" s="169">
        <v>0</v>
      </c>
      <c r="AN129" s="169">
        <v>0</v>
      </c>
      <c r="AO129" s="169">
        <v>0</v>
      </c>
      <c r="AP129" s="169">
        <v>0</v>
      </c>
    </row>
    <row r="130" spans="1:42" x14ac:dyDescent="0.2">
      <c r="A130" s="167" t="s">
        <v>200</v>
      </c>
      <c r="B130" s="170">
        <v>0</v>
      </c>
      <c r="C130" s="170">
        <f t="shared" ref="C130:AP130" si="74">IF(B$147&lt;AEPFFlipTarget,AEPFTEPreFlipCash*(C87+C155),AEPFTEPostFlipCash*(C87+C155))</f>
        <v>0</v>
      </c>
      <c r="D130" s="170">
        <f t="shared" si="74"/>
        <v>0</v>
      </c>
      <c r="E130" s="170">
        <f t="shared" si="74"/>
        <v>0</v>
      </c>
      <c r="F130" s="170">
        <f t="shared" si="74"/>
        <v>5067915.5709764594</v>
      </c>
      <c r="G130" s="170">
        <f t="shared" si="74"/>
        <v>5107057.8599045668</v>
      </c>
      <c r="H130" s="170">
        <f t="shared" si="74"/>
        <v>5146169.2703594882</v>
      </c>
      <c r="I130" s="170">
        <f t="shared" si="74"/>
        <v>5185246.9157625586</v>
      </c>
      <c r="J130" s="170">
        <f t="shared" si="74"/>
        <v>5224287.8373197708</v>
      </c>
      <c r="K130" s="170">
        <f t="shared" si="74"/>
        <v>526328.90024095215</v>
      </c>
      <c r="L130" s="170">
        <f t="shared" si="74"/>
        <v>530224.73029346811</v>
      </c>
      <c r="M130" s="170">
        <f t="shared" si="74"/>
        <v>534115.95536383789</v>
      </c>
      <c r="N130" s="170">
        <f t="shared" si="74"/>
        <v>538002.24903825333</v>
      </c>
      <c r="O130" s="170">
        <f t="shared" si="74"/>
        <v>531929.16237918555</v>
      </c>
      <c r="P130" s="170">
        <f t="shared" si="74"/>
        <v>535888.59187169641</v>
      </c>
      <c r="Q130" s="170">
        <f t="shared" si="74"/>
        <v>539842.06161913218</v>
      </c>
      <c r="R130" s="170">
        <f t="shared" si="74"/>
        <v>543789.21185645112</v>
      </c>
      <c r="S130" s="170">
        <f t="shared" si="74"/>
        <v>547729.6740110321</v>
      </c>
      <c r="T130" s="170">
        <f t="shared" si="74"/>
        <v>551663.07050641242</v>
      </c>
      <c r="U130" s="170">
        <f t="shared" si="74"/>
        <v>555589.01456169644</v>
      </c>
      <c r="V130" s="170">
        <f t="shared" si="74"/>
        <v>559507.10998652503</v>
      </c>
      <c r="W130" s="170">
        <f t="shared" si="74"/>
        <v>562700.40486213972</v>
      </c>
      <c r="X130" s="170">
        <f t="shared" si="74"/>
        <v>565181.02310285193</v>
      </c>
      <c r="Y130" s="170">
        <f t="shared" si="74"/>
        <v>567652.54556637071</v>
      </c>
      <c r="Z130" s="170">
        <f t="shared" si="74"/>
        <v>570114.53628202283</v>
      </c>
      <c r="AA130" s="170">
        <f t="shared" si="74"/>
        <v>560665.22864572133</v>
      </c>
      <c r="AB130" s="170">
        <f t="shared" si="74"/>
        <v>563207.24992762355</v>
      </c>
      <c r="AC130" s="170">
        <f t="shared" si="74"/>
        <v>565738.36758148763</v>
      </c>
      <c r="AD130" s="170">
        <f t="shared" si="74"/>
        <v>568258.10219458013</v>
      </c>
      <c r="AE130" s="170">
        <f t="shared" si="74"/>
        <v>570765.9628829062</v>
      </c>
      <c r="AF130" s="170">
        <f t="shared" si="74"/>
        <v>573261.44703603664</v>
      </c>
      <c r="AG130" s="170">
        <f t="shared" si="74"/>
        <v>575744.0400562908</v>
      </c>
      <c r="AH130" s="170">
        <f t="shared" si="74"/>
        <v>578213.21509214176</v>
      </c>
      <c r="AI130" s="170">
        <f t="shared" si="74"/>
        <v>580668.43276572204</v>
      </c>
      <c r="AJ130" s="170">
        <f t="shared" si="74"/>
        <v>583109.14089428983</v>
      </c>
      <c r="AK130" s="170">
        <f t="shared" si="74"/>
        <v>585534.77420553134</v>
      </c>
      <c r="AL130" s="170">
        <f t="shared" si="74"/>
        <v>587944.75404655433</v>
      </c>
      <c r="AM130" s="170">
        <f t="shared" si="74"/>
        <v>618052.36811716412</v>
      </c>
      <c r="AN130" s="170">
        <f t="shared" si="74"/>
        <v>619815.33497892693</v>
      </c>
      <c r="AO130" s="170">
        <f t="shared" si="74"/>
        <v>621560.82912068535</v>
      </c>
      <c r="AP130" s="170">
        <f t="shared" si="74"/>
        <v>1076137.9402854086</v>
      </c>
    </row>
    <row r="131" spans="1:42" x14ac:dyDescent="0.2">
      <c r="A131" s="167" t="s">
        <v>205</v>
      </c>
      <c r="B131" s="135">
        <f>SUM(B129:B130)</f>
        <v>-26158381.612124998</v>
      </c>
      <c r="C131" s="135">
        <f t="shared" ref="C131:AP131" si="75">SUM(C129:C130)</f>
        <v>0</v>
      </c>
      <c r="D131" s="135">
        <f t="shared" si="75"/>
        <v>0</v>
      </c>
      <c r="E131" s="135">
        <f t="shared" si="75"/>
        <v>0</v>
      </c>
      <c r="F131" s="135">
        <f t="shared" si="75"/>
        <v>5067915.5709764594</v>
      </c>
      <c r="G131" s="135">
        <f t="shared" si="75"/>
        <v>5107057.8599045668</v>
      </c>
      <c r="H131" s="135">
        <f t="shared" si="75"/>
        <v>5146169.2703594882</v>
      </c>
      <c r="I131" s="135">
        <f t="shared" si="75"/>
        <v>5185246.9157625586</v>
      </c>
      <c r="J131" s="135">
        <f t="shared" si="75"/>
        <v>5224287.8373197708</v>
      </c>
      <c r="K131" s="135">
        <f t="shared" si="75"/>
        <v>526328.90024095215</v>
      </c>
      <c r="L131" s="135">
        <f t="shared" si="75"/>
        <v>530224.73029346811</v>
      </c>
      <c r="M131" s="135">
        <f t="shared" si="75"/>
        <v>534115.95536383789</v>
      </c>
      <c r="N131" s="135">
        <f t="shared" si="75"/>
        <v>538002.24903825333</v>
      </c>
      <c r="O131" s="135">
        <f t="shared" si="75"/>
        <v>531929.16237918555</v>
      </c>
      <c r="P131" s="135">
        <f t="shared" si="75"/>
        <v>535888.59187169641</v>
      </c>
      <c r="Q131" s="135">
        <f t="shared" si="75"/>
        <v>539842.06161913218</v>
      </c>
      <c r="R131" s="135">
        <f t="shared" si="75"/>
        <v>543789.21185645112</v>
      </c>
      <c r="S131" s="135">
        <f t="shared" si="75"/>
        <v>547729.6740110321</v>
      </c>
      <c r="T131" s="135">
        <f t="shared" si="75"/>
        <v>551663.07050641242</v>
      </c>
      <c r="U131" s="135">
        <f t="shared" si="75"/>
        <v>555589.01456169644</v>
      </c>
      <c r="V131" s="135">
        <f t="shared" si="75"/>
        <v>559507.10998652503</v>
      </c>
      <c r="W131" s="135">
        <f t="shared" si="75"/>
        <v>562700.40486213972</v>
      </c>
      <c r="X131" s="135">
        <f t="shared" si="75"/>
        <v>565181.02310285193</v>
      </c>
      <c r="Y131" s="135">
        <f t="shared" si="75"/>
        <v>567652.54556637071</v>
      </c>
      <c r="Z131" s="135">
        <f t="shared" si="75"/>
        <v>570114.53628202283</v>
      </c>
      <c r="AA131" s="135">
        <f t="shared" si="75"/>
        <v>560665.22864572133</v>
      </c>
      <c r="AB131" s="135">
        <f t="shared" si="75"/>
        <v>563207.24992762355</v>
      </c>
      <c r="AC131" s="135">
        <f t="shared" si="75"/>
        <v>565738.36758148763</v>
      </c>
      <c r="AD131" s="135">
        <f t="shared" si="75"/>
        <v>568258.10219458013</v>
      </c>
      <c r="AE131" s="135">
        <f t="shared" si="75"/>
        <v>570765.9628829062</v>
      </c>
      <c r="AF131" s="135">
        <f t="shared" si="75"/>
        <v>573261.44703603664</v>
      </c>
      <c r="AG131" s="135">
        <f t="shared" si="75"/>
        <v>575744.0400562908</v>
      </c>
      <c r="AH131" s="135">
        <f t="shared" si="75"/>
        <v>578213.21509214176</v>
      </c>
      <c r="AI131" s="135">
        <f t="shared" si="75"/>
        <v>580668.43276572204</v>
      </c>
      <c r="AJ131" s="135">
        <f t="shared" si="75"/>
        <v>583109.14089428983</v>
      </c>
      <c r="AK131" s="135">
        <f t="shared" si="75"/>
        <v>585534.77420553134</v>
      </c>
      <c r="AL131" s="135">
        <f t="shared" si="75"/>
        <v>587944.75404655433</v>
      </c>
      <c r="AM131" s="135">
        <f t="shared" si="75"/>
        <v>618052.36811716412</v>
      </c>
      <c r="AN131" s="135">
        <f t="shared" si="75"/>
        <v>619815.33497892693</v>
      </c>
      <c r="AO131" s="135">
        <f t="shared" si="75"/>
        <v>621560.82912068535</v>
      </c>
      <c r="AP131" s="135">
        <f t="shared" si="75"/>
        <v>1076137.9402854086</v>
      </c>
    </row>
    <row r="132" spans="1:42" x14ac:dyDescent="0.2">
      <c r="A132" s="163" t="s">
        <v>33</v>
      </c>
      <c r="B132" s="135"/>
      <c r="C132" s="135"/>
      <c r="D132" s="135"/>
      <c r="E132" s="135"/>
      <c r="F132" s="135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</row>
    <row r="133" spans="1:42" x14ac:dyDescent="0.2">
      <c r="A133" s="167" t="s">
        <v>37</v>
      </c>
      <c r="B133" s="135">
        <v>0</v>
      </c>
      <c r="C133" s="135">
        <f t="shared" ref="C133:AP133" si="76">IF(B$147&lt;AEPFFlipTarget,AEPFTEPreFlipTax*C90,AEPFTEPostFlipTax*C90)</f>
        <v>0</v>
      </c>
      <c r="D133" s="135">
        <f t="shared" si="76"/>
        <v>0</v>
      </c>
      <c r="E133" s="135">
        <f t="shared" si="76"/>
        <v>0</v>
      </c>
      <c r="F133" s="135">
        <f t="shared" si="76"/>
        <v>0</v>
      </c>
      <c r="G133" s="135">
        <f t="shared" si="76"/>
        <v>0</v>
      </c>
      <c r="H133" s="135">
        <f t="shared" si="76"/>
        <v>0</v>
      </c>
      <c r="I133" s="135">
        <f t="shared" si="76"/>
        <v>0</v>
      </c>
      <c r="J133" s="135">
        <f t="shared" si="76"/>
        <v>0</v>
      </c>
      <c r="K133" s="135">
        <f t="shared" si="76"/>
        <v>0</v>
      </c>
      <c r="L133" s="135">
        <f t="shared" si="76"/>
        <v>0</v>
      </c>
      <c r="M133" s="135">
        <f t="shared" si="76"/>
        <v>0</v>
      </c>
      <c r="N133" s="135">
        <f t="shared" si="76"/>
        <v>0</v>
      </c>
      <c r="O133" s="135">
        <f t="shared" si="76"/>
        <v>0</v>
      </c>
      <c r="P133" s="135">
        <f t="shared" si="76"/>
        <v>0</v>
      </c>
      <c r="Q133" s="135">
        <f t="shared" si="76"/>
        <v>0</v>
      </c>
      <c r="R133" s="135">
        <f t="shared" si="76"/>
        <v>0</v>
      </c>
      <c r="S133" s="135">
        <f t="shared" si="76"/>
        <v>0</v>
      </c>
      <c r="T133" s="135">
        <f t="shared" si="76"/>
        <v>0</v>
      </c>
      <c r="U133" s="135">
        <f t="shared" si="76"/>
        <v>0</v>
      </c>
      <c r="V133" s="135">
        <f t="shared" si="76"/>
        <v>0</v>
      </c>
      <c r="W133" s="135">
        <f t="shared" si="76"/>
        <v>0</v>
      </c>
      <c r="X133" s="135">
        <f t="shared" si="76"/>
        <v>0</v>
      </c>
      <c r="Y133" s="135">
        <f t="shared" si="76"/>
        <v>0</v>
      </c>
      <c r="Z133" s="135">
        <f t="shared" si="76"/>
        <v>0</v>
      </c>
      <c r="AA133" s="135">
        <f t="shared" si="76"/>
        <v>0</v>
      </c>
      <c r="AB133" s="135">
        <f t="shared" si="76"/>
        <v>0</v>
      </c>
      <c r="AC133" s="135">
        <f t="shared" si="76"/>
        <v>0</v>
      </c>
      <c r="AD133" s="135">
        <f t="shared" si="76"/>
        <v>0</v>
      </c>
      <c r="AE133" s="135">
        <f t="shared" si="76"/>
        <v>0</v>
      </c>
      <c r="AF133" s="135">
        <f t="shared" si="76"/>
        <v>0</v>
      </c>
      <c r="AG133" s="135">
        <f t="shared" si="76"/>
        <v>0</v>
      </c>
      <c r="AH133" s="135">
        <f t="shared" si="76"/>
        <v>0</v>
      </c>
      <c r="AI133" s="135">
        <f t="shared" si="76"/>
        <v>0</v>
      </c>
      <c r="AJ133" s="135">
        <f t="shared" si="76"/>
        <v>0</v>
      </c>
      <c r="AK133" s="135">
        <f t="shared" si="76"/>
        <v>0</v>
      </c>
      <c r="AL133" s="135">
        <f t="shared" si="76"/>
        <v>0</v>
      </c>
      <c r="AM133" s="135">
        <f t="shared" si="76"/>
        <v>0</v>
      </c>
      <c r="AN133" s="135">
        <f t="shared" si="76"/>
        <v>0</v>
      </c>
      <c r="AO133" s="135">
        <f t="shared" si="76"/>
        <v>0</v>
      </c>
      <c r="AP133" s="135">
        <f t="shared" si="76"/>
        <v>0</v>
      </c>
    </row>
    <row r="134" spans="1:42" x14ac:dyDescent="0.2">
      <c r="A134" s="167" t="s">
        <v>36</v>
      </c>
      <c r="B134" s="170">
        <v>0</v>
      </c>
      <c r="C134" s="170">
        <f t="shared" ref="C134:AP134" si="77">IF(B$147&lt;AEPFFlipTarget,AEPFTEPreFlipTax*C91,AEPFTEPostFlipTax*C91)</f>
        <v>11912526.986161726</v>
      </c>
      <c r="D134" s="170">
        <f t="shared" si="77"/>
        <v>0</v>
      </c>
      <c r="E134" s="170">
        <f t="shared" si="77"/>
        <v>0</v>
      </c>
      <c r="F134" s="170">
        <f t="shared" si="77"/>
        <v>0</v>
      </c>
      <c r="G134" s="170">
        <f t="shared" si="77"/>
        <v>0</v>
      </c>
      <c r="H134" s="170">
        <f t="shared" si="77"/>
        <v>0</v>
      </c>
      <c r="I134" s="170">
        <f t="shared" si="77"/>
        <v>0</v>
      </c>
      <c r="J134" s="170">
        <f t="shared" si="77"/>
        <v>0</v>
      </c>
      <c r="K134" s="170">
        <f t="shared" si="77"/>
        <v>0</v>
      </c>
      <c r="L134" s="170">
        <f t="shared" si="77"/>
        <v>0</v>
      </c>
      <c r="M134" s="170">
        <f t="shared" si="77"/>
        <v>0</v>
      </c>
      <c r="N134" s="170">
        <f t="shared" si="77"/>
        <v>0</v>
      </c>
      <c r="O134" s="170">
        <f t="shared" si="77"/>
        <v>0</v>
      </c>
      <c r="P134" s="170">
        <f t="shared" si="77"/>
        <v>0</v>
      </c>
      <c r="Q134" s="170">
        <f t="shared" si="77"/>
        <v>0</v>
      </c>
      <c r="R134" s="170">
        <f t="shared" si="77"/>
        <v>0</v>
      </c>
      <c r="S134" s="170">
        <f t="shared" si="77"/>
        <v>0</v>
      </c>
      <c r="T134" s="170">
        <f t="shared" si="77"/>
        <v>0</v>
      </c>
      <c r="U134" s="170">
        <f t="shared" si="77"/>
        <v>0</v>
      </c>
      <c r="V134" s="170">
        <f t="shared" si="77"/>
        <v>0</v>
      </c>
      <c r="W134" s="170">
        <f t="shared" si="77"/>
        <v>0</v>
      </c>
      <c r="X134" s="170">
        <f t="shared" si="77"/>
        <v>0</v>
      </c>
      <c r="Y134" s="170">
        <f t="shared" si="77"/>
        <v>0</v>
      </c>
      <c r="Z134" s="170">
        <f t="shared" si="77"/>
        <v>0</v>
      </c>
      <c r="AA134" s="170">
        <f t="shared" si="77"/>
        <v>0</v>
      </c>
      <c r="AB134" s="170">
        <f t="shared" si="77"/>
        <v>0</v>
      </c>
      <c r="AC134" s="170">
        <f t="shared" si="77"/>
        <v>0</v>
      </c>
      <c r="AD134" s="170">
        <f t="shared" si="77"/>
        <v>0</v>
      </c>
      <c r="AE134" s="170">
        <f t="shared" si="77"/>
        <v>0</v>
      </c>
      <c r="AF134" s="170">
        <f t="shared" si="77"/>
        <v>0</v>
      </c>
      <c r="AG134" s="170">
        <f t="shared" si="77"/>
        <v>0</v>
      </c>
      <c r="AH134" s="170">
        <f t="shared" si="77"/>
        <v>0</v>
      </c>
      <c r="AI134" s="170">
        <f t="shared" si="77"/>
        <v>0</v>
      </c>
      <c r="AJ134" s="170">
        <f t="shared" si="77"/>
        <v>0</v>
      </c>
      <c r="AK134" s="170">
        <f t="shared" si="77"/>
        <v>0</v>
      </c>
      <c r="AL134" s="170">
        <f t="shared" si="77"/>
        <v>0</v>
      </c>
      <c r="AM134" s="170">
        <f t="shared" si="77"/>
        <v>0</v>
      </c>
      <c r="AN134" s="170">
        <f t="shared" si="77"/>
        <v>0</v>
      </c>
      <c r="AO134" s="170">
        <f t="shared" si="77"/>
        <v>0</v>
      </c>
      <c r="AP134" s="170">
        <f t="shared" si="77"/>
        <v>0</v>
      </c>
    </row>
    <row r="135" spans="1:42" x14ac:dyDescent="0.2">
      <c r="A135" s="167" t="s">
        <v>53</v>
      </c>
      <c r="B135" s="135">
        <f>SUM(B133:B134)</f>
        <v>0</v>
      </c>
      <c r="C135" s="135">
        <f>SUM(C133:C134)</f>
        <v>11912526.986161726</v>
      </c>
      <c r="D135" s="135">
        <f>SUM(D133:D134)</f>
        <v>0</v>
      </c>
      <c r="E135" s="135">
        <f t="shared" ref="E135:AP135" si="78">SUM(E133:E134)</f>
        <v>0</v>
      </c>
      <c r="F135" s="135">
        <f t="shared" si="78"/>
        <v>0</v>
      </c>
      <c r="G135" s="135">
        <f t="shared" si="78"/>
        <v>0</v>
      </c>
      <c r="H135" s="135">
        <f t="shared" si="78"/>
        <v>0</v>
      </c>
      <c r="I135" s="135">
        <f t="shared" si="78"/>
        <v>0</v>
      </c>
      <c r="J135" s="135">
        <f t="shared" si="78"/>
        <v>0</v>
      </c>
      <c r="K135" s="135">
        <f t="shared" si="78"/>
        <v>0</v>
      </c>
      <c r="L135" s="135">
        <f t="shared" si="78"/>
        <v>0</v>
      </c>
      <c r="M135" s="135">
        <f t="shared" si="78"/>
        <v>0</v>
      </c>
      <c r="N135" s="135">
        <f t="shared" si="78"/>
        <v>0</v>
      </c>
      <c r="O135" s="135">
        <f t="shared" si="78"/>
        <v>0</v>
      </c>
      <c r="P135" s="135">
        <f t="shared" si="78"/>
        <v>0</v>
      </c>
      <c r="Q135" s="135">
        <f t="shared" si="78"/>
        <v>0</v>
      </c>
      <c r="R135" s="135">
        <f t="shared" si="78"/>
        <v>0</v>
      </c>
      <c r="S135" s="135">
        <f t="shared" si="78"/>
        <v>0</v>
      </c>
      <c r="T135" s="135">
        <f t="shared" si="78"/>
        <v>0</v>
      </c>
      <c r="U135" s="135">
        <f t="shared" si="78"/>
        <v>0</v>
      </c>
      <c r="V135" s="135">
        <f t="shared" si="78"/>
        <v>0</v>
      </c>
      <c r="W135" s="135">
        <f t="shared" si="78"/>
        <v>0</v>
      </c>
      <c r="X135" s="135">
        <f t="shared" si="78"/>
        <v>0</v>
      </c>
      <c r="Y135" s="135">
        <f t="shared" si="78"/>
        <v>0</v>
      </c>
      <c r="Z135" s="135">
        <f t="shared" si="78"/>
        <v>0</v>
      </c>
      <c r="AA135" s="135">
        <f t="shared" si="78"/>
        <v>0</v>
      </c>
      <c r="AB135" s="135">
        <f t="shared" si="78"/>
        <v>0</v>
      </c>
      <c r="AC135" s="135">
        <f t="shared" si="78"/>
        <v>0</v>
      </c>
      <c r="AD135" s="135">
        <f t="shared" si="78"/>
        <v>0</v>
      </c>
      <c r="AE135" s="135">
        <f t="shared" si="78"/>
        <v>0</v>
      </c>
      <c r="AF135" s="135">
        <f t="shared" si="78"/>
        <v>0</v>
      </c>
      <c r="AG135" s="135">
        <f t="shared" si="78"/>
        <v>0</v>
      </c>
      <c r="AH135" s="135">
        <f t="shared" si="78"/>
        <v>0</v>
      </c>
      <c r="AI135" s="135">
        <f t="shared" si="78"/>
        <v>0</v>
      </c>
      <c r="AJ135" s="135">
        <f t="shared" si="78"/>
        <v>0</v>
      </c>
      <c r="AK135" s="135">
        <f t="shared" si="78"/>
        <v>0</v>
      </c>
      <c r="AL135" s="135">
        <f t="shared" si="78"/>
        <v>0</v>
      </c>
      <c r="AM135" s="135">
        <f t="shared" si="78"/>
        <v>0</v>
      </c>
      <c r="AN135" s="135">
        <f t="shared" si="78"/>
        <v>0</v>
      </c>
      <c r="AO135" s="135">
        <f t="shared" si="78"/>
        <v>0</v>
      </c>
      <c r="AP135" s="135">
        <f t="shared" si="78"/>
        <v>0</v>
      </c>
    </row>
    <row r="136" spans="1:42" x14ac:dyDescent="0.2">
      <c r="A136" s="163" t="s">
        <v>38</v>
      </c>
      <c r="B136" s="135"/>
      <c r="C136" s="135"/>
      <c r="D136" s="135"/>
      <c r="E136" s="135"/>
      <c r="F136" s="135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</row>
    <row r="137" spans="1:42" x14ac:dyDescent="0.2">
      <c r="A137" s="167" t="s">
        <v>37</v>
      </c>
      <c r="B137" s="135">
        <f>B576</f>
        <v>0</v>
      </c>
      <c r="C137" s="135">
        <f t="shared" ref="C137:AP137" si="79">IF(B$147&lt;AEPFFlipTarget,AEPFTEPreFlipTax*C94,AEPFTEPostFlipTax*C94)</f>
        <v>0</v>
      </c>
      <c r="D137" s="135">
        <f t="shared" si="79"/>
        <v>0</v>
      </c>
      <c r="E137" s="135">
        <f t="shared" si="79"/>
        <v>0</v>
      </c>
      <c r="F137" s="135">
        <f t="shared" si="79"/>
        <v>0</v>
      </c>
      <c r="G137" s="135">
        <f t="shared" si="79"/>
        <v>0</v>
      </c>
      <c r="H137" s="135">
        <f t="shared" si="79"/>
        <v>0</v>
      </c>
      <c r="I137" s="135">
        <f t="shared" si="79"/>
        <v>0</v>
      </c>
      <c r="J137" s="135">
        <f t="shared" si="79"/>
        <v>0</v>
      </c>
      <c r="K137" s="135">
        <f t="shared" si="79"/>
        <v>0</v>
      </c>
      <c r="L137" s="135">
        <f t="shared" si="79"/>
        <v>0</v>
      </c>
      <c r="M137" s="135">
        <f t="shared" si="79"/>
        <v>0</v>
      </c>
      <c r="N137" s="135">
        <f t="shared" si="79"/>
        <v>0</v>
      </c>
      <c r="O137" s="135">
        <f t="shared" si="79"/>
        <v>0</v>
      </c>
      <c r="P137" s="135">
        <f t="shared" si="79"/>
        <v>0</v>
      </c>
      <c r="Q137" s="135">
        <f t="shared" si="79"/>
        <v>0</v>
      </c>
      <c r="R137" s="135">
        <f t="shared" si="79"/>
        <v>0</v>
      </c>
      <c r="S137" s="135">
        <f t="shared" si="79"/>
        <v>0</v>
      </c>
      <c r="T137" s="135">
        <f t="shared" si="79"/>
        <v>0</v>
      </c>
      <c r="U137" s="135">
        <f t="shared" si="79"/>
        <v>0</v>
      </c>
      <c r="V137" s="135">
        <f t="shared" si="79"/>
        <v>0</v>
      </c>
      <c r="W137" s="135">
        <f t="shared" si="79"/>
        <v>0</v>
      </c>
      <c r="X137" s="135">
        <f t="shared" si="79"/>
        <v>0</v>
      </c>
      <c r="Y137" s="135">
        <f t="shared" si="79"/>
        <v>0</v>
      </c>
      <c r="Z137" s="135">
        <f t="shared" si="79"/>
        <v>0</v>
      </c>
      <c r="AA137" s="135">
        <f t="shared" si="79"/>
        <v>0</v>
      </c>
      <c r="AB137" s="135">
        <f t="shared" si="79"/>
        <v>0</v>
      </c>
      <c r="AC137" s="135">
        <f t="shared" si="79"/>
        <v>0</v>
      </c>
      <c r="AD137" s="135">
        <f t="shared" si="79"/>
        <v>0</v>
      </c>
      <c r="AE137" s="135">
        <f t="shared" si="79"/>
        <v>0</v>
      </c>
      <c r="AF137" s="135">
        <f t="shared" si="79"/>
        <v>0</v>
      </c>
      <c r="AG137" s="135">
        <f t="shared" si="79"/>
        <v>0</v>
      </c>
      <c r="AH137" s="135">
        <f t="shared" si="79"/>
        <v>0</v>
      </c>
      <c r="AI137" s="135">
        <f t="shared" si="79"/>
        <v>0</v>
      </c>
      <c r="AJ137" s="135">
        <f t="shared" si="79"/>
        <v>0</v>
      </c>
      <c r="AK137" s="135">
        <f t="shared" si="79"/>
        <v>0</v>
      </c>
      <c r="AL137" s="135">
        <f t="shared" si="79"/>
        <v>0</v>
      </c>
      <c r="AM137" s="135">
        <f t="shared" si="79"/>
        <v>0</v>
      </c>
      <c r="AN137" s="135">
        <f t="shared" si="79"/>
        <v>0</v>
      </c>
      <c r="AO137" s="135">
        <f t="shared" si="79"/>
        <v>0</v>
      </c>
      <c r="AP137" s="135">
        <f t="shared" si="79"/>
        <v>0</v>
      </c>
    </row>
    <row r="138" spans="1:42" x14ac:dyDescent="0.2">
      <c r="A138" s="167" t="s">
        <v>36</v>
      </c>
      <c r="B138" s="170">
        <f>B582</f>
        <v>0</v>
      </c>
      <c r="C138" s="170">
        <f t="shared" ref="C138:AP138" si="80">IF(B$147&lt;AEPFFlipTarget,AEPFTEPreFlipTax*C95,AEPFTEPostFlipTax*C95)</f>
        <v>0</v>
      </c>
      <c r="D138" s="170">
        <f t="shared" si="80"/>
        <v>0</v>
      </c>
      <c r="E138" s="170">
        <f t="shared" si="80"/>
        <v>0</v>
      </c>
      <c r="F138" s="170">
        <f t="shared" si="80"/>
        <v>0</v>
      </c>
      <c r="G138" s="170">
        <f t="shared" si="80"/>
        <v>0</v>
      </c>
      <c r="H138" s="170">
        <f t="shared" si="80"/>
        <v>0</v>
      </c>
      <c r="I138" s="170">
        <f t="shared" si="80"/>
        <v>0</v>
      </c>
      <c r="J138" s="170">
        <f t="shared" si="80"/>
        <v>0</v>
      </c>
      <c r="K138" s="170">
        <f t="shared" si="80"/>
        <v>0</v>
      </c>
      <c r="L138" s="170">
        <f t="shared" si="80"/>
        <v>0</v>
      </c>
      <c r="M138" s="170">
        <f t="shared" si="80"/>
        <v>0</v>
      </c>
      <c r="N138" s="170">
        <f t="shared" si="80"/>
        <v>0</v>
      </c>
      <c r="O138" s="170">
        <f t="shared" si="80"/>
        <v>0</v>
      </c>
      <c r="P138" s="170">
        <f t="shared" si="80"/>
        <v>0</v>
      </c>
      <c r="Q138" s="170">
        <f t="shared" si="80"/>
        <v>0</v>
      </c>
      <c r="R138" s="170">
        <f t="shared" si="80"/>
        <v>0</v>
      </c>
      <c r="S138" s="170">
        <f t="shared" si="80"/>
        <v>0</v>
      </c>
      <c r="T138" s="170">
        <f t="shared" si="80"/>
        <v>0</v>
      </c>
      <c r="U138" s="170">
        <f t="shared" si="80"/>
        <v>0</v>
      </c>
      <c r="V138" s="170">
        <f t="shared" si="80"/>
        <v>0</v>
      </c>
      <c r="W138" s="170">
        <f t="shared" si="80"/>
        <v>0</v>
      </c>
      <c r="X138" s="170">
        <f t="shared" si="80"/>
        <v>0</v>
      </c>
      <c r="Y138" s="170">
        <f t="shared" si="80"/>
        <v>0</v>
      </c>
      <c r="Z138" s="170">
        <f t="shared" si="80"/>
        <v>0</v>
      </c>
      <c r="AA138" s="170">
        <f t="shared" si="80"/>
        <v>0</v>
      </c>
      <c r="AB138" s="170">
        <f t="shared" si="80"/>
        <v>0</v>
      </c>
      <c r="AC138" s="170">
        <f t="shared" si="80"/>
        <v>0</v>
      </c>
      <c r="AD138" s="170">
        <f t="shared" si="80"/>
        <v>0</v>
      </c>
      <c r="AE138" s="170">
        <f t="shared" si="80"/>
        <v>0</v>
      </c>
      <c r="AF138" s="170">
        <f t="shared" si="80"/>
        <v>0</v>
      </c>
      <c r="AG138" s="170">
        <f t="shared" si="80"/>
        <v>0</v>
      </c>
      <c r="AH138" s="170">
        <f t="shared" si="80"/>
        <v>0</v>
      </c>
      <c r="AI138" s="170">
        <f t="shared" si="80"/>
        <v>0</v>
      </c>
      <c r="AJ138" s="170">
        <f t="shared" si="80"/>
        <v>0</v>
      </c>
      <c r="AK138" s="170">
        <f t="shared" si="80"/>
        <v>0</v>
      </c>
      <c r="AL138" s="170">
        <f t="shared" si="80"/>
        <v>0</v>
      </c>
      <c r="AM138" s="170">
        <f t="shared" si="80"/>
        <v>0</v>
      </c>
      <c r="AN138" s="170">
        <f t="shared" si="80"/>
        <v>0</v>
      </c>
      <c r="AO138" s="170">
        <f t="shared" si="80"/>
        <v>0</v>
      </c>
      <c r="AP138" s="170">
        <f t="shared" si="80"/>
        <v>0</v>
      </c>
    </row>
    <row r="139" spans="1:42" x14ac:dyDescent="0.2">
      <c r="A139" s="167" t="s">
        <v>53</v>
      </c>
      <c r="B139" s="135">
        <f>SUM(B137:B138)</f>
        <v>0</v>
      </c>
      <c r="C139" s="135">
        <f>SUM(C137:C138)</f>
        <v>0</v>
      </c>
      <c r="D139" s="135">
        <f>SUM(D137:D138)</f>
        <v>0</v>
      </c>
      <c r="E139" s="135">
        <f t="shared" ref="E139:AP139" si="81">SUM(E137:E138)</f>
        <v>0</v>
      </c>
      <c r="F139" s="135">
        <f t="shared" si="81"/>
        <v>0</v>
      </c>
      <c r="G139" s="135">
        <f t="shared" si="81"/>
        <v>0</v>
      </c>
      <c r="H139" s="135">
        <f t="shared" si="81"/>
        <v>0</v>
      </c>
      <c r="I139" s="135">
        <f t="shared" si="81"/>
        <v>0</v>
      </c>
      <c r="J139" s="135">
        <f t="shared" si="81"/>
        <v>0</v>
      </c>
      <c r="K139" s="135">
        <f t="shared" si="81"/>
        <v>0</v>
      </c>
      <c r="L139" s="135">
        <f t="shared" si="81"/>
        <v>0</v>
      </c>
      <c r="M139" s="135">
        <f t="shared" si="81"/>
        <v>0</v>
      </c>
      <c r="N139" s="135">
        <f t="shared" si="81"/>
        <v>0</v>
      </c>
      <c r="O139" s="135">
        <f t="shared" si="81"/>
        <v>0</v>
      </c>
      <c r="P139" s="135">
        <f t="shared" si="81"/>
        <v>0</v>
      </c>
      <c r="Q139" s="135">
        <f t="shared" si="81"/>
        <v>0</v>
      </c>
      <c r="R139" s="135">
        <f t="shared" si="81"/>
        <v>0</v>
      </c>
      <c r="S139" s="135">
        <f t="shared" si="81"/>
        <v>0</v>
      </c>
      <c r="T139" s="135">
        <f t="shared" si="81"/>
        <v>0</v>
      </c>
      <c r="U139" s="135">
        <f t="shared" si="81"/>
        <v>0</v>
      </c>
      <c r="V139" s="135">
        <f t="shared" si="81"/>
        <v>0</v>
      </c>
      <c r="W139" s="135">
        <f t="shared" si="81"/>
        <v>0</v>
      </c>
      <c r="X139" s="135">
        <f t="shared" si="81"/>
        <v>0</v>
      </c>
      <c r="Y139" s="135">
        <f t="shared" si="81"/>
        <v>0</v>
      </c>
      <c r="Z139" s="135">
        <f t="shared" si="81"/>
        <v>0</v>
      </c>
      <c r="AA139" s="135">
        <f t="shared" si="81"/>
        <v>0</v>
      </c>
      <c r="AB139" s="135">
        <f t="shared" si="81"/>
        <v>0</v>
      </c>
      <c r="AC139" s="135">
        <f t="shared" si="81"/>
        <v>0</v>
      </c>
      <c r="AD139" s="135">
        <f t="shared" si="81"/>
        <v>0</v>
      </c>
      <c r="AE139" s="135">
        <f t="shared" si="81"/>
        <v>0</v>
      </c>
      <c r="AF139" s="135">
        <f t="shared" si="81"/>
        <v>0</v>
      </c>
      <c r="AG139" s="135">
        <f t="shared" si="81"/>
        <v>0</v>
      </c>
      <c r="AH139" s="135">
        <f t="shared" si="81"/>
        <v>0</v>
      </c>
      <c r="AI139" s="135">
        <f t="shared" si="81"/>
        <v>0</v>
      </c>
      <c r="AJ139" s="135">
        <f t="shared" si="81"/>
        <v>0</v>
      </c>
      <c r="AK139" s="135">
        <f t="shared" si="81"/>
        <v>0</v>
      </c>
      <c r="AL139" s="135">
        <f t="shared" si="81"/>
        <v>0</v>
      </c>
      <c r="AM139" s="135">
        <f t="shared" si="81"/>
        <v>0</v>
      </c>
      <c r="AN139" s="135">
        <f t="shared" si="81"/>
        <v>0</v>
      </c>
      <c r="AO139" s="135">
        <f t="shared" si="81"/>
        <v>0</v>
      </c>
      <c r="AP139" s="135">
        <f t="shared" si="81"/>
        <v>0</v>
      </c>
    </row>
    <row r="140" spans="1:42" x14ac:dyDescent="0.2">
      <c r="A140" s="163" t="s">
        <v>346</v>
      </c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</row>
    <row r="141" spans="1:42" x14ac:dyDescent="0.2">
      <c r="A141" s="167" t="s">
        <v>37</v>
      </c>
      <c r="B141" s="135">
        <v>0</v>
      </c>
      <c r="C141" s="135">
        <f t="shared" ref="C141:AP141" si="82">IF(B$147&lt;AEPFFlipTarget,AEPFTEPreFlipTax*C98,AEPFTEPostFlipTax*C98)</f>
        <v>93415.734298984986</v>
      </c>
      <c r="D141" s="135">
        <f t="shared" si="82"/>
        <v>318764.21694263432</v>
      </c>
      <c r="E141" s="135">
        <f t="shared" si="82"/>
        <v>78671.852153640648</v>
      </c>
      <c r="F141" s="135">
        <f t="shared" si="82"/>
        <v>-66337.538520002097</v>
      </c>
      <c r="G141" s="135">
        <f t="shared" si="82"/>
        <v>-68747.888116856455</v>
      </c>
      <c r="H141" s="135">
        <f t="shared" si="82"/>
        <v>-178058.57133430601</v>
      </c>
      <c r="I141" s="135">
        <f t="shared" si="82"/>
        <v>-287235.76654027816</v>
      </c>
      <c r="J141" s="135">
        <f t="shared" si="82"/>
        <v>-289370.27655425516</v>
      </c>
      <c r="K141" s="135">
        <f t="shared" si="82"/>
        <v>-29443.640819127788</v>
      </c>
      <c r="L141" s="135">
        <f t="shared" si="82"/>
        <v>-29659.174528709045</v>
      </c>
      <c r="M141" s="135">
        <f t="shared" si="82"/>
        <v>-29873.027278574464</v>
      </c>
      <c r="N141" s="135">
        <f t="shared" si="82"/>
        <v>-26848.699191623324</v>
      </c>
      <c r="O141" s="135">
        <f t="shared" si="82"/>
        <v>-24834.954132043145</v>
      </c>
      <c r="P141" s="135">
        <f t="shared" si="82"/>
        <v>-27127.22145105898</v>
      </c>
      <c r="Q141" s="135">
        <f t="shared" si="82"/>
        <v>-28588.458202948896</v>
      </c>
      <c r="R141" s="135">
        <f t="shared" si="82"/>
        <v>-29032.761874006854</v>
      </c>
      <c r="S141" s="135">
        <f t="shared" si="82"/>
        <v>-30408.92639492602</v>
      </c>
      <c r="T141" s="135">
        <f t="shared" si="82"/>
        <v>-31558.837433984267</v>
      </c>
      <c r="U141" s="135">
        <f t="shared" si="82"/>
        <v>-31775.416053840541</v>
      </c>
      <c r="V141" s="135">
        <f t="shared" si="82"/>
        <v>-31991.576297057531</v>
      </c>
      <c r="W141" s="135">
        <f t="shared" si="82"/>
        <v>-32387.134998243582</v>
      </c>
      <c r="X141" s="135">
        <f t="shared" si="82"/>
        <v>-32704.100313672308</v>
      </c>
      <c r="Y141" s="135">
        <f t="shared" si="82"/>
        <v>-32840.740645744263</v>
      </c>
      <c r="Z141" s="135">
        <f t="shared" si="82"/>
        <v>-29103.834013602056</v>
      </c>
      <c r="AA141" s="135">
        <f t="shared" si="82"/>
        <v>-26576.717459115062</v>
      </c>
      <c r="AB141" s="135">
        <f t="shared" si="82"/>
        <v>-29196.023312983973</v>
      </c>
      <c r="AC141" s="135">
        <f t="shared" si="82"/>
        <v>-30823.247344312796</v>
      </c>
      <c r="AD141" s="135">
        <f t="shared" si="82"/>
        <v>-30962.614752840702</v>
      </c>
      <c r="AE141" s="135">
        <f t="shared" si="82"/>
        <v>-32216.779854585344</v>
      </c>
      <c r="AF141" s="135">
        <f t="shared" si="82"/>
        <v>-33470.280639651828</v>
      </c>
      <c r="AG141" s="135">
        <f t="shared" si="82"/>
        <v>-33607.654446216526</v>
      </c>
      <c r="AH141" s="135">
        <f t="shared" si="82"/>
        <v>-33744.3073589286</v>
      </c>
      <c r="AI141" s="135">
        <f t="shared" si="82"/>
        <v>-33880.21007473558</v>
      </c>
      <c r="AJ141" s="135">
        <f t="shared" si="82"/>
        <v>-34015.332594184583</v>
      </c>
      <c r="AK141" s="135">
        <f t="shared" si="82"/>
        <v>-34149.644205937206</v>
      </c>
      <c r="AL141" s="135">
        <f t="shared" si="82"/>
        <v>-29652.439845553468</v>
      </c>
      <c r="AM141" s="135">
        <f t="shared" si="82"/>
        <v>-26601.446463410197</v>
      </c>
      <c r="AN141" s="135">
        <f t="shared" si="82"/>
        <v>-29662.999517382996</v>
      </c>
      <c r="AO141" s="135">
        <f t="shared" si="82"/>
        <v>-31538.158929480451</v>
      </c>
      <c r="AP141" s="135">
        <f t="shared" si="82"/>
        <v>-53774.467304228667</v>
      </c>
    </row>
    <row r="142" spans="1:42" x14ac:dyDescent="0.2">
      <c r="A142" s="167" t="s">
        <v>36</v>
      </c>
      <c r="B142" s="170">
        <v>0</v>
      </c>
      <c r="C142" s="170">
        <f t="shared" ref="C142:AP142" si="83">IF(B$147&lt;AEPFFlipTarget,AEPFTEPreFlipTax*C99,AEPFTEPostFlipTax*C99)</f>
        <v>561768.25671616883</v>
      </c>
      <c r="D142" s="170">
        <f t="shared" si="83"/>
        <v>1916932.0864322963</v>
      </c>
      <c r="E142" s="170">
        <f t="shared" si="83"/>
        <v>473103.91090575705</v>
      </c>
      <c r="F142" s="170">
        <f t="shared" si="83"/>
        <v>-398929.83391801262</v>
      </c>
      <c r="G142" s="170">
        <f t="shared" si="83"/>
        <v>-413424.79990273213</v>
      </c>
      <c r="H142" s="170">
        <f t="shared" si="83"/>
        <v>-1070779.4994331219</v>
      </c>
      <c r="I142" s="170">
        <f t="shared" si="83"/>
        <v>-1727331.4506035817</v>
      </c>
      <c r="J142" s="170">
        <f t="shared" si="83"/>
        <v>-1740167.6176421798</v>
      </c>
      <c r="K142" s="170">
        <f t="shared" si="83"/>
        <v>-177063.34910775482</v>
      </c>
      <c r="L142" s="170">
        <f t="shared" si="83"/>
        <v>-178359.49046128208</v>
      </c>
      <c r="M142" s="170">
        <f t="shared" si="83"/>
        <v>-179645.52313433643</v>
      </c>
      <c r="N142" s="170">
        <f t="shared" si="83"/>
        <v>-161458.31377508026</v>
      </c>
      <c r="O142" s="170">
        <f t="shared" si="83"/>
        <v>-149348.38325769582</v>
      </c>
      <c r="P142" s="170">
        <f t="shared" si="83"/>
        <v>-163133.24536250465</v>
      </c>
      <c r="Q142" s="170">
        <f t="shared" si="83"/>
        <v>-171920.59182955176</v>
      </c>
      <c r="R142" s="170">
        <f t="shared" si="83"/>
        <v>-174592.472542323</v>
      </c>
      <c r="S142" s="170">
        <f t="shared" si="83"/>
        <v>-182868.22554766876</v>
      </c>
      <c r="T142" s="170">
        <f t="shared" si="83"/>
        <v>-189783.37238709629</v>
      </c>
      <c r="U142" s="170">
        <f t="shared" si="83"/>
        <v>-191085.79745105014</v>
      </c>
      <c r="V142" s="170">
        <f t="shared" si="83"/>
        <v>-192385.70655003234</v>
      </c>
      <c r="W142" s="170">
        <f t="shared" si="83"/>
        <v>-194764.45273943755</v>
      </c>
      <c r="X142" s="170">
        <f t="shared" si="83"/>
        <v>-196670.56688631119</v>
      </c>
      <c r="Y142" s="170">
        <f t="shared" si="83"/>
        <v>-197492.27215599845</v>
      </c>
      <c r="Z142" s="170">
        <f t="shared" si="83"/>
        <v>-175019.87454543417</v>
      </c>
      <c r="AA142" s="170">
        <f t="shared" si="83"/>
        <v>-159822.71453822372</v>
      </c>
      <c r="AB142" s="170">
        <f t="shared" si="83"/>
        <v>-175574.26746853543</v>
      </c>
      <c r="AC142" s="170">
        <f t="shared" si="83"/>
        <v>-185359.8010751174</v>
      </c>
      <c r="AD142" s="170">
        <f t="shared" si="83"/>
        <v>-186197.90599094654</v>
      </c>
      <c r="AE142" s="170">
        <f t="shared" si="83"/>
        <v>-193739.99885280186</v>
      </c>
      <c r="AF142" s="170">
        <f t="shared" si="83"/>
        <v>-201278.0967557244</v>
      </c>
      <c r="AG142" s="170">
        <f t="shared" si="83"/>
        <v>-202104.21287429301</v>
      </c>
      <c r="AH142" s="170">
        <f t="shared" si="83"/>
        <v>-202925.99379937514</v>
      </c>
      <c r="AI142" s="170">
        <f t="shared" si="83"/>
        <v>-203743.26331306892</v>
      </c>
      <c r="AJ142" s="170">
        <f t="shared" si="83"/>
        <v>-204555.84100957366</v>
      </c>
      <c r="AK142" s="170">
        <f t="shared" si="83"/>
        <v>-205363.54220206779</v>
      </c>
      <c r="AL142" s="170">
        <f t="shared" si="83"/>
        <v>-178318.99052576016</v>
      </c>
      <c r="AM142" s="170">
        <f t="shared" si="83"/>
        <v>-159971.4257776895</v>
      </c>
      <c r="AN142" s="170">
        <f t="shared" si="83"/>
        <v>-178382.49255226232</v>
      </c>
      <c r="AO142" s="170">
        <f t="shared" si="83"/>
        <v>-189659.01938046655</v>
      </c>
      <c r="AP142" s="170">
        <f t="shared" si="83"/>
        <v>-323380.09201588423</v>
      </c>
    </row>
    <row r="143" spans="1:42" x14ac:dyDescent="0.2">
      <c r="A143" s="167" t="s">
        <v>53</v>
      </c>
      <c r="B143" s="177">
        <f>SUM(B141:B142)</f>
        <v>0</v>
      </c>
      <c r="C143" s="177">
        <f>SUM(C141:C142)</f>
        <v>655183.99101515382</v>
      </c>
      <c r="D143" s="177">
        <f>SUM(D141:D142)</f>
        <v>2235696.3033749308</v>
      </c>
      <c r="E143" s="177">
        <f t="shared" ref="E143:AP143" si="84">SUM(E141:E142)</f>
        <v>551775.76305939769</v>
      </c>
      <c r="F143" s="177">
        <f t="shared" si="84"/>
        <v>-465267.37243801472</v>
      </c>
      <c r="G143" s="177">
        <f t="shared" si="84"/>
        <v>-482172.68801958859</v>
      </c>
      <c r="H143" s="177">
        <f t="shared" si="84"/>
        <v>-1248838.0707674278</v>
      </c>
      <c r="I143" s="177">
        <f t="shared" si="84"/>
        <v>-2014567.2171438599</v>
      </c>
      <c r="J143" s="177">
        <f t="shared" si="84"/>
        <v>-2029537.8941964349</v>
      </c>
      <c r="K143" s="177">
        <f t="shared" si="84"/>
        <v>-206506.98992688261</v>
      </c>
      <c r="L143" s="177">
        <f t="shared" si="84"/>
        <v>-208018.66498999111</v>
      </c>
      <c r="M143" s="177">
        <f t="shared" si="84"/>
        <v>-209518.5504129109</v>
      </c>
      <c r="N143" s="177">
        <f t="shared" si="84"/>
        <v>-188307.01296670357</v>
      </c>
      <c r="O143" s="177">
        <f t="shared" si="84"/>
        <v>-174183.33738973897</v>
      </c>
      <c r="P143" s="177">
        <f t="shared" si="84"/>
        <v>-190260.46681356363</v>
      </c>
      <c r="Q143" s="177">
        <f t="shared" si="84"/>
        <v>-200509.05003250064</v>
      </c>
      <c r="R143" s="177">
        <f t="shared" si="84"/>
        <v>-203625.23441632985</v>
      </c>
      <c r="S143" s="177">
        <f t="shared" si="84"/>
        <v>-213277.15194259479</v>
      </c>
      <c r="T143" s="177">
        <f t="shared" si="84"/>
        <v>-221342.20982108056</v>
      </c>
      <c r="U143" s="177">
        <f t="shared" si="84"/>
        <v>-222861.21350489068</v>
      </c>
      <c r="V143" s="177">
        <f t="shared" si="84"/>
        <v>-224377.28284708987</v>
      </c>
      <c r="W143" s="177">
        <f t="shared" si="84"/>
        <v>-227151.58773768114</v>
      </c>
      <c r="X143" s="177">
        <f t="shared" si="84"/>
        <v>-229374.66719998349</v>
      </c>
      <c r="Y143" s="177">
        <f t="shared" si="84"/>
        <v>-230333.01280174271</v>
      </c>
      <c r="Z143" s="177">
        <f t="shared" si="84"/>
        <v>-204123.70855903623</v>
      </c>
      <c r="AA143" s="177">
        <f t="shared" si="84"/>
        <v>-186399.43199733878</v>
      </c>
      <c r="AB143" s="177">
        <f t="shared" si="84"/>
        <v>-204770.2907815194</v>
      </c>
      <c r="AC143" s="177">
        <f t="shared" si="84"/>
        <v>-216183.04841943021</v>
      </c>
      <c r="AD143" s="177">
        <f t="shared" si="84"/>
        <v>-217160.52074378723</v>
      </c>
      <c r="AE143" s="177">
        <f t="shared" si="84"/>
        <v>-225956.77870738722</v>
      </c>
      <c r="AF143" s="177">
        <f t="shared" si="84"/>
        <v>-234748.37739537621</v>
      </c>
      <c r="AG143" s="177">
        <f t="shared" si="84"/>
        <v>-235711.86732050954</v>
      </c>
      <c r="AH143" s="177">
        <f t="shared" si="84"/>
        <v>-236670.30115830374</v>
      </c>
      <c r="AI143" s="177">
        <f t="shared" si="84"/>
        <v>-237623.47338780449</v>
      </c>
      <c r="AJ143" s="177">
        <f t="shared" si="84"/>
        <v>-238571.17360375825</v>
      </c>
      <c r="AK143" s="177">
        <f t="shared" si="84"/>
        <v>-239513.18640800501</v>
      </c>
      <c r="AL143" s="177">
        <f t="shared" si="84"/>
        <v>-207971.43037131365</v>
      </c>
      <c r="AM143" s="177">
        <f t="shared" si="84"/>
        <v>-186572.87224109969</v>
      </c>
      <c r="AN143" s="177">
        <f t="shared" si="84"/>
        <v>-208045.49206964532</v>
      </c>
      <c r="AO143" s="177">
        <f t="shared" si="84"/>
        <v>-221197.17830994699</v>
      </c>
      <c r="AP143" s="177">
        <f t="shared" si="84"/>
        <v>-377154.55932011292</v>
      </c>
    </row>
    <row r="144" spans="1:42" x14ac:dyDescent="0.2">
      <c r="A144" s="163" t="s">
        <v>53</v>
      </c>
      <c r="B144" s="135">
        <f>B131+B135+B139+B143</f>
        <v>-26158381.612124998</v>
      </c>
      <c r="C144" s="135">
        <f t="shared" ref="C144:AP144" si="85">C131+C135+C139+C143</f>
        <v>12567710.977176879</v>
      </c>
      <c r="D144" s="135">
        <f t="shared" si="85"/>
        <v>2235696.3033749308</v>
      </c>
      <c r="E144" s="135">
        <f t="shared" si="85"/>
        <v>551775.76305939769</v>
      </c>
      <c r="F144" s="135">
        <f t="shared" si="85"/>
        <v>4602648.1985384449</v>
      </c>
      <c r="G144" s="135">
        <f t="shared" si="85"/>
        <v>4624885.1718849782</v>
      </c>
      <c r="H144" s="135">
        <f t="shared" si="85"/>
        <v>3897331.1995920604</v>
      </c>
      <c r="I144" s="135">
        <f t="shared" si="85"/>
        <v>3170679.6986186989</v>
      </c>
      <c r="J144" s="135">
        <f t="shared" si="85"/>
        <v>3194749.943123336</v>
      </c>
      <c r="K144" s="135">
        <f t="shared" si="85"/>
        <v>319821.91031406954</v>
      </c>
      <c r="L144" s="135">
        <f t="shared" si="85"/>
        <v>322206.06530347699</v>
      </c>
      <c r="M144" s="135">
        <f t="shared" si="85"/>
        <v>324597.40495092701</v>
      </c>
      <c r="N144" s="135">
        <f t="shared" si="85"/>
        <v>349695.23607154976</v>
      </c>
      <c r="O144" s="135">
        <f t="shared" si="85"/>
        <v>357745.82498944656</v>
      </c>
      <c r="P144" s="135">
        <f t="shared" si="85"/>
        <v>345628.12505813281</v>
      </c>
      <c r="Q144" s="135">
        <f t="shared" si="85"/>
        <v>339333.01158663153</v>
      </c>
      <c r="R144" s="135">
        <f t="shared" si="85"/>
        <v>340163.97744012123</v>
      </c>
      <c r="S144" s="135">
        <f t="shared" si="85"/>
        <v>334452.52206843731</v>
      </c>
      <c r="T144" s="135">
        <f t="shared" si="85"/>
        <v>330320.86068533186</v>
      </c>
      <c r="U144" s="135">
        <f t="shared" si="85"/>
        <v>332727.80105680577</v>
      </c>
      <c r="V144" s="135">
        <f t="shared" si="85"/>
        <v>335129.82713943516</v>
      </c>
      <c r="W144" s="135">
        <f t="shared" si="85"/>
        <v>335548.81712445861</v>
      </c>
      <c r="X144" s="135">
        <f t="shared" si="85"/>
        <v>335806.35590286844</v>
      </c>
      <c r="Y144" s="135">
        <f t="shared" si="85"/>
        <v>337319.53276462801</v>
      </c>
      <c r="Z144" s="135">
        <f t="shared" si="85"/>
        <v>365990.82772298658</v>
      </c>
      <c r="AA144" s="135">
        <f t="shared" si="85"/>
        <v>374265.79664838256</v>
      </c>
      <c r="AB144" s="135">
        <f t="shared" si="85"/>
        <v>358436.95914610417</v>
      </c>
      <c r="AC144" s="135">
        <f t="shared" si="85"/>
        <v>349555.31916205742</v>
      </c>
      <c r="AD144" s="135">
        <f t="shared" si="85"/>
        <v>351097.5814507929</v>
      </c>
      <c r="AE144" s="135">
        <f t="shared" si="85"/>
        <v>344809.18417551898</v>
      </c>
      <c r="AF144" s="135">
        <f t="shared" si="85"/>
        <v>338513.06964066043</v>
      </c>
      <c r="AG144" s="135">
        <f t="shared" si="85"/>
        <v>340032.17273578129</v>
      </c>
      <c r="AH144" s="135">
        <f t="shared" si="85"/>
        <v>341542.91393383802</v>
      </c>
      <c r="AI144" s="135">
        <f t="shared" si="85"/>
        <v>343044.95937791758</v>
      </c>
      <c r="AJ144" s="135">
        <f t="shared" si="85"/>
        <v>344537.96729053161</v>
      </c>
      <c r="AK144" s="135">
        <f t="shared" si="85"/>
        <v>346021.58779752633</v>
      </c>
      <c r="AL144" s="135">
        <f t="shared" si="85"/>
        <v>379973.32367524068</v>
      </c>
      <c r="AM144" s="135">
        <f t="shared" si="85"/>
        <v>431479.49587606441</v>
      </c>
      <c r="AN144" s="135">
        <f t="shared" si="85"/>
        <v>411769.84290928161</v>
      </c>
      <c r="AO144" s="135">
        <f t="shared" si="85"/>
        <v>400363.65081073833</v>
      </c>
      <c r="AP144" s="135">
        <f t="shared" si="85"/>
        <v>698983.38096529571</v>
      </c>
    </row>
    <row r="145" spans="1:42" x14ac:dyDescent="0.2">
      <c r="A145" s="183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</row>
    <row r="146" spans="1:42" x14ac:dyDescent="0.2">
      <c r="A146" s="163" t="s">
        <v>323</v>
      </c>
      <c r="B146" s="184">
        <f>ROUND(IF(ISERROR(IRR($B$144:B144)),0,IRR($B$144:B144)),4)</f>
        <v>0</v>
      </c>
      <c r="C146" s="184">
        <f>ROUND(IF(ISERROR(IRR($B$144:C144)),0,IRR($B$144:C144)),4)</f>
        <v>-0.51959999999999995</v>
      </c>
      <c r="D146" s="184">
        <f>ROUND(IF(ISERROR(IRR($B$144:D144)),0,IRR($B$144:D144)),4)</f>
        <v>-0.38140000000000002</v>
      </c>
      <c r="E146" s="184">
        <f>ROUND(IF(ISERROR(IRR($B$144:E144)),0,IRR($B$144:E144)),4)</f>
        <v>-0.3412</v>
      </c>
      <c r="F146" s="184">
        <f>ROUND(IF(ISERROR(IRR($B$144:F144)),0,IRR($B$144:F144)),4)</f>
        <v>-0.12820000000000001</v>
      </c>
      <c r="G146" s="184">
        <f>ROUND(IF(ISERROR(IRR($B$144:G144)),0,IRR($B$144:G144)),4)</f>
        <v>-2.47E-2</v>
      </c>
      <c r="H146" s="184">
        <f>ROUND(IF(ISERROR(IRR($B$144:H144)),0,IRR($B$144:H144)),4)</f>
        <v>0.03</v>
      </c>
      <c r="I146" s="184">
        <f>ROUND(IF(ISERROR(IRR($B$144:I144)),0,IRR($B$144:I144)),4)</f>
        <v>6.1400000000000003E-2</v>
      </c>
      <c r="J146" s="184">
        <f>ROUND(IF(ISERROR(IRR($B$144:J144)),0,IRR($B$144:J144)),4)</f>
        <v>8.5000000000000006E-2</v>
      </c>
      <c r="K146" s="184">
        <f>ROUND(IF(ISERROR(IRR($B$144:K144)),0,IRR($B$144:K144)),4)</f>
        <v>8.6900000000000005E-2</v>
      </c>
      <c r="L146" s="184">
        <f>ROUND(IF(ISERROR(IRR($B$144:L144)),0,IRR($B$144:L144)),4)</f>
        <v>8.8599999999999998E-2</v>
      </c>
      <c r="M146" s="184">
        <f>ROUND(IF(ISERROR(IRR($B$144:M144)),0,IRR($B$144:M144)),4)</f>
        <v>9.0200000000000002E-2</v>
      </c>
      <c r="N146" s="184">
        <f>ROUND(IF(ISERROR(IRR($B$144:N144)),0,IRR($B$144:N144)),4)</f>
        <v>9.1700000000000004E-2</v>
      </c>
      <c r="O146" s="184">
        <f>ROUND(IF(ISERROR(IRR($B$144:O144)),0,IRR($B$144:O144)),4)</f>
        <v>9.3100000000000002E-2</v>
      </c>
      <c r="P146" s="184">
        <f>ROUND(IF(ISERROR(IRR($B$144:P144)),0,IRR($B$144:P144)),4)</f>
        <v>9.4299999999999995E-2</v>
      </c>
      <c r="Q146" s="184">
        <f>ROUND(IF(ISERROR(IRR($B$144:Q144)),0,IRR($B$144:Q144)),4)</f>
        <v>9.5399999999999999E-2</v>
      </c>
      <c r="R146" s="184">
        <f>ROUND(IF(ISERROR(IRR($B$144:R144)),0,IRR($B$144:R144)),4)</f>
        <v>9.6299999999999997E-2</v>
      </c>
      <c r="S146" s="184">
        <f>ROUND(IF(ISERROR(IRR($B$144:S144)),0,IRR($B$144:S144)),4)</f>
        <v>9.7199999999999995E-2</v>
      </c>
      <c r="T146" s="184">
        <f>ROUND(IF(ISERROR(IRR($B$144:T144)),0,IRR($B$144:T144)),4)</f>
        <v>9.7900000000000001E-2</v>
      </c>
      <c r="U146" s="184">
        <f>ROUND(IF(ISERROR(IRR($B$144:U144)),0,IRR($B$144:U144)),4)</f>
        <v>9.8599999999999993E-2</v>
      </c>
      <c r="V146" s="184">
        <f>ROUND(IF(ISERROR(IRR($B$144:V144)),0,IRR($B$144:V144)),4)</f>
        <v>9.9099999999999994E-2</v>
      </c>
      <c r="W146" s="184">
        <f>ROUND(IF(ISERROR(IRR($B$144:W144)),0,IRR($B$144:W144)),4)</f>
        <v>9.9699999999999997E-2</v>
      </c>
      <c r="X146" s="184">
        <f>ROUND(IF(ISERROR(IRR($B$144:X144)),0,IRR($B$144:X144)),4)</f>
        <v>0.1002</v>
      </c>
      <c r="Y146" s="184">
        <f>ROUND(IF(ISERROR(IRR($B$144:Y144)),0,IRR($B$144:Y144)),4)</f>
        <v>0.10059999999999999</v>
      </c>
      <c r="Z146" s="184">
        <f>ROUND(IF(ISERROR(IRR($B$144:Z144)),0,IRR($B$144:Z144)),4)</f>
        <v>0.10100000000000001</v>
      </c>
      <c r="AA146" s="184">
        <f>ROUND(IF(ISERROR(IRR($B$144:AA144)),0,IRR($B$144:AA144)),4)</f>
        <v>0.1014</v>
      </c>
      <c r="AB146" s="184">
        <f>ROUND(IF(ISERROR(IRR($B$144:AB144)),0,IRR($B$144:AB144)),4)</f>
        <v>0.1017</v>
      </c>
      <c r="AC146" s="184">
        <f>ROUND(IF(ISERROR(IRR($B$144:AC144)),0,IRR($B$144:AC144)),4)</f>
        <v>0.10199999999999999</v>
      </c>
      <c r="AD146" s="184">
        <f>ROUND(IF(ISERROR(IRR($B$144:AD144)),0,IRR($B$144:AD144)),4)</f>
        <v>0.1022</v>
      </c>
      <c r="AE146" s="184">
        <f>ROUND(IF(ISERROR(IRR($B$144:AE144)),0,IRR($B$144:AE144)),4)</f>
        <v>0.10249999999999999</v>
      </c>
      <c r="AF146" s="184">
        <f>ROUND(IF(ISERROR(IRR($B$144:AF144)),0,IRR($B$144:AF144)),4)</f>
        <v>0.1027</v>
      </c>
      <c r="AG146" s="184">
        <f>ROUND(IF(ISERROR(IRR($B$144:AG144)),0,IRR($B$144:AG144)),4)</f>
        <v>0.1028</v>
      </c>
      <c r="AH146" s="184">
        <f>ROUND(IF(ISERROR(IRR($B$144:AH144)),0,IRR($B$144:AH144)),4)</f>
        <v>0.10299999999999999</v>
      </c>
      <c r="AI146" s="184">
        <f>ROUND(IF(ISERROR(IRR($B$144:AI144)),0,IRR($B$144:AI144)),4)</f>
        <v>0.1032</v>
      </c>
      <c r="AJ146" s="184">
        <f>ROUND(IF(ISERROR(IRR($B$144:AJ144)),0,IRR($B$144:AJ144)),4)</f>
        <v>0.1033</v>
      </c>
      <c r="AK146" s="184">
        <f>ROUND(IF(ISERROR(IRR($B$144:AK144)),0,IRR($B$144:AK144)),4)</f>
        <v>0.10340000000000001</v>
      </c>
      <c r="AL146" s="184">
        <f>ROUND(IF(ISERROR(IRR($B$144:AL144)),0,IRR($B$144:AL144)),4)</f>
        <v>0.10349999999999999</v>
      </c>
      <c r="AM146" s="184">
        <f>ROUND(IF(ISERROR(IRR($B$144:AM144)),0,IRR($B$144:AM144)),4)</f>
        <v>0.1037</v>
      </c>
      <c r="AN146" s="184">
        <f>ROUND(IF(ISERROR(IRR($B$144:AN144)),0,IRR($B$144:AN144)),4)</f>
        <v>0.1038</v>
      </c>
      <c r="AO146" s="184">
        <f>ROUND(IF(ISERROR(IRR($B$144:AO144)),0,IRR($B$144:AO144)),4)</f>
        <v>0.1038</v>
      </c>
      <c r="AP146" s="184">
        <f>ROUND(IF(ISERROR(IRR($B$144:AP144)),0,IRR($B$144:AP144)),4)</f>
        <v>0.104</v>
      </c>
    </row>
    <row r="147" spans="1:42" x14ac:dyDescent="0.2">
      <c r="A147" s="163" t="s">
        <v>220</v>
      </c>
      <c r="B147" s="185">
        <f>MAX($B$146:B146)</f>
        <v>0</v>
      </c>
      <c r="C147" s="185">
        <f>MAX($B$146:C146)</f>
        <v>0</v>
      </c>
      <c r="D147" s="185">
        <f>MAX($B$146:D146)</f>
        <v>0</v>
      </c>
      <c r="E147" s="185">
        <f>MAX($B$146:E146)</f>
        <v>0</v>
      </c>
      <c r="F147" s="185">
        <f>MAX($B$146:F146)</f>
        <v>0</v>
      </c>
      <c r="G147" s="185">
        <f>MAX($B$146:G146)</f>
        <v>0</v>
      </c>
      <c r="H147" s="185">
        <f>MAX($B$146:H146)</f>
        <v>0.03</v>
      </c>
      <c r="I147" s="185">
        <f>MAX($B$146:I146)</f>
        <v>6.1400000000000003E-2</v>
      </c>
      <c r="J147" s="185">
        <f>MAX($B$146:J146)</f>
        <v>8.5000000000000006E-2</v>
      </c>
      <c r="K147" s="185">
        <f>MAX($B$146:K146)</f>
        <v>8.6900000000000005E-2</v>
      </c>
      <c r="L147" s="185">
        <f>MAX($B$146:L146)</f>
        <v>8.8599999999999998E-2</v>
      </c>
      <c r="M147" s="185">
        <f>MAX($B$146:M146)</f>
        <v>9.0200000000000002E-2</v>
      </c>
      <c r="N147" s="185">
        <f>MAX($B$146:N146)</f>
        <v>9.1700000000000004E-2</v>
      </c>
      <c r="O147" s="185">
        <f>MAX($B$146:O146)</f>
        <v>9.3100000000000002E-2</v>
      </c>
      <c r="P147" s="185">
        <f>MAX($B$146:P146)</f>
        <v>9.4299999999999995E-2</v>
      </c>
      <c r="Q147" s="185">
        <f>MAX($B$146:Q146)</f>
        <v>9.5399999999999999E-2</v>
      </c>
      <c r="R147" s="185">
        <f>MAX($B$146:R146)</f>
        <v>9.6299999999999997E-2</v>
      </c>
      <c r="S147" s="185">
        <f>MAX($B$146:S146)</f>
        <v>9.7199999999999995E-2</v>
      </c>
      <c r="T147" s="185">
        <f>MAX($B$146:T146)</f>
        <v>9.7900000000000001E-2</v>
      </c>
      <c r="U147" s="185">
        <f>MAX($B$146:U146)</f>
        <v>9.8599999999999993E-2</v>
      </c>
      <c r="V147" s="185">
        <f>MAX($B$146:V146)</f>
        <v>9.9099999999999994E-2</v>
      </c>
      <c r="W147" s="185">
        <f>MAX($B$146:W146)</f>
        <v>9.9699999999999997E-2</v>
      </c>
      <c r="X147" s="185">
        <f>MAX($B$146:X146)</f>
        <v>0.1002</v>
      </c>
      <c r="Y147" s="185">
        <f>MAX($B$146:Y146)</f>
        <v>0.10059999999999999</v>
      </c>
      <c r="Z147" s="185">
        <f>MAX($B$146:Z146)</f>
        <v>0.10100000000000001</v>
      </c>
      <c r="AA147" s="185">
        <f>MAX($B$146:AA146)</f>
        <v>0.1014</v>
      </c>
      <c r="AB147" s="185">
        <f>MAX($B$146:AB146)</f>
        <v>0.1017</v>
      </c>
      <c r="AC147" s="185">
        <f>MAX($B$146:AC146)</f>
        <v>0.10199999999999999</v>
      </c>
      <c r="AD147" s="185">
        <f>MAX($B$146:AD146)</f>
        <v>0.1022</v>
      </c>
      <c r="AE147" s="185">
        <f>MAX($B$146:AE146)</f>
        <v>0.10249999999999999</v>
      </c>
      <c r="AF147" s="185">
        <f>MAX($B$146:AF146)</f>
        <v>0.1027</v>
      </c>
      <c r="AG147" s="185">
        <f>MAX($B$146:AG146)</f>
        <v>0.1028</v>
      </c>
      <c r="AH147" s="185">
        <f>MAX($B$146:AH146)</f>
        <v>0.10299999999999999</v>
      </c>
      <c r="AI147" s="185">
        <f>MAX($B$146:AI146)</f>
        <v>0.1032</v>
      </c>
      <c r="AJ147" s="185">
        <f>MAX($B$146:AJ146)</f>
        <v>0.1033</v>
      </c>
      <c r="AK147" s="185">
        <f>MAX($B$146:AK146)</f>
        <v>0.10340000000000001</v>
      </c>
      <c r="AL147" s="185">
        <f>MAX($B$146:AL146)</f>
        <v>0.10349999999999999</v>
      </c>
      <c r="AM147" s="185">
        <f>MAX($B$146:AM146)</f>
        <v>0.1037</v>
      </c>
      <c r="AN147" s="185">
        <f>MAX($B$146:AN146)</f>
        <v>0.1038</v>
      </c>
      <c r="AO147" s="185">
        <f>MAX($B$146:AO146)</f>
        <v>0.1038</v>
      </c>
      <c r="AP147" s="185">
        <f>MAX($B$146:AP146)</f>
        <v>0.104</v>
      </c>
    </row>
    <row r="148" spans="1:42" x14ac:dyDescent="0.2">
      <c r="A148" s="163" t="s">
        <v>324</v>
      </c>
      <c r="B148" s="230">
        <f>B144</f>
        <v>-26158381.612124998</v>
      </c>
      <c r="C148" s="230">
        <f>NPV(DiscountRate,$C144:C144)+$B144</f>
        <v>-14521612.188813074</v>
      </c>
      <c r="D148" s="230">
        <f>NPV(DiscountRate,$C144:D144)+$B144</f>
        <v>-12604862.957524555</v>
      </c>
      <c r="E148" s="230">
        <f>NPV(DiscountRate,$C144:E144)+$B144</f>
        <v>-12166845.566994498</v>
      </c>
      <c r="F148" s="230">
        <f>NPV(DiscountRate,$C144:F144)+$B144</f>
        <v>-8783761.739148926</v>
      </c>
      <c r="G148" s="230">
        <f>NPV(DiscountRate,$C144:G144)+$B144</f>
        <v>-5636142.6029534489</v>
      </c>
      <c r="H148" s="230">
        <f>NPV(DiscountRate,$C144:H144)+$B144</f>
        <v>-3180162.8550666384</v>
      </c>
      <c r="I148" s="230">
        <f>NPV(DiscountRate,$C144:I144)+$B144</f>
        <v>-1330101.7044699863</v>
      </c>
      <c r="J148" s="230">
        <f>NPV(DiscountRate,$C144:J144)+$B144</f>
        <v>395922.28356400877</v>
      </c>
      <c r="K148" s="230">
        <f>NPV(DiscountRate,$C144:K144)+$B144</f>
        <v>555912.86386463419</v>
      </c>
      <c r="L148" s="230">
        <f>NPV(DiscountRate,$C144:L144)+$B144</f>
        <v>705156.6151345931</v>
      </c>
      <c r="M148" s="230">
        <f>NPV(DiscountRate,$C144:M144)+$B144</f>
        <v>844370.87830353156</v>
      </c>
      <c r="N148" s="230">
        <f>NPV(DiscountRate,$C144:N144)+$B144</f>
        <v>983239.6678805016</v>
      </c>
      <c r="O148" s="230">
        <f>NPV(DiscountRate,$C144:O144)+$B144</f>
        <v>1114782.0652892739</v>
      </c>
      <c r="P148" s="230">
        <f>NPV(DiscountRate,$C144:P144)+$B144</f>
        <v>1232454.9766709618</v>
      </c>
      <c r="Q148" s="230">
        <f>NPV(DiscountRate,$C144:Q144)+$B144</f>
        <v>1339426.8937947415</v>
      </c>
      <c r="R148" s="230">
        <f>NPV(DiscountRate,$C144:R144)+$B144</f>
        <v>1438717.5162171498</v>
      </c>
      <c r="S148" s="230">
        <f>NPV(DiscountRate,$C144:S144)+$B144</f>
        <v>1529109.648664847</v>
      </c>
      <c r="T148" s="230">
        <f>NPV(DiscountRate,$C144:T144)+$B144</f>
        <v>1611772.1233481467</v>
      </c>
      <c r="U148" s="230">
        <f>NPV(DiscountRate,$C144:U144)+$B144</f>
        <v>1688869.1688799933</v>
      </c>
      <c r="V148" s="230">
        <f>NPV(DiscountRate,$C144:V144)+$B144</f>
        <v>1760770.6725403927</v>
      </c>
      <c r="W148" s="230">
        <f>NPV(DiscountRate,$C144:W144)+$B144</f>
        <v>1827429.3736613244</v>
      </c>
      <c r="X148" s="230">
        <f>NPV(DiscountRate,$C144:X144)+$B144</f>
        <v>1889197.7650312185</v>
      </c>
      <c r="Y148" s="230">
        <f>NPV(DiscountRate,$C144:Y144)+$B144</f>
        <v>1946648.4371507429</v>
      </c>
      <c r="Z148" s="230">
        <f>NPV(DiscountRate,$C144:Z144)+$B144</f>
        <v>2004364.9481427111</v>
      </c>
      <c r="AA148" s="230">
        <f>NPV(DiscountRate,$C144:AA144)+$B144</f>
        <v>2059014.4556498714</v>
      </c>
      <c r="AB148" s="230">
        <f>NPV(DiscountRate,$C144:AB144)+$B144</f>
        <v>2107475.7647404894</v>
      </c>
      <c r="AC148" s="230">
        <f>NPV(DiscountRate,$C144:AC144)+$B144</f>
        <v>2151235.4829805531</v>
      </c>
      <c r="AD148" s="230">
        <f>NPV(DiscountRate,$C144:AD144)+$B144</f>
        <v>2191932.5099704005</v>
      </c>
      <c r="AE148" s="230">
        <f>NPV(DiscountRate,$C144:AE144)+$B144</f>
        <v>2228940.0242893994</v>
      </c>
      <c r="AF148" s="230">
        <f>NPV(DiscountRate,$C144:AF144)+$B144</f>
        <v>2262580.5501835346</v>
      </c>
      <c r="AG148" s="230">
        <f>NPV(DiscountRate,$C144:AG144)+$B144</f>
        <v>2293868.9671350084</v>
      </c>
      <c r="AH148" s="230">
        <f>NPV(DiscountRate,$C144:AH144)+$B144</f>
        <v>2322968.438789703</v>
      </c>
      <c r="AI148" s="230">
        <f>NPV(DiscountRate,$C144:AI144)+$B144</f>
        <v>2350030.8887843303</v>
      </c>
      <c r="AJ148" s="230">
        <f>NPV(DiscountRate,$C144:AJ144)+$B144</f>
        <v>2375197.7700734399</v>
      </c>
      <c r="AK148" s="230">
        <f>NPV(DiscountRate,$C144:AK144)+$B144</f>
        <v>2398600.7819282562</v>
      </c>
      <c r="AL148" s="230">
        <f>NPV(DiscountRate,$C144:AL144)+$B144</f>
        <v>2422396.4504326619</v>
      </c>
      <c r="AM148" s="230">
        <f>NPV(DiscountRate,$C144:AM144)+$B144</f>
        <v>2447416.099256184</v>
      </c>
      <c r="AN148" s="230">
        <f>NPV(DiscountRate,$C144:AN144)+$B144</f>
        <v>2469524.2200191729</v>
      </c>
      <c r="AO148" s="230">
        <f>NPV(DiscountRate,$C144:AO144)+$B144</f>
        <v>2489427.6615260094</v>
      </c>
      <c r="AP148" s="230">
        <f>NPV(DiscountRate,$C144:AP144)+$B144</f>
        <v>2521602.5189132355</v>
      </c>
    </row>
    <row r="149" spans="1:42" x14ac:dyDescent="0.2">
      <c r="A149" s="163"/>
      <c r="B149" s="135"/>
      <c r="C149" s="135"/>
      <c r="D149" s="135"/>
      <c r="E149" s="135"/>
      <c r="F149" s="135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</row>
    <row r="150" spans="1:42" x14ac:dyDescent="0.2">
      <c r="A150" s="20" t="s">
        <v>289</v>
      </c>
      <c r="B150" s="179">
        <f>SUM(C150:AP150)</f>
        <v>8</v>
      </c>
      <c r="C150" s="135">
        <f t="shared" ref="C150:AP150" si="86">IF(AND(B147&lt;AEPFFlipTarget,C147&gt;=AEPFFlipTarget),C$2,0)</f>
        <v>0</v>
      </c>
      <c r="D150" s="135">
        <f t="shared" si="86"/>
        <v>0</v>
      </c>
      <c r="E150" s="135">
        <f t="shared" si="86"/>
        <v>0</v>
      </c>
      <c r="F150" s="135">
        <f t="shared" si="86"/>
        <v>0</v>
      </c>
      <c r="G150" s="135">
        <f t="shared" si="86"/>
        <v>0</v>
      </c>
      <c r="H150" s="135">
        <f t="shared" si="86"/>
        <v>0</v>
      </c>
      <c r="I150" s="135">
        <f t="shared" si="86"/>
        <v>0</v>
      </c>
      <c r="J150" s="135">
        <f t="shared" si="86"/>
        <v>8</v>
      </c>
      <c r="K150" s="135">
        <f t="shared" si="86"/>
        <v>0</v>
      </c>
      <c r="L150" s="135">
        <f t="shared" si="86"/>
        <v>0</v>
      </c>
      <c r="M150" s="135">
        <f t="shared" si="86"/>
        <v>0</v>
      </c>
      <c r="N150" s="135">
        <f t="shared" si="86"/>
        <v>0</v>
      </c>
      <c r="O150" s="135">
        <f t="shared" si="86"/>
        <v>0</v>
      </c>
      <c r="P150" s="135">
        <f t="shared" si="86"/>
        <v>0</v>
      </c>
      <c r="Q150" s="135">
        <f t="shared" si="86"/>
        <v>0</v>
      </c>
      <c r="R150" s="135">
        <f t="shared" si="86"/>
        <v>0</v>
      </c>
      <c r="S150" s="135">
        <f t="shared" si="86"/>
        <v>0</v>
      </c>
      <c r="T150" s="135">
        <f t="shared" si="86"/>
        <v>0</v>
      </c>
      <c r="U150" s="135">
        <f t="shared" si="86"/>
        <v>0</v>
      </c>
      <c r="V150" s="135">
        <f t="shared" si="86"/>
        <v>0</v>
      </c>
      <c r="W150" s="135">
        <f t="shared" si="86"/>
        <v>0</v>
      </c>
      <c r="X150" s="135">
        <f t="shared" si="86"/>
        <v>0</v>
      </c>
      <c r="Y150" s="135">
        <f t="shared" si="86"/>
        <v>0</v>
      </c>
      <c r="Z150" s="135">
        <f t="shared" si="86"/>
        <v>0</v>
      </c>
      <c r="AA150" s="135">
        <f t="shared" si="86"/>
        <v>0</v>
      </c>
      <c r="AB150" s="135">
        <f t="shared" si="86"/>
        <v>0</v>
      </c>
      <c r="AC150" s="135">
        <f t="shared" si="86"/>
        <v>0</v>
      </c>
      <c r="AD150" s="135">
        <f t="shared" si="86"/>
        <v>0</v>
      </c>
      <c r="AE150" s="135">
        <f t="shared" si="86"/>
        <v>0</v>
      </c>
      <c r="AF150" s="135">
        <f t="shared" si="86"/>
        <v>0</v>
      </c>
      <c r="AG150" s="135">
        <f t="shared" si="86"/>
        <v>0</v>
      </c>
      <c r="AH150" s="135">
        <f t="shared" si="86"/>
        <v>0</v>
      </c>
      <c r="AI150" s="135">
        <f t="shared" si="86"/>
        <v>0</v>
      </c>
      <c r="AJ150" s="135">
        <f t="shared" si="86"/>
        <v>0</v>
      </c>
      <c r="AK150" s="135">
        <f t="shared" si="86"/>
        <v>0</v>
      </c>
      <c r="AL150" s="135">
        <f t="shared" si="86"/>
        <v>0</v>
      </c>
      <c r="AM150" s="135">
        <f t="shared" si="86"/>
        <v>0</v>
      </c>
      <c r="AN150" s="135">
        <f t="shared" si="86"/>
        <v>0</v>
      </c>
      <c r="AO150" s="135">
        <f t="shared" si="86"/>
        <v>0</v>
      </c>
      <c r="AP150" s="135">
        <f t="shared" si="86"/>
        <v>0</v>
      </c>
    </row>
    <row r="151" spans="1:42" x14ac:dyDescent="0.2">
      <c r="B151" s="135"/>
      <c r="C151" s="135"/>
      <c r="D151" s="135"/>
      <c r="E151" s="135"/>
      <c r="F151" s="135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</row>
    <row r="152" spans="1:42" s="101" customFormat="1" x14ac:dyDescent="0.2">
      <c r="A152" s="178" t="s">
        <v>318</v>
      </c>
      <c r="B152" s="181"/>
      <c r="C152" s="218"/>
      <c r="D152" s="218"/>
      <c r="E152" s="218"/>
      <c r="F152" s="218"/>
      <c r="G152" s="218"/>
      <c r="H152" s="218"/>
      <c r="I152" s="218"/>
      <c r="J152" s="218"/>
      <c r="K152" s="218"/>
      <c r="L152" s="218"/>
      <c r="M152" s="218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</row>
    <row r="153" spans="1:42" s="101" customFormat="1" x14ac:dyDescent="0.2">
      <c r="A153" s="25" t="s">
        <v>96</v>
      </c>
      <c r="B153" s="181">
        <v>0</v>
      </c>
      <c r="C153" s="181">
        <f>B156</f>
        <v>17438921.074750002</v>
      </c>
      <c r="D153" s="181">
        <f t="shared" ref="D153:AP153" si="87">C156</f>
        <v>12488589.825950926</v>
      </c>
      <c r="E153" s="181">
        <f t="shared" si="87"/>
        <v>7499040.2735814108</v>
      </c>
      <c r="F153" s="181">
        <f t="shared" si="87"/>
        <v>2470295.0540654249</v>
      </c>
      <c r="G153" s="181">
        <f t="shared" si="87"/>
        <v>2470295.0540654249</v>
      </c>
      <c r="H153" s="181">
        <f t="shared" si="87"/>
        <v>2470295.0540654249</v>
      </c>
      <c r="I153" s="181">
        <f t="shared" si="87"/>
        <v>2470295.0540654249</v>
      </c>
      <c r="J153" s="181">
        <f t="shared" si="87"/>
        <v>2470295.0540654249</v>
      </c>
      <c r="K153" s="181">
        <f t="shared" si="87"/>
        <v>2470295.0540654249</v>
      </c>
      <c r="L153" s="181">
        <f t="shared" si="87"/>
        <v>2470295.0540654249</v>
      </c>
      <c r="M153" s="181">
        <f t="shared" si="87"/>
        <v>2470295.0540654249</v>
      </c>
      <c r="N153" s="181">
        <f t="shared" si="87"/>
        <v>2470295.0540654249</v>
      </c>
      <c r="O153" s="181">
        <f t="shared" si="87"/>
        <v>2470295.0540654249</v>
      </c>
      <c r="P153" s="181">
        <f t="shared" si="87"/>
        <v>2470295.0540654249</v>
      </c>
      <c r="Q153" s="181">
        <f t="shared" si="87"/>
        <v>2470295.0540654249</v>
      </c>
      <c r="R153" s="181">
        <f t="shared" si="87"/>
        <v>2470295.0540654249</v>
      </c>
      <c r="S153" s="181">
        <f t="shared" si="87"/>
        <v>2470295.0540654249</v>
      </c>
      <c r="T153" s="181">
        <f t="shared" si="87"/>
        <v>2470295.0540654249</v>
      </c>
      <c r="U153" s="181">
        <f t="shared" si="87"/>
        <v>2470295.0540654249</v>
      </c>
      <c r="V153" s="181">
        <f t="shared" si="87"/>
        <v>2470295.0540654249</v>
      </c>
      <c r="W153" s="181">
        <f t="shared" si="87"/>
        <v>2470295.0540654249</v>
      </c>
      <c r="X153" s="181">
        <f t="shared" si="87"/>
        <v>2470295.0540654249</v>
      </c>
      <c r="Y153" s="181">
        <f t="shared" si="87"/>
        <v>2470295.0540654249</v>
      </c>
      <c r="Z153" s="181">
        <f t="shared" si="87"/>
        <v>2470295.0540654249</v>
      </c>
      <c r="AA153" s="181">
        <f t="shared" si="87"/>
        <v>2470295.0540654249</v>
      </c>
      <c r="AB153" s="181">
        <f t="shared" si="87"/>
        <v>2470295.0540654249</v>
      </c>
      <c r="AC153" s="181">
        <f t="shared" si="87"/>
        <v>2470295.0540654249</v>
      </c>
      <c r="AD153" s="181">
        <f t="shared" si="87"/>
        <v>2470295.0540654249</v>
      </c>
      <c r="AE153" s="181">
        <f t="shared" si="87"/>
        <v>2470295.0540654249</v>
      </c>
      <c r="AF153" s="181">
        <f t="shared" si="87"/>
        <v>2470295.0540654249</v>
      </c>
      <c r="AG153" s="181">
        <f t="shared" si="87"/>
        <v>2470295.0540654249</v>
      </c>
      <c r="AH153" s="181">
        <f t="shared" si="87"/>
        <v>2470295.0540654249</v>
      </c>
      <c r="AI153" s="181">
        <f t="shared" si="87"/>
        <v>2470295.0540654249</v>
      </c>
      <c r="AJ153" s="181">
        <f t="shared" si="87"/>
        <v>2470295.0540654249</v>
      </c>
      <c r="AK153" s="181">
        <f t="shared" si="87"/>
        <v>2470295.0540654249</v>
      </c>
      <c r="AL153" s="181">
        <f t="shared" si="87"/>
        <v>2470295.0540654249</v>
      </c>
      <c r="AM153" s="181">
        <f t="shared" si="87"/>
        <v>2470295.0540654249</v>
      </c>
      <c r="AN153" s="181">
        <f t="shared" si="87"/>
        <v>2470295.0540654249</v>
      </c>
      <c r="AO153" s="181">
        <f t="shared" si="87"/>
        <v>2470295.0540654249</v>
      </c>
      <c r="AP153" s="181">
        <f t="shared" si="87"/>
        <v>2470295.0540654249</v>
      </c>
    </row>
    <row r="154" spans="1:42" s="101" customFormat="1" x14ac:dyDescent="0.2">
      <c r="A154" s="25" t="s">
        <v>350</v>
      </c>
      <c r="B154" s="181">
        <f>-B159</f>
        <v>17438921.074750002</v>
      </c>
      <c r="C154" s="181">
        <v>0</v>
      </c>
      <c r="D154" s="181">
        <v>0</v>
      </c>
      <c r="E154" s="181">
        <v>0</v>
      </c>
      <c r="F154" s="181">
        <v>0</v>
      </c>
      <c r="G154" s="181">
        <v>0</v>
      </c>
      <c r="H154" s="181">
        <v>0</v>
      </c>
      <c r="I154" s="181">
        <v>0</v>
      </c>
      <c r="J154" s="181">
        <v>0</v>
      </c>
      <c r="K154" s="181">
        <v>0</v>
      </c>
      <c r="L154" s="181">
        <v>0</v>
      </c>
      <c r="M154" s="181">
        <v>0</v>
      </c>
      <c r="N154" s="181">
        <v>0</v>
      </c>
      <c r="O154" s="181">
        <v>0</v>
      </c>
      <c r="P154" s="181">
        <v>0</v>
      </c>
      <c r="Q154" s="181">
        <v>0</v>
      </c>
      <c r="R154" s="181">
        <v>0</v>
      </c>
      <c r="S154" s="181">
        <v>0</v>
      </c>
      <c r="T154" s="181">
        <v>0</v>
      </c>
      <c r="U154" s="181">
        <v>0</v>
      </c>
      <c r="V154" s="181">
        <v>0</v>
      </c>
      <c r="W154" s="181">
        <v>0</v>
      </c>
      <c r="X154" s="181">
        <v>0</v>
      </c>
      <c r="Y154" s="181">
        <v>0</v>
      </c>
      <c r="Z154" s="181">
        <v>0</v>
      </c>
      <c r="AA154" s="181">
        <v>0</v>
      </c>
      <c r="AB154" s="181">
        <v>0</v>
      </c>
      <c r="AC154" s="181">
        <v>0</v>
      </c>
      <c r="AD154" s="181">
        <v>0</v>
      </c>
      <c r="AE154" s="181">
        <v>0</v>
      </c>
      <c r="AF154" s="181">
        <v>0</v>
      </c>
      <c r="AG154" s="181">
        <v>0</v>
      </c>
      <c r="AH154" s="181">
        <v>0</v>
      </c>
      <c r="AI154" s="181">
        <v>0</v>
      </c>
      <c r="AJ154" s="181">
        <v>0</v>
      </c>
      <c r="AK154" s="181">
        <v>0</v>
      </c>
      <c r="AL154" s="181">
        <v>0</v>
      </c>
      <c r="AM154" s="181">
        <v>0</v>
      </c>
      <c r="AN154" s="181">
        <v>0</v>
      </c>
      <c r="AO154" s="181">
        <v>0</v>
      </c>
      <c r="AP154" s="181">
        <v>0</v>
      </c>
    </row>
    <row r="155" spans="1:42" s="101" customFormat="1" x14ac:dyDescent="0.2">
      <c r="A155" s="25" t="s">
        <v>351</v>
      </c>
      <c r="B155" s="186">
        <f t="shared" ref="B155:AP155" si="88">-IF(B78&lt;0,0,MIN(B153+B154,B78))*IF(CapitalRecoveryMethod="Time",IF(B2&lt;=CapitalRecoveryDuration,1,0),1)</f>
        <v>0</v>
      </c>
      <c r="C155" s="186">
        <f t="shared" si="88"/>
        <v>-4950331.2487990763</v>
      </c>
      <c r="D155" s="186">
        <f t="shared" si="88"/>
        <v>-4989549.5523695154</v>
      </c>
      <c r="E155" s="186">
        <f t="shared" si="88"/>
        <v>-5028745.2195159858</v>
      </c>
      <c r="F155" s="186">
        <f t="shared" si="88"/>
        <v>0</v>
      </c>
      <c r="G155" s="186">
        <f t="shared" si="88"/>
        <v>0</v>
      </c>
      <c r="H155" s="186">
        <f t="shared" si="88"/>
        <v>0</v>
      </c>
      <c r="I155" s="186">
        <f t="shared" si="88"/>
        <v>0</v>
      </c>
      <c r="J155" s="186">
        <f t="shared" si="88"/>
        <v>0</v>
      </c>
      <c r="K155" s="186">
        <f t="shared" si="88"/>
        <v>0</v>
      </c>
      <c r="L155" s="186">
        <f t="shared" si="88"/>
        <v>0</v>
      </c>
      <c r="M155" s="186">
        <f t="shared" si="88"/>
        <v>0</v>
      </c>
      <c r="N155" s="186">
        <f t="shared" si="88"/>
        <v>0</v>
      </c>
      <c r="O155" s="186">
        <f t="shared" si="88"/>
        <v>0</v>
      </c>
      <c r="P155" s="186">
        <f t="shared" si="88"/>
        <v>0</v>
      </c>
      <c r="Q155" s="186">
        <f t="shared" si="88"/>
        <v>0</v>
      </c>
      <c r="R155" s="186">
        <f t="shared" si="88"/>
        <v>0</v>
      </c>
      <c r="S155" s="186">
        <f t="shared" si="88"/>
        <v>0</v>
      </c>
      <c r="T155" s="186">
        <f t="shared" si="88"/>
        <v>0</v>
      </c>
      <c r="U155" s="186">
        <f t="shared" si="88"/>
        <v>0</v>
      </c>
      <c r="V155" s="186">
        <f t="shared" si="88"/>
        <v>0</v>
      </c>
      <c r="W155" s="186">
        <f t="shared" si="88"/>
        <v>0</v>
      </c>
      <c r="X155" s="186">
        <f t="shared" si="88"/>
        <v>0</v>
      </c>
      <c r="Y155" s="186">
        <f t="shared" si="88"/>
        <v>0</v>
      </c>
      <c r="Z155" s="186">
        <f t="shared" si="88"/>
        <v>0</v>
      </c>
      <c r="AA155" s="186">
        <f t="shared" si="88"/>
        <v>0</v>
      </c>
      <c r="AB155" s="186">
        <f t="shared" si="88"/>
        <v>0</v>
      </c>
      <c r="AC155" s="186">
        <f t="shared" si="88"/>
        <v>0</v>
      </c>
      <c r="AD155" s="186">
        <f t="shared" si="88"/>
        <v>0</v>
      </c>
      <c r="AE155" s="186">
        <f t="shared" si="88"/>
        <v>0</v>
      </c>
      <c r="AF155" s="186">
        <f t="shared" si="88"/>
        <v>0</v>
      </c>
      <c r="AG155" s="186">
        <f t="shared" si="88"/>
        <v>0</v>
      </c>
      <c r="AH155" s="186">
        <f t="shared" si="88"/>
        <v>0</v>
      </c>
      <c r="AI155" s="186">
        <f t="shared" si="88"/>
        <v>0</v>
      </c>
      <c r="AJ155" s="186">
        <f t="shared" si="88"/>
        <v>0</v>
      </c>
      <c r="AK155" s="186">
        <f t="shared" si="88"/>
        <v>0</v>
      </c>
      <c r="AL155" s="186">
        <f t="shared" si="88"/>
        <v>0</v>
      </c>
      <c r="AM155" s="186">
        <f t="shared" si="88"/>
        <v>0</v>
      </c>
      <c r="AN155" s="186">
        <f t="shared" si="88"/>
        <v>0</v>
      </c>
      <c r="AO155" s="186">
        <f t="shared" si="88"/>
        <v>0</v>
      </c>
      <c r="AP155" s="186">
        <f t="shared" si="88"/>
        <v>0</v>
      </c>
    </row>
    <row r="156" spans="1:42" s="101" customFormat="1" x14ac:dyDescent="0.2">
      <c r="A156" s="25" t="s">
        <v>99</v>
      </c>
      <c r="B156" s="181">
        <f t="shared" ref="B156:AP156" si="89">SUM(B153:B155)</f>
        <v>17438921.074750002</v>
      </c>
      <c r="C156" s="181">
        <f t="shared" si="89"/>
        <v>12488589.825950926</v>
      </c>
      <c r="D156" s="181">
        <f t="shared" si="89"/>
        <v>7499040.2735814108</v>
      </c>
      <c r="E156" s="181">
        <f t="shared" si="89"/>
        <v>2470295.0540654249</v>
      </c>
      <c r="F156" s="181">
        <f t="shared" si="89"/>
        <v>2470295.0540654249</v>
      </c>
      <c r="G156" s="181">
        <f t="shared" si="89"/>
        <v>2470295.0540654249</v>
      </c>
      <c r="H156" s="181">
        <f t="shared" si="89"/>
        <v>2470295.0540654249</v>
      </c>
      <c r="I156" s="181">
        <f t="shared" si="89"/>
        <v>2470295.0540654249</v>
      </c>
      <c r="J156" s="181">
        <f t="shared" si="89"/>
        <v>2470295.0540654249</v>
      </c>
      <c r="K156" s="181">
        <f t="shared" si="89"/>
        <v>2470295.0540654249</v>
      </c>
      <c r="L156" s="181">
        <f t="shared" si="89"/>
        <v>2470295.0540654249</v>
      </c>
      <c r="M156" s="181">
        <f t="shared" si="89"/>
        <v>2470295.0540654249</v>
      </c>
      <c r="N156" s="181">
        <f t="shared" si="89"/>
        <v>2470295.0540654249</v>
      </c>
      <c r="O156" s="181">
        <f t="shared" si="89"/>
        <v>2470295.0540654249</v>
      </c>
      <c r="P156" s="181">
        <f t="shared" si="89"/>
        <v>2470295.0540654249</v>
      </c>
      <c r="Q156" s="181">
        <f t="shared" si="89"/>
        <v>2470295.0540654249</v>
      </c>
      <c r="R156" s="181">
        <f t="shared" si="89"/>
        <v>2470295.0540654249</v>
      </c>
      <c r="S156" s="181">
        <f t="shared" si="89"/>
        <v>2470295.0540654249</v>
      </c>
      <c r="T156" s="181">
        <f t="shared" si="89"/>
        <v>2470295.0540654249</v>
      </c>
      <c r="U156" s="181">
        <f t="shared" si="89"/>
        <v>2470295.0540654249</v>
      </c>
      <c r="V156" s="181">
        <f t="shared" si="89"/>
        <v>2470295.0540654249</v>
      </c>
      <c r="W156" s="181">
        <f t="shared" si="89"/>
        <v>2470295.0540654249</v>
      </c>
      <c r="X156" s="181">
        <f t="shared" si="89"/>
        <v>2470295.0540654249</v>
      </c>
      <c r="Y156" s="181">
        <f t="shared" si="89"/>
        <v>2470295.0540654249</v>
      </c>
      <c r="Z156" s="181">
        <f t="shared" si="89"/>
        <v>2470295.0540654249</v>
      </c>
      <c r="AA156" s="181">
        <f t="shared" si="89"/>
        <v>2470295.0540654249</v>
      </c>
      <c r="AB156" s="181">
        <f t="shared" si="89"/>
        <v>2470295.0540654249</v>
      </c>
      <c r="AC156" s="181">
        <f t="shared" si="89"/>
        <v>2470295.0540654249</v>
      </c>
      <c r="AD156" s="181">
        <f t="shared" si="89"/>
        <v>2470295.0540654249</v>
      </c>
      <c r="AE156" s="181">
        <f t="shared" si="89"/>
        <v>2470295.0540654249</v>
      </c>
      <c r="AF156" s="181">
        <f t="shared" si="89"/>
        <v>2470295.0540654249</v>
      </c>
      <c r="AG156" s="181">
        <f t="shared" si="89"/>
        <v>2470295.0540654249</v>
      </c>
      <c r="AH156" s="181">
        <f t="shared" si="89"/>
        <v>2470295.0540654249</v>
      </c>
      <c r="AI156" s="181">
        <f t="shared" si="89"/>
        <v>2470295.0540654249</v>
      </c>
      <c r="AJ156" s="181">
        <f t="shared" si="89"/>
        <v>2470295.0540654249</v>
      </c>
      <c r="AK156" s="181">
        <f t="shared" si="89"/>
        <v>2470295.0540654249</v>
      </c>
      <c r="AL156" s="181">
        <f t="shared" si="89"/>
        <v>2470295.0540654249</v>
      </c>
      <c r="AM156" s="181">
        <f t="shared" si="89"/>
        <v>2470295.0540654249</v>
      </c>
      <c r="AN156" s="181">
        <f t="shared" si="89"/>
        <v>2470295.0540654249</v>
      </c>
      <c r="AO156" s="181">
        <f t="shared" si="89"/>
        <v>2470295.0540654249</v>
      </c>
      <c r="AP156" s="181">
        <f t="shared" si="89"/>
        <v>2470295.0540654249</v>
      </c>
    </row>
    <row r="157" spans="1:42" x14ac:dyDescent="0.2">
      <c r="B157" s="135"/>
      <c r="C157" s="135"/>
      <c r="D157" s="135"/>
      <c r="E157" s="135"/>
      <c r="F157" s="135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</row>
    <row r="158" spans="1:42" s="101" customFormat="1" x14ac:dyDescent="0.2">
      <c r="A158" s="178" t="s">
        <v>227</v>
      </c>
      <c r="B158" s="181"/>
      <c r="C158" s="181"/>
      <c r="D158" s="181"/>
      <c r="E158" s="181"/>
      <c r="F158" s="181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</row>
    <row r="159" spans="1:42" x14ac:dyDescent="0.2">
      <c r="A159" s="163" t="s">
        <v>199</v>
      </c>
      <c r="B159" s="169">
        <f t="shared" ref="B159:AP159" si="90">B86-B120</f>
        <v>-17438921.074750002</v>
      </c>
      <c r="C159" s="169">
        <f t="shared" si="90"/>
        <v>0</v>
      </c>
      <c r="D159" s="169">
        <f t="shared" si="90"/>
        <v>0</v>
      </c>
      <c r="E159" s="169">
        <f t="shared" si="90"/>
        <v>0</v>
      </c>
      <c r="F159" s="169">
        <f t="shared" si="90"/>
        <v>0</v>
      </c>
      <c r="G159" s="169">
        <f t="shared" si="90"/>
        <v>0</v>
      </c>
      <c r="H159" s="169">
        <f t="shared" si="90"/>
        <v>0</v>
      </c>
      <c r="I159" s="169">
        <f t="shared" si="90"/>
        <v>0</v>
      </c>
      <c r="J159" s="169">
        <f t="shared" si="90"/>
        <v>0</v>
      </c>
      <c r="K159" s="169">
        <f t="shared" si="90"/>
        <v>0</v>
      </c>
      <c r="L159" s="169">
        <f t="shared" si="90"/>
        <v>0</v>
      </c>
      <c r="M159" s="169">
        <f t="shared" si="90"/>
        <v>0</v>
      </c>
      <c r="N159" s="169">
        <f t="shared" si="90"/>
        <v>0</v>
      </c>
      <c r="O159" s="169">
        <f t="shared" si="90"/>
        <v>0</v>
      </c>
      <c r="P159" s="169">
        <f t="shared" si="90"/>
        <v>0</v>
      </c>
      <c r="Q159" s="169">
        <f t="shared" si="90"/>
        <v>0</v>
      </c>
      <c r="R159" s="169">
        <f t="shared" si="90"/>
        <v>0</v>
      </c>
      <c r="S159" s="169">
        <f t="shared" si="90"/>
        <v>0</v>
      </c>
      <c r="T159" s="169">
        <f t="shared" si="90"/>
        <v>0</v>
      </c>
      <c r="U159" s="169">
        <f t="shared" si="90"/>
        <v>0</v>
      </c>
      <c r="V159" s="169">
        <f t="shared" si="90"/>
        <v>0</v>
      </c>
      <c r="W159" s="169">
        <f t="shared" si="90"/>
        <v>0</v>
      </c>
      <c r="X159" s="169">
        <f t="shared" si="90"/>
        <v>0</v>
      </c>
      <c r="Y159" s="169">
        <f t="shared" si="90"/>
        <v>0</v>
      </c>
      <c r="Z159" s="169">
        <f t="shared" si="90"/>
        <v>0</v>
      </c>
      <c r="AA159" s="169">
        <f t="shared" si="90"/>
        <v>0</v>
      </c>
      <c r="AB159" s="169">
        <f t="shared" si="90"/>
        <v>0</v>
      </c>
      <c r="AC159" s="169">
        <f t="shared" si="90"/>
        <v>0</v>
      </c>
      <c r="AD159" s="169">
        <f t="shared" si="90"/>
        <v>0</v>
      </c>
      <c r="AE159" s="169">
        <f t="shared" si="90"/>
        <v>0</v>
      </c>
      <c r="AF159" s="169">
        <f t="shared" si="90"/>
        <v>0</v>
      </c>
      <c r="AG159" s="169">
        <f t="shared" si="90"/>
        <v>0</v>
      </c>
      <c r="AH159" s="169">
        <f t="shared" si="90"/>
        <v>0</v>
      </c>
      <c r="AI159" s="169">
        <f t="shared" si="90"/>
        <v>0</v>
      </c>
      <c r="AJ159" s="169">
        <f t="shared" si="90"/>
        <v>0</v>
      </c>
      <c r="AK159" s="169">
        <f t="shared" si="90"/>
        <v>0</v>
      </c>
      <c r="AL159" s="169">
        <f t="shared" si="90"/>
        <v>0</v>
      </c>
      <c r="AM159" s="169">
        <f t="shared" si="90"/>
        <v>0</v>
      </c>
      <c r="AN159" s="169">
        <f t="shared" si="90"/>
        <v>0</v>
      </c>
      <c r="AO159" s="169">
        <f t="shared" si="90"/>
        <v>0</v>
      </c>
      <c r="AP159" s="169">
        <f t="shared" si="90"/>
        <v>0</v>
      </c>
    </row>
    <row r="160" spans="1:42" x14ac:dyDescent="0.2">
      <c r="A160" s="163" t="s">
        <v>313</v>
      </c>
      <c r="B160" s="169">
        <f>'Inputs &amp; Results'!C171</f>
        <v>1206814.5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</row>
    <row r="161" spans="1:42" x14ac:dyDescent="0.2">
      <c r="A161" s="251" t="s">
        <v>352</v>
      </c>
      <c r="B161" s="169"/>
      <c r="C161" s="169">
        <f t="shared" ref="C161:AP161" si="91">-C155</f>
        <v>4950331.2487990763</v>
      </c>
      <c r="D161" s="169">
        <f t="shared" si="91"/>
        <v>4989549.5523695154</v>
      </c>
      <c r="E161" s="169">
        <f t="shared" si="91"/>
        <v>5028745.2195159858</v>
      </c>
      <c r="F161" s="169">
        <f t="shared" si="91"/>
        <v>0</v>
      </c>
      <c r="G161" s="169">
        <f t="shared" si="91"/>
        <v>0</v>
      </c>
      <c r="H161" s="169">
        <f t="shared" si="91"/>
        <v>0</v>
      </c>
      <c r="I161" s="169">
        <f t="shared" si="91"/>
        <v>0</v>
      </c>
      <c r="J161" s="169">
        <f t="shared" si="91"/>
        <v>0</v>
      </c>
      <c r="K161" s="169">
        <f t="shared" si="91"/>
        <v>0</v>
      </c>
      <c r="L161" s="169">
        <f t="shared" si="91"/>
        <v>0</v>
      </c>
      <c r="M161" s="169">
        <f t="shared" si="91"/>
        <v>0</v>
      </c>
      <c r="N161" s="169">
        <f t="shared" si="91"/>
        <v>0</v>
      </c>
      <c r="O161" s="169">
        <f t="shared" si="91"/>
        <v>0</v>
      </c>
      <c r="P161" s="169">
        <f t="shared" si="91"/>
        <v>0</v>
      </c>
      <c r="Q161" s="169">
        <f t="shared" si="91"/>
        <v>0</v>
      </c>
      <c r="R161" s="169">
        <f t="shared" si="91"/>
        <v>0</v>
      </c>
      <c r="S161" s="169">
        <f t="shared" si="91"/>
        <v>0</v>
      </c>
      <c r="T161" s="169">
        <f t="shared" si="91"/>
        <v>0</v>
      </c>
      <c r="U161" s="169">
        <f t="shared" si="91"/>
        <v>0</v>
      </c>
      <c r="V161" s="169">
        <f t="shared" si="91"/>
        <v>0</v>
      </c>
      <c r="W161" s="169">
        <f t="shared" si="91"/>
        <v>0</v>
      </c>
      <c r="X161" s="169">
        <f t="shared" si="91"/>
        <v>0</v>
      </c>
      <c r="Y161" s="169">
        <f t="shared" si="91"/>
        <v>0</v>
      </c>
      <c r="Z161" s="169">
        <f t="shared" si="91"/>
        <v>0</v>
      </c>
      <c r="AA161" s="169">
        <f t="shared" si="91"/>
        <v>0</v>
      </c>
      <c r="AB161" s="169">
        <f t="shared" si="91"/>
        <v>0</v>
      </c>
      <c r="AC161" s="169">
        <f t="shared" si="91"/>
        <v>0</v>
      </c>
      <c r="AD161" s="169">
        <f t="shared" si="91"/>
        <v>0</v>
      </c>
      <c r="AE161" s="169">
        <f t="shared" si="91"/>
        <v>0</v>
      </c>
      <c r="AF161" s="169">
        <f t="shared" si="91"/>
        <v>0</v>
      </c>
      <c r="AG161" s="169">
        <f t="shared" si="91"/>
        <v>0</v>
      </c>
      <c r="AH161" s="169">
        <f t="shared" si="91"/>
        <v>0</v>
      </c>
      <c r="AI161" s="169">
        <f t="shared" si="91"/>
        <v>0</v>
      </c>
      <c r="AJ161" s="169">
        <f t="shared" si="91"/>
        <v>0</v>
      </c>
      <c r="AK161" s="169">
        <f t="shared" si="91"/>
        <v>0</v>
      </c>
      <c r="AL161" s="169">
        <f t="shared" si="91"/>
        <v>0</v>
      </c>
      <c r="AM161" s="169">
        <f t="shared" si="91"/>
        <v>0</v>
      </c>
      <c r="AN161" s="169">
        <f t="shared" si="91"/>
        <v>0</v>
      </c>
      <c r="AO161" s="169">
        <f t="shared" si="91"/>
        <v>0</v>
      </c>
      <c r="AP161" s="169">
        <f t="shared" si="91"/>
        <v>0</v>
      </c>
    </row>
    <row r="162" spans="1:42" ht="25.5" x14ac:dyDescent="0.2">
      <c r="A162" s="251" t="s">
        <v>353</v>
      </c>
      <c r="B162" s="170"/>
      <c r="C162" s="170">
        <f t="shared" ref="C162:AP162" si="92">C78+C155-C121</f>
        <v>0</v>
      </c>
      <c r="D162" s="170">
        <f t="shared" si="92"/>
        <v>0</v>
      </c>
      <c r="E162" s="170">
        <f t="shared" si="92"/>
        <v>0</v>
      </c>
      <c r="F162" s="170">
        <f t="shared" si="92"/>
        <v>0</v>
      </c>
      <c r="G162" s="170">
        <f t="shared" si="92"/>
        <v>0</v>
      </c>
      <c r="H162" s="170">
        <f t="shared" si="92"/>
        <v>0</v>
      </c>
      <c r="I162" s="170">
        <f t="shared" si="92"/>
        <v>0</v>
      </c>
      <c r="J162" s="170">
        <f t="shared" si="92"/>
        <v>0</v>
      </c>
      <c r="K162" s="170">
        <f t="shared" si="92"/>
        <v>4736960.1021685693</v>
      </c>
      <c r="L162" s="170">
        <f t="shared" si="92"/>
        <v>4772022.5726412125</v>
      </c>
      <c r="M162" s="170">
        <f t="shared" si="92"/>
        <v>4807043.5982745402</v>
      </c>
      <c r="N162" s="170">
        <f t="shared" si="92"/>
        <v>4842020.2413442796</v>
      </c>
      <c r="O162" s="170">
        <f t="shared" si="92"/>
        <v>4787362.4614126692</v>
      </c>
      <c r="P162" s="170">
        <f t="shared" si="92"/>
        <v>4822997.3268452678</v>
      </c>
      <c r="Q162" s="170">
        <f t="shared" si="92"/>
        <v>4858578.5545721892</v>
      </c>
      <c r="R162" s="170">
        <f t="shared" si="92"/>
        <v>4894102.9067080598</v>
      </c>
      <c r="S162" s="170">
        <f t="shared" si="92"/>
        <v>4929567.0660992889</v>
      </c>
      <c r="T162" s="170">
        <f t="shared" si="92"/>
        <v>4964967.634557711</v>
      </c>
      <c r="U162" s="170">
        <f t="shared" si="92"/>
        <v>5000301.1310552675</v>
      </c>
      <c r="V162" s="170">
        <f t="shared" si="92"/>
        <v>5035563.9898787253</v>
      </c>
      <c r="W162" s="170">
        <f t="shared" si="92"/>
        <v>5064303.6437592581</v>
      </c>
      <c r="X162" s="170">
        <f t="shared" si="92"/>
        <v>5086629.2079256671</v>
      </c>
      <c r="Y162" s="170">
        <f t="shared" si="92"/>
        <v>5108872.9100973364</v>
      </c>
      <c r="Z162" s="170">
        <f t="shared" si="92"/>
        <v>5131030.8265382061</v>
      </c>
      <c r="AA162" s="170">
        <f t="shared" si="92"/>
        <v>5045987.0578114912</v>
      </c>
      <c r="AB162" s="170">
        <f t="shared" si="92"/>
        <v>5068865.2493486116</v>
      </c>
      <c r="AC162" s="170">
        <f t="shared" si="92"/>
        <v>5091645.3082333887</v>
      </c>
      <c r="AD162" s="170">
        <f t="shared" si="92"/>
        <v>5114322.9197512213</v>
      </c>
      <c r="AE162" s="170">
        <f t="shared" si="92"/>
        <v>5136893.6659461558</v>
      </c>
      <c r="AF162" s="170">
        <f t="shared" si="92"/>
        <v>5159353.0233243303</v>
      </c>
      <c r="AG162" s="170">
        <f t="shared" si="92"/>
        <v>5181696.3605066165</v>
      </c>
      <c r="AH162" s="170">
        <f t="shared" si="92"/>
        <v>5203918.9358292753</v>
      </c>
      <c r="AI162" s="170">
        <f t="shared" si="92"/>
        <v>5226015.8948914977</v>
      </c>
      <c r="AJ162" s="170">
        <f t="shared" si="92"/>
        <v>5247982.2680486077</v>
      </c>
      <c r="AK162" s="170">
        <f t="shared" si="92"/>
        <v>5269812.9678497827</v>
      </c>
      <c r="AL162" s="170">
        <f t="shared" si="92"/>
        <v>5291502.7864189884</v>
      </c>
      <c r="AM162" s="170">
        <f t="shared" si="92"/>
        <v>5562471.3130544769</v>
      </c>
      <c r="AN162" s="170">
        <f t="shared" si="92"/>
        <v>5578338.0148103423</v>
      </c>
      <c r="AO162" s="170">
        <f t="shared" si="92"/>
        <v>5594047.4620861681</v>
      </c>
      <c r="AP162" s="170">
        <f t="shared" si="92"/>
        <v>9685241.462568678</v>
      </c>
    </row>
    <row r="163" spans="1:42" x14ac:dyDescent="0.2">
      <c r="A163" s="163" t="s">
        <v>53</v>
      </c>
      <c r="B163" s="135">
        <f>SUM(B159:B162)</f>
        <v>-16232106.574750002</v>
      </c>
      <c r="C163" s="135">
        <f t="shared" ref="C163:AP163" si="93">SUM(C159:C162)</f>
        <v>4950331.2487990763</v>
      </c>
      <c r="D163" s="135">
        <f t="shared" si="93"/>
        <v>4989549.5523695154</v>
      </c>
      <c r="E163" s="135">
        <f t="shared" si="93"/>
        <v>5028745.2195159858</v>
      </c>
      <c r="F163" s="135">
        <f t="shared" si="93"/>
        <v>0</v>
      </c>
      <c r="G163" s="135">
        <f t="shared" si="93"/>
        <v>0</v>
      </c>
      <c r="H163" s="135">
        <f t="shared" si="93"/>
        <v>0</v>
      </c>
      <c r="I163" s="135">
        <f t="shared" si="93"/>
        <v>0</v>
      </c>
      <c r="J163" s="135">
        <f t="shared" si="93"/>
        <v>0</v>
      </c>
      <c r="K163" s="135">
        <f t="shared" si="93"/>
        <v>4736960.1021685693</v>
      </c>
      <c r="L163" s="135">
        <f t="shared" si="93"/>
        <v>4772022.5726412125</v>
      </c>
      <c r="M163" s="135">
        <f t="shared" si="93"/>
        <v>4807043.5982745402</v>
      </c>
      <c r="N163" s="135">
        <f t="shared" si="93"/>
        <v>4842020.2413442796</v>
      </c>
      <c r="O163" s="135">
        <f t="shared" si="93"/>
        <v>4787362.4614126692</v>
      </c>
      <c r="P163" s="135">
        <f t="shared" si="93"/>
        <v>4822997.3268452678</v>
      </c>
      <c r="Q163" s="135">
        <f t="shared" si="93"/>
        <v>4858578.5545721892</v>
      </c>
      <c r="R163" s="135">
        <f t="shared" si="93"/>
        <v>4894102.9067080598</v>
      </c>
      <c r="S163" s="135">
        <f t="shared" si="93"/>
        <v>4929567.0660992889</v>
      </c>
      <c r="T163" s="135">
        <f t="shared" si="93"/>
        <v>4964967.634557711</v>
      </c>
      <c r="U163" s="135">
        <f t="shared" si="93"/>
        <v>5000301.1310552675</v>
      </c>
      <c r="V163" s="135">
        <f t="shared" si="93"/>
        <v>5035563.9898787253</v>
      </c>
      <c r="W163" s="135">
        <f t="shared" si="93"/>
        <v>5064303.6437592581</v>
      </c>
      <c r="X163" s="135">
        <f t="shared" si="93"/>
        <v>5086629.2079256671</v>
      </c>
      <c r="Y163" s="135">
        <f t="shared" si="93"/>
        <v>5108872.9100973364</v>
      </c>
      <c r="Z163" s="135">
        <f t="shared" si="93"/>
        <v>5131030.8265382061</v>
      </c>
      <c r="AA163" s="135">
        <f t="shared" si="93"/>
        <v>5045987.0578114912</v>
      </c>
      <c r="AB163" s="135">
        <f t="shared" si="93"/>
        <v>5068865.2493486116</v>
      </c>
      <c r="AC163" s="135">
        <f t="shared" si="93"/>
        <v>5091645.3082333887</v>
      </c>
      <c r="AD163" s="135">
        <f t="shared" si="93"/>
        <v>5114322.9197512213</v>
      </c>
      <c r="AE163" s="135">
        <f t="shared" si="93"/>
        <v>5136893.6659461558</v>
      </c>
      <c r="AF163" s="135">
        <f t="shared" si="93"/>
        <v>5159353.0233243303</v>
      </c>
      <c r="AG163" s="135">
        <f t="shared" si="93"/>
        <v>5181696.3605066165</v>
      </c>
      <c r="AH163" s="135">
        <f t="shared" si="93"/>
        <v>5203918.9358292753</v>
      </c>
      <c r="AI163" s="135">
        <f t="shared" si="93"/>
        <v>5226015.8948914977</v>
      </c>
      <c r="AJ163" s="135">
        <f t="shared" si="93"/>
        <v>5247982.2680486077</v>
      </c>
      <c r="AK163" s="135">
        <f t="shared" si="93"/>
        <v>5269812.9678497827</v>
      </c>
      <c r="AL163" s="135">
        <f t="shared" si="93"/>
        <v>5291502.7864189884</v>
      </c>
      <c r="AM163" s="135">
        <f t="shared" si="93"/>
        <v>5562471.3130544769</v>
      </c>
      <c r="AN163" s="135">
        <f t="shared" si="93"/>
        <v>5578338.0148103423</v>
      </c>
      <c r="AO163" s="135">
        <f t="shared" si="93"/>
        <v>5594047.4620861681</v>
      </c>
      <c r="AP163" s="135">
        <f t="shared" si="93"/>
        <v>9685241.462568678</v>
      </c>
    </row>
    <row r="164" spans="1:42" x14ac:dyDescent="0.2">
      <c r="A164" s="163"/>
      <c r="B164" s="135"/>
      <c r="C164" s="135"/>
      <c r="D164" s="135"/>
      <c r="E164" s="135"/>
      <c r="F164" s="135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</row>
    <row r="165" spans="1:42" s="101" customFormat="1" x14ac:dyDescent="0.2">
      <c r="A165" s="163" t="s">
        <v>323</v>
      </c>
      <c r="B165" s="244" t="str">
        <f>IF(ISERROR(IRR($B163:B163)),"N/A",ROUND(IRR($B163:B163),4))</f>
        <v>N/A</v>
      </c>
      <c r="C165" s="244">
        <f>IF(ISERROR(IRR($B163:C163)),"N/A",ROUND(IRR($B163:C163),4))</f>
        <v>-0.69499999999999995</v>
      </c>
      <c r="D165" s="244">
        <f>IF(ISERROR(IRR($B163:D163)),"N/A",ROUND(IRR($B163:D163),4))</f>
        <v>-0.27250000000000002</v>
      </c>
      <c r="E165" s="244">
        <f>IF(ISERROR(IRR($B163:E163)),"N/A",ROUND(IRR($B163:E163),4))</f>
        <v>-3.9300000000000002E-2</v>
      </c>
      <c r="F165" s="244">
        <f>IF(ISERROR(IRR($B163:F163)),"N/A",ROUND(IRR($B163:F163),4))</f>
        <v>-3.9300000000000002E-2</v>
      </c>
      <c r="G165" s="244">
        <f>IF(ISERROR(IRR($B163:G163)),"N/A",ROUND(IRR($B163:G163),4))</f>
        <v>-3.9300000000000002E-2</v>
      </c>
      <c r="H165" s="244">
        <f>IF(ISERROR(IRR($B163:H163)),"N/A",ROUND(IRR($B163:H163),4))</f>
        <v>-3.9300000000000002E-2</v>
      </c>
      <c r="I165" s="244">
        <f>IF(ISERROR(IRR($B163:I163)),"N/A",ROUND(IRR($B163:I163),4))</f>
        <v>-3.9300000000000002E-2</v>
      </c>
      <c r="J165" s="244">
        <f>IF(ISERROR(IRR($B163:J163)),"N/A",ROUND(IRR($B163:J163),4))</f>
        <v>-3.9300000000000002E-2</v>
      </c>
      <c r="K165" s="244">
        <f>IF(ISERROR(IRR($B163:K163)),"N/A",ROUND(IRR($B163:K163),4))</f>
        <v>5.8000000000000003E-2</v>
      </c>
      <c r="L165" s="244">
        <f>IF(ISERROR(IRR($B163:L163)),"N/A",ROUND(IRR($B163:L163),4))</f>
        <v>0.1003</v>
      </c>
      <c r="M165" s="244">
        <f>IF(ISERROR(IRR($B163:M163)),"N/A",ROUND(IRR($B163:M163),4))</f>
        <v>0.12620000000000001</v>
      </c>
      <c r="N165" s="244">
        <f>IF(ISERROR(IRR($B163:N163)),"N/A",ROUND(IRR($B163:N163),4))</f>
        <v>0.14369999999999999</v>
      </c>
      <c r="O165" s="244">
        <f>IF(ISERROR(IRR($B163:O163)),"N/A",ROUND(IRR($B163:O163),4))</f>
        <v>0.156</v>
      </c>
      <c r="P165" s="244">
        <f>IF(ISERROR(IRR($B163:P163)),"N/A",ROUND(IRR($B163:P163),4))</f>
        <v>0.1651</v>
      </c>
      <c r="Q165" s="244">
        <f>IF(ISERROR(IRR($B163:Q163)),"N/A",ROUND(IRR($B163:Q163),4))</f>
        <v>0.17199999999999999</v>
      </c>
      <c r="R165" s="244">
        <f>IF(ISERROR(IRR($B163:R163)),"N/A",ROUND(IRR($B163:R163),4))</f>
        <v>0.17730000000000001</v>
      </c>
      <c r="S165" s="244">
        <f>IF(ISERROR(IRR($B163:S163)),"N/A",ROUND(IRR($B163:S163),4))</f>
        <v>0.18149999999999999</v>
      </c>
      <c r="T165" s="244">
        <f>IF(ISERROR(IRR($B163:T163)),"N/A",ROUND(IRR($B163:T163),4))</f>
        <v>0.18479999999999999</v>
      </c>
      <c r="U165" s="244">
        <f>IF(ISERROR(IRR($B163:U163)),"N/A",ROUND(IRR($B163:U163),4))</f>
        <v>0.18740000000000001</v>
      </c>
      <c r="V165" s="244">
        <f>IF(ISERROR(IRR($B163:V163)),"N/A",ROUND(IRR($B163:V163),4))</f>
        <v>0.18959999999999999</v>
      </c>
      <c r="W165" s="244">
        <f>IF(ISERROR(IRR($B163:W163)),"N/A",ROUND(IRR($B163:W163),4))</f>
        <v>0.1913</v>
      </c>
      <c r="X165" s="244">
        <f>IF(ISERROR(IRR($B163:X163)),"N/A",ROUND(IRR($B163:X163),4))</f>
        <v>0.19259999999999999</v>
      </c>
      <c r="Y165" s="244">
        <f>IF(ISERROR(IRR($B163:Y163)),"N/A",ROUND(IRR($B163:Y163),4))</f>
        <v>0.1938</v>
      </c>
      <c r="Z165" s="244">
        <f>IF(ISERROR(IRR($B163:Z163)),"N/A",ROUND(IRR($B163:Z163),4))</f>
        <v>0.19470000000000001</v>
      </c>
      <c r="AA165" s="244">
        <f>IF(ISERROR(IRR($B163:AA163)),"N/A",ROUND(IRR($B163:AA163),4))</f>
        <v>0.19539999999999999</v>
      </c>
      <c r="AB165" s="244">
        <f>IF(ISERROR(IRR($B163:AB163)),"N/A",ROUND(IRR($B163:AB163),4))</f>
        <v>0.19600000000000001</v>
      </c>
      <c r="AC165" s="244">
        <f>IF(ISERROR(IRR($B163:AC163)),"N/A",ROUND(IRR($B163:AC163),4))</f>
        <v>0.19650000000000001</v>
      </c>
      <c r="AD165" s="244">
        <f>IF(ISERROR(IRR($B163:AD163)),"N/A",ROUND(IRR($B163:AD163),4))</f>
        <v>0.19689999999999999</v>
      </c>
      <c r="AE165" s="244">
        <f>IF(ISERROR(IRR($B163:AE163)),"N/A",ROUND(IRR($B163:AE163),4))</f>
        <v>0.1973</v>
      </c>
      <c r="AF165" s="244">
        <f>IF(ISERROR(IRR($B163:AF163)),"N/A",ROUND(IRR($B163:AF163),4))</f>
        <v>0.1976</v>
      </c>
      <c r="AG165" s="244">
        <f>IF(ISERROR(IRR($B163:AG163)),"N/A",ROUND(IRR($B163:AG163),4))</f>
        <v>0.1978</v>
      </c>
      <c r="AH165" s="244">
        <f>IF(ISERROR(IRR($B163:AH163)),"N/A",ROUND(IRR($B163:AH163),4))</f>
        <v>0.19800000000000001</v>
      </c>
      <c r="AI165" s="244">
        <f>IF(ISERROR(IRR($B163:AI163)),"N/A",ROUND(IRR($B163:AI163),4))</f>
        <v>0.19819999999999999</v>
      </c>
      <c r="AJ165" s="244">
        <f>IF(ISERROR(IRR($B163:AJ163)),"N/A",ROUND(IRR($B163:AJ163),4))</f>
        <v>0.1983</v>
      </c>
      <c r="AK165" s="244">
        <f>IF(ISERROR(IRR($B163:AK163)),"N/A",ROUND(IRR($B163:AK163),4))</f>
        <v>0.19839999999999999</v>
      </c>
      <c r="AL165" s="244">
        <f>IF(ISERROR(IRR($B163:AL163)),"N/A",ROUND(IRR($B163:AL163),4))</f>
        <v>0.19850000000000001</v>
      </c>
      <c r="AM165" s="244">
        <f>IF(ISERROR(IRR($B163:AM163)),"N/A",ROUND(IRR($B163:AM163),4))</f>
        <v>0.1986</v>
      </c>
      <c r="AN165" s="244">
        <f>IF(ISERROR(IRR($B163:AN163)),"N/A",ROUND(IRR($B163:AN163),4))</f>
        <v>0.19869999999999999</v>
      </c>
      <c r="AO165" s="244">
        <f>IF(ISERROR(IRR($B163:AO163)),"N/A",ROUND(IRR($B163:AO163),4))</f>
        <v>0.19869999999999999</v>
      </c>
      <c r="AP165" s="244">
        <f>IF(ISERROR(IRR($B163:AP163)),"N/A",ROUND(IRR($B163:AP163),4))</f>
        <v>0.1988</v>
      </c>
    </row>
    <row r="166" spans="1:42" s="101" customFormat="1" x14ac:dyDescent="0.2">
      <c r="A166" s="163" t="s">
        <v>324</v>
      </c>
      <c r="B166" s="245">
        <f>B163</f>
        <v>-16232106.574750002</v>
      </c>
      <c r="C166" s="245">
        <f>NPV(DiscountRate,$C163:C163)+$B163</f>
        <v>-11648466.529565673</v>
      </c>
      <c r="D166" s="245">
        <f>NPV(DiscountRate,$C163:D163)+$B163</f>
        <v>-7370732.0024999026</v>
      </c>
      <c r="E166" s="245">
        <f>NPV(DiscountRate,$C163:E163)+$B163</f>
        <v>-3378751.9153720625</v>
      </c>
      <c r="F166" s="245">
        <f>NPV(DiscountRate,$C163:F163)+$B163</f>
        <v>-3378751.9153720625</v>
      </c>
      <c r="G166" s="245">
        <f>NPV(DiscountRate,$C163:G163)+$B163</f>
        <v>-3378751.9153720625</v>
      </c>
      <c r="H166" s="245">
        <f>NPV(DiscountRate,$C163:H163)+$B163</f>
        <v>-3378751.9153720625</v>
      </c>
      <c r="I166" s="245">
        <f>NPV(DiscountRate,$C163:I163)+$B163</f>
        <v>-3378751.9153720625</v>
      </c>
      <c r="J166" s="245">
        <f>NPV(DiscountRate,$C163:J163)+$B163</f>
        <v>-3378751.9153720625</v>
      </c>
      <c r="K166" s="245">
        <f>NPV(DiscountRate,$C163:K163)+$B163</f>
        <v>-1009092.5169193074</v>
      </c>
      <c r="L166" s="245">
        <f>NPV(DiscountRate,$C163:L163)+$B163</f>
        <v>1201277.2637212239</v>
      </c>
      <c r="M166" s="245">
        <f>NPV(DiscountRate,$C163:M163)+$B163</f>
        <v>3262935.8671100549</v>
      </c>
      <c r="N166" s="245">
        <f>NPV(DiscountRate,$C163:N163)+$B163</f>
        <v>5185768.7245902531</v>
      </c>
      <c r="O166" s="245">
        <f>NPV(DiscountRate,$C163:O163)+$B163</f>
        <v>6946071.9663053527</v>
      </c>
      <c r="P166" s="245">
        <f>NPV(DiscountRate,$C163:P163)+$B163</f>
        <v>8588114.6586948372</v>
      </c>
      <c r="Q166" s="245">
        <f>NPV(DiscountRate,$C163:Q163)+$B163</f>
        <v>10119741.245948885</v>
      </c>
      <c r="R166" s="245">
        <f>NPV(DiscountRate,$C163:R163)+$B163</f>
        <v>11548283.231679592</v>
      </c>
      <c r="S166" s="245">
        <f>NPV(DiscountRate,$C163:S163)+$B163</f>
        <v>12880592.153713919</v>
      </c>
      <c r="T166" s="245">
        <f>NPV(DiscountRate,$C163:T163)+$B163</f>
        <v>14123070.483854804</v>
      </c>
      <c r="U166" s="245">
        <f>NPV(DiscountRate,$C163:U163)+$B163</f>
        <v>15281700.579535063</v>
      </c>
      <c r="V166" s="245">
        <f>NPV(DiscountRate,$C163:V163)+$B163</f>
        <v>16362071.80683196</v>
      </c>
      <c r="W166" s="245">
        <f>NPV(DiscountRate,$C163:W163)+$B163</f>
        <v>17368124.833237868</v>
      </c>
      <c r="X166" s="245">
        <f>NPV(DiscountRate,$C163:X163)+$B163</f>
        <v>18303761.98883592</v>
      </c>
      <c r="Y166" s="245">
        <f>NPV(DiscountRate,$C163:Y163)+$B163</f>
        <v>19173881.130922783</v>
      </c>
      <c r="Z166" s="245">
        <f>NPV(DiscountRate,$C163:Z163)+$B163</f>
        <v>19983041.291964244</v>
      </c>
      <c r="AA166" s="245">
        <f>NPV(DiscountRate,$C163:AA163)+$B163</f>
        <v>20719845.750363555</v>
      </c>
      <c r="AB166" s="245">
        <f>NPV(DiscountRate,$C163:AB163)+$B163</f>
        <v>21405165.272581849</v>
      </c>
      <c r="AC166" s="245">
        <f>NPV(DiscountRate,$C163:AC163)+$B163</f>
        <v>22042572.148840342</v>
      </c>
      <c r="AD166" s="245">
        <f>NPV(DiscountRate,$C163:AD163)+$B163</f>
        <v>22635392.347258847</v>
      </c>
      <c r="AE166" s="245">
        <f>NPV(DiscountRate,$C163:AE163)+$B163</f>
        <v>23186722.400581639</v>
      </c>
      <c r="AF166" s="245">
        <f>NPV(DiscountRate,$C163:AF163)+$B163</f>
        <v>23699445.141722362</v>
      </c>
      <c r="AG166" s="245">
        <f>NPV(DiscountRate,$C163:AG163)+$B163</f>
        <v>24176244.366157692</v>
      </c>
      <c r="AH166" s="245">
        <f>NPV(DiscountRate,$C163:AH163)+$B163</f>
        <v>24619618.493942428</v>
      </c>
      <c r="AI166" s="245">
        <f>NPV(DiscountRate,$C163:AI163)+$B163</f>
        <v>25031893.299213145</v>
      </c>
      <c r="AJ166" s="245">
        <f>NPV(DiscountRate,$C163:AJ163)+$B163</f>
        <v>25415233.770470861</v>
      </c>
      <c r="AK166" s="245">
        <f>NPV(DiscountRate,$C163:AK163)+$B163</f>
        <v>25771655.160662908</v>
      </c>
      <c r="AL166" s="245">
        <f>NPV(DiscountRate,$C163:AL163)+$B163</f>
        <v>26103033.282100137</v>
      </c>
      <c r="AM166" s="245">
        <f>NPV(DiscountRate,$C163:AM163)+$B163</f>
        <v>26425577.18088026</v>
      </c>
      <c r="AN166" s="245">
        <f>NPV(DiscountRate,$C163:AN163)+$B163</f>
        <v>26725080.829852846</v>
      </c>
      <c r="AO166" s="245">
        <f>NPV(DiscountRate,$C163:AO163)+$B163</f>
        <v>27003179.993507292</v>
      </c>
      <c r="AP166" s="245">
        <f>NPV(DiscountRate,$C163:AP163)+$B163</f>
        <v>27449000.697268035</v>
      </c>
    </row>
    <row r="167" spans="1:42" x14ac:dyDescent="0.2">
      <c r="A167" s="163"/>
      <c r="B167" s="135"/>
      <c r="C167" s="135"/>
      <c r="D167" s="135"/>
      <c r="E167" s="135"/>
      <c r="F167" s="135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</row>
    <row r="168" spans="1:42" x14ac:dyDescent="0.2">
      <c r="A168" s="163"/>
      <c r="B168" s="135"/>
      <c r="C168" s="135"/>
      <c r="D168" s="135"/>
      <c r="E168" s="135"/>
      <c r="F168" s="135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</row>
    <row r="169" spans="1:42" x14ac:dyDescent="0.2">
      <c r="A169" s="163" t="s">
        <v>201</v>
      </c>
      <c r="B169" s="241">
        <f>IF(ISERROR(IRR(B163:AP163)),"N/A",IRR(B163:AP163))</f>
        <v>0.19879508848039462</v>
      </c>
      <c r="C169" s="135"/>
      <c r="D169" s="135"/>
      <c r="E169" s="135"/>
      <c r="F169" s="135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</row>
    <row r="170" spans="1:42" x14ac:dyDescent="0.2">
      <c r="A170" s="163" t="s">
        <v>202</v>
      </c>
      <c r="B170" s="179">
        <f>NPV(DiscountRate,$C163:$AP163)+B163</f>
        <v>27449000.697268035</v>
      </c>
      <c r="C170" s="135"/>
      <c r="D170" s="135"/>
      <c r="E170" s="135"/>
      <c r="F170" s="135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</row>
    <row r="171" spans="1:42" s="101" customFormat="1" x14ac:dyDescent="0.2">
      <c r="A171" s="25"/>
      <c r="B171" s="181"/>
      <c r="C171" s="181"/>
      <c r="D171" s="181"/>
      <c r="E171" s="181"/>
      <c r="F171" s="181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</row>
    <row r="172" spans="1:42" x14ac:dyDescent="0.2">
      <c r="A172" s="165" t="s">
        <v>228</v>
      </c>
      <c r="B172" s="135"/>
      <c r="C172" s="135"/>
      <c r="D172" s="135"/>
      <c r="E172" s="135"/>
      <c r="F172" s="135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</row>
    <row r="173" spans="1:42" s="101" customFormat="1" x14ac:dyDescent="0.2">
      <c r="A173" s="180" t="s">
        <v>204</v>
      </c>
      <c r="B173" s="181"/>
      <c r="C173" s="181"/>
      <c r="D173" s="181"/>
      <c r="E173" s="181"/>
      <c r="F173" s="181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</row>
    <row r="174" spans="1:42" x14ac:dyDescent="0.2">
      <c r="A174" s="167" t="s">
        <v>199</v>
      </c>
      <c r="B174" s="169">
        <f t="shared" ref="B174:AP174" si="94">B86-B129</f>
        <v>-17438921.074750002</v>
      </c>
      <c r="C174" s="169">
        <f t="shared" si="94"/>
        <v>0</v>
      </c>
      <c r="D174" s="169">
        <f t="shared" si="94"/>
        <v>0</v>
      </c>
      <c r="E174" s="169">
        <f t="shared" si="94"/>
        <v>0</v>
      </c>
      <c r="F174" s="169">
        <f t="shared" si="94"/>
        <v>0</v>
      </c>
      <c r="G174" s="169">
        <f t="shared" si="94"/>
        <v>0</v>
      </c>
      <c r="H174" s="169">
        <f t="shared" si="94"/>
        <v>0</v>
      </c>
      <c r="I174" s="169">
        <f t="shared" si="94"/>
        <v>0</v>
      </c>
      <c r="J174" s="169">
        <f t="shared" si="94"/>
        <v>0</v>
      </c>
      <c r="K174" s="169">
        <f t="shared" si="94"/>
        <v>0</v>
      </c>
      <c r="L174" s="169">
        <f t="shared" si="94"/>
        <v>0</v>
      </c>
      <c r="M174" s="169">
        <f t="shared" si="94"/>
        <v>0</v>
      </c>
      <c r="N174" s="169">
        <f t="shared" si="94"/>
        <v>0</v>
      </c>
      <c r="O174" s="169">
        <f t="shared" si="94"/>
        <v>0</v>
      </c>
      <c r="P174" s="169">
        <f t="shared" si="94"/>
        <v>0</v>
      </c>
      <c r="Q174" s="169">
        <f t="shared" si="94"/>
        <v>0</v>
      </c>
      <c r="R174" s="169">
        <f t="shared" si="94"/>
        <v>0</v>
      </c>
      <c r="S174" s="169">
        <f t="shared" si="94"/>
        <v>0</v>
      </c>
      <c r="T174" s="169">
        <f t="shared" si="94"/>
        <v>0</v>
      </c>
      <c r="U174" s="169">
        <f t="shared" si="94"/>
        <v>0</v>
      </c>
      <c r="V174" s="169">
        <f t="shared" si="94"/>
        <v>0</v>
      </c>
      <c r="W174" s="169">
        <f t="shared" si="94"/>
        <v>0</v>
      </c>
      <c r="X174" s="169">
        <f t="shared" si="94"/>
        <v>0</v>
      </c>
      <c r="Y174" s="169">
        <f t="shared" si="94"/>
        <v>0</v>
      </c>
      <c r="Z174" s="169">
        <f t="shared" si="94"/>
        <v>0</v>
      </c>
      <c r="AA174" s="169">
        <f t="shared" si="94"/>
        <v>0</v>
      </c>
      <c r="AB174" s="169">
        <f t="shared" si="94"/>
        <v>0</v>
      </c>
      <c r="AC174" s="169">
        <f t="shared" si="94"/>
        <v>0</v>
      </c>
      <c r="AD174" s="169">
        <f t="shared" si="94"/>
        <v>0</v>
      </c>
      <c r="AE174" s="169">
        <f t="shared" si="94"/>
        <v>0</v>
      </c>
      <c r="AF174" s="169">
        <f t="shared" si="94"/>
        <v>0</v>
      </c>
      <c r="AG174" s="169">
        <f t="shared" si="94"/>
        <v>0</v>
      </c>
      <c r="AH174" s="169">
        <f t="shared" si="94"/>
        <v>0</v>
      </c>
      <c r="AI174" s="169">
        <f t="shared" si="94"/>
        <v>0</v>
      </c>
      <c r="AJ174" s="169">
        <f t="shared" si="94"/>
        <v>0</v>
      </c>
      <c r="AK174" s="169">
        <f t="shared" si="94"/>
        <v>0</v>
      </c>
      <c r="AL174" s="169">
        <f t="shared" si="94"/>
        <v>0</v>
      </c>
      <c r="AM174" s="169">
        <f t="shared" si="94"/>
        <v>0</v>
      </c>
      <c r="AN174" s="169">
        <f t="shared" si="94"/>
        <v>0</v>
      </c>
      <c r="AO174" s="169">
        <f t="shared" si="94"/>
        <v>0</v>
      </c>
      <c r="AP174" s="169">
        <f t="shared" si="94"/>
        <v>0</v>
      </c>
    </row>
    <row r="175" spans="1:42" x14ac:dyDescent="0.2">
      <c r="A175" s="167" t="s">
        <v>313</v>
      </c>
      <c r="B175" s="169">
        <f>'Inputs &amp; Results'!B171</f>
        <v>1206814.5</v>
      </c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</row>
    <row r="176" spans="1:42" x14ac:dyDescent="0.2">
      <c r="A176" s="167" t="s">
        <v>352</v>
      </c>
      <c r="B176" s="169">
        <f>B161</f>
        <v>0</v>
      </c>
      <c r="C176" s="169">
        <f t="shared" ref="C176:L176" si="95">C161</f>
        <v>4950331.2487990763</v>
      </c>
      <c r="D176" s="169">
        <f t="shared" si="95"/>
        <v>4989549.5523695154</v>
      </c>
      <c r="E176" s="169">
        <f t="shared" si="95"/>
        <v>5028745.2195159858</v>
      </c>
      <c r="F176" s="169">
        <f t="shared" si="95"/>
        <v>0</v>
      </c>
      <c r="G176" s="169">
        <f t="shared" si="95"/>
        <v>0</v>
      </c>
      <c r="H176" s="169">
        <f t="shared" si="95"/>
        <v>0</v>
      </c>
      <c r="I176" s="169">
        <f t="shared" si="95"/>
        <v>0</v>
      </c>
      <c r="J176" s="169">
        <f t="shared" si="95"/>
        <v>0</v>
      </c>
      <c r="K176" s="169">
        <f t="shared" si="95"/>
        <v>0</v>
      </c>
      <c r="L176" s="169">
        <f t="shared" si="95"/>
        <v>0</v>
      </c>
      <c r="M176" s="169">
        <f t="shared" ref="M176:AP176" si="96">M161</f>
        <v>0</v>
      </c>
      <c r="N176" s="169">
        <f t="shared" si="96"/>
        <v>0</v>
      </c>
      <c r="O176" s="169">
        <f t="shared" si="96"/>
        <v>0</v>
      </c>
      <c r="P176" s="169">
        <f t="shared" si="96"/>
        <v>0</v>
      </c>
      <c r="Q176" s="169">
        <f t="shared" si="96"/>
        <v>0</v>
      </c>
      <c r="R176" s="169">
        <f t="shared" si="96"/>
        <v>0</v>
      </c>
      <c r="S176" s="169">
        <f t="shared" si="96"/>
        <v>0</v>
      </c>
      <c r="T176" s="169">
        <f t="shared" si="96"/>
        <v>0</v>
      </c>
      <c r="U176" s="169">
        <f t="shared" si="96"/>
        <v>0</v>
      </c>
      <c r="V176" s="169">
        <f t="shared" si="96"/>
        <v>0</v>
      </c>
      <c r="W176" s="169">
        <f t="shared" si="96"/>
        <v>0</v>
      </c>
      <c r="X176" s="169">
        <f t="shared" si="96"/>
        <v>0</v>
      </c>
      <c r="Y176" s="169">
        <f t="shared" si="96"/>
        <v>0</v>
      </c>
      <c r="Z176" s="169">
        <f t="shared" si="96"/>
        <v>0</v>
      </c>
      <c r="AA176" s="169">
        <f t="shared" si="96"/>
        <v>0</v>
      </c>
      <c r="AB176" s="169">
        <f t="shared" si="96"/>
        <v>0</v>
      </c>
      <c r="AC176" s="169">
        <f t="shared" si="96"/>
        <v>0</v>
      </c>
      <c r="AD176" s="169">
        <f t="shared" si="96"/>
        <v>0</v>
      </c>
      <c r="AE176" s="169">
        <f t="shared" si="96"/>
        <v>0</v>
      </c>
      <c r="AF176" s="169">
        <f t="shared" si="96"/>
        <v>0</v>
      </c>
      <c r="AG176" s="169">
        <f t="shared" si="96"/>
        <v>0</v>
      </c>
      <c r="AH176" s="169">
        <f t="shared" si="96"/>
        <v>0</v>
      </c>
      <c r="AI176" s="169">
        <f t="shared" si="96"/>
        <v>0</v>
      </c>
      <c r="AJ176" s="169">
        <f t="shared" si="96"/>
        <v>0</v>
      </c>
      <c r="AK176" s="169">
        <f t="shared" si="96"/>
        <v>0</v>
      </c>
      <c r="AL176" s="169">
        <f t="shared" si="96"/>
        <v>0</v>
      </c>
      <c r="AM176" s="169">
        <f t="shared" si="96"/>
        <v>0</v>
      </c>
      <c r="AN176" s="169">
        <f t="shared" si="96"/>
        <v>0</v>
      </c>
      <c r="AO176" s="169">
        <f t="shared" si="96"/>
        <v>0</v>
      </c>
      <c r="AP176" s="169">
        <f t="shared" si="96"/>
        <v>0</v>
      </c>
    </row>
    <row r="177" spans="1:42" ht="38.25" x14ac:dyDescent="0.2">
      <c r="A177" s="252" t="s">
        <v>353</v>
      </c>
      <c r="B177" s="170">
        <f>B162</f>
        <v>0</v>
      </c>
      <c r="C177" s="170">
        <f t="shared" ref="C177:L177" si="97">C162</f>
        <v>0</v>
      </c>
      <c r="D177" s="170">
        <f t="shared" si="97"/>
        <v>0</v>
      </c>
      <c r="E177" s="170">
        <f t="shared" si="97"/>
        <v>0</v>
      </c>
      <c r="F177" s="170">
        <f t="shared" si="97"/>
        <v>0</v>
      </c>
      <c r="G177" s="170">
        <f t="shared" si="97"/>
        <v>0</v>
      </c>
      <c r="H177" s="170">
        <f t="shared" si="97"/>
        <v>0</v>
      </c>
      <c r="I177" s="170">
        <f t="shared" si="97"/>
        <v>0</v>
      </c>
      <c r="J177" s="170">
        <f t="shared" si="97"/>
        <v>0</v>
      </c>
      <c r="K177" s="170">
        <f t="shared" si="97"/>
        <v>4736960.1021685693</v>
      </c>
      <c r="L177" s="170">
        <f t="shared" si="97"/>
        <v>4772022.5726412125</v>
      </c>
      <c r="M177" s="170">
        <f t="shared" ref="M177:AP177" si="98">M162</f>
        <v>4807043.5982745402</v>
      </c>
      <c r="N177" s="170">
        <f t="shared" si="98"/>
        <v>4842020.2413442796</v>
      </c>
      <c r="O177" s="170">
        <f t="shared" si="98"/>
        <v>4787362.4614126692</v>
      </c>
      <c r="P177" s="170">
        <f t="shared" si="98"/>
        <v>4822997.3268452678</v>
      </c>
      <c r="Q177" s="170">
        <f t="shared" si="98"/>
        <v>4858578.5545721892</v>
      </c>
      <c r="R177" s="170">
        <f t="shared" si="98"/>
        <v>4894102.9067080598</v>
      </c>
      <c r="S177" s="170">
        <f t="shared" si="98"/>
        <v>4929567.0660992889</v>
      </c>
      <c r="T177" s="170">
        <f t="shared" si="98"/>
        <v>4964967.634557711</v>
      </c>
      <c r="U177" s="170">
        <f t="shared" si="98"/>
        <v>5000301.1310552675</v>
      </c>
      <c r="V177" s="170">
        <f t="shared" si="98"/>
        <v>5035563.9898787253</v>
      </c>
      <c r="W177" s="170">
        <f t="shared" si="98"/>
        <v>5064303.6437592581</v>
      </c>
      <c r="X177" s="170">
        <f t="shared" si="98"/>
        <v>5086629.2079256671</v>
      </c>
      <c r="Y177" s="170">
        <f t="shared" si="98"/>
        <v>5108872.9100973364</v>
      </c>
      <c r="Z177" s="170">
        <f t="shared" si="98"/>
        <v>5131030.8265382061</v>
      </c>
      <c r="AA177" s="170">
        <f t="shared" si="98"/>
        <v>5045987.0578114912</v>
      </c>
      <c r="AB177" s="170">
        <f t="shared" si="98"/>
        <v>5068865.2493486116</v>
      </c>
      <c r="AC177" s="170">
        <f t="shared" si="98"/>
        <v>5091645.3082333887</v>
      </c>
      <c r="AD177" s="170">
        <f t="shared" si="98"/>
        <v>5114322.9197512213</v>
      </c>
      <c r="AE177" s="170">
        <f t="shared" si="98"/>
        <v>5136893.6659461558</v>
      </c>
      <c r="AF177" s="170">
        <f t="shared" si="98"/>
        <v>5159353.0233243303</v>
      </c>
      <c r="AG177" s="170">
        <f t="shared" si="98"/>
        <v>5181696.3605066165</v>
      </c>
      <c r="AH177" s="170">
        <f t="shared" si="98"/>
        <v>5203918.9358292753</v>
      </c>
      <c r="AI177" s="170">
        <f t="shared" si="98"/>
        <v>5226015.8948914977</v>
      </c>
      <c r="AJ177" s="170">
        <f t="shared" si="98"/>
        <v>5247982.2680486077</v>
      </c>
      <c r="AK177" s="170">
        <f t="shared" si="98"/>
        <v>5269812.9678497827</v>
      </c>
      <c r="AL177" s="170">
        <f t="shared" si="98"/>
        <v>5291502.7864189884</v>
      </c>
      <c r="AM177" s="170">
        <f t="shared" si="98"/>
        <v>5562471.3130544769</v>
      </c>
      <c r="AN177" s="170">
        <f t="shared" si="98"/>
        <v>5578338.0148103423</v>
      </c>
      <c r="AO177" s="170">
        <f t="shared" si="98"/>
        <v>5594047.4620861681</v>
      </c>
      <c r="AP177" s="170">
        <f t="shared" si="98"/>
        <v>9685241.462568678</v>
      </c>
    </row>
    <row r="178" spans="1:42" x14ac:dyDescent="0.2">
      <c r="A178" s="167" t="s">
        <v>205</v>
      </c>
      <c r="B178" s="135">
        <f>SUM(B174:B177)</f>
        <v>-16232106.574750002</v>
      </c>
      <c r="C178" s="135">
        <f t="shared" ref="C178:AP178" si="99">SUM(C174:C177)</f>
        <v>4950331.2487990763</v>
      </c>
      <c r="D178" s="135">
        <f t="shared" si="99"/>
        <v>4989549.5523695154</v>
      </c>
      <c r="E178" s="135">
        <f t="shared" si="99"/>
        <v>5028745.2195159858</v>
      </c>
      <c r="F178" s="135">
        <f t="shared" si="99"/>
        <v>0</v>
      </c>
      <c r="G178" s="135">
        <f t="shared" si="99"/>
        <v>0</v>
      </c>
      <c r="H178" s="135">
        <f t="shared" si="99"/>
        <v>0</v>
      </c>
      <c r="I178" s="135">
        <f t="shared" si="99"/>
        <v>0</v>
      </c>
      <c r="J178" s="135">
        <f t="shared" si="99"/>
        <v>0</v>
      </c>
      <c r="K178" s="135">
        <f t="shared" si="99"/>
        <v>4736960.1021685693</v>
      </c>
      <c r="L178" s="135">
        <f t="shared" si="99"/>
        <v>4772022.5726412125</v>
      </c>
      <c r="M178" s="135">
        <f t="shared" si="99"/>
        <v>4807043.5982745402</v>
      </c>
      <c r="N178" s="135">
        <f t="shared" si="99"/>
        <v>4842020.2413442796</v>
      </c>
      <c r="O178" s="135">
        <f t="shared" si="99"/>
        <v>4787362.4614126692</v>
      </c>
      <c r="P178" s="135">
        <f t="shared" si="99"/>
        <v>4822997.3268452678</v>
      </c>
      <c r="Q178" s="135">
        <f t="shared" si="99"/>
        <v>4858578.5545721892</v>
      </c>
      <c r="R178" s="135">
        <f t="shared" si="99"/>
        <v>4894102.9067080598</v>
      </c>
      <c r="S178" s="135">
        <f t="shared" si="99"/>
        <v>4929567.0660992889</v>
      </c>
      <c r="T178" s="135">
        <f t="shared" si="99"/>
        <v>4964967.634557711</v>
      </c>
      <c r="U178" s="135">
        <f t="shared" si="99"/>
        <v>5000301.1310552675</v>
      </c>
      <c r="V178" s="135">
        <f t="shared" si="99"/>
        <v>5035563.9898787253</v>
      </c>
      <c r="W178" s="135">
        <f t="shared" si="99"/>
        <v>5064303.6437592581</v>
      </c>
      <c r="X178" s="135">
        <f t="shared" si="99"/>
        <v>5086629.2079256671</v>
      </c>
      <c r="Y178" s="135">
        <f t="shared" si="99"/>
        <v>5108872.9100973364</v>
      </c>
      <c r="Z178" s="135">
        <f t="shared" si="99"/>
        <v>5131030.8265382061</v>
      </c>
      <c r="AA178" s="135">
        <f t="shared" si="99"/>
        <v>5045987.0578114912</v>
      </c>
      <c r="AB178" s="135">
        <f t="shared" si="99"/>
        <v>5068865.2493486116</v>
      </c>
      <c r="AC178" s="135">
        <f t="shared" si="99"/>
        <v>5091645.3082333887</v>
      </c>
      <c r="AD178" s="135">
        <f t="shared" si="99"/>
        <v>5114322.9197512213</v>
      </c>
      <c r="AE178" s="135">
        <f t="shared" si="99"/>
        <v>5136893.6659461558</v>
      </c>
      <c r="AF178" s="135">
        <f t="shared" si="99"/>
        <v>5159353.0233243303</v>
      </c>
      <c r="AG178" s="135">
        <f t="shared" si="99"/>
        <v>5181696.3605066165</v>
      </c>
      <c r="AH178" s="135">
        <f t="shared" si="99"/>
        <v>5203918.9358292753</v>
      </c>
      <c r="AI178" s="135">
        <f t="shared" si="99"/>
        <v>5226015.8948914977</v>
      </c>
      <c r="AJ178" s="135">
        <f t="shared" si="99"/>
        <v>5247982.2680486077</v>
      </c>
      <c r="AK178" s="135">
        <f t="shared" si="99"/>
        <v>5269812.9678497827</v>
      </c>
      <c r="AL178" s="135">
        <f t="shared" si="99"/>
        <v>5291502.7864189884</v>
      </c>
      <c r="AM178" s="135">
        <f t="shared" si="99"/>
        <v>5562471.3130544769</v>
      </c>
      <c r="AN178" s="135">
        <f t="shared" si="99"/>
        <v>5578338.0148103423</v>
      </c>
      <c r="AO178" s="135">
        <f t="shared" si="99"/>
        <v>5594047.4620861681</v>
      </c>
      <c r="AP178" s="135">
        <f t="shared" si="99"/>
        <v>9685241.462568678</v>
      </c>
    </row>
    <row r="179" spans="1:42" x14ac:dyDescent="0.2">
      <c r="A179" s="163" t="s">
        <v>33</v>
      </c>
      <c r="B179" s="135"/>
      <c r="C179" s="135"/>
      <c r="D179" s="135"/>
      <c r="E179" s="135"/>
      <c r="F179" s="135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</row>
    <row r="180" spans="1:42" x14ac:dyDescent="0.2">
      <c r="A180" s="167" t="s">
        <v>37</v>
      </c>
      <c r="B180" s="169">
        <f t="shared" ref="B180:AP180" si="100">B90-B133</f>
        <v>0</v>
      </c>
      <c r="C180" s="169">
        <f t="shared" si="100"/>
        <v>0</v>
      </c>
      <c r="D180" s="169">
        <f t="shared" si="100"/>
        <v>0</v>
      </c>
      <c r="E180" s="169">
        <f t="shared" si="100"/>
        <v>0</v>
      </c>
      <c r="F180" s="169">
        <f t="shared" si="100"/>
        <v>0</v>
      </c>
      <c r="G180" s="169">
        <f t="shared" si="100"/>
        <v>0</v>
      </c>
      <c r="H180" s="169">
        <f t="shared" si="100"/>
        <v>0</v>
      </c>
      <c r="I180" s="169">
        <f t="shared" si="100"/>
        <v>0</v>
      </c>
      <c r="J180" s="169">
        <f t="shared" si="100"/>
        <v>0</v>
      </c>
      <c r="K180" s="169">
        <f t="shared" si="100"/>
        <v>0</v>
      </c>
      <c r="L180" s="169">
        <f t="shared" si="100"/>
        <v>0</v>
      </c>
      <c r="M180" s="169">
        <f t="shared" si="100"/>
        <v>0</v>
      </c>
      <c r="N180" s="169">
        <f t="shared" si="100"/>
        <v>0</v>
      </c>
      <c r="O180" s="169">
        <f t="shared" si="100"/>
        <v>0</v>
      </c>
      <c r="P180" s="169">
        <f t="shared" si="100"/>
        <v>0</v>
      </c>
      <c r="Q180" s="169">
        <f t="shared" si="100"/>
        <v>0</v>
      </c>
      <c r="R180" s="169">
        <f t="shared" si="100"/>
        <v>0</v>
      </c>
      <c r="S180" s="169">
        <f t="shared" si="100"/>
        <v>0</v>
      </c>
      <c r="T180" s="169">
        <f t="shared" si="100"/>
        <v>0</v>
      </c>
      <c r="U180" s="169">
        <f t="shared" si="100"/>
        <v>0</v>
      </c>
      <c r="V180" s="169">
        <f t="shared" si="100"/>
        <v>0</v>
      </c>
      <c r="W180" s="169">
        <f t="shared" si="100"/>
        <v>0</v>
      </c>
      <c r="X180" s="169">
        <f t="shared" si="100"/>
        <v>0</v>
      </c>
      <c r="Y180" s="169">
        <f t="shared" si="100"/>
        <v>0</v>
      </c>
      <c r="Z180" s="169">
        <f t="shared" si="100"/>
        <v>0</v>
      </c>
      <c r="AA180" s="169">
        <f t="shared" si="100"/>
        <v>0</v>
      </c>
      <c r="AB180" s="169">
        <f t="shared" si="100"/>
        <v>0</v>
      </c>
      <c r="AC180" s="169">
        <f t="shared" si="100"/>
        <v>0</v>
      </c>
      <c r="AD180" s="169">
        <f t="shared" si="100"/>
        <v>0</v>
      </c>
      <c r="AE180" s="169">
        <f t="shared" si="100"/>
        <v>0</v>
      </c>
      <c r="AF180" s="169">
        <f t="shared" si="100"/>
        <v>0</v>
      </c>
      <c r="AG180" s="169">
        <f t="shared" si="100"/>
        <v>0</v>
      </c>
      <c r="AH180" s="169">
        <f t="shared" si="100"/>
        <v>0</v>
      </c>
      <c r="AI180" s="169">
        <f t="shared" si="100"/>
        <v>0</v>
      </c>
      <c r="AJ180" s="169">
        <f t="shared" si="100"/>
        <v>0</v>
      </c>
      <c r="AK180" s="169">
        <f t="shared" si="100"/>
        <v>0</v>
      </c>
      <c r="AL180" s="169">
        <f t="shared" si="100"/>
        <v>0</v>
      </c>
      <c r="AM180" s="169">
        <f t="shared" si="100"/>
        <v>0</v>
      </c>
      <c r="AN180" s="169">
        <f t="shared" si="100"/>
        <v>0</v>
      </c>
      <c r="AO180" s="169">
        <f t="shared" si="100"/>
        <v>0</v>
      </c>
      <c r="AP180" s="169">
        <f t="shared" si="100"/>
        <v>0</v>
      </c>
    </row>
    <row r="181" spans="1:42" x14ac:dyDescent="0.2">
      <c r="A181" s="167" t="s">
        <v>36</v>
      </c>
      <c r="B181" s="170">
        <f t="shared" ref="B181:AP181" si="101">B91-B134</f>
        <v>0</v>
      </c>
      <c r="C181" s="170">
        <f t="shared" si="101"/>
        <v>120328.55541577563</v>
      </c>
      <c r="D181" s="170">
        <f t="shared" si="101"/>
        <v>0</v>
      </c>
      <c r="E181" s="170">
        <f t="shared" si="101"/>
        <v>0</v>
      </c>
      <c r="F181" s="170">
        <f t="shared" si="101"/>
        <v>0</v>
      </c>
      <c r="G181" s="170">
        <f t="shared" si="101"/>
        <v>0</v>
      </c>
      <c r="H181" s="170">
        <f t="shared" si="101"/>
        <v>0</v>
      </c>
      <c r="I181" s="170">
        <f t="shared" si="101"/>
        <v>0</v>
      </c>
      <c r="J181" s="170">
        <f t="shared" si="101"/>
        <v>0</v>
      </c>
      <c r="K181" s="170">
        <f t="shared" si="101"/>
        <v>0</v>
      </c>
      <c r="L181" s="170">
        <f t="shared" si="101"/>
        <v>0</v>
      </c>
      <c r="M181" s="170">
        <f t="shared" si="101"/>
        <v>0</v>
      </c>
      <c r="N181" s="170">
        <f t="shared" si="101"/>
        <v>0</v>
      </c>
      <c r="O181" s="170">
        <f t="shared" si="101"/>
        <v>0</v>
      </c>
      <c r="P181" s="170">
        <f t="shared" si="101"/>
        <v>0</v>
      </c>
      <c r="Q181" s="170">
        <f t="shared" si="101"/>
        <v>0</v>
      </c>
      <c r="R181" s="170">
        <f t="shared" si="101"/>
        <v>0</v>
      </c>
      <c r="S181" s="170">
        <f t="shared" si="101"/>
        <v>0</v>
      </c>
      <c r="T181" s="170">
        <f t="shared" si="101"/>
        <v>0</v>
      </c>
      <c r="U181" s="170">
        <f t="shared" si="101"/>
        <v>0</v>
      </c>
      <c r="V181" s="170">
        <f t="shared" si="101"/>
        <v>0</v>
      </c>
      <c r="W181" s="170">
        <f t="shared" si="101"/>
        <v>0</v>
      </c>
      <c r="X181" s="170">
        <f t="shared" si="101"/>
        <v>0</v>
      </c>
      <c r="Y181" s="170">
        <f t="shared" si="101"/>
        <v>0</v>
      </c>
      <c r="Z181" s="170">
        <f t="shared" si="101"/>
        <v>0</v>
      </c>
      <c r="AA181" s="170">
        <f t="shared" si="101"/>
        <v>0</v>
      </c>
      <c r="AB181" s="170">
        <f t="shared" si="101"/>
        <v>0</v>
      </c>
      <c r="AC181" s="170">
        <f t="shared" si="101"/>
        <v>0</v>
      </c>
      <c r="AD181" s="170">
        <f t="shared" si="101"/>
        <v>0</v>
      </c>
      <c r="AE181" s="170">
        <f t="shared" si="101"/>
        <v>0</v>
      </c>
      <c r="AF181" s="170">
        <f t="shared" si="101"/>
        <v>0</v>
      </c>
      <c r="AG181" s="170">
        <f t="shared" si="101"/>
        <v>0</v>
      </c>
      <c r="AH181" s="170">
        <f t="shared" si="101"/>
        <v>0</v>
      </c>
      <c r="AI181" s="170">
        <f t="shared" si="101"/>
        <v>0</v>
      </c>
      <c r="AJ181" s="170">
        <f t="shared" si="101"/>
        <v>0</v>
      </c>
      <c r="AK181" s="170">
        <f t="shared" si="101"/>
        <v>0</v>
      </c>
      <c r="AL181" s="170">
        <f t="shared" si="101"/>
        <v>0</v>
      </c>
      <c r="AM181" s="170">
        <f t="shared" si="101"/>
        <v>0</v>
      </c>
      <c r="AN181" s="170">
        <f t="shared" si="101"/>
        <v>0</v>
      </c>
      <c r="AO181" s="170">
        <f t="shared" si="101"/>
        <v>0</v>
      </c>
      <c r="AP181" s="170">
        <f t="shared" si="101"/>
        <v>0</v>
      </c>
    </row>
    <row r="182" spans="1:42" x14ac:dyDescent="0.2">
      <c r="A182" s="167" t="s">
        <v>53</v>
      </c>
      <c r="B182" s="135">
        <f>SUM(B180:B181)</f>
        <v>0</v>
      </c>
      <c r="C182" s="135">
        <f>SUM(C180:C181)</f>
        <v>120328.55541577563</v>
      </c>
      <c r="D182" s="135">
        <f>SUM(D180:D181)</f>
        <v>0</v>
      </c>
      <c r="E182" s="135">
        <f t="shared" ref="E182:AP182" si="102">SUM(E180:E181)</f>
        <v>0</v>
      </c>
      <c r="F182" s="135">
        <f t="shared" si="102"/>
        <v>0</v>
      </c>
      <c r="G182" s="135">
        <f t="shared" si="102"/>
        <v>0</v>
      </c>
      <c r="H182" s="135">
        <f t="shared" si="102"/>
        <v>0</v>
      </c>
      <c r="I182" s="135">
        <f t="shared" si="102"/>
        <v>0</v>
      </c>
      <c r="J182" s="135">
        <f t="shared" si="102"/>
        <v>0</v>
      </c>
      <c r="K182" s="135">
        <f t="shared" si="102"/>
        <v>0</v>
      </c>
      <c r="L182" s="135">
        <f t="shared" si="102"/>
        <v>0</v>
      </c>
      <c r="M182" s="135">
        <f t="shared" si="102"/>
        <v>0</v>
      </c>
      <c r="N182" s="135">
        <f t="shared" si="102"/>
        <v>0</v>
      </c>
      <c r="O182" s="135">
        <f t="shared" si="102"/>
        <v>0</v>
      </c>
      <c r="P182" s="135">
        <f t="shared" si="102"/>
        <v>0</v>
      </c>
      <c r="Q182" s="135">
        <f t="shared" si="102"/>
        <v>0</v>
      </c>
      <c r="R182" s="135">
        <f t="shared" si="102"/>
        <v>0</v>
      </c>
      <c r="S182" s="135">
        <f t="shared" si="102"/>
        <v>0</v>
      </c>
      <c r="T182" s="135">
        <f t="shared" si="102"/>
        <v>0</v>
      </c>
      <c r="U182" s="135">
        <f t="shared" si="102"/>
        <v>0</v>
      </c>
      <c r="V182" s="135">
        <f t="shared" si="102"/>
        <v>0</v>
      </c>
      <c r="W182" s="135">
        <f t="shared" si="102"/>
        <v>0</v>
      </c>
      <c r="X182" s="135">
        <f t="shared" si="102"/>
        <v>0</v>
      </c>
      <c r="Y182" s="135">
        <f t="shared" si="102"/>
        <v>0</v>
      </c>
      <c r="Z182" s="135">
        <f t="shared" si="102"/>
        <v>0</v>
      </c>
      <c r="AA182" s="135">
        <f t="shared" si="102"/>
        <v>0</v>
      </c>
      <c r="AB182" s="135">
        <f t="shared" si="102"/>
        <v>0</v>
      </c>
      <c r="AC182" s="135">
        <f t="shared" si="102"/>
        <v>0</v>
      </c>
      <c r="AD182" s="135">
        <f t="shared" si="102"/>
        <v>0</v>
      </c>
      <c r="AE182" s="135">
        <f t="shared" si="102"/>
        <v>0</v>
      </c>
      <c r="AF182" s="135">
        <f t="shared" si="102"/>
        <v>0</v>
      </c>
      <c r="AG182" s="135">
        <f t="shared" si="102"/>
        <v>0</v>
      </c>
      <c r="AH182" s="135">
        <f t="shared" si="102"/>
        <v>0</v>
      </c>
      <c r="AI182" s="135">
        <f t="shared" si="102"/>
        <v>0</v>
      </c>
      <c r="AJ182" s="135">
        <f t="shared" si="102"/>
        <v>0</v>
      </c>
      <c r="AK182" s="135">
        <f t="shared" si="102"/>
        <v>0</v>
      </c>
      <c r="AL182" s="135">
        <f t="shared" si="102"/>
        <v>0</v>
      </c>
      <c r="AM182" s="135">
        <f t="shared" si="102"/>
        <v>0</v>
      </c>
      <c r="AN182" s="135">
        <f t="shared" si="102"/>
        <v>0</v>
      </c>
      <c r="AO182" s="135">
        <f t="shared" si="102"/>
        <v>0</v>
      </c>
      <c r="AP182" s="135">
        <f t="shared" si="102"/>
        <v>0</v>
      </c>
    </row>
    <row r="183" spans="1:42" x14ac:dyDescent="0.2">
      <c r="A183" s="163" t="s">
        <v>38</v>
      </c>
      <c r="B183" s="135"/>
      <c r="C183" s="135"/>
      <c r="D183" s="135"/>
      <c r="E183" s="135"/>
      <c r="F183" s="135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</row>
    <row r="184" spans="1:42" x14ac:dyDescent="0.2">
      <c r="A184" s="167" t="s">
        <v>37</v>
      </c>
      <c r="B184" s="169">
        <f t="shared" ref="B184:AP184" si="103">B94-B137</f>
        <v>0</v>
      </c>
      <c r="C184" s="169">
        <f t="shared" si="103"/>
        <v>0</v>
      </c>
      <c r="D184" s="169">
        <f t="shared" si="103"/>
        <v>0</v>
      </c>
      <c r="E184" s="169">
        <f t="shared" si="103"/>
        <v>0</v>
      </c>
      <c r="F184" s="169">
        <f t="shared" si="103"/>
        <v>0</v>
      </c>
      <c r="G184" s="169">
        <f t="shared" si="103"/>
        <v>0</v>
      </c>
      <c r="H184" s="169">
        <f t="shared" si="103"/>
        <v>0</v>
      </c>
      <c r="I184" s="169">
        <f t="shared" si="103"/>
        <v>0</v>
      </c>
      <c r="J184" s="169">
        <f t="shared" si="103"/>
        <v>0</v>
      </c>
      <c r="K184" s="169">
        <f t="shared" si="103"/>
        <v>0</v>
      </c>
      <c r="L184" s="169">
        <f t="shared" si="103"/>
        <v>0</v>
      </c>
      <c r="M184" s="169">
        <f t="shared" si="103"/>
        <v>0</v>
      </c>
      <c r="N184" s="169">
        <f t="shared" si="103"/>
        <v>0</v>
      </c>
      <c r="O184" s="169">
        <f t="shared" si="103"/>
        <v>0</v>
      </c>
      <c r="P184" s="169">
        <f t="shared" si="103"/>
        <v>0</v>
      </c>
      <c r="Q184" s="169">
        <f t="shared" si="103"/>
        <v>0</v>
      </c>
      <c r="R184" s="169">
        <f t="shared" si="103"/>
        <v>0</v>
      </c>
      <c r="S184" s="169">
        <f t="shared" si="103"/>
        <v>0</v>
      </c>
      <c r="T184" s="169">
        <f t="shared" si="103"/>
        <v>0</v>
      </c>
      <c r="U184" s="169">
        <f t="shared" si="103"/>
        <v>0</v>
      </c>
      <c r="V184" s="169">
        <f t="shared" si="103"/>
        <v>0</v>
      </c>
      <c r="W184" s="169">
        <f t="shared" si="103"/>
        <v>0</v>
      </c>
      <c r="X184" s="169">
        <f t="shared" si="103"/>
        <v>0</v>
      </c>
      <c r="Y184" s="169">
        <f t="shared" si="103"/>
        <v>0</v>
      </c>
      <c r="Z184" s="169">
        <f t="shared" si="103"/>
        <v>0</v>
      </c>
      <c r="AA184" s="169">
        <f t="shared" si="103"/>
        <v>0</v>
      </c>
      <c r="AB184" s="169">
        <f t="shared" si="103"/>
        <v>0</v>
      </c>
      <c r="AC184" s="169">
        <f t="shared" si="103"/>
        <v>0</v>
      </c>
      <c r="AD184" s="169">
        <f t="shared" si="103"/>
        <v>0</v>
      </c>
      <c r="AE184" s="169">
        <f t="shared" si="103"/>
        <v>0</v>
      </c>
      <c r="AF184" s="169">
        <f t="shared" si="103"/>
        <v>0</v>
      </c>
      <c r="AG184" s="169">
        <f t="shared" si="103"/>
        <v>0</v>
      </c>
      <c r="AH184" s="169">
        <f t="shared" si="103"/>
        <v>0</v>
      </c>
      <c r="AI184" s="169">
        <f t="shared" si="103"/>
        <v>0</v>
      </c>
      <c r="AJ184" s="169">
        <f t="shared" si="103"/>
        <v>0</v>
      </c>
      <c r="AK184" s="169">
        <f t="shared" si="103"/>
        <v>0</v>
      </c>
      <c r="AL184" s="169">
        <f t="shared" si="103"/>
        <v>0</v>
      </c>
      <c r="AM184" s="169">
        <f t="shared" si="103"/>
        <v>0</v>
      </c>
      <c r="AN184" s="169">
        <f t="shared" si="103"/>
        <v>0</v>
      </c>
      <c r="AO184" s="169">
        <f t="shared" si="103"/>
        <v>0</v>
      </c>
      <c r="AP184" s="169">
        <f t="shared" si="103"/>
        <v>0</v>
      </c>
    </row>
    <row r="185" spans="1:42" x14ac:dyDescent="0.2">
      <c r="A185" s="167" t="s">
        <v>36</v>
      </c>
      <c r="B185" s="170">
        <f t="shared" ref="B185:AP185" si="104">B95-B138</f>
        <v>0</v>
      </c>
      <c r="C185" s="170">
        <f t="shared" si="104"/>
        <v>0</v>
      </c>
      <c r="D185" s="170">
        <f t="shared" si="104"/>
        <v>0</v>
      </c>
      <c r="E185" s="170">
        <f t="shared" si="104"/>
        <v>0</v>
      </c>
      <c r="F185" s="170">
        <f t="shared" si="104"/>
        <v>0</v>
      </c>
      <c r="G185" s="170">
        <f t="shared" si="104"/>
        <v>0</v>
      </c>
      <c r="H185" s="170">
        <f t="shared" si="104"/>
        <v>0</v>
      </c>
      <c r="I185" s="170">
        <f t="shared" si="104"/>
        <v>0</v>
      </c>
      <c r="J185" s="170">
        <f t="shared" si="104"/>
        <v>0</v>
      </c>
      <c r="K185" s="170">
        <f t="shared" si="104"/>
        <v>0</v>
      </c>
      <c r="L185" s="170">
        <f t="shared" si="104"/>
        <v>0</v>
      </c>
      <c r="M185" s="170">
        <f t="shared" si="104"/>
        <v>0</v>
      </c>
      <c r="N185" s="170">
        <f t="shared" si="104"/>
        <v>0</v>
      </c>
      <c r="O185" s="170">
        <f t="shared" si="104"/>
        <v>0</v>
      </c>
      <c r="P185" s="170">
        <f t="shared" si="104"/>
        <v>0</v>
      </c>
      <c r="Q185" s="170">
        <f t="shared" si="104"/>
        <v>0</v>
      </c>
      <c r="R185" s="170">
        <f t="shared" si="104"/>
        <v>0</v>
      </c>
      <c r="S185" s="170">
        <f t="shared" si="104"/>
        <v>0</v>
      </c>
      <c r="T185" s="170">
        <f t="shared" si="104"/>
        <v>0</v>
      </c>
      <c r="U185" s="170">
        <f t="shared" si="104"/>
        <v>0</v>
      </c>
      <c r="V185" s="170">
        <f t="shared" si="104"/>
        <v>0</v>
      </c>
      <c r="W185" s="170">
        <f t="shared" si="104"/>
        <v>0</v>
      </c>
      <c r="X185" s="170">
        <f t="shared" si="104"/>
        <v>0</v>
      </c>
      <c r="Y185" s="170">
        <f t="shared" si="104"/>
        <v>0</v>
      </c>
      <c r="Z185" s="170">
        <f t="shared" si="104"/>
        <v>0</v>
      </c>
      <c r="AA185" s="170">
        <f t="shared" si="104"/>
        <v>0</v>
      </c>
      <c r="AB185" s="170">
        <f t="shared" si="104"/>
        <v>0</v>
      </c>
      <c r="AC185" s="170">
        <f t="shared" si="104"/>
        <v>0</v>
      </c>
      <c r="AD185" s="170">
        <f t="shared" si="104"/>
        <v>0</v>
      </c>
      <c r="AE185" s="170">
        <f t="shared" si="104"/>
        <v>0</v>
      </c>
      <c r="AF185" s="170">
        <f t="shared" si="104"/>
        <v>0</v>
      </c>
      <c r="AG185" s="170">
        <f t="shared" si="104"/>
        <v>0</v>
      </c>
      <c r="AH185" s="170">
        <f t="shared" si="104"/>
        <v>0</v>
      </c>
      <c r="AI185" s="170">
        <f t="shared" si="104"/>
        <v>0</v>
      </c>
      <c r="AJ185" s="170">
        <f t="shared" si="104"/>
        <v>0</v>
      </c>
      <c r="AK185" s="170">
        <f t="shared" si="104"/>
        <v>0</v>
      </c>
      <c r="AL185" s="170">
        <f t="shared" si="104"/>
        <v>0</v>
      </c>
      <c r="AM185" s="170">
        <f t="shared" si="104"/>
        <v>0</v>
      </c>
      <c r="AN185" s="170">
        <f t="shared" si="104"/>
        <v>0</v>
      </c>
      <c r="AO185" s="170">
        <f t="shared" si="104"/>
        <v>0</v>
      </c>
      <c r="AP185" s="170">
        <f t="shared" si="104"/>
        <v>0</v>
      </c>
    </row>
    <row r="186" spans="1:42" x14ac:dyDescent="0.2">
      <c r="A186" s="167" t="s">
        <v>53</v>
      </c>
      <c r="B186" s="135">
        <f>SUM(B184:B185)</f>
        <v>0</v>
      </c>
      <c r="C186" s="135">
        <f>SUM(C184:C185)</f>
        <v>0</v>
      </c>
      <c r="D186" s="135">
        <f>SUM(D184:D185)</f>
        <v>0</v>
      </c>
      <c r="E186" s="135">
        <f t="shared" ref="E186:AP186" si="105">SUM(E184:E185)</f>
        <v>0</v>
      </c>
      <c r="F186" s="135">
        <f t="shared" si="105"/>
        <v>0</v>
      </c>
      <c r="G186" s="135">
        <f t="shared" si="105"/>
        <v>0</v>
      </c>
      <c r="H186" s="135">
        <f t="shared" si="105"/>
        <v>0</v>
      </c>
      <c r="I186" s="135">
        <f t="shared" si="105"/>
        <v>0</v>
      </c>
      <c r="J186" s="135">
        <f t="shared" si="105"/>
        <v>0</v>
      </c>
      <c r="K186" s="135">
        <f t="shared" si="105"/>
        <v>0</v>
      </c>
      <c r="L186" s="135">
        <f t="shared" si="105"/>
        <v>0</v>
      </c>
      <c r="M186" s="135">
        <f t="shared" si="105"/>
        <v>0</v>
      </c>
      <c r="N186" s="135">
        <f t="shared" si="105"/>
        <v>0</v>
      </c>
      <c r="O186" s="135">
        <f t="shared" si="105"/>
        <v>0</v>
      </c>
      <c r="P186" s="135">
        <f t="shared" si="105"/>
        <v>0</v>
      </c>
      <c r="Q186" s="135">
        <f t="shared" si="105"/>
        <v>0</v>
      </c>
      <c r="R186" s="135">
        <f t="shared" si="105"/>
        <v>0</v>
      </c>
      <c r="S186" s="135">
        <f t="shared" si="105"/>
        <v>0</v>
      </c>
      <c r="T186" s="135">
        <f t="shared" si="105"/>
        <v>0</v>
      </c>
      <c r="U186" s="135">
        <f t="shared" si="105"/>
        <v>0</v>
      </c>
      <c r="V186" s="135">
        <f t="shared" si="105"/>
        <v>0</v>
      </c>
      <c r="W186" s="135">
        <f t="shared" si="105"/>
        <v>0</v>
      </c>
      <c r="X186" s="135">
        <f t="shared" si="105"/>
        <v>0</v>
      </c>
      <c r="Y186" s="135">
        <f t="shared" si="105"/>
        <v>0</v>
      </c>
      <c r="Z186" s="135">
        <f t="shared" si="105"/>
        <v>0</v>
      </c>
      <c r="AA186" s="135">
        <f t="shared" si="105"/>
        <v>0</v>
      </c>
      <c r="AB186" s="135">
        <f t="shared" si="105"/>
        <v>0</v>
      </c>
      <c r="AC186" s="135">
        <f t="shared" si="105"/>
        <v>0</v>
      </c>
      <c r="AD186" s="135">
        <f t="shared" si="105"/>
        <v>0</v>
      </c>
      <c r="AE186" s="135">
        <f t="shared" si="105"/>
        <v>0</v>
      </c>
      <c r="AF186" s="135">
        <f t="shared" si="105"/>
        <v>0</v>
      </c>
      <c r="AG186" s="135">
        <f t="shared" si="105"/>
        <v>0</v>
      </c>
      <c r="AH186" s="135">
        <f t="shared" si="105"/>
        <v>0</v>
      </c>
      <c r="AI186" s="135">
        <f t="shared" si="105"/>
        <v>0</v>
      </c>
      <c r="AJ186" s="135">
        <f t="shared" si="105"/>
        <v>0</v>
      </c>
      <c r="AK186" s="135">
        <f t="shared" si="105"/>
        <v>0</v>
      </c>
      <c r="AL186" s="135">
        <f t="shared" si="105"/>
        <v>0</v>
      </c>
      <c r="AM186" s="135">
        <f t="shared" si="105"/>
        <v>0</v>
      </c>
      <c r="AN186" s="135">
        <f t="shared" si="105"/>
        <v>0</v>
      </c>
      <c r="AO186" s="135">
        <f t="shared" si="105"/>
        <v>0</v>
      </c>
      <c r="AP186" s="135">
        <f t="shared" si="105"/>
        <v>0</v>
      </c>
    </row>
    <row r="187" spans="1:42" x14ac:dyDescent="0.2">
      <c r="A187" s="163" t="s">
        <v>314</v>
      </c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</row>
    <row r="188" spans="1:42" x14ac:dyDescent="0.2">
      <c r="A188" s="167" t="s">
        <v>37</v>
      </c>
      <c r="B188" s="169">
        <v>0</v>
      </c>
      <c r="C188" s="169">
        <f>B175*-StateTax</f>
        <v>-66374.797500000001</v>
      </c>
      <c r="D188" s="169">
        <v>0</v>
      </c>
      <c r="E188" s="169">
        <v>0</v>
      </c>
      <c r="F188" s="169">
        <v>0</v>
      </c>
      <c r="G188" s="169">
        <v>0</v>
      </c>
      <c r="H188" s="169">
        <v>0</v>
      </c>
      <c r="I188" s="169">
        <v>0</v>
      </c>
      <c r="J188" s="169">
        <v>0</v>
      </c>
      <c r="K188" s="169">
        <v>0</v>
      </c>
      <c r="L188" s="169">
        <v>0</v>
      </c>
      <c r="M188" s="169">
        <v>0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169">
        <v>0</v>
      </c>
      <c r="V188" s="169">
        <v>0</v>
      </c>
      <c r="W188" s="169">
        <v>0</v>
      </c>
      <c r="X188" s="169">
        <v>0</v>
      </c>
      <c r="Y188" s="169">
        <v>0</v>
      </c>
      <c r="Z188" s="169">
        <v>0</v>
      </c>
      <c r="AA188" s="169">
        <v>0</v>
      </c>
      <c r="AB188" s="169">
        <v>0</v>
      </c>
      <c r="AC188" s="169">
        <v>0</v>
      </c>
      <c r="AD188" s="169">
        <v>0</v>
      </c>
      <c r="AE188" s="169">
        <v>0</v>
      </c>
      <c r="AF188" s="169">
        <v>0</v>
      </c>
      <c r="AG188" s="169">
        <v>0</v>
      </c>
      <c r="AH188" s="169">
        <v>0</v>
      </c>
      <c r="AI188" s="169">
        <v>0</v>
      </c>
      <c r="AJ188" s="169">
        <v>0</v>
      </c>
      <c r="AK188" s="169">
        <v>0</v>
      </c>
      <c r="AL188" s="169">
        <v>0</v>
      </c>
      <c r="AM188" s="169">
        <v>0</v>
      </c>
      <c r="AN188" s="169">
        <v>0</v>
      </c>
      <c r="AO188" s="169">
        <v>0</v>
      </c>
      <c r="AP188" s="169">
        <v>0</v>
      </c>
    </row>
    <row r="189" spans="1:42" x14ac:dyDescent="0.2">
      <c r="A189" s="167" t="s">
        <v>36</v>
      </c>
      <c r="B189" s="170">
        <v>0</v>
      </c>
      <c r="C189" s="170">
        <f>(B175+C188)*-FedTax</f>
        <v>-399153.89587499993</v>
      </c>
      <c r="D189" s="170">
        <v>0</v>
      </c>
      <c r="E189" s="170">
        <v>0</v>
      </c>
      <c r="F189" s="170">
        <v>0</v>
      </c>
      <c r="G189" s="170">
        <v>0</v>
      </c>
      <c r="H189" s="170">
        <v>0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0">
        <v>0</v>
      </c>
      <c r="AI189" s="170">
        <v>0</v>
      </c>
      <c r="AJ189" s="170">
        <v>0</v>
      </c>
      <c r="AK189" s="170">
        <v>0</v>
      </c>
      <c r="AL189" s="170">
        <v>0</v>
      </c>
      <c r="AM189" s="170">
        <v>0</v>
      </c>
      <c r="AN189" s="170">
        <v>0</v>
      </c>
      <c r="AO189" s="170">
        <v>0</v>
      </c>
      <c r="AP189" s="170">
        <v>0</v>
      </c>
    </row>
    <row r="190" spans="1:42" x14ac:dyDescent="0.2">
      <c r="A190" s="167" t="s">
        <v>53</v>
      </c>
      <c r="B190" s="242">
        <f>SUM(B188:B189)</f>
        <v>0</v>
      </c>
      <c r="C190" s="242">
        <f>SUM(C188:C189)</f>
        <v>-465528.69337499992</v>
      </c>
      <c r="D190" s="242">
        <f>SUM(D188:D189)</f>
        <v>0</v>
      </c>
      <c r="E190" s="242">
        <f t="shared" ref="E190:AP190" si="106">SUM(E188:E189)</f>
        <v>0</v>
      </c>
      <c r="F190" s="242">
        <f t="shared" si="106"/>
        <v>0</v>
      </c>
      <c r="G190" s="242">
        <f t="shared" si="106"/>
        <v>0</v>
      </c>
      <c r="H190" s="242">
        <f t="shared" si="106"/>
        <v>0</v>
      </c>
      <c r="I190" s="242">
        <f t="shared" si="106"/>
        <v>0</v>
      </c>
      <c r="J190" s="242">
        <f t="shared" si="106"/>
        <v>0</v>
      </c>
      <c r="K190" s="242">
        <f t="shared" si="106"/>
        <v>0</v>
      </c>
      <c r="L190" s="242">
        <f t="shared" si="106"/>
        <v>0</v>
      </c>
      <c r="M190" s="242">
        <f t="shared" si="106"/>
        <v>0</v>
      </c>
      <c r="N190" s="242">
        <f t="shared" si="106"/>
        <v>0</v>
      </c>
      <c r="O190" s="242">
        <f t="shared" si="106"/>
        <v>0</v>
      </c>
      <c r="P190" s="242">
        <f t="shared" si="106"/>
        <v>0</v>
      </c>
      <c r="Q190" s="242">
        <f t="shared" si="106"/>
        <v>0</v>
      </c>
      <c r="R190" s="242">
        <f t="shared" si="106"/>
        <v>0</v>
      </c>
      <c r="S190" s="242">
        <f t="shared" si="106"/>
        <v>0</v>
      </c>
      <c r="T190" s="242">
        <f t="shared" si="106"/>
        <v>0</v>
      </c>
      <c r="U190" s="242">
        <f t="shared" si="106"/>
        <v>0</v>
      </c>
      <c r="V190" s="242">
        <f t="shared" si="106"/>
        <v>0</v>
      </c>
      <c r="W190" s="242">
        <f t="shared" si="106"/>
        <v>0</v>
      </c>
      <c r="X190" s="242">
        <f t="shared" si="106"/>
        <v>0</v>
      </c>
      <c r="Y190" s="242">
        <f t="shared" si="106"/>
        <v>0</v>
      </c>
      <c r="Z190" s="242">
        <f t="shared" si="106"/>
        <v>0</v>
      </c>
      <c r="AA190" s="242">
        <f t="shared" si="106"/>
        <v>0</v>
      </c>
      <c r="AB190" s="242">
        <f t="shared" si="106"/>
        <v>0</v>
      </c>
      <c r="AC190" s="242">
        <f t="shared" si="106"/>
        <v>0</v>
      </c>
      <c r="AD190" s="242">
        <f t="shared" si="106"/>
        <v>0</v>
      </c>
      <c r="AE190" s="242">
        <f t="shared" si="106"/>
        <v>0</v>
      </c>
      <c r="AF190" s="242">
        <f t="shared" si="106"/>
        <v>0</v>
      </c>
      <c r="AG190" s="242">
        <f t="shared" si="106"/>
        <v>0</v>
      </c>
      <c r="AH190" s="242">
        <f t="shared" si="106"/>
        <v>0</v>
      </c>
      <c r="AI190" s="242">
        <f t="shared" si="106"/>
        <v>0</v>
      </c>
      <c r="AJ190" s="242">
        <f t="shared" si="106"/>
        <v>0</v>
      </c>
      <c r="AK190" s="242">
        <f t="shared" si="106"/>
        <v>0</v>
      </c>
      <c r="AL190" s="242">
        <f t="shared" si="106"/>
        <v>0</v>
      </c>
      <c r="AM190" s="242">
        <f t="shared" si="106"/>
        <v>0</v>
      </c>
      <c r="AN190" s="242">
        <f t="shared" si="106"/>
        <v>0</v>
      </c>
      <c r="AO190" s="242">
        <f t="shared" si="106"/>
        <v>0</v>
      </c>
      <c r="AP190" s="242">
        <f t="shared" si="106"/>
        <v>0</v>
      </c>
    </row>
    <row r="191" spans="1:42" x14ac:dyDescent="0.2">
      <c r="A191" s="163" t="s">
        <v>346</v>
      </c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</row>
    <row r="192" spans="1:42" x14ac:dyDescent="0.2">
      <c r="A192" s="167" t="s">
        <v>37</v>
      </c>
      <c r="B192" s="169">
        <f t="shared" ref="B192:AP192" si="107">B98-B141</f>
        <v>0</v>
      </c>
      <c r="C192" s="169">
        <f t="shared" si="107"/>
        <v>943.59327574732015</v>
      </c>
      <c r="D192" s="169">
        <f t="shared" si="107"/>
        <v>3219.8405751781538</v>
      </c>
      <c r="E192" s="169">
        <f t="shared" si="107"/>
        <v>794.66517326909525</v>
      </c>
      <c r="F192" s="169">
        <f t="shared" si="107"/>
        <v>-670.07614666668815</v>
      </c>
      <c r="G192" s="169">
        <f t="shared" si="107"/>
        <v>-694.4231122914789</v>
      </c>
      <c r="H192" s="169">
        <f t="shared" si="107"/>
        <v>-1798.5714276192593</v>
      </c>
      <c r="I192" s="169">
        <f t="shared" si="107"/>
        <v>-2901.371379194723</v>
      </c>
      <c r="J192" s="169">
        <f t="shared" si="107"/>
        <v>-2922.9320864066249</v>
      </c>
      <c r="K192" s="169">
        <f t="shared" si="107"/>
        <v>-264992.76737215009</v>
      </c>
      <c r="L192" s="169">
        <f t="shared" si="107"/>
        <v>-266932.57075838139</v>
      </c>
      <c r="M192" s="169">
        <f t="shared" si="107"/>
        <v>-268857.24550717016</v>
      </c>
      <c r="N192" s="169">
        <f t="shared" si="107"/>
        <v>-241638.2927246099</v>
      </c>
      <c r="O192" s="169">
        <f t="shared" si="107"/>
        <v>-223514.58718838831</v>
      </c>
      <c r="P192" s="169">
        <f t="shared" si="107"/>
        <v>-244144.9930595308</v>
      </c>
      <c r="Q192" s="169">
        <f t="shared" si="107"/>
        <v>-257296.12382654002</v>
      </c>
      <c r="R192" s="169">
        <f t="shared" si="107"/>
        <v>-261294.85686606166</v>
      </c>
      <c r="S192" s="169">
        <f t="shared" si="107"/>
        <v>-273680.33755433414</v>
      </c>
      <c r="T192" s="169">
        <f t="shared" si="107"/>
        <v>-284029.53690585837</v>
      </c>
      <c r="U192" s="169">
        <f t="shared" si="107"/>
        <v>-285978.74448456487</v>
      </c>
      <c r="V192" s="169">
        <f t="shared" si="107"/>
        <v>-287924.1866735178</v>
      </c>
      <c r="W192" s="169">
        <f t="shared" si="107"/>
        <v>-291484.21498419222</v>
      </c>
      <c r="X192" s="169">
        <f t="shared" si="107"/>
        <v>-294336.90282305074</v>
      </c>
      <c r="Y192" s="169">
        <f t="shared" si="107"/>
        <v>-295566.66581169836</v>
      </c>
      <c r="Z192" s="169">
        <f t="shared" si="107"/>
        <v>-261934.5061224185</v>
      </c>
      <c r="AA192" s="169">
        <f t="shared" si="107"/>
        <v>-239190.45713203555</v>
      </c>
      <c r="AB192" s="169">
        <f t="shared" si="107"/>
        <v>-262764.20981685573</v>
      </c>
      <c r="AC192" s="169">
        <f t="shared" si="107"/>
        <v>-277409.22609881515</v>
      </c>
      <c r="AD192" s="169">
        <f t="shared" si="107"/>
        <v>-278663.53277556627</v>
      </c>
      <c r="AE192" s="169">
        <f t="shared" si="107"/>
        <v>-289951.01869126805</v>
      </c>
      <c r="AF192" s="169">
        <f t="shared" si="107"/>
        <v>-301232.52575686644</v>
      </c>
      <c r="AG192" s="169">
        <f t="shared" si="107"/>
        <v>-302468.89001594868</v>
      </c>
      <c r="AH192" s="169">
        <f t="shared" si="107"/>
        <v>-303698.76623035735</v>
      </c>
      <c r="AI192" s="169">
        <f t="shared" si="107"/>
        <v>-304921.89067262021</v>
      </c>
      <c r="AJ192" s="169">
        <f t="shared" si="107"/>
        <v>-306137.99334766122</v>
      </c>
      <c r="AK192" s="169">
        <f t="shared" si="107"/>
        <v>-307346.79785343481</v>
      </c>
      <c r="AL192" s="169">
        <f t="shared" si="107"/>
        <v>-266871.95860998117</v>
      </c>
      <c r="AM192" s="169">
        <f t="shared" si="107"/>
        <v>-239413.01817069176</v>
      </c>
      <c r="AN192" s="169">
        <f t="shared" si="107"/>
        <v>-266966.99565644696</v>
      </c>
      <c r="AO192" s="169">
        <f t="shared" si="107"/>
        <v>-283843.43036532402</v>
      </c>
      <c r="AP192" s="169">
        <f t="shared" si="107"/>
        <v>-483970.20573805796</v>
      </c>
    </row>
    <row r="193" spans="1:42" x14ac:dyDescent="0.2">
      <c r="A193" s="167" t="s">
        <v>36</v>
      </c>
      <c r="B193" s="170">
        <f t="shared" ref="B193:AP193" si="108">B99-B142</f>
        <v>0</v>
      </c>
      <c r="C193" s="170">
        <f t="shared" si="108"/>
        <v>5674.4268355168169</v>
      </c>
      <c r="D193" s="170">
        <f t="shared" si="108"/>
        <v>19362.950368002988</v>
      </c>
      <c r="E193" s="170">
        <f t="shared" si="108"/>
        <v>4778.827382886433</v>
      </c>
      <c r="F193" s="170">
        <f t="shared" si="108"/>
        <v>-4029.594282000151</v>
      </c>
      <c r="G193" s="170">
        <f t="shared" si="108"/>
        <v>-4176.0080798256095</v>
      </c>
      <c r="H193" s="170">
        <f t="shared" si="108"/>
        <v>-10815.954539728584</v>
      </c>
      <c r="I193" s="170">
        <f t="shared" si="108"/>
        <v>-17447.792430339148</v>
      </c>
      <c r="J193" s="170">
        <f t="shared" si="108"/>
        <v>-17577.450683254283</v>
      </c>
      <c r="K193" s="170">
        <f t="shared" si="108"/>
        <v>-1593570.1419697932</v>
      </c>
      <c r="L193" s="170">
        <f t="shared" si="108"/>
        <v>-1605235.4141515386</v>
      </c>
      <c r="M193" s="170">
        <f t="shared" si="108"/>
        <v>-1616809.7082090278</v>
      </c>
      <c r="N193" s="170">
        <f t="shared" si="108"/>
        <v>-1453124.8239757223</v>
      </c>
      <c r="O193" s="170">
        <f t="shared" si="108"/>
        <v>-1344135.4493192625</v>
      </c>
      <c r="P193" s="170">
        <f t="shared" si="108"/>
        <v>-1468199.2082625418</v>
      </c>
      <c r="Q193" s="170">
        <f t="shared" si="108"/>
        <v>-1547285.3264659657</v>
      </c>
      <c r="R193" s="170">
        <f t="shared" si="108"/>
        <v>-1571332.2528809069</v>
      </c>
      <c r="S193" s="170">
        <f t="shared" si="108"/>
        <v>-1645814.0299290186</v>
      </c>
      <c r="T193" s="170">
        <f t="shared" si="108"/>
        <v>-1708050.3514838663</v>
      </c>
      <c r="U193" s="170">
        <f t="shared" si="108"/>
        <v>-1719772.1770594511</v>
      </c>
      <c r="V193" s="170">
        <f t="shared" si="108"/>
        <v>-1731471.3589502908</v>
      </c>
      <c r="W193" s="170">
        <f t="shared" si="108"/>
        <v>-1752880.0746549377</v>
      </c>
      <c r="X193" s="170">
        <f t="shared" si="108"/>
        <v>-1770035.1019768007</v>
      </c>
      <c r="Y193" s="170">
        <f t="shared" si="108"/>
        <v>-1777430.4494039859</v>
      </c>
      <c r="Z193" s="170">
        <f t="shared" si="108"/>
        <v>-1575178.8709089074</v>
      </c>
      <c r="AA193" s="170">
        <f t="shared" si="108"/>
        <v>-1438404.4308440133</v>
      </c>
      <c r="AB193" s="170">
        <f t="shared" si="108"/>
        <v>-1580168.4072168188</v>
      </c>
      <c r="AC193" s="170">
        <f t="shared" si="108"/>
        <v>-1668238.2096760564</v>
      </c>
      <c r="AD193" s="170">
        <f t="shared" si="108"/>
        <v>-1675781.1539185187</v>
      </c>
      <c r="AE193" s="170">
        <f t="shared" si="108"/>
        <v>-1743659.9896752164</v>
      </c>
      <c r="AF193" s="170">
        <f t="shared" si="108"/>
        <v>-1811502.8708015194</v>
      </c>
      <c r="AG193" s="170">
        <f t="shared" si="108"/>
        <v>-1818937.9158686369</v>
      </c>
      <c r="AH193" s="170">
        <f t="shared" si="108"/>
        <v>-1826333.9441943762</v>
      </c>
      <c r="AI193" s="170">
        <f t="shared" si="108"/>
        <v>-1833689.3698176201</v>
      </c>
      <c r="AJ193" s="170">
        <f t="shared" si="108"/>
        <v>-1841002.5690861628</v>
      </c>
      <c r="AK193" s="170">
        <f t="shared" si="108"/>
        <v>-1848271.8798186101</v>
      </c>
      <c r="AL193" s="170">
        <f t="shared" si="108"/>
        <v>-1604870.9147318413</v>
      </c>
      <c r="AM193" s="170">
        <f t="shared" si="108"/>
        <v>-1439742.8319992053</v>
      </c>
      <c r="AN193" s="170">
        <f t="shared" si="108"/>
        <v>-1605442.4329703609</v>
      </c>
      <c r="AO193" s="170">
        <f t="shared" si="108"/>
        <v>-1706931.1744241987</v>
      </c>
      <c r="AP193" s="170">
        <f t="shared" si="108"/>
        <v>-2910420.8281429578</v>
      </c>
    </row>
    <row r="194" spans="1:42" x14ac:dyDescent="0.2">
      <c r="A194" s="167" t="s">
        <v>53</v>
      </c>
      <c r="B194" s="177">
        <f>SUM(B192:B193)</f>
        <v>0</v>
      </c>
      <c r="C194" s="177">
        <f>SUM(C192:C193)</f>
        <v>6618.0201112641371</v>
      </c>
      <c r="D194" s="177">
        <f>SUM(D192:D193)</f>
        <v>22582.790943181142</v>
      </c>
      <c r="E194" s="177">
        <f t="shared" ref="E194:AP194" si="109">SUM(E192:E193)</f>
        <v>5573.4925561555283</v>
      </c>
      <c r="F194" s="177">
        <f t="shared" si="109"/>
        <v>-4699.6704286668391</v>
      </c>
      <c r="G194" s="177">
        <f t="shared" si="109"/>
        <v>-4870.4311921170884</v>
      </c>
      <c r="H194" s="177">
        <f t="shared" si="109"/>
        <v>-12614.525967347843</v>
      </c>
      <c r="I194" s="177">
        <f t="shared" si="109"/>
        <v>-20349.163809533871</v>
      </c>
      <c r="J194" s="177">
        <f t="shared" si="109"/>
        <v>-20500.382769660908</v>
      </c>
      <c r="K194" s="177">
        <f t="shared" si="109"/>
        <v>-1858562.9093419435</v>
      </c>
      <c r="L194" s="177">
        <f t="shared" si="109"/>
        <v>-1872167.98490992</v>
      </c>
      <c r="M194" s="177">
        <f t="shared" si="109"/>
        <v>-1885666.953716198</v>
      </c>
      <c r="N194" s="177">
        <f t="shared" si="109"/>
        <v>-1694763.1167003321</v>
      </c>
      <c r="O194" s="177">
        <f t="shared" si="109"/>
        <v>-1567650.0365076507</v>
      </c>
      <c r="P194" s="177">
        <f t="shared" si="109"/>
        <v>-1712344.2013220727</v>
      </c>
      <c r="Q194" s="177">
        <f t="shared" si="109"/>
        <v>-1804581.4502925058</v>
      </c>
      <c r="R194" s="177">
        <f t="shared" si="109"/>
        <v>-1832627.1097469686</v>
      </c>
      <c r="S194" s="177">
        <f t="shared" si="109"/>
        <v>-1919494.3674833528</v>
      </c>
      <c r="T194" s="177">
        <f t="shared" si="109"/>
        <v>-1992079.8883897248</v>
      </c>
      <c r="U194" s="177">
        <f t="shared" si="109"/>
        <v>-2005750.9215440159</v>
      </c>
      <c r="V194" s="177">
        <f t="shared" si="109"/>
        <v>-2019395.5456238086</v>
      </c>
      <c r="W194" s="177">
        <f t="shared" si="109"/>
        <v>-2044364.28963913</v>
      </c>
      <c r="X194" s="177">
        <f t="shared" si="109"/>
        <v>-2064372.0047998514</v>
      </c>
      <c r="Y194" s="177">
        <f t="shared" si="109"/>
        <v>-2072997.1152156843</v>
      </c>
      <c r="Z194" s="177">
        <f t="shared" si="109"/>
        <v>-1837113.3770313258</v>
      </c>
      <c r="AA194" s="177">
        <f t="shared" si="109"/>
        <v>-1677594.887976049</v>
      </c>
      <c r="AB194" s="177">
        <f t="shared" si="109"/>
        <v>-1842932.6170336744</v>
      </c>
      <c r="AC194" s="177">
        <f t="shared" si="109"/>
        <v>-1945647.4357748716</v>
      </c>
      <c r="AD194" s="177">
        <f t="shared" si="109"/>
        <v>-1954444.6866940849</v>
      </c>
      <c r="AE194" s="177">
        <f t="shared" si="109"/>
        <v>-2033611.0083664844</v>
      </c>
      <c r="AF194" s="177">
        <f t="shared" si="109"/>
        <v>-2112735.3965583858</v>
      </c>
      <c r="AG194" s="177">
        <f t="shared" si="109"/>
        <v>-2121406.8058845857</v>
      </c>
      <c r="AH194" s="177">
        <f t="shared" si="109"/>
        <v>-2130032.7104247333</v>
      </c>
      <c r="AI194" s="177">
        <f t="shared" si="109"/>
        <v>-2138611.2604902405</v>
      </c>
      <c r="AJ194" s="177">
        <f t="shared" si="109"/>
        <v>-2147140.5624338239</v>
      </c>
      <c r="AK194" s="177">
        <f t="shared" si="109"/>
        <v>-2155618.6776720448</v>
      </c>
      <c r="AL194" s="177">
        <f t="shared" si="109"/>
        <v>-1871742.8733418225</v>
      </c>
      <c r="AM194" s="177">
        <f t="shared" si="109"/>
        <v>-1679155.8501698971</v>
      </c>
      <c r="AN194" s="177">
        <f t="shared" si="109"/>
        <v>-1872409.4286268079</v>
      </c>
      <c r="AO194" s="177">
        <f t="shared" si="109"/>
        <v>-1990774.6047895227</v>
      </c>
      <c r="AP194" s="177">
        <f t="shared" si="109"/>
        <v>-3394391.0338810156</v>
      </c>
    </row>
    <row r="195" spans="1:42" x14ac:dyDescent="0.2">
      <c r="A195" s="163" t="s">
        <v>53</v>
      </c>
      <c r="B195" s="135">
        <f>B178+B182+B186+B190+B194</f>
        <v>-16232106.574750002</v>
      </c>
      <c r="C195" s="135">
        <f t="shared" ref="C195:AP195" si="110">C178+C182+C186+C190+C194</f>
        <v>4611749.1309511159</v>
      </c>
      <c r="D195" s="135">
        <f t="shared" si="110"/>
        <v>5012132.3433126966</v>
      </c>
      <c r="E195" s="135">
        <f t="shared" si="110"/>
        <v>5034318.7120721415</v>
      </c>
      <c r="F195" s="135">
        <f t="shared" si="110"/>
        <v>-4699.6704286668391</v>
      </c>
      <c r="G195" s="135">
        <f t="shared" si="110"/>
        <v>-4870.4311921170884</v>
      </c>
      <c r="H195" s="135">
        <f t="shared" si="110"/>
        <v>-12614.525967347843</v>
      </c>
      <c r="I195" s="135">
        <f t="shared" si="110"/>
        <v>-20349.163809533871</v>
      </c>
      <c r="J195" s="135">
        <f t="shared" si="110"/>
        <v>-20500.382769660908</v>
      </c>
      <c r="K195" s="135">
        <f t="shared" si="110"/>
        <v>2878397.1928266259</v>
      </c>
      <c r="L195" s="135">
        <f t="shared" si="110"/>
        <v>2899854.5877312925</v>
      </c>
      <c r="M195" s="135">
        <f t="shared" si="110"/>
        <v>2921376.6445583422</v>
      </c>
      <c r="N195" s="135">
        <f t="shared" si="110"/>
        <v>3147257.1246439475</v>
      </c>
      <c r="O195" s="135">
        <f t="shared" si="110"/>
        <v>3219712.4249050184</v>
      </c>
      <c r="P195" s="135">
        <f t="shared" si="110"/>
        <v>3110653.1255231951</v>
      </c>
      <c r="Q195" s="135">
        <f t="shared" si="110"/>
        <v>3053997.1042796834</v>
      </c>
      <c r="R195" s="135">
        <f t="shared" si="110"/>
        <v>3061475.7969610915</v>
      </c>
      <c r="S195" s="135">
        <f t="shared" si="110"/>
        <v>3010072.6986159361</v>
      </c>
      <c r="T195" s="135">
        <f t="shared" si="110"/>
        <v>2972887.7461679862</v>
      </c>
      <c r="U195" s="135">
        <f t="shared" si="110"/>
        <v>2994550.2095112517</v>
      </c>
      <c r="V195" s="135">
        <f t="shared" si="110"/>
        <v>3016168.4442549166</v>
      </c>
      <c r="W195" s="135">
        <f t="shared" si="110"/>
        <v>3019939.3541201279</v>
      </c>
      <c r="X195" s="135">
        <f t="shared" si="110"/>
        <v>3022257.2031258158</v>
      </c>
      <c r="Y195" s="135">
        <f t="shared" si="110"/>
        <v>3035875.7948816521</v>
      </c>
      <c r="Z195" s="135">
        <f t="shared" si="110"/>
        <v>3293917.4495068802</v>
      </c>
      <c r="AA195" s="135">
        <f t="shared" si="110"/>
        <v>3368392.1698354422</v>
      </c>
      <c r="AB195" s="135">
        <f t="shared" si="110"/>
        <v>3225932.6323149372</v>
      </c>
      <c r="AC195" s="135">
        <f t="shared" si="110"/>
        <v>3145997.8724585171</v>
      </c>
      <c r="AD195" s="135">
        <f t="shared" si="110"/>
        <v>3159878.2330571366</v>
      </c>
      <c r="AE195" s="135">
        <f t="shared" si="110"/>
        <v>3103282.6575796716</v>
      </c>
      <c r="AF195" s="135">
        <f t="shared" si="110"/>
        <v>3046617.6267659445</v>
      </c>
      <c r="AG195" s="135">
        <f t="shared" si="110"/>
        <v>3060289.5546220308</v>
      </c>
      <c r="AH195" s="135">
        <f t="shared" si="110"/>
        <v>3073886.2254045419</v>
      </c>
      <c r="AI195" s="135">
        <f t="shared" si="110"/>
        <v>3087404.6344012571</v>
      </c>
      <c r="AJ195" s="135">
        <f t="shared" si="110"/>
        <v>3100841.7056147838</v>
      </c>
      <c r="AK195" s="135">
        <f t="shared" si="110"/>
        <v>3114194.2901777378</v>
      </c>
      <c r="AL195" s="135">
        <f t="shared" si="110"/>
        <v>3419759.9130771658</v>
      </c>
      <c r="AM195" s="135">
        <f t="shared" si="110"/>
        <v>3883315.4628845798</v>
      </c>
      <c r="AN195" s="135">
        <f t="shared" si="110"/>
        <v>3705928.5861835345</v>
      </c>
      <c r="AO195" s="135">
        <f t="shared" si="110"/>
        <v>3603272.8572966456</v>
      </c>
      <c r="AP195" s="135">
        <f t="shared" si="110"/>
        <v>6290850.4286876619</v>
      </c>
    </row>
    <row r="196" spans="1:42" x14ac:dyDescent="0.2">
      <c r="A196" s="167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</row>
    <row r="197" spans="1:42" s="101" customFormat="1" x14ac:dyDescent="0.2">
      <c r="A197" s="163" t="s">
        <v>323</v>
      </c>
      <c r="B197" s="244" t="str">
        <f>IF(ISERROR(IRR($B195:B195)),"N/A",ROUND(IRR($B195:B195),4))</f>
        <v>N/A</v>
      </c>
      <c r="C197" s="244">
        <f>IF(ISERROR(IRR($B195:C195)),"N/A",ROUND(IRR($B195:C195),4))</f>
        <v>-0.71589999999999998</v>
      </c>
      <c r="D197" s="244">
        <f>IF(ISERROR(IRR($B195:D195)),"N/A",ROUND(IRR($B195:D195),4))</f>
        <v>-0.28439999999999999</v>
      </c>
      <c r="E197" s="244">
        <f>IF(ISERROR(IRR($B195:E195)),"N/A",ROUND(IRR($B195:E195),4))</f>
        <v>-4.8599999999999997E-2</v>
      </c>
      <c r="F197" s="244">
        <f>IF(ISERROR(IRR($B195:F195)),"N/A",ROUND(IRR($B195:F195),4))</f>
        <v>-4.8800000000000003E-2</v>
      </c>
      <c r="G197" s="244">
        <f>IF(ISERROR(IRR($B195:G195)),"N/A",ROUND(IRR($B195:G195),4))</f>
        <v>-4.9000000000000002E-2</v>
      </c>
      <c r="H197" s="244">
        <f>IF(ISERROR(IRR($B195:H195)),"N/A",ROUND(IRR($B195:H195),4))</f>
        <v>-4.9500000000000002E-2</v>
      </c>
      <c r="I197" s="244">
        <f>IF(ISERROR(IRR($B195:I195)),"N/A",ROUND(IRR($B195:I195),4))</f>
        <v>-5.0299999999999997E-2</v>
      </c>
      <c r="J197" s="244">
        <f>IF(ISERROR(IRR($B195:J195)),"N/A",ROUND(IRR($B195:J195),4))</f>
        <v>-5.1200000000000002E-2</v>
      </c>
      <c r="K197" s="244">
        <f>IF(ISERROR(IRR($B195:K195)),"N/A",ROUND(IRR($B195:K195),4))</f>
        <v>2.4199999999999999E-2</v>
      </c>
      <c r="L197" s="244">
        <f>IF(ISERROR(IRR($B195:L195)),"N/A",ROUND(IRR($B195:L195),4))</f>
        <v>6.1600000000000002E-2</v>
      </c>
      <c r="M197" s="244">
        <f>IF(ISERROR(IRR($B195:M195)),"N/A",ROUND(IRR($B195:M195),4))</f>
        <v>8.5599999999999996E-2</v>
      </c>
      <c r="N197" s="244">
        <f>IF(ISERROR(IRR($B195:N195)),"N/A",ROUND(IRR($B195:N195),4))</f>
        <v>0.10349999999999999</v>
      </c>
      <c r="O197" s="244">
        <f>IF(ISERROR(IRR($B195:O195)),"N/A",ROUND(IRR($B195:O195),4))</f>
        <v>0.1167</v>
      </c>
      <c r="P197" s="244">
        <f>IF(ISERROR(IRR($B195:P195)),"N/A",ROUND(IRR($B195:P195),4))</f>
        <v>0.1263</v>
      </c>
      <c r="Q197" s="244">
        <f>IF(ISERROR(IRR($B195:Q195)),"N/A",ROUND(IRR($B195:Q195),4))</f>
        <v>0.13350000000000001</v>
      </c>
      <c r="R197" s="244">
        <f>IF(ISERROR(IRR($B195:R195)),"N/A",ROUND(IRR($B195:R195),4))</f>
        <v>0.13919999999999999</v>
      </c>
      <c r="S197" s="244">
        <f>IF(ISERROR(IRR($B195:S195)),"N/A",ROUND(IRR($B195:S195),4))</f>
        <v>0.14360000000000001</v>
      </c>
      <c r="T197" s="244">
        <f>IF(ISERROR(IRR($B195:T195)),"N/A",ROUND(IRR($B195:T195),4))</f>
        <v>0.14710000000000001</v>
      </c>
      <c r="U197" s="244">
        <f>IF(ISERROR(IRR($B195:U195)),"N/A",ROUND(IRR($B195:U195),4))</f>
        <v>0.15</v>
      </c>
      <c r="V197" s="244">
        <f>IF(ISERROR(IRR($B195:V195)),"N/A",ROUND(IRR($B195:V195),4))</f>
        <v>0.15240000000000001</v>
      </c>
      <c r="W197" s="244">
        <f>IF(ISERROR(IRR($B195:W195)),"N/A",ROUND(IRR($B195:W195),4))</f>
        <v>0.15429999999999999</v>
      </c>
      <c r="X197" s="244">
        <f>IF(ISERROR(IRR($B195:X195)),"N/A",ROUND(IRR($B195:X195),4))</f>
        <v>0.15590000000000001</v>
      </c>
      <c r="Y197" s="244">
        <f>IF(ISERROR(IRR($B195:Y195)),"N/A",ROUND(IRR($B195:Y195),4))</f>
        <v>0.1573</v>
      </c>
      <c r="Z197" s="244">
        <f>IF(ISERROR(IRR($B195:Z195)),"N/A",ROUND(IRR($B195:Z195),4))</f>
        <v>0.1585</v>
      </c>
      <c r="AA197" s="244">
        <f>IF(ISERROR(IRR($B195:AA195)),"N/A",ROUND(IRR($B195:AA195),4))</f>
        <v>0.1595</v>
      </c>
      <c r="AB197" s="244">
        <f>IF(ISERROR(IRR($B195:AB195)),"N/A",ROUND(IRR($B195:AB195),4))</f>
        <v>0.16039999999999999</v>
      </c>
      <c r="AC197" s="244">
        <f>IF(ISERROR(IRR($B195:AC195)),"N/A",ROUND(IRR($B195:AC195),4))</f>
        <v>0.161</v>
      </c>
      <c r="AD197" s="244">
        <f>IF(ISERROR(IRR($B195:AD195)),"N/A",ROUND(IRR($B195:AD195),4))</f>
        <v>0.16159999999999999</v>
      </c>
      <c r="AE197" s="244">
        <f>IF(ISERROR(IRR($B195:AE195)),"N/A",ROUND(IRR($B195:AE195),4))</f>
        <v>0.16209999999999999</v>
      </c>
      <c r="AF197" s="244">
        <f>IF(ISERROR(IRR($B195:AF195)),"N/A",ROUND(IRR($B195:AF195),4))</f>
        <v>0.16250000000000001</v>
      </c>
      <c r="AG197" s="244">
        <f>IF(ISERROR(IRR($B195:AG195)),"N/A",ROUND(IRR($B195:AG195),4))</f>
        <v>0.1628</v>
      </c>
      <c r="AH197" s="244">
        <f>IF(ISERROR(IRR($B195:AH195)),"N/A",ROUND(IRR($B195:AH195),4))</f>
        <v>0.16309999999999999</v>
      </c>
      <c r="AI197" s="244">
        <f>IF(ISERROR(IRR($B195:AI195)),"N/A",ROUND(IRR($B195:AI195),4))</f>
        <v>0.16339999999999999</v>
      </c>
      <c r="AJ197" s="244">
        <f>IF(ISERROR(IRR($B195:AJ195)),"N/A",ROUND(IRR($B195:AJ195),4))</f>
        <v>0.1636</v>
      </c>
      <c r="AK197" s="244">
        <f>IF(ISERROR(IRR($B195:AK195)),"N/A",ROUND(IRR($B195:AK195),4))</f>
        <v>0.1638</v>
      </c>
      <c r="AL197" s="244">
        <f>IF(ISERROR(IRR($B195:AL195)),"N/A",ROUND(IRR($B195:AL195),4))</f>
        <v>0.16389999999999999</v>
      </c>
      <c r="AM197" s="244">
        <f>IF(ISERROR(IRR($B195:AM195)),"N/A",ROUND(IRR($B195:AM195),4))</f>
        <v>0.1641</v>
      </c>
      <c r="AN197" s="244">
        <f>IF(ISERROR(IRR($B195:AN195)),"N/A",ROUND(IRR($B195:AN195),4))</f>
        <v>0.16420000000000001</v>
      </c>
      <c r="AO197" s="244">
        <f>IF(ISERROR(IRR($B195:AO195)),"N/A",ROUND(IRR($B195:AO195),4))</f>
        <v>0.1643</v>
      </c>
      <c r="AP197" s="244">
        <f>IF(ISERROR(IRR($B195:AP195)),"N/A",ROUND(IRR($B195:AP195),4))</f>
        <v>0.16450000000000001</v>
      </c>
    </row>
    <row r="198" spans="1:42" s="101" customFormat="1" x14ac:dyDescent="0.2">
      <c r="A198" s="163" t="s">
        <v>324</v>
      </c>
      <c r="B198" s="245">
        <f>B195</f>
        <v>-16232106.574750002</v>
      </c>
      <c r="C198" s="245">
        <f>NPV(DiscountRate,$C195:C195)+$B195</f>
        <v>-11961968.490536006</v>
      </c>
      <c r="D198" s="245">
        <f>NPV(DiscountRate,$C195:D195)+$B195</f>
        <v>-7664872.8601238877</v>
      </c>
      <c r="E198" s="245">
        <f>NPV(DiscountRate,$C195:E195)+$B195</f>
        <v>-3668468.3549098857</v>
      </c>
      <c r="F198" s="245">
        <f>NPV(DiscountRate,$C195:F195)+$B195</f>
        <v>-3671922.7529732604</v>
      </c>
      <c r="G198" s="245">
        <f>NPV(DiscountRate,$C195:G195)+$B195</f>
        <v>-3675237.4866049252</v>
      </c>
      <c r="H198" s="245">
        <f>NPV(DiscountRate,$C195:H195)+$B195</f>
        <v>-3683186.7777270768</v>
      </c>
      <c r="I198" s="245">
        <f>NPV(DiscountRate,$C195:I195)+$B195</f>
        <v>-3695060.3193615545</v>
      </c>
      <c r="J198" s="245">
        <f>NPV(DiscountRate,$C195:J195)+$B195</f>
        <v>-3706136.0382923819</v>
      </c>
      <c r="K198" s="245">
        <f>NPV(DiscountRate,$C195:K195)+$B195</f>
        <v>-2266220.8155867718</v>
      </c>
      <c r="L198" s="245">
        <f>NPV(DiscountRate,$C195:L195)+$B195</f>
        <v>-923027.0541571416</v>
      </c>
      <c r="M198" s="245">
        <f>NPV(DiscountRate,$C195:M195)+$B195</f>
        <v>329901.3143633306</v>
      </c>
      <c r="N198" s="245">
        <f>NPV(DiscountRate,$C195:N195)+$B195</f>
        <v>1579720.420556061</v>
      </c>
      <c r="O198" s="245">
        <f>NPV(DiscountRate,$C195:O195)+$B195</f>
        <v>2763601.9972349778</v>
      </c>
      <c r="P198" s="245">
        <f>NPV(DiscountRate,$C195:P195)+$B195</f>
        <v>3822658.199670177</v>
      </c>
      <c r="Q198" s="245">
        <f>NPV(DiscountRate,$C195:Q195)+$B195</f>
        <v>4785405.4537841976</v>
      </c>
      <c r="R198" s="245">
        <f>NPV(DiscountRate,$C195:R195)+$B195</f>
        <v>5679021.0555858836</v>
      </c>
      <c r="S198" s="245">
        <f>NPV(DiscountRate,$C195:S195)+$B195</f>
        <v>6492550.2476151735</v>
      </c>
      <c r="T198" s="245">
        <f>NPV(DiscountRate,$C195:T195)+$B195</f>
        <v>7236512.5197648369</v>
      </c>
      <c r="U198" s="245">
        <f>NPV(DiscountRate,$C195:U195)+$B195</f>
        <v>7930385.9295514822</v>
      </c>
      <c r="V198" s="245">
        <f>NPV(DiscountRate,$C195:V195)+$B195</f>
        <v>8577499.4624950588</v>
      </c>
      <c r="W198" s="245">
        <f>NPV(DiscountRate,$C195:W195)+$B195</f>
        <v>9177427.7725834288</v>
      </c>
      <c r="X198" s="245">
        <f>NPV(DiscountRate,$C195:X195)+$B195</f>
        <v>9733343.2949125096</v>
      </c>
      <c r="Y198" s="245">
        <f>NPV(DiscountRate,$C195:Y195)+$B195</f>
        <v>10250399.343988191</v>
      </c>
      <c r="Z198" s="245">
        <f>NPV(DiscountRate,$C195:Z195)+$B195</f>
        <v>10769847.94291592</v>
      </c>
      <c r="AA198" s="245">
        <f>NPV(DiscountRate,$C195:AA195)+$B195</f>
        <v>11261693.510480355</v>
      </c>
      <c r="AB198" s="245">
        <f>NPV(DiscountRate,$C195:AB195)+$B195</f>
        <v>11697845.292295933</v>
      </c>
      <c r="AC198" s="245">
        <f>NPV(DiscountRate,$C195:AC195)+$B195</f>
        <v>12091682.756456491</v>
      </c>
      <c r="AD198" s="245">
        <f>NPV(DiscountRate,$C195:AD195)+$B195</f>
        <v>12457955.999365125</v>
      </c>
      <c r="AE198" s="245">
        <f>NPV(DiscountRate,$C195:AE195)+$B195</f>
        <v>12791023.628236115</v>
      </c>
      <c r="AF198" s="245">
        <f>NPV(DiscountRate,$C195:AF195)+$B195</f>
        <v>13093788.361283321</v>
      </c>
      <c r="AG198" s="245">
        <f>NPV(DiscountRate,$C195:AG195)+$B195</f>
        <v>13375384.113846615</v>
      </c>
      <c r="AH198" s="245">
        <f>NPV(DiscountRate,$C195:AH195)+$B195</f>
        <v>13637279.358738828</v>
      </c>
      <c r="AI198" s="245">
        <f>NPV(DiscountRate,$C195:AI195)+$B195</f>
        <v>13880841.408690475</v>
      </c>
      <c r="AJ198" s="245">
        <f>NPV(DiscountRate,$C195:AJ195)+$B195</f>
        <v>14107343.340292461</v>
      </c>
      <c r="AK198" s="245">
        <f>NPV(DiscountRate,$C195:AK195)+$B195</f>
        <v>14317970.446985807</v>
      </c>
      <c r="AL198" s="245">
        <f>NPV(DiscountRate,$C195:AL195)+$B195</f>
        <v>14532131.463525455</v>
      </c>
      <c r="AM198" s="245">
        <f>NPV(DiscountRate,$C195:AM195)+$B195</f>
        <v>14757308.302937169</v>
      </c>
      <c r="AN198" s="245">
        <f>NPV(DiscountRate,$C195:AN195)+$B195</f>
        <v>14956281.389804065</v>
      </c>
      <c r="AO198" s="245">
        <f>NPV(DiscountRate,$C195:AO195)+$B195</f>
        <v>15135412.363365605</v>
      </c>
      <c r="AP198" s="245">
        <f>NPV(DiscountRate,$C195:AP195)+$B195</f>
        <v>15424986.079850651</v>
      </c>
    </row>
    <row r="199" spans="1:42" s="101" customFormat="1" x14ac:dyDescent="0.2">
      <c r="A199" s="234"/>
      <c r="B199" s="181"/>
      <c r="C199" s="181"/>
      <c r="D199" s="181"/>
      <c r="E199" s="181"/>
      <c r="F199" s="181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</row>
    <row r="200" spans="1:42" x14ac:dyDescent="0.2">
      <c r="A200" s="163" t="s">
        <v>221</v>
      </c>
      <c r="B200" s="241">
        <f>IF(ISERROR(IRR(B195:AP195)),"N/A",IRR(B195:AP195))</f>
        <v>0.16449193695229036</v>
      </c>
      <c r="C200" s="135"/>
      <c r="D200" s="135"/>
      <c r="E200" s="135"/>
      <c r="F200" s="135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</row>
    <row r="201" spans="1:42" x14ac:dyDescent="0.2">
      <c r="A201" s="163" t="s">
        <v>202</v>
      </c>
      <c r="B201" s="179">
        <f>NPV(DiscountRate,$C195:$AP195)+B195</f>
        <v>15424986.079850651</v>
      </c>
      <c r="C201" s="135"/>
      <c r="D201" s="135"/>
      <c r="E201" s="135"/>
      <c r="F201" s="135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</row>
    <row r="202" spans="1:42" x14ac:dyDescent="0.2"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69"/>
      <c r="AO202" s="169"/>
      <c r="AP202" s="169"/>
    </row>
    <row r="203" spans="1:42" x14ac:dyDescent="0.2">
      <c r="A203" s="162" t="s">
        <v>111</v>
      </c>
    </row>
    <row r="204" spans="1:42" s="101" customFormat="1" x14ac:dyDescent="0.2">
      <c r="A204" s="178" t="s">
        <v>125</v>
      </c>
    </row>
    <row r="205" spans="1:42" s="101" customFormat="1" x14ac:dyDescent="0.2">
      <c r="A205" s="25" t="s">
        <v>112</v>
      </c>
      <c r="C205" s="181">
        <f t="shared" ref="C205:AP205" si="111">C43</f>
        <v>5186185.3867221233</v>
      </c>
      <c r="D205" s="181">
        <f t="shared" si="111"/>
        <v>5221241.891674961</v>
      </c>
      <c r="E205" s="181">
        <f t="shared" si="111"/>
        <v>5256275.9843702372</v>
      </c>
      <c r="F205" s="181">
        <f t="shared" si="111"/>
        <v>5291284.9913383592</v>
      </c>
      <c r="G205" s="181">
        <f t="shared" si="111"/>
        <v>5326266.1716661844</v>
      </c>
      <c r="H205" s="181">
        <f t="shared" si="111"/>
        <v>5361216.7154902499</v>
      </c>
      <c r="I205" s="181">
        <f t="shared" si="111"/>
        <v>5396133.7424567686</v>
      </c>
      <c r="J205" s="181">
        <f t="shared" si="111"/>
        <v>5431014.3001476275</v>
      </c>
      <c r="K205" s="181">
        <f t="shared" si="111"/>
        <v>5465855.362471683</v>
      </c>
      <c r="L205" s="181">
        <f t="shared" si="111"/>
        <v>5500653.8280204916</v>
      </c>
      <c r="M205" s="181">
        <f t="shared" si="111"/>
        <v>5535406.5183878206</v>
      </c>
      <c r="N205" s="181">
        <f t="shared" si="111"/>
        <v>5570110.176451995</v>
      </c>
      <c r="O205" s="181">
        <f t="shared" si="111"/>
        <v>5604761.4646203648</v>
      </c>
      <c r="P205" s="181">
        <f t="shared" si="111"/>
        <v>5639356.9630349623</v>
      </c>
      <c r="Q205" s="181">
        <f t="shared" si="111"/>
        <v>5673893.1677385746</v>
      </c>
      <c r="R205" s="181">
        <f t="shared" si="111"/>
        <v>5708366.4888002714</v>
      </c>
      <c r="S205" s="181">
        <f t="shared" si="111"/>
        <v>5742773.2483995594</v>
      </c>
      <c r="T205" s="181">
        <f t="shared" si="111"/>
        <v>5777109.6788681578</v>
      </c>
      <c r="U205" s="181">
        <f t="shared" si="111"/>
        <v>5811371.9206885574</v>
      </c>
      <c r="V205" s="181">
        <f t="shared" si="111"/>
        <v>5845556.0204483094</v>
      </c>
      <c r="W205" s="181">
        <f t="shared" si="111"/>
        <v>5879657.9287491161</v>
      </c>
      <c r="X205" s="181">
        <f t="shared" si="111"/>
        <v>5899342.5758821797</v>
      </c>
      <c r="Y205" s="181">
        <f t="shared" si="111"/>
        <v>5918936.6362063298</v>
      </c>
      <c r="Z205" s="181">
        <f t="shared" si="111"/>
        <v>5938435.7593528181</v>
      </c>
      <c r="AA205" s="181">
        <f t="shared" si="111"/>
        <v>5957835.4901307719</v>
      </c>
      <c r="AB205" s="181">
        <f t="shared" si="111"/>
        <v>5977131.2661946267</v>
      </c>
      <c r="AC205" s="181">
        <f t="shared" si="111"/>
        <v>5996318.415660006</v>
      </c>
      <c r="AD205" s="181">
        <f t="shared" si="111"/>
        <v>6015392.1546668168</v>
      </c>
      <c r="AE205" s="181">
        <f t="shared" si="111"/>
        <v>6034347.584888462</v>
      </c>
      <c r="AF205" s="181">
        <f t="shared" si="111"/>
        <v>6053179.6909858752</v>
      </c>
      <c r="AG205" s="181">
        <f t="shared" si="111"/>
        <v>6071883.3380052596</v>
      </c>
      <c r="AH205" s="181">
        <f t="shared" si="111"/>
        <v>6090453.2687181877</v>
      </c>
      <c r="AI205" s="181">
        <f t="shared" si="111"/>
        <v>6108884.100902834</v>
      </c>
      <c r="AJ205" s="181">
        <f t="shared" si="111"/>
        <v>6127170.3245649757</v>
      </c>
      <c r="AK205" s="181">
        <f t="shared" si="111"/>
        <v>6145306.2990974821</v>
      </c>
      <c r="AL205" s="181">
        <f t="shared" si="111"/>
        <v>6163286.2503768764</v>
      </c>
      <c r="AM205" s="181">
        <f t="shared" si="111"/>
        <v>6181104.2677955758</v>
      </c>
      <c r="AN205" s="181">
        <f t="shared" si="111"/>
        <v>6198754.3012283863</v>
      </c>
      <c r="AO205" s="181">
        <f t="shared" si="111"/>
        <v>6216230.1579317786</v>
      </c>
      <c r="AP205" s="181">
        <f t="shared" si="111"/>
        <v>10256240.499374447</v>
      </c>
    </row>
    <row r="206" spans="1:42" s="101" customFormat="1" x14ac:dyDescent="0.2">
      <c r="A206" s="25" t="s">
        <v>121</v>
      </c>
      <c r="C206" s="181">
        <f t="shared" ref="C206:AP206" si="112">C705</f>
        <v>6776.1213953125007</v>
      </c>
      <c r="D206" s="181">
        <f t="shared" si="112"/>
        <v>11022.150933383791</v>
      </c>
      <c r="E206" s="181">
        <f t="shared" si="112"/>
        <v>15269.654512563315</v>
      </c>
      <c r="F206" s="181">
        <f t="shared" si="112"/>
        <v>19518.661851482586</v>
      </c>
      <c r="G206" s="181">
        <f t="shared" si="112"/>
        <v>23769.203290216774</v>
      </c>
      <c r="H206" s="181">
        <f t="shared" si="112"/>
        <v>28021.309803623877</v>
      </c>
      <c r="I206" s="181">
        <f t="shared" si="112"/>
        <v>32275.013014975622</v>
      </c>
      <c r="J206" s="181">
        <f t="shared" si="112"/>
        <v>36530.345209886385</v>
      </c>
      <c r="K206" s="181">
        <f t="shared" si="112"/>
        <v>40787.339350546878</v>
      </c>
      <c r="L206" s="181">
        <f t="shared" si="112"/>
        <v>45046.029090269272</v>
      </c>
      <c r="M206" s="181">
        <f t="shared" si="112"/>
        <v>49306.448788350688</v>
      </c>
      <c r="N206" s="181">
        <f t="shared" si="112"/>
        <v>53568.63352526207</v>
      </c>
      <c r="O206" s="181">
        <f t="shared" si="112"/>
        <v>6297.3531068967268</v>
      </c>
      <c r="P206" s="181">
        <f t="shared" si="112"/>
        <v>11403.279000766337</v>
      </c>
      <c r="Q206" s="181">
        <f t="shared" si="112"/>
        <v>16511.079658844716</v>
      </c>
      <c r="R206" s="181">
        <f t="shared" si="112"/>
        <v>21620.793204951438</v>
      </c>
      <c r="S206" s="181">
        <f t="shared" si="112"/>
        <v>26732.458565163892</v>
      </c>
      <c r="T206" s="181">
        <f t="shared" si="112"/>
        <v>31846.115485115948</v>
      </c>
      <c r="U206" s="181">
        <f t="shared" si="112"/>
        <v>36961.804547676074</v>
      </c>
      <c r="V206" s="181">
        <f t="shared" si="112"/>
        <v>42079.567191013273</v>
      </c>
      <c r="W206" s="181">
        <f t="shared" si="112"/>
        <v>47199.445727059538</v>
      </c>
      <c r="X206" s="181">
        <f t="shared" si="112"/>
        <v>52446.878929518141</v>
      </c>
      <c r="Y206" s="181">
        <f t="shared" si="112"/>
        <v>57696.515345723783</v>
      </c>
      <c r="Z206" s="181">
        <f t="shared" si="112"/>
        <v>62948.400023769842</v>
      </c>
      <c r="AA206" s="181">
        <f t="shared" si="112"/>
        <v>6586.0784493241936</v>
      </c>
      <c r="AB206" s="181">
        <f t="shared" si="112"/>
        <v>12847.040886474646</v>
      </c>
      <c r="AC206" s="181">
        <f t="shared" si="112"/>
        <v>19110.392523059818</v>
      </c>
      <c r="AD206" s="181">
        <f t="shared" si="112"/>
        <v>25376.182339503135</v>
      </c>
      <c r="AE206" s="181">
        <f t="shared" si="112"/>
        <v>31644.460353062212</v>
      </c>
      <c r="AF206" s="181">
        <f t="shared" si="112"/>
        <v>37915.277640280299</v>
      </c>
      <c r="AG206" s="181">
        <f t="shared" si="112"/>
        <v>44188.686359931598</v>
      </c>
      <c r="AH206" s="181">
        <f t="shared" si="112"/>
        <v>50464.739776471564</v>
      </c>
      <c r="AI206" s="181">
        <f t="shared" si="112"/>
        <v>56743.492284003289</v>
      </c>
      <c r="AJ206" s="181">
        <f t="shared" si="112"/>
        <v>63024.999430771604</v>
      </c>
      <c r="AK206" s="181">
        <f t="shared" si="112"/>
        <v>69309.317944196475</v>
      </c>
      <c r="AL206" s="181">
        <f t="shared" si="112"/>
        <v>75596.50575645786</v>
      </c>
      <c r="AM206" s="181">
        <f t="shared" si="112"/>
        <v>8216.8143540193832</v>
      </c>
      <c r="AN206" s="181">
        <f t="shared" si="112"/>
        <v>8370.7688711335886</v>
      </c>
      <c r="AO206" s="181">
        <f t="shared" si="112"/>
        <v>8527.773976562974</v>
      </c>
      <c r="AP206" s="181">
        <f t="shared" si="112"/>
        <v>8687.8926888390088</v>
      </c>
    </row>
    <row r="207" spans="1:42" s="25" customFormat="1" x14ac:dyDescent="0.2">
      <c r="A207" s="25" t="s">
        <v>116</v>
      </c>
      <c r="B207" s="101"/>
      <c r="C207" s="186">
        <f t="shared" ref="C207:AP207" si="113">IF(C$2&lt;=AnalysisPeriod,-C328-C358-C384-C410,0)</f>
        <v>-6908585.6458398411</v>
      </c>
      <c r="D207" s="186">
        <f t="shared" si="113"/>
        <v>-11086519.633841299</v>
      </c>
      <c r="E207" s="186">
        <f t="shared" si="113"/>
        <v>-6716391.408462978</v>
      </c>
      <c r="F207" s="186">
        <f t="shared" si="113"/>
        <v>-4092483.3865231364</v>
      </c>
      <c r="G207" s="186">
        <f t="shared" si="113"/>
        <v>-4087447.8980628024</v>
      </c>
      <c r="H207" s="186">
        <f t="shared" si="113"/>
        <v>-2119108.1568952324</v>
      </c>
      <c r="I207" s="186">
        <f t="shared" si="113"/>
        <v>-153188.0660267839</v>
      </c>
      <c r="J207" s="186">
        <f t="shared" si="113"/>
        <v>-153122.67007275359</v>
      </c>
      <c r="K207" s="186">
        <f t="shared" si="113"/>
        <v>-153253.4619808142</v>
      </c>
      <c r="L207" s="186">
        <f t="shared" si="113"/>
        <v>-153122.67007275359</v>
      </c>
      <c r="M207" s="186">
        <f t="shared" si="113"/>
        <v>-153253.4619808142</v>
      </c>
      <c r="N207" s="186">
        <f t="shared" si="113"/>
        <v>-742097.1387730164</v>
      </c>
      <c r="O207" s="186">
        <f t="shared" si="113"/>
        <v>-1095612.6119012346</v>
      </c>
      <c r="P207" s="186">
        <f t="shared" si="113"/>
        <v>-718538.16002500593</v>
      </c>
      <c r="Q207" s="186">
        <f t="shared" si="113"/>
        <v>-492502.75595216558</v>
      </c>
      <c r="R207" s="186">
        <f t="shared" si="113"/>
        <v>-451303.30491306866</v>
      </c>
      <c r="S207" s="186">
        <f t="shared" si="113"/>
        <v>-240609.99879635675</v>
      </c>
      <c r="T207" s="186">
        <f t="shared" si="113"/>
        <v>-70985.351810681081</v>
      </c>
      <c r="U207" s="186">
        <f t="shared" si="113"/>
        <v>-70985.351810681081</v>
      </c>
      <c r="V207" s="186">
        <f t="shared" si="113"/>
        <v>-70985.351810681081</v>
      </c>
      <c r="W207" s="186">
        <f t="shared" si="113"/>
        <v>-38287.37479552484</v>
      </c>
      <c r="X207" s="186">
        <f t="shared" si="113"/>
        <v>-5589.3977803685893</v>
      </c>
      <c r="Y207" s="186">
        <f t="shared" si="113"/>
        <v>-5589.3977803685893</v>
      </c>
      <c r="Z207" s="186">
        <f t="shared" si="113"/>
        <v>-709777.97508530482</v>
      </c>
      <c r="AA207" s="186">
        <f t="shared" si="113"/>
        <v>-1132291.1214682665</v>
      </c>
      <c r="AB207" s="186">
        <f t="shared" si="113"/>
        <v>-681610.43199310731</v>
      </c>
      <c r="AC207" s="186">
        <f t="shared" si="113"/>
        <v>-411202.01830801181</v>
      </c>
      <c r="AD207" s="186">
        <f t="shared" si="113"/>
        <v>-411202.01830801181</v>
      </c>
      <c r="AE207" s="186">
        <f t="shared" si="113"/>
        <v>-208395.70804419022</v>
      </c>
      <c r="AF207" s="186">
        <f t="shared" si="113"/>
        <v>-5589.3977803685893</v>
      </c>
      <c r="AG207" s="186">
        <f t="shared" si="113"/>
        <v>-5589.3977803685893</v>
      </c>
      <c r="AH207" s="186">
        <f t="shared" si="113"/>
        <v>-5589.3977803685893</v>
      </c>
      <c r="AI207" s="186">
        <f t="shared" si="113"/>
        <v>-5589.3977803685893</v>
      </c>
      <c r="AJ207" s="186">
        <f t="shared" si="113"/>
        <v>-5589.3977803685893</v>
      </c>
      <c r="AK207" s="186">
        <f t="shared" si="113"/>
        <v>-5589.3977803685893</v>
      </c>
      <c r="AL207" s="186">
        <f t="shared" si="113"/>
        <v>-847530.05694179516</v>
      </c>
      <c r="AM207" s="186">
        <f t="shared" si="113"/>
        <v>-1352694.4524386509</v>
      </c>
      <c r="AN207" s="186">
        <f t="shared" si="113"/>
        <v>-813852.43057533808</v>
      </c>
      <c r="AO207" s="186">
        <f t="shared" si="113"/>
        <v>-490547.21745735023</v>
      </c>
      <c r="AP207" s="186">
        <f t="shared" si="113"/>
        <v>-487752.51856716594</v>
      </c>
    </row>
    <row r="208" spans="1:42" s="101" customFormat="1" x14ac:dyDescent="0.2">
      <c r="A208" s="25" t="s">
        <v>114</v>
      </c>
      <c r="C208" s="181">
        <f t="shared" ref="C208:AP208" si="114">SUM(C205:C207)</f>
        <v>-1715624.1377224056</v>
      </c>
      <c r="D208" s="181">
        <f t="shared" si="114"/>
        <v>-5854255.5912329536</v>
      </c>
      <c r="E208" s="181">
        <f t="shared" si="114"/>
        <v>-1444845.769580177</v>
      </c>
      <c r="F208" s="181">
        <f t="shared" si="114"/>
        <v>1218320.2666667053</v>
      </c>
      <c r="G208" s="181">
        <f t="shared" si="114"/>
        <v>1262587.4768935987</v>
      </c>
      <c r="H208" s="181">
        <f t="shared" si="114"/>
        <v>3270129.8683986412</v>
      </c>
      <c r="I208" s="181">
        <f t="shared" si="114"/>
        <v>5275220.689444961</v>
      </c>
      <c r="J208" s="181">
        <f t="shared" si="114"/>
        <v>5314421.9752847599</v>
      </c>
      <c r="K208" s="181">
        <f t="shared" si="114"/>
        <v>5353389.2398414155</v>
      </c>
      <c r="L208" s="181">
        <f t="shared" si="114"/>
        <v>5392577.1870380072</v>
      </c>
      <c r="M208" s="181">
        <f t="shared" si="114"/>
        <v>5431459.5051953569</v>
      </c>
      <c r="N208" s="181">
        <f t="shared" si="114"/>
        <v>4881581.6712042401</v>
      </c>
      <c r="O208" s="181">
        <f t="shared" si="114"/>
        <v>4515446.2058260264</v>
      </c>
      <c r="P208" s="181">
        <f t="shared" si="114"/>
        <v>4932222.0820107227</v>
      </c>
      <c r="Q208" s="181">
        <f t="shared" si="114"/>
        <v>5197901.4914452536</v>
      </c>
      <c r="R208" s="181">
        <f t="shared" si="114"/>
        <v>5278683.9770921543</v>
      </c>
      <c r="S208" s="181">
        <f t="shared" si="114"/>
        <v>5528895.7081683669</v>
      </c>
      <c r="T208" s="181">
        <f t="shared" si="114"/>
        <v>5737970.442542593</v>
      </c>
      <c r="U208" s="181">
        <f t="shared" si="114"/>
        <v>5777348.3734255526</v>
      </c>
      <c r="V208" s="181">
        <f t="shared" si="114"/>
        <v>5816650.2358286418</v>
      </c>
      <c r="W208" s="181">
        <f t="shared" si="114"/>
        <v>5888569.9996806514</v>
      </c>
      <c r="X208" s="181">
        <f t="shared" si="114"/>
        <v>5946200.0570313288</v>
      </c>
      <c r="Y208" s="181">
        <f t="shared" si="114"/>
        <v>5971043.7537716841</v>
      </c>
      <c r="Z208" s="181">
        <f t="shared" si="114"/>
        <v>5291606.1842912827</v>
      </c>
      <c r="AA208" s="181">
        <f t="shared" si="114"/>
        <v>4832130.4471118292</v>
      </c>
      <c r="AB208" s="181">
        <f t="shared" si="114"/>
        <v>5308367.8750879942</v>
      </c>
      <c r="AC208" s="181">
        <f t="shared" si="114"/>
        <v>5604226.7898750538</v>
      </c>
      <c r="AD208" s="181">
        <f t="shared" si="114"/>
        <v>5629566.3186983084</v>
      </c>
      <c r="AE208" s="181">
        <f t="shared" si="114"/>
        <v>5857596.3371973345</v>
      </c>
      <c r="AF208" s="181">
        <f t="shared" si="114"/>
        <v>6085505.5708457865</v>
      </c>
      <c r="AG208" s="181">
        <f t="shared" si="114"/>
        <v>6110482.6265848223</v>
      </c>
      <c r="AH208" s="181">
        <f t="shared" si="114"/>
        <v>6135328.6107142903</v>
      </c>
      <c r="AI208" s="181">
        <f t="shared" si="114"/>
        <v>6160038.1954064686</v>
      </c>
      <c r="AJ208" s="181">
        <f t="shared" si="114"/>
        <v>6184605.9262153786</v>
      </c>
      <c r="AK208" s="181">
        <f t="shared" si="114"/>
        <v>6209026.2192613091</v>
      </c>
      <c r="AL208" s="181">
        <f t="shared" si="114"/>
        <v>5391352.6991915395</v>
      </c>
      <c r="AM208" s="181">
        <f t="shared" si="114"/>
        <v>4836626.6297109444</v>
      </c>
      <c r="AN208" s="181">
        <f t="shared" si="114"/>
        <v>5393272.6395241814</v>
      </c>
      <c r="AO208" s="181">
        <f t="shared" si="114"/>
        <v>5734210.7144509908</v>
      </c>
      <c r="AP208" s="181">
        <f t="shared" si="114"/>
        <v>9777175.8734961208</v>
      </c>
    </row>
    <row r="209" spans="1:42" s="101" customFormat="1" x14ac:dyDescent="0.2">
      <c r="A209" s="25" t="str">
        <f>'Inputs &amp; Results'!A53</f>
        <v>Investment Based Incentive (IBI)</v>
      </c>
    </row>
    <row r="210" spans="1:42" s="101" customFormat="1" x14ac:dyDescent="0.2">
      <c r="A210" s="187" t="str">
        <f>'Inputs &amp; Results'!A54</f>
        <v>Fixed Amount ($)</v>
      </c>
    </row>
    <row r="211" spans="1:42" s="101" customFormat="1" x14ac:dyDescent="0.2">
      <c r="A211" s="188" t="str">
        <f>'Inputs &amp; Results'!A55</f>
        <v>Federal</v>
      </c>
      <c r="C211" s="181">
        <f>IF(IBIFedFixedStateTax="Yes",C562,0)</f>
        <v>0</v>
      </c>
    </row>
    <row r="212" spans="1:42" s="101" customFormat="1" x14ac:dyDescent="0.2">
      <c r="A212" s="188" t="str">
        <f>'Inputs &amp; Results'!A56</f>
        <v>State</v>
      </c>
      <c r="C212" s="181">
        <f>IF(IBIStateFixedStateTax="Yes",C563,0)</f>
        <v>0</v>
      </c>
    </row>
    <row r="213" spans="1:42" s="101" customFormat="1" x14ac:dyDescent="0.2">
      <c r="A213" s="188" t="str">
        <f>'Inputs &amp; Results'!A57</f>
        <v>Utility</v>
      </c>
      <c r="C213" s="181">
        <f>IF(IBIUtilityFixedStateTax="Yes",C564,0)</f>
        <v>0</v>
      </c>
    </row>
    <row r="214" spans="1:42" x14ac:dyDescent="0.2">
      <c r="A214" s="188" t="str">
        <f>'Inputs &amp; Results'!A58</f>
        <v>Other</v>
      </c>
      <c r="C214" s="186">
        <f>IF(IBIOtherFixedStateTax="Yes",C565,0)</f>
        <v>0</v>
      </c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</row>
    <row r="215" spans="1:42" x14ac:dyDescent="0.2">
      <c r="A215" s="188" t="s">
        <v>53</v>
      </c>
      <c r="C215" s="169">
        <f>SUM(C211:C214)</f>
        <v>0</v>
      </c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</row>
    <row r="216" spans="1:42" x14ac:dyDescent="0.2">
      <c r="A216" s="187" t="str">
        <f>'Inputs &amp; Results'!A59</f>
        <v>Percentage of Pre-Financing Costs</v>
      </c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</row>
    <row r="217" spans="1:42" x14ac:dyDescent="0.2">
      <c r="A217" s="188" t="str">
        <f>'Inputs &amp; Results'!A60</f>
        <v>Federal</v>
      </c>
      <c r="C217" s="181">
        <f>IF(IBIFedPercentStateTax="Yes",C568,0)</f>
        <v>0</v>
      </c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</row>
    <row r="218" spans="1:42" x14ac:dyDescent="0.2">
      <c r="A218" s="188" t="str">
        <f>'Inputs &amp; Results'!A61</f>
        <v>State</v>
      </c>
      <c r="C218" s="181">
        <f>IF(IBIStatePercentStateTax="Yes",C569,0)</f>
        <v>0</v>
      </c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</row>
    <row r="219" spans="1:42" x14ac:dyDescent="0.2">
      <c r="A219" s="188" t="str">
        <f>'Inputs &amp; Results'!A62</f>
        <v>Utility</v>
      </c>
      <c r="C219" s="181">
        <f>IF(IBIUtilityPercentStateTax="Yes",C570,0)</f>
        <v>0</v>
      </c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</row>
    <row r="220" spans="1:42" x14ac:dyDescent="0.2">
      <c r="A220" s="188" t="str">
        <f>'Inputs &amp; Results'!A63</f>
        <v>Other</v>
      </c>
      <c r="C220" s="186">
        <f>IF(IBIOtherPercentStateTax="Yes",C571,0)</f>
        <v>0</v>
      </c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</row>
    <row r="221" spans="1:42" x14ac:dyDescent="0.2">
      <c r="A221" s="188" t="s">
        <v>53</v>
      </c>
      <c r="C221" s="169">
        <f>SUM(C217:C220)</f>
        <v>0</v>
      </c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</row>
    <row r="222" spans="1:42" x14ac:dyDescent="0.2">
      <c r="A222" s="180" t="str">
        <f>'Inputs &amp; Results'!A64</f>
        <v>Capacity Based Incentive (CBI) ($/DC-Watt)</v>
      </c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</row>
    <row r="223" spans="1:42" x14ac:dyDescent="0.2">
      <c r="A223" s="187" t="str">
        <f>'Inputs &amp; Results'!A65</f>
        <v>Federal</v>
      </c>
      <c r="C223" s="124">
        <f>IF(CBIFedStateTax="Yes",C574,0)</f>
        <v>0</v>
      </c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</row>
    <row r="224" spans="1:42" x14ac:dyDescent="0.2">
      <c r="A224" s="187" t="str">
        <f>'Inputs &amp; Results'!A66</f>
        <v>State</v>
      </c>
      <c r="C224" s="124">
        <f>IF(CBIStateStateTax="Yes",C575,0)</f>
        <v>0</v>
      </c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</row>
    <row r="225" spans="1:42" x14ac:dyDescent="0.2">
      <c r="A225" s="187" t="str">
        <f>'Inputs &amp; Results'!A67</f>
        <v>Utility</v>
      </c>
      <c r="C225" s="124">
        <f>IF(CBIUtilityStateTax="Yes",C576,0)</f>
        <v>0</v>
      </c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</row>
    <row r="226" spans="1:42" x14ac:dyDescent="0.2">
      <c r="A226" s="187" t="str">
        <f>'Inputs &amp; Results'!A68</f>
        <v>Other</v>
      </c>
      <c r="C226" s="186">
        <f>IF(CBIOtherStateTax="Yes",C577,0)</f>
        <v>0</v>
      </c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</row>
    <row r="227" spans="1:42" x14ac:dyDescent="0.2">
      <c r="A227" s="187" t="s">
        <v>53</v>
      </c>
      <c r="C227" s="169">
        <f>SUM(C223:C226)</f>
        <v>0</v>
      </c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</row>
    <row r="228" spans="1:42" x14ac:dyDescent="0.2">
      <c r="A228" s="180" t="str">
        <f>'Inputs &amp; Results'!A71</f>
        <v>Production Based Incentive (PBI) ($/kWh)</v>
      </c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</row>
    <row r="229" spans="1:42" x14ac:dyDescent="0.2">
      <c r="A229" s="187" t="str">
        <f>'Inputs &amp; Results'!A72</f>
        <v>Federal</v>
      </c>
      <c r="C229" s="124">
        <f t="shared" ref="C229:AP229" si="115">IF(PBIFedStateTax="Yes",0,-C584)</f>
        <v>0</v>
      </c>
      <c r="D229" s="124">
        <f t="shared" si="115"/>
        <v>0</v>
      </c>
      <c r="E229" s="124">
        <f t="shared" si="115"/>
        <v>0</v>
      </c>
      <c r="F229" s="124">
        <f t="shared" si="115"/>
        <v>0</v>
      </c>
      <c r="G229" s="124">
        <f t="shared" si="115"/>
        <v>0</v>
      </c>
      <c r="H229" s="124">
        <f t="shared" si="115"/>
        <v>0</v>
      </c>
      <c r="I229" s="124">
        <f t="shared" si="115"/>
        <v>0</v>
      </c>
      <c r="J229" s="124">
        <f t="shared" si="115"/>
        <v>0</v>
      </c>
      <c r="K229" s="124">
        <f t="shared" si="115"/>
        <v>0</v>
      </c>
      <c r="L229" s="124">
        <f t="shared" si="115"/>
        <v>0</v>
      </c>
      <c r="M229" s="124">
        <f t="shared" si="115"/>
        <v>0</v>
      </c>
      <c r="N229" s="124">
        <f t="shared" si="115"/>
        <v>0</v>
      </c>
      <c r="O229" s="124">
        <f t="shared" si="115"/>
        <v>0</v>
      </c>
      <c r="P229" s="124">
        <f t="shared" si="115"/>
        <v>0</v>
      </c>
      <c r="Q229" s="124">
        <f t="shared" si="115"/>
        <v>0</v>
      </c>
      <c r="R229" s="124">
        <f t="shared" si="115"/>
        <v>0</v>
      </c>
      <c r="S229" s="124">
        <f t="shared" si="115"/>
        <v>0</v>
      </c>
      <c r="T229" s="124">
        <f t="shared" si="115"/>
        <v>0</v>
      </c>
      <c r="U229" s="124">
        <f t="shared" si="115"/>
        <v>0</v>
      </c>
      <c r="V229" s="124">
        <f t="shared" si="115"/>
        <v>0</v>
      </c>
      <c r="W229" s="124">
        <f t="shared" si="115"/>
        <v>0</v>
      </c>
      <c r="X229" s="124">
        <f t="shared" si="115"/>
        <v>0</v>
      </c>
      <c r="Y229" s="124">
        <f t="shared" si="115"/>
        <v>0</v>
      </c>
      <c r="Z229" s="124">
        <f t="shared" si="115"/>
        <v>0</v>
      </c>
      <c r="AA229" s="124">
        <f t="shared" si="115"/>
        <v>0</v>
      </c>
      <c r="AB229" s="124">
        <f t="shared" si="115"/>
        <v>0</v>
      </c>
      <c r="AC229" s="124">
        <f t="shared" si="115"/>
        <v>0</v>
      </c>
      <c r="AD229" s="124">
        <f t="shared" si="115"/>
        <v>0</v>
      </c>
      <c r="AE229" s="124">
        <f t="shared" si="115"/>
        <v>0</v>
      </c>
      <c r="AF229" s="124">
        <f t="shared" si="115"/>
        <v>0</v>
      </c>
      <c r="AG229" s="124">
        <f t="shared" si="115"/>
        <v>0</v>
      </c>
      <c r="AH229" s="124">
        <f t="shared" si="115"/>
        <v>0</v>
      </c>
      <c r="AI229" s="124">
        <f t="shared" si="115"/>
        <v>0</v>
      </c>
      <c r="AJ229" s="124">
        <f t="shared" si="115"/>
        <v>0</v>
      </c>
      <c r="AK229" s="124">
        <f t="shared" si="115"/>
        <v>0</v>
      </c>
      <c r="AL229" s="124">
        <f t="shared" si="115"/>
        <v>0</v>
      </c>
      <c r="AM229" s="124">
        <f t="shared" si="115"/>
        <v>0</v>
      </c>
      <c r="AN229" s="124">
        <f t="shared" si="115"/>
        <v>0</v>
      </c>
      <c r="AO229" s="124">
        <f t="shared" si="115"/>
        <v>0</v>
      </c>
      <c r="AP229" s="124">
        <f t="shared" si="115"/>
        <v>0</v>
      </c>
    </row>
    <row r="230" spans="1:42" x14ac:dyDescent="0.2">
      <c r="A230" s="187" t="str">
        <f>'Inputs &amp; Results'!A73</f>
        <v>State</v>
      </c>
      <c r="C230" s="124">
        <f t="shared" ref="C230:AP230" si="116">IF(PBIStateStateTax="Yes",0,-C588)</f>
        <v>0</v>
      </c>
      <c r="D230" s="124">
        <f t="shared" si="116"/>
        <v>0</v>
      </c>
      <c r="E230" s="124">
        <f t="shared" si="116"/>
        <v>0</v>
      </c>
      <c r="F230" s="124">
        <f t="shared" si="116"/>
        <v>0</v>
      </c>
      <c r="G230" s="124">
        <f t="shared" si="116"/>
        <v>0</v>
      </c>
      <c r="H230" s="124">
        <f t="shared" si="116"/>
        <v>0</v>
      </c>
      <c r="I230" s="124">
        <f t="shared" si="116"/>
        <v>0</v>
      </c>
      <c r="J230" s="124">
        <f t="shared" si="116"/>
        <v>0</v>
      </c>
      <c r="K230" s="124">
        <f t="shared" si="116"/>
        <v>0</v>
      </c>
      <c r="L230" s="124">
        <f t="shared" si="116"/>
        <v>0</v>
      </c>
      <c r="M230" s="124">
        <f t="shared" si="116"/>
        <v>0</v>
      </c>
      <c r="N230" s="124">
        <f t="shared" si="116"/>
        <v>0</v>
      </c>
      <c r="O230" s="124">
        <f t="shared" si="116"/>
        <v>0</v>
      </c>
      <c r="P230" s="124">
        <f t="shared" si="116"/>
        <v>0</v>
      </c>
      <c r="Q230" s="124">
        <f t="shared" si="116"/>
        <v>0</v>
      </c>
      <c r="R230" s="124">
        <f t="shared" si="116"/>
        <v>0</v>
      </c>
      <c r="S230" s="124">
        <f t="shared" si="116"/>
        <v>0</v>
      </c>
      <c r="T230" s="124">
        <f t="shared" si="116"/>
        <v>0</v>
      </c>
      <c r="U230" s="124">
        <f t="shared" si="116"/>
        <v>0</v>
      </c>
      <c r="V230" s="124">
        <f t="shared" si="116"/>
        <v>0</v>
      </c>
      <c r="W230" s="124">
        <f t="shared" si="116"/>
        <v>0</v>
      </c>
      <c r="X230" s="124">
        <f t="shared" si="116"/>
        <v>0</v>
      </c>
      <c r="Y230" s="124">
        <f t="shared" si="116"/>
        <v>0</v>
      </c>
      <c r="Z230" s="124">
        <f t="shared" si="116"/>
        <v>0</v>
      </c>
      <c r="AA230" s="124">
        <f t="shared" si="116"/>
        <v>0</v>
      </c>
      <c r="AB230" s="124">
        <f t="shared" si="116"/>
        <v>0</v>
      </c>
      <c r="AC230" s="124">
        <f t="shared" si="116"/>
        <v>0</v>
      </c>
      <c r="AD230" s="124">
        <f t="shared" si="116"/>
        <v>0</v>
      </c>
      <c r="AE230" s="124">
        <f t="shared" si="116"/>
        <v>0</v>
      </c>
      <c r="AF230" s="124">
        <f t="shared" si="116"/>
        <v>0</v>
      </c>
      <c r="AG230" s="124">
        <f t="shared" si="116"/>
        <v>0</v>
      </c>
      <c r="AH230" s="124">
        <f t="shared" si="116"/>
        <v>0</v>
      </c>
      <c r="AI230" s="124">
        <f t="shared" si="116"/>
        <v>0</v>
      </c>
      <c r="AJ230" s="124">
        <f t="shared" si="116"/>
        <v>0</v>
      </c>
      <c r="AK230" s="124">
        <f t="shared" si="116"/>
        <v>0</v>
      </c>
      <c r="AL230" s="124">
        <f t="shared" si="116"/>
        <v>0</v>
      </c>
      <c r="AM230" s="124">
        <f t="shared" si="116"/>
        <v>0</v>
      </c>
      <c r="AN230" s="124">
        <f t="shared" si="116"/>
        <v>0</v>
      </c>
      <c r="AO230" s="124">
        <f t="shared" si="116"/>
        <v>0</v>
      </c>
      <c r="AP230" s="124">
        <f t="shared" si="116"/>
        <v>0</v>
      </c>
    </row>
    <row r="231" spans="1:42" x14ac:dyDescent="0.2">
      <c r="A231" s="187" t="str">
        <f>'Inputs &amp; Results'!A74</f>
        <v>Utility</v>
      </c>
      <c r="C231" s="124">
        <f t="shared" ref="C231:AP231" si="117">IF(PBIUtilityStateTax="Yes",0,-C592)</f>
        <v>0</v>
      </c>
      <c r="D231" s="124">
        <f t="shared" si="117"/>
        <v>0</v>
      </c>
      <c r="E231" s="124">
        <f t="shared" si="117"/>
        <v>0</v>
      </c>
      <c r="F231" s="124">
        <f t="shared" si="117"/>
        <v>0</v>
      </c>
      <c r="G231" s="124">
        <f t="shared" si="117"/>
        <v>0</v>
      </c>
      <c r="H231" s="124">
        <f t="shared" si="117"/>
        <v>0</v>
      </c>
      <c r="I231" s="124">
        <f t="shared" si="117"/>
        <v>0</v>
      </c>
      <c r="J231" s="124">
        <f t="shared" si="117"/>
        <v>0</v>
      </c>
      <c r="K231" s="124">
        <f t="shared" si="117"/>
        <v>0</v>
      </c>
      <c r="L231" s="124">
        <f t="shared" si="117"/>
        <v>0</v>
      </c>
      <c r="M231" s="124">
        <f t="shared" si="117"/>
        <v>0</v>
      </c>
      <c r="N231" s="124">
        <f t="shared" si="117"/>
        <v>0</v>
      </c>
      <c r="O231" s="124">
        <f t="shared" si="117"/>
        <v>0</v>
      </c>
      <c r="P231" s="124">
        <f t="shared" si="117"/>
        <v>0</v>
      </c>
      <c r="Q231" s="124">
        <f t="shared" si="117"/>
        <v>0</v>
      </c>
      <c r="R231" s="124">
        <f t="shared" si="117"/>
        <v>0</v>
      </c>
      <c r="S231" s="124">
        <f t="shared" si="117"/>
        <v>0</v>
      </c>
      <c r="T231" s="124">
        <f t="shared" si="117"/>
        <v>0</v>
      </c>
      <c r="U231" s="124">
        <f t="shared" si="117"/>
        <v>0</v>
      </c>
      <c r="V231" s="124">
        <f t="shared" si="117"/>
        <v>0</v>
      </c>
      <c r="W231" s="124">
        <f t="shared" si="117"/>
        <v>0</v>
      </c>
      <c r="X231" s="124">
        <f t="shared" si="117"/>
        <v>0</v>
      </c>
      <c r="Y231" s="124">
        <f t="shared" si="117"/>
        <v>0</v>
      </c>
      <c r="Z231" s="124">
        <f t="shared" si="117"/>
        <v>0</v>
      </c>
      <c r="AA231" s="124">
        <f t="shared" si="117"/>
        <v>0</v>
      </c>
      <c r="AB231" s="124">
        <f t="shared" si="117"/>
        <v>0</v>
      </c>
      <c r="AC231" s="124">
        <f t="shared" si="117"/>
        <v>0</v>
      </c>
      <c r="AD231" s="124">
        <f t="shared" si="117"/>
        <v>0</v>
      </c>
      <c r="AE231" s="124">
        <f t="shared" si="117"/>
        <v>0</v>
      </c>
      <c r="AF231" s="124">
        <f t="shared" si="117"/>
        <v>0</v>
      </c>
      <c r="AG231" s="124">
        <f t="shared" si="117"/>
        <v>0</v>
      </c>
      <c r="AH231" s="124">
        <f t="shared" si="117"/>
        <v>0</v>
      </c>
      <c r="AI231" s="124">
        <f t="shared" si="117"/>
        <v>0</v>
      </c>
      <c r="AJ231" s="124">
        <f t="shared" si="117"/>
        <v>0</v>
      </c>
      <c r="AK231" s="124">
        <f t="shared" si="117"/>
        <v>0</v>
      </c>
      <c r="AL231" s="124">
        <f t="shared" si="117"/>
        <v>0</v>
      </c>
      <c r="AM231" s="124">
        <f t="shared" si="117"/>
        <v>0</v>
      </c>
      <c r="AN231" s="124">
        <f t="shared" si="117"/>
        <v>0</v>
      </c>
      <c r="AO231" s="124">
        <f t="shared" si="117"/>
        <v>0</v>
      </c>
      <c r="AP231" s="124">
        <f t="shared" si="117"/>
        <v>0</v>
      </c>
    </row>
    <row r="232" spans="1:42" x14ac:dyDescent="0.2">
      <c r="A232" s="187" t="str">
        <f>'Inputs &amp; Results'!A75</f>
        <v>Other</v>
      </c>
      <c r="C232" s="186">
        <f t="shared" ref="C232:AP232" si="118">IF(PBIOtherStateTax="Yes",0,-C596)</f>
        <v>0</v>
      </c>
      <c r="D232" s="186">
        <f t="shared" si="118"/>
        <v>0</v>
      </c>
      <c r="E232" s="186">
        <f t="shared" si="118"/>
        <v>0</v>
      </c>
      <c r="F232" s="186">
        <f t="shared" si="118"/>
        <v>0</v>
      </c>
      <c r="G232" s="186">
        <f t="shared" si="118"/>
        <v>0</v>
      </c>
      <c r="H232" s="186">
        <f t="shared" si="118"/>
        <v>0</v>
      </c>
      <c r="I232" s="186">
        <f t="shared" si="118"/>
        <v>0</v>
      </c>
      <c r="J232" s="186">
        <f t="shared" si="118"/>
        <v>0</v>
      </c>
      <c r="K232" s="186">
        <f t="shared" si="118"/>
        <v>0</v>
      </c>
      <c r="L232" s="186">
        <f t="shared" si="118"/>
        <v>0</v>
      </c>
      <c r="M232" s="186">
        <f t="shared" si="118"/>
        <v>0</v>
      </c>
      <c r="N232" s="186">
        <f t="shared" si="118"/>
        <v>0</v>
      </c>
      <c r="O232" s="186">
        <f t="shared" si="118"/>
        <v>0</v>
      </c>
      <c r="P232" s="186">
        <f t="shared" si="118"/>
        <v>0</v>
      </c>
      <c r="Q232" s="186">
        <f t="shared" si="118"/>
        <v>0</v>
      </c>
      <c r="R232" s="186">
        <f t="shared" si="118"/>
        <v>0</v>
      </c>
      <c r="S232" s="186">
        <f t="shared" si="118"/>
        <v>0</v>
      </c>
      <c r="T232" s="186">
        <f t="shared" si="118"/>
        <v>0</v>
      </c>
      <c r="U232" s="186">
        <f t="shared" si="118"/>
        <v>0</v>
      </c>
      <c r="V232" s="186">
        <f t="shared" si="118"/>
        <v>0</v>
      </c>
      <c r="W232" s="186">
        <f t="shared" si="118"/>
        <v>0</v>
      </c>
      <c r="X232" s="186">
        <f t="shared" si="118"/>
        <v>0</v>
      </c>
      <c r="Y232" s="186">
        <f t="shared" si="118"/>
        <v>0</v>
      </c>
      <c r="Z232" s="186">
        <f t="shared" si="118"/>
        <v>0</v>
      </c>
      <c r="AA232" s="186">
        <f t="shared" si="118"/>
        <v>0</v>
      </c>
      <c r="AB232" s="186">
        <f t="shared" si="118"/>
        <v>0</v>
      </c>
      <c r="AC232" s="186">
        <f t="shared" si="118"/>
        <v>0</v>
      </c>
      <c r="AD232" s="186">
        <f t="shared" si="118"/>
        <v>0</v>
      </c>
      <c r="AE232" s="186">
        <f t="shared" si="118"/>
        <v>0</v>
      </c>
      <c r="AF232" s="186">
        <f t="shared" si="118"/>
        <v>0</v>
      </c>
      <c r="AG232" s="186">
        <f t="shared" si="118"/>
        <v>0</v>
      </c>
      <c r="AH232" s="186">
        <f t="shared" si="118"/>
        <v>0</v>
      </c>
      <c r="AI232" s="186">
        <f t="shared" si="118"/>
        <v>0</v>
      </c>
      <c r="AJ232" s="186">
        <f t="shared" si="118"/>
        <v>0</v>
      </c>
      <c r="AK232" s="186">
        <f t="shared" si="118"/>
        <v>0</v>
      </c>
      <c r="AL232" s="186">
        <f t="shared" si="118"/>
        <v>0</v>
      </c>
      <c r="AM232" s="186">
        <f t="shared" si="118"/>
        <v>0</v>
      </c>
      <c r="AN232" s="186">
        <f t="shared" si="118"/>
        <v>0</v>
      </c>
      <c r="AO232" s="186">
        <f t="shared" si="118"/>
        <v>0</v>
      </c>
      <c r="AP232" s="186">
        <f t="shared" si="118"/>
        <v>0</v>
      </c>
    </row>
    <row r="233" spans="1:42" x14ac:dyDescent="0.2">
      <c r="A233" s="187" t="s">
        <v>53</v>
      </c>
      <c r="C233" s="177">
        <f>SUM(C229:C232)</f>
        <v>0</v>
      </c>
      <c r="D233" s="177">
        <f t="shared" ref="D233:AL233" si="119">SUM(D229:D232)</f>
        <v>0</v>
      </c>
      <c r="E233" s="177">
        <f t="shared" si="119"/>
        <v>0</v>
      </c>
      <c r="F233" s="177">
        <f t="shared" si="119"/>
        <v>0</v>
      </c>
      <c r="G233" s="177">
        <f t="shared" si="119"/>
        <v>0</v>
      </c>
      <c r="H233" s="177">
        <f t="shared" si="119"/>
        <v>0</v>
      </c>
      <c r="I233" s="177">
        <f t="shared" si="119"/>
        <v>0</v>
      </c>
      <c r="J233" s="177">
        <f t="shared" si="119"/>
        <v>0</v>
      </c>
      <c r="K233" s="177">
        <f t="shared" si="119"/>
        <v>0</v>
      </c>
      <c r="L233" s="177">
        <f t="shared" si="119"/>
        <v>0</v>
      </c>
      <c r="M233" s="177">
        <f t="shared" si="119"/>
        <v>0</v>
      </c>
      <c r="N233" s="177">
        <f t="shared" si="119"/>
        <v>0</v>
      </c>
      <c r="O233" s="177">
        <f t="shared" si="119"/>
        <v>0</v>
      </c>
      <c r="P233" s="177">
        <f t="shared" si="119"/>
        <v>0</v>
      </c>
      <c r="Q233" s="177">
        <f t="shared" si="119"/>
        <v>0</v>
      </c>
      <c r="R233" s="177">
        <f t="shared" si="119"/>
        <v>0</v>
      </c>
      <c r="S233" s="177">
        <f t="shared" si="119"/>
        <v>0</v>
      </c>
      <c r="T233" s="177">
        <f t="shared" si="119"/>
        <v>0</v>
      </c>
      <c r="U233" s="177">
        <f t="shared" si="119"/>
        <v>0</v>
      </c>
      <c r="V233" s="177">
        <f t="shared" si="119"/>
        <v>0</v>
      </c>
      <c r="W233" s="177">
        <f t="shared" si="119"/>
        <v>0</v>
      </c>
      <c r="X233" s="177">
        <f t="shared" si="119"/>
        <v>0</v>
      </c>
      <c r="Y233" s="177">
        <f t="shared" si="119"/>
        <v>0</v>
      </c>
      <c r="Z233" s="177">
        <f t="shared" si="119"/>
        <v>0</v>
      </c>
      <c r="AA233" s="177">
        <f t="shared" si="119"/>
        <v>0</v>
      </c>
      <c r="AB233" s="177">
        <f t="shared" si="119"/>
        <v>0</v>
      </c>
      <c r="AC233" s="177">
        <f t="shared" si="119"/>
        <v>0</v>
      </c>
      <c r="AD233" s="177">
        <f t="shared" si="119"/>
        <v>0</v>
      </c>
      <c r="AE233" s="177">
        <f t="shared" si="119"/>
        <v>0</v>
      </c>
      <c r="AF233" s="177">
        <f t="shared" si="119"/>
        <v>0</v>
      </c>
      <c r="AG233" s="177">
        <f t="shared" si="119"/>
        <v>0</v>
      </c>
      <c r="AH233" s="177">
        <f t="shared" si="119"/>
        <v>0</v>
      </c>
      <c r="AI233" s="177">
        <f t="shared" si="119"/>
        <v>0</v>
      </c>
      <c r="AJ233" s="177">
        <f t="shared" si="119"/>
        <v>0</v>
      </c>
      <c r="AK233" s="177">
        <f t="shared" si="119"/>
        <v>0</v>
      </c>
      <c r="AL233" s="177">
        <f t="shared" si="119"/>
        <v>0</v>
      </c>
      <c r="AM233" s="177">
        <f>SUM(AM229:AM232)</f>
        <v>0</v>
      </c>
      <c r="AN233" s="177">
        <f t="shared" ref="AN233:AP233" si="120">SUM(AN229:AN232)</f>
        <v>0</v>
      </c>
      <c r="AO233" s="177">
        <f t="shared" si="120"/>
        <v>0</v>
      </c>
      <c r="AP233" s="177">
        <f t="shared" si="120"/>
        <v>0</v>
      </c>
    </row>
    <row r="234" spans="1:42" x14ac:dyDescent="0.2">
      <c r="A234" s="180" t="s">
        <v>123</v>
      </c>
      <c r="C234" s="169">
        <f>C215+C221+C227+C233</f>
        <v>0</v>
      </c>
      <c r="D234" s="169">
        <f t="shared" ref="D234:AP234" si="121">D215+D221+D227+D233</f>
        <v>0</v>
      </c>
      <c r="E234" s="169">
        <f t="shared" si="121"/>
        <v>0</v>
      </c>
      <c r="F234" s="169">
        <f t="shared" si="121"/>
        <v>0</v>
      </c>
      <c r="G234" s="169">
        <f t="shared" si="121"/>
        <v>0</v>
      </c>
      <c r="H234" s="169">
        <f t="shared" si="121"/>
        <v>0</v>
      </c>
      <c r="I234" s="169">
        <f t="shared" si="121"/>
        <v>0</v>
      </c>
      <c r="J234" s="169">
        <f t="shared" si="121"/>
        <v>0</v>
      </c>
      <c r="K234" s="169">
        <f t="shared" si="121"/>
        <v>0</v>
      </c>
      <c r="L234" s="169">
        <f t="shared" si="121"/>
        <v>0</v>
      </c>
      <c r="M234" s="169">
        <f t="shared" si="121"/>
        <v>0</v>
      </c>
      <c r="N234" s="169">
        <f t="shared" si="121"/>
        <v>0</v>
      </c>
      <c r="O234" s="169">
        <f t="shared" si="121"/>
        <v>0</v>
      </c>
      <c r="P234" s="169">
        <f t="shared" si="121"/>
        <v>0</v>
      </c>
      <c r="Q234" s="169">
        <f t="shared" si="121"/>
        <v>0</v>
      </c>
      <c r="R234" s="169">
        <f t="shared" si="121"/>
        <v>0</v>
      </c>
      <c r="S234" s="169">
        <f t="shared" si="121"/>
        <v>0</v>
      </c>
      <c r="T234" s="169">
        <f t="shared" si="121"/>
        <v>0</v>
      </c>
      <c r="U234" s="169">
        <f t="shared" si="121"/>
        <v>0</v>
      </c>
      <c r="V234" s="169">
        <f t="shared" si="121"/>
        <v>0</v>
      </c>
      <c r="W234" s="169">
        <f t="shared" si="121"/>
        <v>0</v>
      </c>
      <c r="X234" s="169">
        <f t="shared" si="121"/>
        <v>0</v>
      </c>
      <c r="Y234" s="169">
        <f t="shared" si="121"/>
        <v>0</v>
      </c>
      <c r="Z234" s="169">
        <f t="shared" si="121"/>
        <v>0</v>
      </c>
      <c r="AA234" s="169">
        <f t="shared" si="121"/>
        <v>0</v>
      </c>
      <c r="AB234" s="169">
        <f t="shared" si="121"/>
        <v>0</v>
      </c>
      <c r="AC234" s="169">
        <f t="shared" si="121"/>
        <v>0</v>
      </c>
      <c r="AD234" s="169">
        <f t="shared" si="121"/>
        <v>0</v>
      </c>
      <c r="AE234" s="169">
        <f t="shared" si="121"/>
        <v>0</v>
      </c>
      <c r="AF234" s="169">
        <f t="shared" si="121"/>
        <v>0</v>
      </c>
      <c r="AG234" s="169">
        <f t="shared" si="121"/>
        <v>0</v>
      </c>
      <c r="AH234" s="169">
        <f t="shared" si="121"/>
        <v>0</v>
      </c>
      <c r="AI234" s="169">
        <f t="shared" si="121"/>
        <v>0</v>
      </c>
      <c r="AJ234" s="169">
        <f t="shared" si="121"/>
        <v>0</v>
      </c>
      <c r="AK234" s="169">
        <f t="shared" si="121"/>
        <v>0</v>
      </c>
      <c r="AL234" s="169">
        <f t="shared" si="121"/>
        <v>0</v>
      </c>
      <c r="AM234" s="169">
        <f t="shared" si="121"/>
        <v>0</v>
      </c>
      <c r="AN234" s="169">
        <f t="shared" si="121"/>
        <v>0</v>
      </c>
      <c r="AO234" s="169">
        <f t="shared" si="121"/>
        <v>0</v>
      </c>
      <c r="AP234" s="169">
        <f t="shared" si="121"/>
        <v>0</v>
      </c>
    </row>
    <row r="235" spans="1:42" x14ac:dyDescent="0.2">
      <c r="A235" s="187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</row>
    <row r="236" spans="1:42" x14ac:dyDescent="0.2">
      <c r="A236" s="180" t="s">
        <v>124</v>
      </c>
      <c r="C236" s="169">
        <f>C208+C234</f>
        <v>-1715624.1377224056</v>
      </c>
      <c r="D236" s="169">
        <f t="shared" ref="D236:AP236" si="122">D208+D234</f>
        <v>-5854255.5912329536</v>
      </c>
      <c r="E236" s="169">
        <f t="shared" si="122"/>
        <v>-1444845.769580177</v>
      </c>
      <c r="F236" s="169">
        <f t="shared" si="122"/>
        <v>1218320.2666667053</v>
      </c>
      <c r="G236" s="169">
        <f t="shared" si="122"/>
        <v>1262587.4768935987</v>
      </c>
      <c r="H236" s="169">
        <f t="shared" si="122"/>
        <v>3270129.8683986412</v>
      </c>
      <c r="I236" s="169">
        <f t="shared" si="122"/>
        <v>5275220.689444961</v>
      </c>
      <c r="J236" s="169">
        <f t="shared" si="122"/>
        <v>5314421.9752847599</v>
      </c>
      <c r="K236" s="169">
        <f t="shared" si="122"/>
        <v>5353389.2398414155</v>
      </c>
      <c r="L236" s="169">
        <f t="shared" si="122"/>
        <v>5392577.1870380072</v>
      </c>
      <c r="M236" s="169">
        <f t="shared" si="122"/>
        <v>5431459.5051953569</v>
      </c>
      <c r="N236" s="169">
        <f t="shared" si="122"/>
        <v>4881581.6712042401</v>
      </c>
      <c r="O236" s="169">
        <f t="shared" si="122"/>
        <v>4515446.2058260264</v>
      </c>
      <c r="P236" s="169">
        <f t="shared" si="122"/>
        <v>4932222.0820107227</v>
      </c>
      <c r="Q236" s="169">
        <f t="shared" si="122"/>
        <v>5197901.4914452536</v>
      </c>
      <c r="R236" s="169">
        <f t="shared" si="122"/>
        <v>5278683.9770921543</v>
      </c>
      <c r="S236" s="169">
        <f t="shared" si="122"/>
        <v>5528895.7081683669</v>
      </c>
      <c r="T236" s="169">
        <f t="shared" si="122"/>
        <v>5737970.442542593</v>
      </c>
      <c r="U236" s="169">
        <f t="shared" si="122"/>
        <v>5777348.3734255526</v>
      </c>
      <c r="V236" s="169">
        <f t="shared" si="122"/>
        <v>5816650.2358286418</v>
      </c>
      <c r="W236" s="169">
        <f t="shared" si="122"/>
        <v>5888569.9996806514</v>
      </c>
      <c r="X236" s="169">
        <f t="shared" si="122"/>
        <v>5946200.0570313288</v>
      </c>
      <c r="Y236" s="169">
        <f t="shared" si="122"/>
        <v>5971043.7537716841</v>
      </c>
      <c r="Z236" s="169">
        <f t="shared" si="122"/>
        <v>5291606.1842912827</v>
      </c>
      <c r="AA236" s="169">
        <f t="shared" si="122"/>
        <v>4832130.4471118292</v>
      </c>
      <c r="AB236" s="169">
        <f t="shared" si="122"/>
        <v>5308367.8750879942</v>
      </c>
      <c r="AC236" s="169">
        <f t="shared" si="122"/>
        <v>5604226.7898750538</v>
      </c>
      <c r="AD236" s="169">
        <f t="shared" si="122"/>
        <v>5629566.3186983084</v>
      </c>
      <c r="AE236" s="169">
        <f t="shared" si="122"/>
        <v>5857596.3371973345</v>
      </c>
      <c r="AF236" s="169">
        <f t="shared" si="122"/>
        <v>6085505.5708457865</v>
      </c>
      <c r="AG236" s="169">
        <f t="shared" si="122"/>
        <v>6110482.6265848223</v>
      </c>
      <c r="AH236" s="169">
        <f t="shared" si="122"/>
        <v>6135328.6107142903</v>
      </c>
      <c r="AI236" s="169">
        <f t="shared" si="122"/>
        <v>6160038.1954064686</v>
      </c>
      <c r="AJ236" s="169">
        <f t="shared" si="122"/>
        <v>6184605.9262153786</v>
      </c>
      <c r="AK236" s="169">
        <f t="shared" si="122"/>
        <v>6209026.2192613091</v>
      </c>
      <c r="AL236" s="169">
        <f t="shared" si="122"/>
        <v>5391352.6991915395</v>
      </c>
      <c r="AM236" s="169">
        <f t="shared" si="122"/>
        <v>4836626.6297109444</v>
      </c>
      <c r="AN236" s="169">
        <f t="shared" si="122"/>
        <v>5393272.6395241814</v>
      </c>
      <c r="AO236" s="169">
        <f t="shared" si="122"/>
        <v>5734210.7144509908</v>
      </c>
      <c r="AP236" s="169">
        <f t="shared" si="122"/>
        <v>9777175.8734961208</v>
      </c>
    </row>
    <row r="237" spans="1:42" x14ac:dyDescent="0.2">
      <c r="A237" s="180" t="s">
        <v>122</v>
      </c>
      <c r="C237" s="177">
        <f t="shared" ref="C237:AP237" si="123">C236*-StateTax</f>
        <v>94359.327574732306</v>
      </c>
      <c r="D237" s="177">
        <f t="shared" si="123"/>
        <v>321984.05751781247</v>
      </c>
      <c r="E237" s="177">
        <f t="shared" si="123"/>
        <v>79466.517326909743</v>
      </c>
      <c r="F237" s="177">
        <f t="shared" si="123"/>
        <v>-67007.614666668786</v>
      </c>
      <c r="G237" s="177">
        <f t="shared" si="123"/>
        <v>-69442.311229147934</v>
      </c>
      <c r="H237" s="177">
        <f t="shared" si="123"/>
        <v>-179857.14276192526</v>
      </c>
      <c r="I237" s="177">
        <f t="shared" si="123"/>
        <v>-290137.13791947288</v>
      </c>
      <c r="J237" s="177">
        <f t="shared" si="123"/>
        <v>-292293.20864066179</v>
      </c>
      <c r="K237" s="177">
        <f t="shared" si="123"/>
        <v>-294436.40819127788</v>
      </c>
      <c r="L237" s="177">
        <f t="shared" si="123"/>
        <v>-296591.74528709042</v>
      </c>
      <c r="M237" s="177">
        <f t="shared" si="123"/>
        <v>-298730.27278574463</v>
      </c>
      <c r="N237" s="177">
        <f t="shared" si="123"/>
        <v>-268486.99191623321</v>
      </c>
      <c r="O237" s="177">
        <f t="shared" si="123"/>
        <v>-248349.54132043145</v>
      </c>
      <c r="P237" s="177">
        <f t="shared" si="123"/>
        <v>-271272.21451058978</v>
      </c>
      <c r="Q237" s="177">
        <f t="shared" si="123"/>
        <v>-285884.58202948893</v>
      </c>
      <c r="R237" s="177">
        <f t="shared" si="123"/>
        <v>-290327.61874006852</v>
      </c>
      <c r="S237" s="177">
        <f t="shared" si="123"/>
        <v>-304089.26394926017</v>
      </c>
      <c r="T237" s="177">
        <f t="shared" si="123"/>
        <v>-315588.37433984264</v>
      </c>
      <c r="U237" s="177">
        <f t="shared" si="123"/>
        <v>-317754.16053840541</v>
      </c>
      <c r="V237" s="177">
        <f t="shared" si="123"/>
        <v>-319915.76297057531</v>
      </c>
      <c r="W237" s="177">
        <f t="shared" si="123"/>
        <v>-323871.34998243582</v>
      </c>
      <c r="X237" s="177">
        <f t="shared" si="123"/>
        <v>-327041.00313672307</v>
      </c>
      <c r="Y237" s="177">
        <f t="shared" si="123"/>
        <v>-328407.40645744262</v>
      </c>
      <c r="Z237" s="177">
        <f t="shared" si="123"/>
        <v>-291038.34013602056</v>
      </c>
      <c r="AA237" s="177">
        <f t="shared" si="123"/>
        <v>-265767.1745911506</v>
      </c>
      <c r="AB237" s="177">
        <f t="shared" si="123"/>
        <v>-291960.2331298397</v>
      </c>
      <c r="AC237" s="177">
        <f t="shared" si="123"/>
        <v>-308232.47344312794</v>
      </c>
      <c r="AD237" s="177">
        <f t="shared" si="123"/>
        <v>-309626.14752840699</v>
      </c>
      <c r="AE237" s="177">
        <f t="shared" si="123"/>
        <v>-322167.79854585341</v>
      </c>
      <c r="AF237" s="177">
        <f t="shared" si="123"/>
        <v>-334702.80639651825</v>
      </c>
      <c r="AG237" s="177">
        <f t="shared" si="123"/>
        <v>-336076.54446216521</v>
      </c>
      <c r="AH237" s="177">
        <f t="shared" si="123"/>
        <v>-337443.07358928595</v>
      </c>
      <c r="AI237" s="177">
        <f t="shared" si="123"/>
        <v>-338802.10074735578</v>
      </c>
      <c r="AJ237" s="177">
        <f t="shared" si="123"/>
        <v>-340153.32594184583</v>
      </c>
      <c r="AK237" s="177">
        <f t="shared" si="123"/>
        <v>-341496.44205937203</v>
      </c>
      <c r="AL237" s="177">
        <f t="shared" si="123"/>
        <v>-296524.39845553465</v>
      </c>
      <c r="AM237" s="177">
        <f t="shared" si="123"/>
        <v>-266014.46463410195</v>
      </c>
      <c r="AN237" s="177">
        <f t="shared" si="123"/>
        <v>-296629.99517382996</v>
      </c>
      <c r="AO237" s="177">
        <f t="shared" si="123"/>
        <v>-315381.58929480449</v>
      </c>
      <c r="AP237" s="177">
        <f t="shared" si="123"/>
        <v>-537744.67304228665</v>
      </c>
    </row>
    <row r="238" spans="1:42" s="101" customFormat="1" x14ac:dyDescent="0.2">
      <c r="A238" s="25"/>
    </row>
    <row r="239" spans="1:42" s="101" customFormat="1" x14ac:dyDescent="0.2">
      <c r="A239" s="178" t="s">
        <v>115</v>
      </c>
    </row>
    <row r="240" spans="1:42" s="101" customFormat="1" x14ac:dyDescent="0.2">
      <c r="A240" s="25" t="s">
        <v>112</v>
      </c>
      <c r="C240" s="181">
        <f>C$43</f>
        <v>5186185.3867221233</v>
      </c>
      <c r="D240" s="181">
        <f t="shared" ref="D240:AP240" si="124">D$43</f>
        <v>5221241.891674961</v>
      </c>
      <c r="E240" s="181">
        <f t="shared" si="124"/>
        <v>5256275.9843702372</v>
      </c>
      <c r="F240" s="181">
        <f t="shared" si="124"/>
        <v>5291284.9913383592</v>
      </c>
      <c r="G240" s="181">
        <f t="shared" si="124"/>
        <v>5326266.1716661844</v>
      </c>
      <c r="H240" s="181">
        <f t="shared" si="124"/>
        <v>5361216.7154902499</v>
      </c>
      <c r="I240" s="181">
        <f t="shared" si="124"/>
        <v>5396133.7424567686</v>
      </c>
      <c r="J240" s="181">
        <f t="shared" si="124"/>
        <v>5431014.3001476275</v>
      </c>
      <c r="K240" s="181">
        <f t="shared" si="124"/>
        <v>5465855.362471683</v>
      </c>
      <c r="L240" s="181">
        <f t="shared" si="124"/>
        <v>5500653.8280204916</v>
      </c>
      <c r="M240" s="181">
        <f t="shared" si="124"/>
        <v>5535406.5183878206</v>
      </c>
      <c r="N240" s="181">
        <f t="shared" si="124"/>
        <v>5570110.176451995</v>
      </c>
      <c r="O240" s="181">
        <f t="shared" si="124"/>
        <v>5604761.4646203648</v>
      </c>
      <c r="P240" s="181">
        <f t="shared" si="124"/>
        <v>5639356.9630349623</v>
      </c>
      <c r="Q240" s="181">
        <f t="shared" si="124"/>
        <v>5673893.1677385746</v>
      </c>
      <c r="R240" s="181">
        <f t="shared" si="124"/>
        <v>5708366.4888002714</v>
      </c>
      <c r="S240" s="181">
        <f t="shared" si="124"/>
        <v>5742773.2483995594</v>
      </c>
      <c r="T240" s="181">
        <f t="shared" si="124"/>
        <v>5777109.6788681578</v>
      </c>
      <c r="U240" s="181">
        <f t="shared" si="124"/>
        <v>5811371.9206885574</v>
      </c>
      <c r="V240" s="181">
        <f t="shared" si="124"/>
        <v>5845556.0204483094</v>
      </c>
      <c r="W240" s="181">
        <f t="shared" si="124"/>
        <v>5879657.9287491161</v>
      </c>
      <c r="X240" s="181">
        <f t="shared" si="124"/>
        <v>5899342.5758821797</v>
      </c>
      <c r="Y240" s="181">
        <f t="shared" si="124"/>
        <v>5918936.6362063298</v>
      </c>
      <c r="Z240" s="181">
        <f t="shared" si="124"/>
        <v>5938435.7593528181</v>
      </c>
      <c r="AA240" s="181">
        <f t="shared" si="124"/>
        <v>5957835.4901307719</v>
      </c>
      <c r="AB240" s="181">
        <f t="shared" si="124"/>
        <v>5977131.2661946267</v>
      </c>
      <c r="AC240" s="181">
        <f t="shared" si="124"/>
        <v>5996318.415660006</v>
      </c>
      <c r="AD240" s="181">
        <f t="shared" si="124"/>
        <v>6015392.1546668168</v>
      </c>
      <c r="AE240" s="181">
        <f t="shared" si="124"/>
        <v>6034347.584888462</v>
      </c>
      <c r="AF240" s="181">
        <f t="shared" si="124"/>
        <v>6053179.6909858752</v>
      </c>
      <c r="AG240" s="181">
        <f t="shared" si="124"/>
        <v>6071883.3380052596</v>
      </c>
      <c r="AH240" s="181">
        <f t="shared" si="124"/>
        <v>6090453.2687181877</v>
      </c>
      <c r="AI240" s="181">
        <f t="shared" si="124"/>
        <v>6108884.100902834</v>
      </c>
      <c r="AJ240" s="181">
        <f t="shared" si="124"/>
        <v>6127170.3245649757</v>
      </c>
      <c r="AK240" s="181">
        <f t="shared" si="124"/>
        <v>6145306.2990974821</v>
      </c>
      <c r="AL240" s="181">
        <f t="shared" si="124"/>
        <v>6163286.2503768764</v>
      </c>
      <c r="AM240" s="181">
        <f t="shared" si="124"/>
        <v>6181104.2677955758</v>
      </c>
      <c r="AN240" s="181">
        <f t="shared" si="124"/>
        <v>6198754.3012283863</v>
      </c>
      <c r="AO240" s="181">
        <f t="shared" si="124"/>
        <v>6216230.1579317786</v>
      </c>
      <c r="AP240" s="181">
        <f t="shared" si="124"/>
        <v>10256240.499374447</v>
      </c>
    </row>
    <row r="241" spans="1:42" s="101" customFormat="1" x14ac:dyDescent="0.2">
      <c r="A241" s="25" t="s">
        <v>121</v>
      </c>
      <c r="C241" s="181">
        <f t="shared" ref="C241:AP241" si="125">C705</f>
        <v>6776.1213953125007</v>
      </c>
      <c r="D241" s="181">
        <f t="shared" si="125"/>
        <v>11022.150933383791</v>
      </c>
      <c r="E241" s="181">
        <f t="shared" si="125"/>
        <v>15269.654512563315</v>
      </c>
      <c r="F241" s="181">
        <f t="shared" si="125"/>
        <v>19518.661851482586</v>
      </c>
      <c r="G241" s="181">
        <f t="shared" si="125"/>
        <v>23769.203290216774</v>
      </c>
      <c r="H241" s="181">
        <f t="shared" si="125"/>
        <v>28021.309803623877</v>
      </c>
      <c r="I241" s="181">
        <f t="shared" si="125"/>
        <v>32275.013014975622</v>
      </c>
      <c r="J241" s="181">
        <f t="shared" si="125"/>
        <v>36530.345209886385</v>
      </c>
      <c r="K241" s="181">
        <f t="shared" si="125"/>
        <v>40787.339350546878</v>
      </c>
      <c r="L241" s="181">
        <f t="shared" si="125"/>
        <v>45046.029090269272</v>
      </c>
      <c r="M241" s="181">
        <f t="shared" si="125"/>
        <v>49306.448788350688</v>
      </c>
      <c r="N241" s="181">
        <f t="shared" si="125"/>
        <v>53568.63352526207</v>
      </c>
      <c r="O241" s="181">
        <f t="shared" si="125"/>
        <v>6297.3531068967268</v>
      </c>
      <c r="P241" s="181">
        <f t="shared" si="125"/>
        <v>11403.279000766337</v>
      </c>
      <c r="Q241" s="181">
        <f t="shared" si="125"/>
        <v>16511.079658844716</v>
      </c>
      <c r="R241" s="181">
        <f t="shared" si="125"/>
        <v>21620.793204951438</v>
      </c>
      <c r="S241" s="181">
        <f t="shared" si="125"/>
        <v>26732.458565163892</v>
      </c>
      <c r="T241" s="181">
        <f t="shared" si="125"/>
        <v>31846.115485115948</v>
      </c>
      <c r="U241" s="181">
        <f t="shared" si="125"/>
        <v>36961.804547676074</v>
      </c>
      <c r="V241" s="181">
        <f t="shared" si="125"/>
        <v>42079.567191013273</v>
      </c>
      <c r="W241" s="181">
        <f t="shared" si="125"/>
        <v>47199.445727059538</v>
      </c>
      <c r="X241" s="181">
        <f t="shared" si="125"/>
        <v>52446.878929518141</v>
      </c>
      <c r="Y241" s="181">
        <f t="shared" si="125"/>
        <v>57696.515345723783</v>
      </c>
      <c r="Z241" s="181">
        <f t="shared" si="125"/>
        <v>62948.400023769842</v>
      </c>
      <c r="AA241" s="181">
        <f t="shared" si="125"/>
        <v>6586.0784493241936</v>
      </c>
      <c r="AB241" s="181">
        <f t="shared" si="125"/>
        <v>12847.040886474646</v>
      </c>
      <c r="AC241" s="181">
        <f t="shared" si="125"/>
        <v>19110.392523059818</v>
      </c>
      <c r="AD241" s="181">
        <f t="shared" si="125"/>
        <v>25376.182339503135</v>
      </c>
      <c r="AE241" s="181">
        <f t="shared" si="125"/>
        <v>31644.460353062212</v>
      </c>
      <c r="AF241" s="181">
        <f t="shared" si="125"/>
        <v>37915.277640280299</v>
      </c>
      <c r="AG241" s="181">
        <f t="shared" si="125"/>
        <v>44188.686359931598</v>
      </c>
      <c r="AH241" s="181">
        <f t="shared" si="125"/>
        <v>50464.739776471564</v>
      </c>
      <c r="AI241" s="181">
        <f t="shared" si="125"/>
        <v>56743.492284003289</v>
      </c>
      <c r="AJ241" s="181">
        <f t="shared" si="125"/>
        <v>63024.999430771604</v>
      </c>
      <c r="AK241" s="181">
        <f t="shared" si="125"/>
        <v>69309.317944196475</v>
      </c>
      <c r="AL241" s="181">
        <f t="shared" si="125"/>
        <v>75596.50575645786</v>
      </c>
      <c r="AM241" s="181">
        <f t="shared" si="125"/>
        <v>8216.8143540193832</v>
      </c>
      <c r="AN241" s="181">
        <f t="shared" si="125"/>
        <v>8370.7688711335886</v>
      </c>
      <c r="AO241" s="181">
        <f t="shared" si="125"/>
        <v>8527.773976562974</v>
      </c>
      <c r="AP241" s="181">
        <f t="shared" si="125"/>
        <v>8687.8926888390088</v>
      </c>
    </row>
    <row r="242" spans="1:42" s="25" customFormat="1" x14ac:dyDescent="0.2">
      <c r="A242" s="25" t="s">
        <v>116</v>
      </c>
      <c r="B242" s="101"/>
      <c r="C242" s="124">
        <f t="shared" ref="C242:AP242" si="126">IF(C$2&lt;=AnalysisPeriod,-C462-C493-C519-C545,0)</f>
        <v>-6908585.6458398411</v>
      </c>
      <c r="D242" s="124">
        <f t="shared" si="126"/>
        <v>-11086519.633841299</v>
      </c>
      <c r="E242" s="124">
        <f t="shared" si="126"/>
        <v>-6716391.408462978</v>
      </c>
      <c r="F242" s="124">
        <f t="shared" si="126"/>
        <v>-4092483.3865231364</v>
      </c>
      <c r="G242" s="124">
        <f t="shared" si="126"/>
        <v>-4087447.8980628024</v>
      </c>
      <c r="H242" s="124">
        <f t="shared" si="126"/>
        <v>-2119108.1568952324</v>
      </c>
      <c r="I242" s="124">
        <f t="shared" si="126"/>
        <v>-153188.0660267839</v>
      </c>
      <c r="J242" s="124">
        <f t="shared" si="126"/>
        <v>-153122.67007275359</v>
      </c>
      <c r="K242" s="124">
        <f t="shared" si="126"/>
        <v>-153253.4619808142</v>
      </c>
      <c r="L242" s="124">
        <f t="shared" si="126"/>
        <v>-153122.67007275359</v>
      </c>
      <c r="M242" s="124">
        <f t="shared" si="126"/>
        <v>-153253.4619808142</v>
      </c>
      <c r="N242" s="124">
        <f t="shared" si="126"/>
        <v>-742097.1387730164</v>
      </c>
      <c r="O242" s="124">
        <f t="shared" si="126"/>
        <v>-1095612.6119012346</v>
      </c>
      <c r="P242" s="124">
        <f t="shared" si="126"/>
        <v>-718538.16002500593</v>
      </c>
      <c r="Q242" s="124">
        <f t="shared" si="126"/>
        <v>-492502.75595216558</v>
      </c>
      <c r="R242" s="124">
        <f t="shared" si="126"/>
        <v>-451303.30491306866</v>
      </c>
      <c r="S242" s="124">
        <f t="shared" si="126"/>
        <v>-240609.99879635675</v>
      </c>
      <c r="T242" s="124">
        <f t="shared" si="126"/>
        <v>-70985.351810681081</v>
      </c>
      <c r="U242" s="124">
        <f t="shared" si="126"/>
        <v>-70985.351810681081</v>
      </c>
      <c r="V242" s="124">
        <f t="shared" si="126"/>
        <v>-70985.351810681081</v>
      </c>
      <c r="W242" s="124">
        <f t="shared" si="126"/>
        <v>-38287.37479552484</v>
      </c>
      <c r="X242" s="124">
        <f t="shared" si="126"/>
        <v>-5589.3977803685893</v>
      </c>
      <c r="Y242" s="124">
        <f t="shared" si="126"/>
        <v>-5589.3977803685893</v>
      </c>
      <c r="Z242" s="124">
        <f t="shared" si="126"/>
        <v>-709777.97508530482</v>
      </c>
      <c r="AA242" s="124">
        <f t="shared" si="126"/>
        <v>-1132291.1214682665</v>
      </c>
      <c r="AB242" s="124">
        <f t="shared" si="126"/>
        <v>-681610.43199310731</v>
      </c>
      <c r="AC242" s="124">
        <f t="shared" si="126"/>
        <v>-411202.01830801181</v>
      </c>
      <c r="AD242" s="124">
        <f t="shared" si="126"/>
        <v>-411202.01830801181</v>
      </c>
      <c r="AE242" s="124">
        <f t="shared" si="126"/>
        <v>-208395.70804419022</v>
      </c>
      <c r="AF242" s="124">
        <f t="shared" si="126"/>
        <v>-5589.3977803685893</v>
      </c>
      <c r="AG242" s="124">
        <f t="shared" si="126"/>
        <v>-5589.3977803685893</v>
      </c>
      <c r="AH242" s="124">
        <f t="shared" si="126"/>
        <v>-5589.3977803685893</v>
      </c>
      <c r="AI242" s="124">
        <f t="shared" si="126"/>
        <v>-5589.3977803685893</v>
      </c>
      <c r="AJ242" s="124">
        <f t="shared" si="126"/>
        <v>-5589.3977803685893</v>
      </c>
      <c r="AK242" s="124">
        <f t="shared" si="126"/>
        <v>-5589.3977803685893</v>
      </c>
      <c r="AL242" s="124">
        <f t="shared" si="126"/>
        <v>-847530.05694179516</v>
      </c>
      <c r="AM242" s="124">
        <f t="shared" si="126"/>
        <v>-1352694.4524386509</v>
      </c>
      <c r="AN242" s="124">
        <f t="shared" si="126"/>
        <v>-813852.43057533808</v>
      </c>
      <c r="AO242" s="124">
        <f t="shared" si="126"/>
        <v>-490547.21745735023</v>
      </c>
      <c r="AP242" s="124">
        <f t="shared" si="126"/>
        <v>-487752.51856716594</v>
      </c>
    </row>
    <row r="243" spans="1:42" s="101" customFormat="1" x14ac:dyDescent="0.2">
      <c r="A243" s="25" t="s">
        <v>122</v>
      </c>
      <c r="C243" s="124">
        <f>C237</f>
        <v>94359.327574732306</v>
      </c>
      <c r="D243" s="124">
        <f t="shared" ref="D243:AP243" si="127">D237</f>
        <v>321984.05751781247</v>
      </c>
      <c r="E243" s="124">
        <f t="shared" si="127"/>
        <v>79466.517326909743</v>
      </c>
      <c r="F243" s="124">
        <f t="shared" si="127"/>
        <v>-67007.614666668786</v>
      </c>
      <c r="G243" s="124">
        <f t="shared" si="127"/>
        <v>-69442.311229147934</v>
      </c>
      <c r="H243" s="124">
        <f t="shared" si="127"/>
        <v>-179857.14276192526</v>
      </c>
      <c r="I243" s="124">
        <f t="shared" si="127"/>
        <v>-290137.13791947288</v>
      </c>
      <c r="J243" s="124">
        <f t="shared" si="127"/>
        <v>-292293.20864066179</v>
      </c>
      <c r="K243" s="124">
        <f t="shared" si="127"/>
        <v>-294436.40819127788</v>
      </c>
      <c r="L243" s="124">
        <f t="shared" si="127"/>
        <v>-296591.74528709042</v>
      </c>
      <c r="M243" s="124">
        <f t="shared" si="127"/>
        <v>-298730.27278574463</v>
      </c>
      <c r="N243" s="124">
        <f t="shared" si="127"/>
        <v>-268486.99191623321</v>
      </c>
      <c r="O243" s="124">
        <f t="shared" si="127"/>
        <v>-248349.54132043145</v>
      </c>
      <c r="P243" s="124">
        <f t="shared" si="127"/>
        <v>-271272.21451058978</v>
      </c>
      <c r="Q243" s="124">
        <f t="shared" si="127"/>
        <v>-285884.58202948893</v>
      </c>
      <c r="R243" s="124">
        <f t="shared" si="127"/>
        <v>-290327.61874006852</v>
      </c>
      <c r="S243" s="124">
        <f t="shared" si="127"/>
        <v>-304089.26394926017</v>
      </c>
      <c r="T243" s="124">
        <f t="shared" si="127"/>
        <v>-315588.37433984264</v>
      </c>
      <c r="U243" s="124">
        <f t="shared" si="127"/>
        <v>-317754.16053840541</v>
      </c>
      <c r="V243" s="124">
        <f t="shared" si="127"/>
        <v>-319915.76297057531</v>
      </c>
      <c r="W243" s="124">
        <f t="shared" si="127"/>
        <v>-323871.34998243582</v>
      </c>
      <c r="X243" s="124">
        <f t="shared" si="127"/>
        <v>-327041.00313672307</v>
      </c>
      <c r="Y243" s="124">
        <f t="shared" si="127"/>
        <v>-328407.40645744262</v>
      </c>
      <c r="Z243" s="124">
        <f t="shared" si="127"/>
        <v>-291038.34013602056</v>
      </c>
      <c r="AA243" s="124">
        <f t="shared" si="127"/>
        <v>-265767.1745911506</v>
      </c>
      <c r="AB243" s="124">
        <f t="shared" si="127"/>
        <v>-291960.2331298397</v>
      </c>
      <c r="AC243" s="124">
        <f t="shared" si="127"/>
        <v>-308232.47344312794</v>
      </c>
      <c r="AD243" s="124">
        <f t="shared" si="127"/>
        <v>-309626.14752840699</v>
      </c>
      <c r="AE243" s="124">
        <f t="shared" si="127"/>
        <v>-322167.79854585341</v>
      </c>
      <c r="AF243" s="124">
        <f t="shared" si="127"/>
        <v>-334702.80639651825</v>
      </c>
      <c r="AG243" s="124">
        <f t="shared" si="127"/>
        <v>-336076.54446216521</v>
      </c>
      <c r="AH243" s="124">
        <f t="shared" si="127"/>
        <v>-337443.07358928595</v>
      </c>
      <c r="AI243" s="124">
        <f t="shared" si="127"/>
        <v>-338802.10074735578</v>
      </c>
      <c r="AJ243" s="124">
        <f t="shared" si="127"/>
        <v>-340153.32594184583</v>
      </c>
      <c r="AK243" s="124">
        <f t="shared" si="127"/>
        <v>-341496.44205937203</v>
      </c>
      <c r="AL243" s="124">
        <f t="shared" si="127"/>
        <v>-296524.39845553465</v>
      </c>
      <c r="AM243" s="124">
        <f t="shared" si="127"/>
        <v>-266014.46463410195</v>
      </c>
      <c r="AN243" s="124">
        <f t="shared" si="127"/>
        <v>-296629.99517382996</v>
      </c>
      <c r="AO243" s="124">
        <f t="shared" si="127"/>
        <v>-315381.58929480449</v>
      </c>
      <c r="AP243" s="124">
        <f t="shared" si="127"/>
        <v>-537744.67304228665</v>
      </c>
    </row>
    <row r="244" spans="1:42" s="101" customFormat="1" x14ac:dyDescent="0.2">
      <c r="A244" s="25" t="s">
        <v>147</v>
      </c>
      <c r="C244" s="124">
        <f>C90</f>
        <v>0</v>
      </c>
      <c r="D244" s="124">
        <f t="shared" ref="D244:AP244" si="128">D90</f>
        <v>0</v>
      </c>
      <c r="E244" s="124">
        <f t="shared" si="128"/>
        <v>0</v>
      </c>
      <c r="F244" s="124">
        <f t="shared" si="128"/>
        <v>0</v>
      </c>
      <c r="G244" s="124">
        <f t="shared" si="128"/>
        <v>0</v>
      </c>
      <c r="H244" s="124">
        <f t="shared" si="128"/>
        <v>0</v>
      </c>
      <c r="I244" s="124">
        <f t="shared" si="128"/>
        <v>0</v>
      </c>
      <c r="J244" s="124">
        <f t="shared" si="128"/>
        <v>0</v>
      </c>
      <c r="K244" s="124">
        <f t="shared" si="128"/>
        <v>0</v>
      </c>
      <c r="L244" s="124">
        <f t="shared" si="128"/>
        <v>0</v>
      </c>
      <c r="M244" s="124">
        <f t="shared" si="128"/>
        <v>0</v>
      </c>
      <c r="N244" s="124">
        <f t="shared" si="128"/>
        <v>0</v>
      </c>
      <c r="O244" s="124">
        <f t="shared" si="128"/>
        <v>0</v>
      </c>
      <c r="P244" s="124">
        <f t="shared" si="128"/>
        <v>0</v>
      </c>
      <c r="Q244" s="124">
        <f t="shared" si="128"/>
        <v>0</v>
      </c>
      <c r="R244" s="124">
        <f t="shared" si="128"/>
        <v>0</v>
      </c>
      <c r="S244" s="124">
        <f t="shared" si="128"/>
        <v>0</v>
      </c>
      <c r="T244" s="124">
        <f t="shared" si="128"/>
        <v>0</v>
      </c>
      <c r="U244" s="124">
        <f t="shared" si="128"/>
        <v>0</v>
      </c>
      <c r="V244" s="124">
        <f t="shared" si="128"/>
        <v>0</v>
      </c>
      <c r="W244" s="124">
        <f t="shared" si="128"/>
        <v>0</v>
      </c>
      <c r="X244" s="124">
        <f t="shared" si="128"/>
        <v>0</v>
      </c>
      <c r="Y244" s="124">
        <f t="shared" si="128"/>
        <v>0</v>
      </c>
      <c r="Z244" s="124">
        <f t="shared" si="128"/>
        <v>0</v>
      </c>
      <c r="AA244" s="124">
        <f t="shared" si="128"/>
        <v>0</v>
      </c>
      <c r="AB244" s="124">
        <f t="shared" si="128"/>
        <v>0</v>
      </c>
      <c r="AC244" s="124">
        <f t="shared" si="128"/>
        <v>0</v>
      </c>
      <c r="AD244" s="124">
        <f t="shared" si="128"/>
        <v>0</v>
      </c>
      <c r="AE244" s="124">
        <f t="shared" si="128"/>
        <v>0</v>
      </c>
      <c r="AF244" s="124">
        <f t="shared" si="128"/>
        <v>0</v>
      </c>
      <c r="AG244" s="124">
        <f t="shared" si="128"/>
        <v>0</v>
      </c>
      <c r="AH244" s="124">
        <f t="shared" si="128"/>
        <v>0</v>
      </c>
      <c r="AI244" s="124">
        <f t="shared" si="128"/>
        <v>0</v>
      </c>
      <c r="AJ244" s="124">
        <f t="shared" si="128"/>
        <v>0</v>
      </c>
      <c r="AK244" s="124">
        <f t="shared" si="128"/>
        <v>0</v>
      </c>
      <c r="AL244" s="124">
        <f t="shared" si="128"/>
        <v>0</v>
      </c>
      <c r="AM244" s="124">
        <f t="shared" si="128"/>
        <v>0</v>
      </c>
      <c r="AN244" s="124">
        <f t="shared" si="128"/>
        <v>0</v>
      </c>
      <c r="AO244" s="124">
        <f t="shared" si="128"/>
        <v>0</v>
      </c>
      <c r="AP244" s="124">
        <f t="shared" si="128"/>
        <v>0</v>
      </c>
    </row>
    <row r="245" spans="1:42" s="101" customFormat="1" x14ac:dyDescent="0.2">
      <c r="A245" s="25" t="s">
        <v>411</v>
      </c>
      <c r="C245" s="186">
        <f>C94</f>
        <v>0</v>
      </c>
      <c r="D245" s="186">
        <f t="shared" ref="D245:AP245" si="129">D94</f>
        <v>0</v>
      </c>
      <c r="E245" s="186">
        <f t="shared" si="129"/>
        <v>0</v>
      </c>
      <c r="F245" s="186">
        <f t="shared" si="129"/>
        <v>0</v>
      </c>
      <c r="G245" s="186">
        <f t="shared" si="129"/>
        <v>0</v>
      </c>
      <c r="H245" s="186">
        <f t="shared" si="129"/>
        <v>0</v>
      </c>
      <c r="I245" s="186">
        <f t="shared" si="129"/>
        <v>0</v>
      </c>
      <c r="J245" s="186">
        <f t="shared" si="129"/>
        <v>0</v>
      </c>
      <c r="K245" s="186">
        <f t="shared" si="129"/>
        <v>0</v>
      </c>
      <c r="L245" s="186">
        <f t="shared" si="129"/>
        <v>0</v>
      </c>
      <c r="M245" s="186">
        <f t="shared" si="129"/>
        <v>0</v>
      </c>
      <c r="N245" s="186">
        <f t="shared" si="129"/>
        <v>0</v>
      </c>
      <c r="O245" s="186">
        <f t="shared" si="129"/>
        <v>0</v>
      </c>
      <c r="P245" s="186">
        <f t="shared" si="129"/>
        <v>0</v>
      </c>
      <c r="Q245" s="186">
        <f t="shared" si="129"/>
        <v>0</v>
      </c>
      <c r="R245" s="186">
        <f t="shared" si="129"/>
        <v>0</v>
      </c>
      <c r="S245" s="186">
        <f t="shared" si="129"/>
        <v>0</v>
      </c>
      <c r="T245" s="186">
        <f t="shared" si="129"/>
        <v>0</v>
      </c>
      <c r="U245" s="186">
        <f t="shared" si="129"/>
        <v>0</v>
      </c>
      <c r="V245" s="186">
        <f t="shared" si="129"/>
        <v>0</v>
      </c>
      <c r="W245" s="186">
        <f t="shared" si="129"/>
        <v>0</v>
      </c>
      <c r="X245" s="186">
        <f t="shared" si="129"/>
        <v>0</v>
      </c>
      <c r="Y245" s="186">
        <f t="shared" si="129"/>
        <v>0</v>
      </c>
      <c r="Z245" s="186">
        <f t="shared" si="129"/>
        <v>0</v>
      </c>
      <c r="AA245" s="186">
        <f t="shared" si="129"/>
        <v>0</v>
      </c>
      <c r="AB245" s="186">
        <f t="shared" si="129"/>
        <v>0</v>
      </c>
      <c r="AC245" s="186">
        <f t="shared" si="129"/>
        <v>0</v>
      </c>
      <c r="AD245" s="186">
        <f t="shared" si="129"/>
        <v>0</v>
      </c>
      <c r="AE245" s="186">
        <f t="shared" si="129"/>
        <v>0</v>
      </c>
      <c r="AF245" s="186">
        <f t="shared" si="129"/>
        <v>0</v>
      </c>
      <c r="AG245" s="186">
        <f t="shared" si="129"/>
        <v>0</v>
      </c>
      <c r="AH245" s="186">
        <f t="shared" si="129"/>
        <v>0</v>
      </c>
      <c r="AI245" s="186">
        <f t="shared" si="129"/>
        <v>0</v>
      </c>
      <c r="AJ245" s="186">
        <f t="shared" si="129"/>
        <v>0</v>
      </c>
      <c r="AK245" s="186">
        <f t="shared" si="129"/>
        <v>0</v>
      </c>
      <c r="AL245" s="186">
        <f t="shared" si="129"/>
        <v>0</v>
      </c>
      <c r="AM245" s="186">
        <f t="shared" si="129"/>
        <v>0</v>
      </c>
      <c r="AN245" s="186">
        <f t="shared" si="129"/>
        <v>0</v>
      </c>
      <c r="AO245" s="186">
        <f t="shared" si="129"/>
        <v>0</v>
      </c>
      <c r="AP245" s="186">
        <f t="shared" si="129"/>
        <v>0</v>
      </c>
    </row>
    <row r="246" spans="1:42" s="101" customFormat="1" x14ac:dyDescent="0.2">
      <c r="A246" s="25" t="s">
        <v>114</v>
      </c>
      <c r="C246" s="181">
        <f>SUM(C240:C245)</f>
        <v>-1621264.8101476734</v>
      </c>
      <c r="D246" s="181">
        <f t="shared" ref="D246:AP246" si="130">SUM(D240:D245)</f>
        <v>-5532271.533715141</v>
      </c>
      <c r="E246" s="181">
        <f t="shared" si="130"/>
        <v>-1365379.2522532672</v>
      </c>
      <c r="F246" s="181">
        <f t="shared" si="130"/>
        <v>1151312.6520000366</v>
      </c>
      <c r="G246" s="181">
        <f t="shared" si="130"/>
        <v>1193145.1656644507</v>
      </c>
      <c r="H246" s="181">
        <f t="shared" si="130"/>
        <v>3090272.725636716</v>
      </c>
      <c r="I246" s="181">
        <f t="shared" si="130"/>
        <v>4985083.5515254885</v>
      </c>
      <c r="J246" s="181">
        <f t="shared" si="130"/>
        <v>5022128.7666440979</v>
      </c>
      <c r="K246" s="181">
        <f t="shared" si="130"/>
        <v>5058952.8316501379</v>
      </c>
      <c r="L246" s="181">
        <f t="shared" si="130"/>
        <v>5095985.4417509167</v>
      </c>
      <c r="M246" s="181">
        <f t="shared" si="130"/>
        <v>5132729.2324096123</v>
      </c>
      <c r="N246" s="181">
        <f t="shared" si="130"/>
        <v>4613094.6792880073</v>
      </c>
      <c r="O246" s="181">
        <f t="shared" si="130"/>
        <v>4267096.6645055953</v>
      </c>
      <c r="P246" s="181">
        <f t="shared" si="130"/>
        <v>4660949.8675001329</v>
      </c>
      <c r="Q246" s="181">
        <f t="shared" si="130"/>
        <v>4912016.9094157647</v>
      </c>
      <c r="R246" s="181">
        <f t="shared" si="130"/>
        <v>4988356.3583520856</v>
      </c>
      <c r="S246" s="181">
        <f t="shared" si="130"/>
        <v>5224806.4442191068</v>
      </c>
      <c r="T246" s="181">
        <f t="shared" si="130"/>
        <v>5422382.0682027508</v>
      </c>
      <c r="U246" s="181">
        <f t="shared" si="130"/>
        <v>5459594.2128871474</v>
      </c>
      <c r="V246" s="181">
        <f t="shared" si="130"/>
        <v>5496734.4728580667</v>
      </c>
      <c r="W246" s="181">
        <f t="shared" si="130"/>
        <v>5564698.6496982155</v>
      </c>
      <c r="X246" s="181">
        <f t="shared" si="130"/>
        <v>5619159.0538946055</v>
      </c>
      <c r="Y246" s="181">
        <f t="shared" si="130"/>
        <v>5642636.3473142413</v>
      </c>
      <c r="Z246" s="181">
        <f t="shared" si="130"/>
        <v>5000567.8441552622</v>
      </c>
      <c r="AA246" s="181">
        <f t="shared" si="130"/>
        <v>4566363.2725206781</v>
      </c>
      <c r="AB246" s="181">
        <f t="shared" si="130"/>
        <v>5016407.6419581547</v>
      </c>
      <c r="AC246" s="181">
        <f t="shared" si="130"/>
        <v>5295994.3164319256</v>
      </c>
      <c r="AD246" s="181">
        <f t="shared" si="130"/>
        <v>5319940.1711699013</v>
      </c>
      <c r="AE246" s="181">
        <f t="shared" si="130"/>
        <v>5535428.5386514813</v>
      </c>
      <c r="AF246" s="181">
        <f t="shared" si="130"/>
        <v>5750802.7644492686</v>
      </c>
      <c r="AG246" s="181">
        <f t="shared" si="130"/>
        <v>5774406.0821226574</v>
      </c>
      <c r="AH246" s="181">
        <f t="shared" si="130"/>
        <v>5797885.5371250045</v>
      </c>
      <c r="AI246" s="181">
        <f t="shared" si="130"/>
        <v>5821236.0946591124</v>
      </c>
      <c r="AJ246" s="181">
        <f t="shared" si="130"/>
        <v>5844452.6002735328</v>
      </c>
      <c r="AK246" s="181">
        <f t="shared" si="130"/>
        <v>5867529.7772019375</v>
      </c>
      <c r="AL246" s="181">
        <f t="shared" si="130"/>
        <v>5094828.3007360045</v>
      </c>
      <c r="AM246" s="181">
        <f t="shared" si="130"/>
        <v>4570612.1650768425</v>
      </c>
      <c r="AN246" s="181">
        <f t="shared" si="130"/>
        <v>5096642.6443503518</v>
      </c>
      <c r="AO246" s="181">
        <f t="shared" si="130"/>
        <v>5418829.1251561865</v>
      </c>
      <c r="AP246" s="181">
        <f t="shared" si="130"/>
        <v>9239431.2004538346</v>
      </c>
    </row>
    <row r="247" spans="1:42" s="101" customFormat="1" x14ac:dyDescent="0.2">
      <c r="A247" s="25" t="str">
        <f>'Inputs &amp; Results'!A53</f>
        <v>Investment Based Incentive (IBI)</v>
      </c>
    </row>
    <row r="248" spans="1:42" s="101" customFormat="1" x14ac:dyDescent="0.2">
      <c r="A248" s="187" t="str">
        <f>'Inputs &amp; Results'!A54</f>
        <v>Fixed Amount ($)</v>
      </c>
    </row>
    <row r="249" spans="1:42" s="101" customFormat="1" x14ac:dyDescent="0.2">
      <c r="A249" s="188" t="str">
        <f>'Inputs &amp; Results'!A55</f>
        <v>Federal</v>
      </c>
      <c r="C249" s="181">
        <f>IF(IBIFedFixedFedTax="Yes",C562,0)</f>
        <v>0</v>
      </c>
    </row>
    <row r="250" spans="1:42" s="101" customFormat="1" x14ac:dyDescent="0.2">
      <c r="A250" s="188" t="str">
        <f>'Inputs &amp; Results'!A56</f>
        <v>State</v>
      </c>
      <c r="C250" s="181">
        <f>IF(IBIStateFixedFedTax="Yes",C563,0)</f>
        <v>0</v>
      </c>
    </row>
    <row r="251" spans="1:42" s="101" customFormat="1" x14ac:dyDescent="0.2">
      <c r="A251" s="188" t="str">
        <f>'Inputs &amp; Results'!A57</f>
        <v>Utility</v>
      </c>
      <c r="C251" s="181">
        <f>IF(IBIUtilityFixedFedTax="Yes",C564,0)</f>
        <v>0</v>
      </c>
    </row>
    <row r="252" spans="1:42" x14ac:dyDescent="0.2">
      <c r="A252" s="188" t="str">
        <f>'Inputs &amp; Results'!A58</f>
        <v>Other</v>
      </c>
      <c r="C252" s="186">
        <f>IF(IBIOtherFixedFedTax="Yes",C565,0)</f>
        <v>0</v>
      </c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</row>
    <row r="253" spans="1:42" x14ac:dyDescent="0.2">
      <c r="A253" s="188" t="s">
        <v>53</v>
      </c>
      <c r="C253" s="169">
        <f>SUM(C249:C252)</f>
        <v>0</v>
      </c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</row>
    <row r="254" spans="1:42" x14ac:dyDescent="0.2">
      <c r="A254" s="187" t="str">
        <f>'Inputs &amp; Results'!A59</f>
        <v>Percentage of Pre-Financing Costs</v>
      </c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</row>
    <row r="255" spans="1:42" x14ac:dyDescent="0.2">
      <c r="A255" s="188" t="str">
        <f>'Inputs &amp; Results'!A60</f>
        <v>Federal</v>
      </c>
      <c r="C255" s="181">
        <f>IF(IBIFedPercentFedTax="Yes",C568,0)</f>
        <v>0</v>
      </c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</row>
    <row r="256" spans="1:42" x14ac:dyDescent="0.2">
      <c r="A256" s="188" t="str">
        <f>'Inputs &amp; Results'!A61</f>
        <v>State</v>
      </c>
      <c r="C256" s="181">
        <f>IF(IBIStatePercentFedTax="Yes",C569,0)</f>
        <v>0</v>
      </c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</row>
    <row r="257" spans="1:42" x14ac:dyDescent="0.2">
      <c r="A257" s="188" t="str">
        <f>'Inputs &amp; Results'!A62</f>
        <v>Utility</v>
      </c>
      <c r="C257" s="181">
        <f>IF(IBIUtilityPercentFedTax="Yes",C570,0)</f>
        <v>0</v>
      </c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</row>
    <row r="258" spans="1:42" x14ac:dyDescent="0.2">
      <c r="A258" s="188" t="str">
        <f>'Inputs &amp; Results'!A63</f>
        <v>Other</v>
      </c>
      <c r="C258" s="186">
        <f>IF(IBIOtherPercentFedTax="Yes",C571,0)</f>
        <v>0</v>
      </c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</row>
    <row r="259" spans="1:42" x14ac:dyDescent="0.2">
      <c r="A259" s="188" t="s">
        <v>53</v>
      </c>
      <c r="C259" s="169">
        <f>SUM(C255:C258)</f>
        <v>0</v>
      </c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</row>
    <row r="260" spans="1:42" x14ac:dyDescent="0.2">
      <c r="A260" s="180" t="str">
        <f>'Inputs &amp; Results'!A64</f>
        <v>Capacity Based Incentive (CBI) ($/DC-Watt)</v>
      </c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</row>
    <row r="261" spans="1:42" x14ac:dyDescent="0.2">
      <c r="A261" s="187" t="str">
        <f>'Inputs &amp; Results'!A65</f>
        <v>Federal</v>
      </c>
      <c r="C261" s="124">
        <f>IF(CBIFedFedTax="Yes",C574,0)</f>
        <v>0</v>
      </c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</row>
    <row r="262" spans="1:42" x14ac:dyDescent="0.2">
      <c r="A262" s="187" t="str">
        <f>'Inputs &amp; Results'!A66</f>
        <v>State</v>
      </c>
      <c r="C262" s="124">
        <f>IF(CBIStateFedTax="Yes",C575,0)</f>
        <v>0</v>
      </c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</row>
    <row r="263" spans="1:42" x14ac:dyDescent="0.2">
      <c r="A263" s="187" t="str">
        <f>'Inputs &amp; Results'!A67</f>
        <v>Utility</v>
      </c>
      <c r="C263" s="124">
        <f>IF(CBIUtilityFedTax="Yes",C576,0)</f>
        <v>0</v>
      </c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</row>
    <row r="264" spans="1:42" x14ac:dyDescent="0.2">
      <c r="A264" s="187" t="str">
        <f>'Inputs &amp; Results'!A68</f>
        <v>Other</v>
      </c>
      <c r="C264" s="186">
        <f>IF(CBIOtherFedTax="Yes",C577,0)</f>
        <v>0</v>
      </c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</row>
    <row r="265" spans="1:42" x14ac:dyDescent="0.2">
      <c r="A265" s="187" t="s">
        <v>53</v>
      </c>
      <c r="C265" s="169">
        <f>SUM(C261:C264)</f>
        <v>0</v>
      </c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</row>
    <row r="266" spans="1:42" x14ac:dyDescent="0.2">
      <c r="A266" s="180" t="str">
        <f>'Inputs &amp; Results'!A71</f>
        <v>Production Based Incentive (PBI) ($/kWh)</v>
      </c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</row>
    <row r="267" spans="1:42" x14ac:dyDescent="0.2">
      <c r="A267" s="187" t="str">
        <f>'Inputs &amp; Results'!A72</f>
        <v>Federal</v>
      </c>
      <c r="C267" s="124">
        <f t="shared" ref="C267:AP267" si="131">IF(PBIFedFedTax="Yes",0,-C584)</f>
        <v>0</v>
      </c>
      <c r="D267" s="124">
        <f t="shared" si="131"/>
        <v>0</v>
      </c>
      <c r="E267" s="124">
        <f t="shared" si="131"/>
        <v>0</v>
      </c>
      <c r="F267" s="124">
        <f t="shared" si="131"/>
        <v>0</v>
      </c>
      <c r="G267" s="124">
        <f t="shared" si="131"/>
        <v>0</v>
      </c>
      <c r="H267" s="124">
        <f t="shared" si="131"/>
        <v>0</v>
      </c>
      <c r="I267" s="124">
        <f t="shared" si="131"/>
        <v>0</v>
      </c>
      <c r="J267" s="124">
        <f t="shared" si="131"/>
        <v>0</v>
      </c>
      <c r="K267" s="124">
        <f t="shared" si="131"/>
        <v>0</v>
      </c>
      <c r="L267" s="124">
        <f t="shared" si="131"/>
        <v>0</v>
      </c>
      <c r="M267" s="124">
        <f t="shared" si="131"/>
        <v>0</v>
      </c>
      <c r="N267" s="124">
        <f t="shared" si="131"/>
        <v>0</v>
      </c>
      <c r="O267" s="124">
        <f t="shared" si="131"/>
        <v>0</v>
      </c>
      <c r="P267" s="124">
        <f t="shared" si="131"/>
        <v>0</v>
      </c>
      <c r="Q267" s="124">
        <f t="shared" si="131"/>
        <v>0</v>
      </c>
      <c r="R267" s="124">
        <f t="shared" si="131"/>
        <v>0</v>
      </c>
      <c r="S267" s="124">
        <f t="shared" si="131"/>
        <v>0</v>
      </c>
      <c r="T267" s="124">
        <f t="shared" si="131"/>
        <v>0</v>
      </c>
      <c r="U267" s="124">
        <f t="shared" si="131"/>
        <v>0</v>
      </c>
      <c r="V267" s="124">
        <f t="shared" si="131"/>
        <v>0</v>
      </c>
      <c r="W267" s="124">
        <f t="shared" si="131"/>
        <v>0</v>
      </c>
      <c r="X267" s="124">
        <f t="shared" si="131"/>
        <v>0</v>
      </c>
      <c r="Y267" s="124">
        <f t="shared" si="131"/>
        <v>0</v>
      </c>
      <c r="Z267" s="124">
        <f t="shared" si="131"/>
        <v>0</v>
      </c>
      <c r="AA267" s="124">
        <f t="shared" si="131"/>
        <v>0</v>
      </c>
      <c r="AB267" s="124">
        <f t="shared" si="131"/>
        <v>0</v>
      </c>
      <c r="AC267" s="124">
        <f t="shared" si="131"/>
        <v>0</v>
      </c>
      <c r="AD267" s="124">
        <f t="shared" si="131"/>
        <v>0</v>
      </c>
      <c r="AE267" s="124">
        <f t="shared" si="131"/>
        <v>0</v>
      </c>
      <c r="AF267" s="124">
        <f t="shared" si="131"/>
        <v>0</v>
      </c>
      <c r="AG267" s="124">
        <f t="shared" si="131"/>
        <v>0</v>
      </c>
      <c r="AH267" s="124">
        <f t="shared" si="131"/>
        <v>0</v>
      </c>
      <c r="AI267" s="124">
        <f t="shared" si="131"/>
        <v>0</v>
      </c>
      <c r="AJ267" s="124">
        <f t="shared" si="131"/>
        <v>0</v>
      </c>
      <c r="AK267" s="124">
        <f t="shared" si="131"/>
        <v>0</v>
      </c>
      <c r="AL267" s="124">
        <f t="shared" si="131"/>
        <v>0</v>
      </c>
      <c r="AM267" s="124">
        <f t="shared" si="131"/>
        <v>0</v>
      </c>
      <c r="AN267" s="124">
        <f t="shared" si="131"/>
        <v>0</v>
      </c>
      <c r="AO267" s="124">
        <f t="shared" si="131"/>
        <v>0</v>
      </c>
      <c r="AP267" s="124">
        <f t="shared" si="131"/>
        <v>0</v>
      </c>
    </row>
    <row r="268" spans="1:42" x14ac:dyDescent="0.2">
      <c r="A268" s="187" t="str">
        <f>'Inputs &amp; Results'!A73</f>
        <v>State</v>
      </c>
      <c r="C268" s="124">
        <f t="shared" ref="C268:AP268" si="132">IF(PBIStateFedTax="Yes",0,-C588)</f>
        <v>0</v>
      </c>
      <c r="D268" s="124">
        <f t="shared" si="132"/>
        <v>0</v>
      </c>
      <c r="E268" s="124">
        <f t="shared" si="132"/>
        <v>0</v>
      </c>
      <c r="F268" s="124">
        <f t="shared" si="132"/>
        <v>0</v>
      </c>
      <c r="G268" s="124">
        <f t="shared" si="132"/>
        <v>0</v>
      </c>
      <c r="H268" s="124">
        <f t="shared" si="132"/>
        <v>0</v>
      </c>
      <c r="I268" s="124">
        <f t="shared" si="132"/>
        <v>0</v>
      </c>
      <c r="J268" s="124">
        <f t="shared" si="132"/>
        <v>0</v>
      </c>
      <c r="K268" s="124">
        <f t="shared" si="132"/>
        <v>0</v>
      </c>
      <c r="L268" s="124">
        <f t="shared" si="132"/>
        <v>0</v>
      </c>
      <c r="M268" s="124">
        <f t="shared" si="132"/>
        <v>0</v>
      </c>
      <c r="N268" s="124">
        <f t="shared" si="132"/>
        <v>0</v>
      </c>
      <c r="O268" s="124">
        <f t="shared" si="132"/>
        <v>0</v>
      </c>
      <c r="P268" s="124">
        <f t="shared" si="132"/>
        <v>0</v>
      </c>
      <c r="Q268" s="124">
        <f t="shared" si="132"/>
        <v>0</v>
      </c>
      <c r="R268" s="124">
        <f t="shared" si="132"/>
        <v>0</v>
      </c>
      <c r="S268" s="124">
        <f t="shared" si="132"/>
        <v>0</v>
      </c>
      <c r="T268" s="124">
        <f t="shared" si="132"/>
        <v>0</v>
      </c>
      <c r="U268" s="124">
        <f t="shared" si="132"/>
        <v>0</v>
      </c>
      <c r="V268" s="124">
        <f t="shared" si="132"/>
        <v>0</v>
      </c>
      <c r="W268" s="124">
        <f t="shared" si="132"/>
        <v>0</v>
      </c>
      <c r="X268" s="124">
        <f t="shared" si="132"/>
        <v>0</v>
      </c>
      <c r="Y268" s="124">
        <f t="shared" si="132"/>
        <v>0</v>
      </c>
      <c r="Z268" s="124">
        <f t="shared" si="132"/>
        <v>0</v>
      </c>
      <c r="AA268" s="124">
        <f t="shared" si="132"/>
        <v>0</v>
      </c>
      <c r="AB268" s="124">
        <f t="shared" si="132"/>
        <v>0</v>
      </c>
      <c r="AC268" s="124">
        <f t="shared" si="132"/>
        <v>0</v>
      </c>
      <c r="AD268" s="124">
        <f t="shared" si="132"/>
        <v>0</v>
      </c>
      <c r="AE268" s="124">
        <f t="shared" si="132"/>
        <v>0</v>
      </c>
      <c r="AF268" s="124">
        <f t="shared" si="132"/>
        <v>0</v>
      </c>
      <c r="AG268" s="124">
        <f t="shared" si="132"/>
        <v>0</v>
      </c>
      <c r="AH268" s="124">
        <f t="shared" si="132"/>
        <v>0</v>
      </c>
      <c r="AI268" s="124">
        <f t="shared" si="132"/>
        <v>0</v>
      </c>
      <c r="AJ268" s="124">
        <f t="shared" si="132"/>
        <v>0</v>
      </c>
      <c r="AK268" s="124">
        <f t="shared" si="132"/>
        <v>0</v>
      </c>
      <c r="AL268" s="124">
        <f t="shared" si="132"/>
        <v>0</v>
      </c>
      <c r="AM268" s="124">
        <f t="shared" si="132"/>
        <v>0</v>
      </c>
      <c r="AN268" s="124">
        <f t="shared" si="132"/>
        <v>0</v>
      </c>
      <c r="AO268" s="124">
        <f t="shared" si="132"/>
        <v>0</v>
      </c>
      <c r="AP268" s="124">
        <f t="shared" si="132"/>
        <v>0</v>
      </c>
    </row>
    <row r="269" spans="1:42" x14ac:dyDescent="0.2">
      <c r="A269" s="187" t="str">
        <f>'Inputs &amp; Results'!A74</f>
        <v>Utility</v>
      </c>
      <c r="C269" s="124">
        <f t="shared" ref="C269:AP269" si="133">IF(PBIUtilityFedTax="Yes",0,-C592)</f>
        <v>0</v>
      </c>
      <c r="D269" s="124">
        <f t="shared" si="133"/>
        <v>0</v>
      </c>
      <c r="E269" s="124">
        <f t="shared" si="133"/>
        <v>0</v>
      </c>
      <c r="F269" s="124">
        <f t="shared" si="133"/>
        <v>0</v>
      </c>
      <c r="G269" s="124">
        <f t="shared" si="133"/>
        <v>0</v>
      </c>
      <c r="H269" s="124">
        <f t="shared" si="133"/>
        <v>0</v>
      </c>
      <c r="I269" s="124">
        <f t="shared" si="133"/>
        <v>0</v>
      </c>
      <c r="J269" s="124">
        <f t="shared" si="133"/>
        <v>0</v>
      </c>
      <c r="K269" s="124">
        <f t="shared" si="133"/>
        <v>0</v>
      </c>
      <c r="L269" s="124">
        <f t="shared" si="133"/>
        <v>0</v>
      </c>
      <c r="M269" s="124">
        <f t="shared" si="133"/>
        <v>0</v>
      </c>
      <c r="N269" s="124">
        <f t="shared" si="133"/>
        <v>0</v>
      </c>
      <c r="O269" s="124">
        <f t="shared" si="133"/>
        <v>0</v>
      </c>
      <c r="P269" s="124">
        <f t="shared" si="133"/>
        <v>0</v>
      </c>
      <c r="Q269" s="124">
        <f t="shared" si="133"/>
        <v>0</v>
      </c>
      <c r="R269" s="124">
        <f t="shared" si="133"/>
        <v>0</v>
      </c>
      <c r="S269" s="124">
        <f t="shared" si="133"/>
        <v>0</v>
      </c>
      <c r="T269" s="124">
        <f t="shared" si="133"/>
        <v>0</v>
      </c>
      <c r="U269" s="124">
        <f t="shared" si="133"/>
        <v>0</v>
      </c>
      <c r="V269" s="124">
        <f t="shared" si="133"/>
        <v>0</v>
      </c>
      <c r="W269" s="124">
        <f t="shared" si="133"/>
        <v>0</v>
      </c>
      <c r="X269" s="124">
        <f t="shared" si="133"/>
        <v>0</v>
      </c>
      <c r="Y269" s="124">
        <f t="shared" si="133"/>
        <v>0</v>
      </c>
      <c r="Z269" s="124">
        <f t="shared" si="133"/>
        <v>0</v>
      </c>
      <c r="AA269" s="124">
        <f t="shared" si="133"/>
        <v>0</v>
      </c>
      <c r="AB269" s="124">
        <f t="shared" si="133"/>
        <v>0</v>
      </c>
      <c r="AC269" s="124">
        <f t="shared" si="133"/>
        <v>0</v>
      </c>
      <c r="AD269" s="124">
        <f t="shared" si="133"/>
        <v>0</v>
      </c>
      <c r="AE269" s="124">
        <f t="shared" si="133"/>
        <v>0</v>
      </c>
      <c r="AF269" s="124">
        <f t="shared" si="133"/>
        <v>0</v>
      </c>
      <c r="AG269" s="124">
        <f t="shared" si="133"/>
        <v>0</v>
      </c>
      <c r="AH269" s="124">
        <f t="shared" si="133"/>
        <v>0</v>
      </c>
      <c r="AI269" s="124">
        <f t="shared" si="133"/>
        <v>0</v>
      </c>
      <c r="AJ269" s="124">
        <f t="shared" si="133"/>
        <v>0</v>
      </c>
      <c r="AK269" s="124">
        <f t="shared" si="133"/>
        <v>0</v>
      </c>
      <c r="AL269" s="124">
        <f t="shared" si="133"/>
        <v>0</v>
      </c>
      <c r="AM269" s="124">
        <f t="shared" si="133"/>
        <v>0</v>
      </c>
      <c r="AN269" s="124">
        <f t="shared" si="133"/>
        <v>0</v>
      </c>
      <c r="AO269" s="124">
        <f t="shared" si="133"/>
        <v>0</v>
      </c>
      <c r="AP269" s="124">
        <f t="shared" si="133"/>
        <v>0</v>
      </c>
    </row>
    <row r="270" spans="1:42" x14ac:dyDescent="0.2">
      <c r="A270" s="187" t="str">
        <f>'Inputs &amp; Results'!A75</f>
        <v>Other</v>
      </c>
      <c r="C270" s="186">
        <f t="shared" ref="C270:AP270" si="134">IF(PBIOtherFedTax="Yes",0,-C596)</f>
        <v>0</v>
      </c>
      <c r="D270" s="186">
        <f t="shared" si="134"/>
        <v>0</v>
      </c>
      <c r="E270" s="186">
        <f t="shared" si="134"/>
        <v>0</v>
      </c>
      <c r="F270" s="186">
        <f t="shared" si="134"/>
        <v>0</v>
      </c>
      <c r="G270" s="186">
        <f t="shared" si="134"/>
        <v>0</v>
      </c>
      <c r="H270" s="186">
        <f t="shared" si="134"/>
        <v>0</v>
      </c>
      <c r="I270" s="186">
        <f t="shared" si="134"/>
        <v>0</v>
      </c>
      <c r="J270" s="186">
        <f t="shared" si="134"/>
        <v>0</v>
      </c>
      <c r="K270" s="186">
        <f t="shared" si="134"/>
        <v>0</v>
      </c>
      <c r="L270" s="186">
        <f t="shared" si="134"/>
        <v>0</v>
      </c>
      <c r="M270" s="186">
        <f t="shared" si="134"/>
        <v>0</v>
      </c>
      <c r="N270" s="186">
        <f t="shared" si="134"/>
        <v>0</v>
      </c>
      <c r="O270" s="186">
        <f t="shared" si="134"/>
        <v>0</v>
      </c>
      <c r="P270" s="186">
        <f t="shared" si="134"/>
        <v>0</v>
      </c>
      <c r="Q270" s="186">
        <f t="shared" si="134"/>
        <v>0</v>
      </c>
      <c r="R270" s="186">
        <f t="shared" si="134"/>
        <v>0</v>
      </c>
      <c r="S270" s="186">
        <f t="shared" si="134"/>
        <v>0</v>
      </c>
      <c r="T270" s="186">
        <f t="shared" si="134"/>
        <v>0</v>
      </c>
      <c r="U270" s="186">
        <f t="shared" si="134"/>
        <v>0</v>
      </c>
      <c r="V270" s="186">
        <f t="shared" si="134"/>
        <v>0</v>
      </c>
      <c r="W270" s="186">
        <f t="shared" si="134"/>
        <v>0</v>
      </c>
      <c r="X270" s="186">
        <f t="shared" si="134"/>
        <v>0</v>
      </c>
      <c r="Y270" s="186">
        <f t="shared" si="134"/>
        <v>0</v>
      </c>
      <c r="Z270" s="186">
        <f t="shared" si="134"/>
        <v>0</v>
      </c>
      <c r="AA270" s="186">
        <f t="shared" si="134"/>
        <v>0</v>
      </c>
      <c r="AB270" s="186">
        <f t="shared" si="134"/>
        <v>0</v>
      </c>
      <c r="AC270" s="186">
        <f t="shared" si="134"/>
        <v>0</v>
      </c>
      <c r="AD270" s="186">
        <f t="shared" si="134"/>
        <v>0</v>
      </c>
      <c r="AE270" s="186">
        <f t="shared" si="134"/>
        <v>0</v>
      </c>
      <c r="AF270" s="186">
        <f t="shared" si="134"/>
        <v>0</v>
      </c>
      <c r="AG270" s="186">
        <f t="shared" si="134"/>
        <v>0</v>
      </c>
      <c r="AH270" s="186">
        <f t="shared" si="134"/>
        <v>0</v>
      </c>
      <c r="AI270" s="186">
        <f t="shared" si="134"/>
        <v>0</v>
      </c>
      <c r="AJ270" s="186">
        <f t="shared" si="134"/>
        <v>0</v>
      </c>
      <c r="AK270" s="186">
        <f t="shared" si="134"/>
        <v>0</v>
      </c>
      <c r="AL270" s="186">
        <f t="shared" si="134"/>
        <v>0</v>
      </c>
      <c r="AM270" s="186">
        <f t="shared" si="134"/>
        <v>0</v>
      </c>
      <c r="AN270" s="186">
        <f t="shared" si="134"/>
        <v>0</v>
      </c>
      <c r="AO270" s="186">
        <f t="shared" si="134"/>
        <v>0</v>
      </c>
      <c r="AP270" s="186">
        <f t="shared" si="134"/>
        <v>0</v>
      </c>
    </row>
    <row r="271" spans="1:42" x14ac:dyDescent="0.2">
      <c r="A271" s="187" t="s">
        <v>53</v>
      </c>
      <c r="C271" s="177">
        <f>SUM(C267:C270)</f>
        <v>0</v>
      </c>
      <c r="D271" s="177">
        <f t="shared" ref="D271:AL271" si="135">SUM(D267:D270)</f>
        <v>0</v>
      </c>
      <c r="E271" s="177">
        <f t="shared" si="135"/>
        <v>0</v>
      </c>
      <c r="F271" s="177">
        <f t="shared" si="135"/>
        <v>0</v>
      </c>
      <c r="G271" s="177">
        <f t="shared" si="135"/>
        <v>0</v>
      </c>
      <c r="H271" s="177">
        <f t="shared" si="135"/>
        <v>0</v>
      </c>
      <c r="I271" s="177">
        <f t="shared" si="135"/>
        <v>0</v>
      </c>
      <c r="J271" s="177">
        <f t="shared" si="135"/>
        <v>0</v>
      </c>
      <c r="K271" s="177">
        <f t="shared" si="135"/>
        <v>0</v>
      </c>
      <c r="L271" s="177">
        <f t="shared" si="135"/>
        <v>0</v>
      </c>
      <c r="M271" s="177">
        <f t="shared" si="135"/>
        <v>0</v>
      </c>
      <c r="N271" s="177">
        <f t="shared" si="135"/>
        <v>0</v>
      </c>
      <c r="O271" s="177">
        <f t="shared" si="135"/>
        <v>0</v>
      </c>
      <c r="P271" s="177">
        <f t="shared" si="135"/>
        <v>0</v>
      </c>
      <c r="Q271" s="177">
        <f t="shared" si="135"/>
        <v>0</v>
      </c>
      <c r="R271" s="177">
        <f t="shared" si="135"/>
        <v>0</v>
      </c>
      <c r="S271" s="177">
        <f t="shared" si="135"/>
        <v>0</v>
      </c>
      <c r="T271" s="177">
        <f t="shared" si="135"/>
        <v>0</v>
      </c>
      <c r="U271" s="177">
        <f t="shared" si="135"/>
        <v>0</v>
      </c>
      <c r="V271" s="177">
        <f t="shared" si="135"/>
        <v>0</v>
      </c>
      <c r="W271" s="177">
        <f t="shared" si="135"/>
        <v>0</v>
      </c>
      <c r="X271" s="177">
        <f t="shared" si="135"/>
        <v>0</v>
      </c>
      <c r="Y271" s="177">
        <f t="shared" si="135"/>
        <v>0</v>
      </c>
      <c r="Z271" s="177">
        <f t="shared" si="135"/>
        <v>0</v>
      </c>
      <c r="AA271" s="177">
        <f t="shared" si="135"/>
        <v>0</v>
      </c>
      <c r="AB271" s="177">
        <f t="shared" si="135"/>
        <v>0</v>
      </c>
      <c r="AC271" s="177">
        <f t="shared" si="135"/>
        <v>0</v>
      </c>
      <c r="AD271" s="177">
        <f t="shared" si="135"/>
        <v>0</v>
      </c>
      <c r="AE271" s="177">
        <f t="shared" si="135"/>
        <v>0</v>
      </c>
      <c r="AF271" s="177">
        <f t="shared" si="135"/>
        <v>0</v>
      </c>
      <c r="AG271" s="177">
        <f t="shared" si="135"/>
        <v>0</v>
      </c>
      <c r="AH271" s="177">
        <f t="shared" si="135"/>
        <v>0</v>
      </c>
      <c r="AI271" s="177">
        <f t="shared" si="135"/>
        <v>0</v>
      </c>
      <c r="AJ271" s="177">
        <f t="shared" si="135"/>
        <v>0</v>
      </c>
      <c r="AK271" s="177">
        <f t="shared" si="135"/>
        <v>0</v>
      </c>
      <c r="AL271" s="177">
        <f t="shared" si="135"/>
        <v>0</v>
      </c>
      <c r="AM271" s="177">
        <f>SUM(AM267:AM270)</f>
        <v>0</v>
      </c>
      <c r="AN271" s="177">
        <f t="shared" ref="AN271:AP271" si="136">SUM(AN267:AN270)</f>
        <v>0</v>
      </c>
      <c r="AO271" s="177">
        <f t="shared" si="136"/>
        <v>0</v>
      </c>
      <c r="AP271" s="177">
        <f t="shared" si="136"/>
        <v>0</v>
      </c>
    </row>
    <row r="272" spans="1:42" x14ac:dyDescent="0.2">
      <c r="A272" s="180" t="s">
        <v>123</v>
      </c>
      <c r="C272" s="169">
        <f>C253+C259+C265+C271</f>
        <v>0</v>
      </c>
      <c r="D272" s="169">
        <f t="shared" ref="D272:AP272" si="137">D253+D259+D265+D271</f>
        <v>0</v>
      </c>
      <c r="E272" s="169">
        <f t="shared" si="137"/>
        <v>0</v>
      </c>
      <c r="F272" s="169">
        <f t="shared" si="137"/>
        <v>0</v>
      </c>
      <c r="G272" s="169">
        <f t="shared" si="137"/>
        <v>0</v>
      </c>
      <c r="H272" s="169">
        <f t="shared" si="137"/>
        <v>0</v>
      </c>
      <c r="I272" s="169">
        <f t="shared" si="137"/>
        <v>0</v>
      </c>
      <c r="J272" s="169">
        <f t="shared" si="137"/>
        <v>0</v>
      </c>
      <c r="K272" s="169">
        <f t="shared" si="137"/>
        <v>0</v>
      </c>
      <c r="L272" s="169">
        <f t="shared" si="137"/>
        <v>0</v>
      </c>
      <c r="M272" s="169">
        <f t="shared" si="137"/>
        <v>0</v>
      </c>
      <c r="N272" s="169">
        <f t="shared" si="137"/>
        <v>0</v>
      </c>
      <c r="O272" s="169">
        <f t="shared" si="137"/>
        <v>0</v>
      </c>
      <c r="P272" s="169">
        <f t="shared" si="137"/>
        <v>0</v>
      </c>
      <c r="Q272" s="169">
        <f t="shared" si="137"/>
        <v>0</v>
      </c>
      <c r="R272" s="169">
        <f t="shared" si="137"/>
        <v>0</v>
      </c>
      <c r="S272" s="169">
        <f t="shared" si="137"/>
        <v>0</v>
      </c>
      <c r="T272" s="169">
        <f t="shared" si="137"/>
        <v>0</v>
      </c>
      <c r="U272" s="169">
        <f t="shared" si="137"/>
        <v>0</v>
      </c>
      <c r="V272" s="169">
        <f t="shared" si="137"/>
        <v>0</v>
      </c>
      <c r="W272" s="169">
        <f t="shared" si="137"/>
        <v>0</v>
      </c>
      <c r="X272" s="169">
        <f t="shared" si="137"/>
        <v>0</v>
      </c>
      <c r="Y272" s="169">
        <f t="shared" si="137"/>
        <v>0</v>
      </c>
      <c r="Z272" s="169">
        <f t="shared" si="137"/>
        <v>0</v>
      </c>
      <c r="AA272" s="169">
        <f t="shared" si="137"/>
        <v>0</v>
      </c>
      <c r="AB272" s="169">
        <f t="shared" si="137"/>
        <v>0</v>
      </c>
      <c r="AC272" s="169">
        <f t="shared" si="137"/>
        <v>0</v>
      </c>
      <c r="AD272" s="169">
        <f t="shared" si="137"/>
        <v>0</v>
      </c>
      <c r="AE272" s="169">
        <f t="shared" si="137"/>
        <v>0</v>
      </c>
      <c r="AF272" s="169">
        <f t="shared" si="137"/>
        <v>0</v>
      </c>
      <c r="AG272" s="169">
        <f t="shared" si="137"/>
        <v>0</v>
      </c>
      <c r="AH272" s="169">
        <f t="shared" si="137"/>
        <v>0</v>
      </c>
      <c r="AI272" s="169">
        <f t="shared" si="137"/>
        <v>0</v>
      </c>
      <c r="AJ272" s="169">
        <f t="shared" si="137"/>
        <v>0</v>
      </c>
      <c r="AK272" s="169">
        <f t="shared" si="137"/>
        <v>0</v>
      </c>
      <c r="AL272" s="169">
        <f t="shared" si="137"/>
        <v>0</v>
      </c>
      <c r="AM272" s="169">
        <f t="shared" si="137"/>
        <v>0</v>
      </c>
      <c r="AN272" s="169">
        <f t="shared" si="137"/>
        <v>0</v>
      </c>
      <c r="AO272" s="169">
        <f t="shared" si="137"/>
        <v>0</v>
      </c>
      <c r="AP272" s="169">
        <f t="shared" si="137"/>
        <v>0</v>
      </c>
    </row>
    <row r="273" spans="1:42" x14ac:dyDescent="0.2">
      <c r="A273" s="187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</row>
    <row r="274" spans="1:42" x14ac:dyDescent="0.2">
      <c r="A274" s="180" t="s">
        <v>124</v>
      </c>
      <c r="C274" s="177">
        <f>C246+C272</f>
        <v>-1621264.8101476734</v>
      </c>
      <c r="D274" s="177">
        <f t="shared" ref="D274:AP274" si="138">D246+D272</f>
        <v>-5532271.533715141</v>
      </c>
      <c r="E274" s="177">
        <f t="shared" si="138"/>
        <v>-1365379.2522532672</v>
      </c>
      <c r="F274" s="177">
        <f t="shared" si="138"/>
        <v>1151312.6520000366</v>
      </c>
      <c r="G274" s="177">
        <f t="shared" si="138"/>
        <v>1193145.1656644507</v>
      </c>
      <c r="H274" s="177">
        <f t="shared" si="138"/>
        <v>3090272.725636716</v>
      </c>
      <c r="I274" s="177">
        <f t="shared" si="138"/>
        <v>4985083.5515254885</v>
      </c>
      <c r="J274" s="177">
        <f t="shared" si="138"/>
        <v>5022128.7666440979</v>
      </c>
      <c r="K274" s="177">
        <f t="shared" si="138"/>
        <v>5058952.8316501379</v>
      </c>
      <c r="L274" s="177">
        <f t="shared" si="138"/>
        <v>5095985.4417509167</v>
      </c>
      <c r="M274" s="177">
        <f t="shared" si="138"/>
        <v>5132729.2324096123</v>
      </c>
      <c r="N274" s="177">
        <f t="shared" si="138"/>
        <v>4613094.6792880073</v>
      </c>
      <c r="O274" s="177">
        <f t="shared" si="138"/>
        <v>4267096.6645055953</v>
      </c>
      <c r="P274" s="177">
        <f t="shared" si="138"/>
        <v>4660949.8675001329</v>
      </c>
      <c r="Q274" s="177">
        <f t="shared" si="138"/>
        <v>4912016.9094157647</v>
      </c>
      <c r="R274" s="177">
        <f t="shared" si="138"/>
        <v>4988356.3583520856</v>
      </c>
      <c r="S274" s="177">
        <f t="shared" si="138"/>
        <v>5224806.4442191068</v>
      </c>
      <c r="T274" s="177">
        <f t="shared" si="138"/>
        <v>5422382.0682027508</v>
      </c>
      <c r="U274" s="177">
        <f t="shared" si="138"/>
        <v>5459594.2128871474</v>
      </c>
      <c r="V274" s="177">
        <f t="shared" si="138"/>
        <v>5496734.4728580667</v>
      </c>
      <c r="W274" s="177">
        <f t="shared" si="138"/>
        <v>5564698.6496982155</v>
      </c>
      <c r="X274" s="177">
        <f t="shared" si="138"/>
        <v>5619159.0538946055</v>
      </c>
      <c r="Y274" s="177">
        <f t="shared" si="138"/>
        <v>5642636.3473142413</v>
      </c>
      <c r="Z274" s="177">
        <f t="shared" si="138"/>
        <v>5000567.8441552622</v>
      </c>
      <c r="AA274" s="177">
        <f t="shared" si="138"/>
        <v>4566363.2725206781</v>
      </c>
      <c r="AB274" s="177">
        <f t="shared" si="138"/>
        <v>5016407.6419581547</v>
      </c>
      <c r="AC274" s="177">
        <f t="shared" si="138"/>
        <v>5295994.3164319256</v>
      </c>
      <c r="AD274" s="177">
        <f t="shared" si="138"/>
        <v>5319940.1711699013</v>
      </c>
      <c r="AE274" s="177">
        <f t="shared" si="138"/>
        <v>5535428.5386514813</v>
      </c>
      <c r="AF274" s="177">
        <f t="shared" si="138"/>
        <v>5750802.7644492686</v>
      </c>
      <c r="AG274" s="177">
        <f t="shared" si="138"/>
        <v>5774406.0821226574</v>
      </c>
      <c r="AH274" s="177">
        <f t="shared" si="138"/>
        <v>5797885.5371250045</v>
      </c>
      <c r="AI274" s="177">
        <f t="shared" si="138"/>
        <v>5821236.0946591124</v>
      </c>
      <c r="AJ274" s="177">
        <f t="shared" si="138"/>
        <v>5844452.6002735328</v>
      </c>
      <c r="AK274" s="177">
        <f t="shared" si="138"/>
        <v>5867529.7772019375</v>
      </c>
      <c r="AL274" s="177">
        <f t="shared" si="138"/>
        <v>5094828.3007360045</v>
      </c>
      <c r="AM274" s="177">
        <f t="shared" si="138"/>
        <v>4570612.1650768425</v>
      </c>
      <c r="AN274" s="177">
        <f t="shared" si="138"/>
        <v>5096642.6443503518</v>
      </c>
      <c r="AO274" s="177">
        <f t="shared" si="138"/>
        <v>5418829.1251561865</v>
      </c>
      <c r="AP274" s="177">
        <f t="shared" si="138"/>
        <v>9239431.2004538346</v>
      </c>
    </row>
    <row r="275" spans="1:42" x14ac:dyDescent="0.2">
      <c r="A275" s="180" t="s">
        <v>207</v>
      </c>
      <c r="C275" s="177">
        <f t="shared" ref="C275:AP275" si="139">C274*-FedTax</f>
        <v>567442.68355168565</v>
      </c>
      <c r="D275" s="177">
        <f t="shared" si="139"/>
        <v>1936295.0368002993</v>
      </c>
      <c r="E275" s="177">
        <f t="shared" si="139"/>
        <v>477882.73828864348</v>
      </c>
      <c r="F275" s="177">
        <f t="shared" si="139"/>
        <v>-402959.42820001277</v>
      </c>
      <c r="G275" s="177">
        <f t="shared" si="139"/>
        <v>-417600.80798255774</v>
      </c>
      <c r="H275" s="177">
        <f t="shared" si="139"/>
        <v>-1081595.4539728505</v>
      </c>
      <c r="I275" s="177">
        <f t="shared" si="139"/>
        <v>-1744779.2430339209</v>
      </c>
      <c r="J275" s="177">
        <f t="shared" si="139"/>
        <v>-1757745.0683254341</v>
      </c>
      <c r="K275" s="177">
        <f t="shared" si="139"/>
        <v>-1770633.4910775481</v>
      </c>
      <c r="L275" s="177">
        <f t="shared" si="139"/>
        <v>-1783594.9046128208</v>
      </c>
      <c r="M275" s="177">
        <f t="shared" si="139"/>
        <v>-1796455.2313433641</v>
      </c>
      <c r="N275" s="177">
        <f t="shared" si="139"/>
        <v>-1614583.1377508026</v>
      </c>
      <c r="O275" s="177">
        <f t="shared" si="139"/>
        <v>-1493483.8325769582</v>
      </c>
      <c r="P275" s="177">
        <f t="shared" si="139"/>
        <v>-1631332.4536250464</v>
      </c>
      <c r="Q275" s="177">
        <f t="shared" si="139"/>
        <v>-1719205.9182955176</v>
      </c>
      <c r="R275" s="177">
        <f t="shared" si="139"/>
        <v>-1745924.7254232299</v>
      </c>
      <c r="S275" s="177">
        <f t="shared" si="139"/>
        <v>-1828682.2554766873</v>
      </c>
      <c r="T275" s="177">
        <f t="shared" si="139"/>
        <v>-1897833.7238709626</v>
      </c>
      <c r="U275" s="177">
        <f t="shared" si="139"/>
        <v>-1910857.9745105014</v>
      </c>
      <c r="V275" s="177">
        <f t="shared" si="139"/>
        <v>-1923857.0655003232</v>
      </c>
      <c r="W275" s="177">
        <f t="shared" si="139"/>
        <v>-1947644.5273943753</v>
      </c>
      <c r="X275" s="177">
        <f t="shared" si="139"/>
        <v>-1966705.6688631119</v>
      </c>
      <c r="Y275" s="177">
        <f t="shared" si="139"/>
        <v>-1974922.7215599844</v>
      </c>
      <c r="Z275" s="177">
        <f t="shared" si="139"/>
        <v>-1750198.7454543416</v>
      </c>
      <c r="AA275" s="177">
        <f t="shared" si="139"/>
        <v>-1598227.1453822372</v>
      </c>
      <c r="AB275" s="177">
        <f t="shared" si="139"/>
        <v>-1755742.6746853541</v>
      </c>
      <c r="AC275" s="177">
        <f t="shared" si="139"/>
        <v>-1853598.0107511738</v>
      </c>
      <c r="AD275" s="177">
        <f t="shared" si="139"/>
        <v>-1861979.0599094653</v>
      </c>
      <c r="AE275" s="177">
        <f t="shared" si="139"/>
        <v>-1937399.9885280184</v>
      </c>
      <c r="AF275" s="177">
        <f t="shared" si="139"/>
        <v>-2012780.9675572438</v>
      </c>
      <c r="AG275" s="177">
        <f t="shared" si="139"/>
        <v>-2021042.12874293</v>
      </c>
      <c r="AH275" s="177">
        <f t="shared" si="139"/>
        <v>-2029259.9379937514</v>
      </c>
      <c r="AI275" s="177">
        <f t="shared" si="139"/>
        <v>-2037432.6331306892</v>
      </c>
      <c r="AJ275" s="177">
        <f t="shared" si="139"/>
        <v>-2045558.4100957364</v>
      </c>
      <c r="AK275" s="177">
        <f t="shared" si="139"/>
        <v>-2053635.4220206779</v>
      </c>
      <c r="AL275" s="177">
        <f t="shared" si="139"/>
        <v>-1783189.9052576015</v>
      </c>
      <c r="AM275" s="177">
        <f t="shared" si="139"/>
        <v>-1599714.2577768948</v>
      </c>
      <c r="AN275" s="177">
        <f t="shared" si="139"/>
        <v>-1783824.9255226231</v>
      </c>
      <c r="AO275" s="177">
        <f t="shared" si="139"/>
        <v>-1896590.1938046652</v>
      </c>
      <c r="AP275" s="177">
        <f t="shared" si="139"/>
        <v>-3233800.9201588421</v>
      </c>
    </row>
    <row r="276" spans="1:42" x14ac:dyDescent="0.2">
      <c r="A276" s="187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</row>
    <row r="277" spans="1:42" x14ac:dyDescent="0.2">
      <c r="A277" s="162" t="s">
        <v>393</v>
      </c>
    </row>
    <row r="278" spans="1:42" x14ac:dyDescent="0.2">
      <c r="A278" s="178" t="s">
        <v>394</v>
      </c>
    </row>
    <row r="279" spans="1:42" x14ac:dyDescent="0.2">
      <c r="A279" s="20" t="s">
        <v>82</v>
      </c>
      <c r="G279" s="267" t="s">
        <v>153</v>
      </c>
      <c r="H279" s="268"/>
      <c r="I279" s="268"/>
      <c r="J279" s="269"/>
      <c r="K279" s="209" t="s">
        <v>154</v>
      </c>
      <c r="L279" s="210"/>
    </row>
    <row r="280" spans="1:42" ht="51" x14ac:dyDescent="0.2">
      <c r="B280" s="112" t="s">
        <v>143</v>
      </c>
      <c r="C280" s="112" t="s">
        <v>139</v>
      </c>
      <c r="D280" s="112" t="s">
        <v>141</v>
      </c>
      <c r="E280" s="189" t="s">
        <v>142</v>
      </c>
      <c r="F280" s="112" t="s">
        <v>144</v>
      </c>
      <c r="G280" s="112" t="s">
        <v>148</v>
      </c>
      <c r="H280" s="112" t="s">
        <v>150</v>
      </c>
      <c r="I280" s="112" t="s">
        <v>149</v>
      </c>
      <c r="J280" s="112" t="s">
        <v>151</v>
      </c>
      <c r="K280" s="211" t="s">
        <v>34</v>
      </c>
      <c r="L280" s="112" t="s">
        <v>151</v>
      </c>
      <c r="M280" s="190" t="s">
        <v>155</v>
      </c>
      <c r="N280" s="190" t="s">
        <v>156</v>
      </c>
      <c r="O280" s="112" t="s">
        <v>145</v>
      </c>
      <c r="P280" s="191" t="s">
        <v>268</v>
      </c>
      <c r="Q280" s="112" t="s">
        <v>273</v>
      </c>
    </row>
    <row r="281" spans="1:42" s="101" customFormat="1" x14ac:dyDescent="0.2">
      <c r="A281" s="234" t="str">
        <f>'Inputs &amp; Results'!A245</f>
        <v>5-yr MACRS</v>
      </c>
      <c r="B281" s="324">
        <f t="shared" ref="B281:B286" si="140">C281/$C$288</f>
        <v>0.93401015228426398</v>
      </c>
      <c r="C281" s="124">
        <f>'Inputs &amp; Results'!B254</f>
        <v>40109518.471925005</v>
      </c>
      <c r="D281" s="124">
        <f>IF(StateBasisReduction="5-Yr MACRS",D288,$B281*D$288)</f>
        <v>0</v>
      </c>
      <c r="E281" s="124">
        <f>IF(StateBasisReduction="5-Yr MACRS",E288,$B281*E$288)</f>
        <v>0</v>
      </c>
      <c r="F281" s="206">
        <f>C281-D281-E281</f>
        <v>40109518.471925005</v>
      </c>
      <c r="G281" s="325">
        <f>IF('Inputs &amp; Results'!B284="Yes",F281,0)</f>
        <v>40109518.471925005</v>
      </c>
      <c r="H281" s="369">
        <f>IF($G$288=0,0,G281/$G$288)</f>
        <v>1</v>
      </c>
      <c r="I281" s="326">
        <f t="shared" ref="I281:I286" si="141">$I$288*H281</f>
        <v>0</v>
      </c>
      <c r="J281" s="327">
        <f>I281*0.5</f>
        <v>0</v>
      </c>
      <c r="K281" s="328">
        <f t="shared" ref="K281:K286" si="142">H281*$K$288</f>
        <v>0</v>
      </c>
      <c r="L281" s="327">
        <f>K281*0.5</f>
        <v>0</v>
      </c>
      <c r="M281" s="124">
        <f t="shared" ref="M281:M286" si="143">IF(ITCStateFixedStateDeprec="Yes",L281,0)+IF(ITCStatePercentStateDeprec="Yes",J281,0)</f>
        <v>0</v>
      </c>
      <c r="N281" s="124">
        <f t="shared" ref="N281:N286" si="144">IF(ITCFedFixedStateDeprec="Yes",L415,0)+IF(ITCFedPercentStateDeprec="Yes",J415,0)</f>
        <v>6016427.7707887506</v>
      </c>
      <c r="O281" s="329">
        <f t="shared" ref="O281:O286" si="145">F281-M281-N281</f>
        <v>34093090.701136254</v>
      </c>
      <c r="P281" s="124">
        <f>IF('Inputs &amp; Results'!B266="Yes",O281*StateBonusDeprec,0)</f>
        <v>0</v>
      </c>
      <c r="Q281" s="206">
        <f>O281-P281</f>
        <v>34093090.701136254</v>
      </c>
    </row>
    <row r="282" spans="1:42" s="101" customFormat="1" x14ac:dyDescent="0.2">
      <c r="A282" s="234" t="str">
        <f>'Inputs &amp; Results'!A246</f>
        <v>15-yr MACRS</v>
      </c>
      <c r="B282" s="324">
        <f t="shared" si="140"/>
        <v>1.5228426395939082E-2</v>
      </c>
      <c r="C282" s="124">
        <f>'Inputs &amp; Results'!B255</f>
        <v>653959.54030312493</v>
      </c>
      <c r="D282" s="124">
        <f t="shared" ref="D282:E286" si="146">IF(StateBasisReduction="5-Yr MACRS",0,$B282*D$288)</f>
        <v>0</v>
      </c>
      <c r="E282" s="124">
        <f t="shared" si="146"/>
        <v>0</v>
      </c>
      <c r="F282" s="206">
        <f t="shared" ref="F282:F286" si="147">C282-D282-E282</f>
        <v>653959.54030312493</v>
      </c>
      <c r="G282" s="328">
        <f>IF('Inputs &amp; Results'!B285="Yes",F282,0)</f>
        <v>0</v>
      </c>
      <c r="H282" s="370">
        <f t="shared" ref="H282:H286" si="148">IF($G$288=0,0,G282/$G$288)</f>
        <v>0</v>
      </c>
      <c r="I282" s="124">
        <f t="shared" si="141"/>
        <v>0</v>
      </c>
      <c r="J282" s="300">
        <f t="shared" ref="J282:J286" si="149">I282*0.5</f>
        <v>0</v>
      </c>
      <c r="K282" s="328">
        <f t="shared" si="142"/>
        <v>0</v>
      </c>
      <c r="L282" s="300">
        <f t="shared" ref="L282:L286" si="150">K282*0.5</f>
        <v>0</v>
      </c>
      <c r="M282" s="124">
        <f t="shared" si="143"/>
        <v>0</v>
      </c>
      <c r="N282" s="124">
        <f t="shared" si="144"/>
        <v>0</v>
      </c>
      <c r="O282" s="206">
        <f t="shared" si="145"/>
        <v>653959.54030312493</v>
      </c>
      <c r="P282" s="124">
        <f>IF('Inputs &amp; Results'!B267="Yes",O282*StateBonusDeprec,0)</f>
        <v>0</v>
      </c>
      <c r="Q282" s="206">
        <f t="shared" ref="Q282:Q286" si="151">O282-P282</f>
        <v>653959.54030312493</v>
      </c>
    </row>
    <row r="283" spans="1:42" s="101" customFormat="1" x14ac:dyDescent="0.2">
      <c r="A283" s="234" t="str">
        <f>'Inputs &amp; Results'!A247</f>
        <v>5-yr SL</v>
      </c>
      <c r="B283" s="324">
        <f t="shared" si="140"/>
        <v>0</v>
      </c>
      <c r="C283" s="124">
        <f>'Inputs &amp; Results'!B256</f>
        <v>0</v>
      </c>
      <c r="D283" s="124">
        <f t="shared" si="146"/>
        <v>0</v>
      </c>
      <c r="E283" s="124">
        <f t="shared" si="146"/>
        <v>0</v>
      </c>
      <c r="F283" s="206">
        <f t="shared" si="147"/>
        <v>0</v>
      </c>
      <c r="G283" s="328">
        <f>IF('Inputs &amp; Results'!B286="Yes",F283,0)</f>
        <v>0</v>
      </c>
      <c r="H283" s="370">
        <f t="shared" si="148"/>
        <v>0</v>
      </c>
      <c r="I283" s="124">
        <f t="shared" si="141"/>
        <v>0</v>
      </c>
      <c r="J283" s="300">
        <f t="shared" si="149"/>
        <v>0</v>
      </c>
      <c r="K283" s="328">
        <f t="shared" si="142"/>
        <v>0</v>
      </c>
      <c r="L283" s="300">
        <f t="shared" si="150"/>
        <v>0</v>
      </c>
      <c r="M283" s="124">
        <f t="shared" si="143"/>
        <v>0</v>
      </c>
      <c r="N283" s="124">
        <f t="shared" si="144"/>
        <v>0</v>
      </c>
      <c r="O283" s="206">
        <f t="shared" si="145"/>
        <v>0</v>
      </c>
      <c r="P283" s="124">
        <f>IF('Inputs &amp; Results'!B268="Yes",O283*StateBonusDeprec,0)</f>
        <v>0</v>
      </c>
      <c r="Q283" s="206">
        <f t="shared" si="151"/>
        <v>0</v>
      </c>
    </row>
    <row r="284" spans="1:42" s="101" customFormat="1" x14ac:dyDescent="0.2">
      <c r="A284" s="234" t="str">
        <f>'Inputs &amp; Results'!A248</f>
        <v>15-yr SL</v>
      </c>
      <c r="B284" s="324">
        <f t="shared" si="140"/>
        <v>1.5228426395939082E-2</v>
      </c>
      <c r="C284" s="124">
        <f>'Inputs &amp; Results'!B257</f>
        <v>653959.54030312493</v>
      </c>
      <c r="D284" s="124">
        <f t="shared" si="146"/>
        <v>0</v>
      </c>
      <c r="E284" s="124">
        <f t="shared" si="146"/>
        <v>0</v>
      </c>
      <c r="F284" s="206">
        <f t="shared" si="147"/>
        <v>653959.54030312493</v>
      </c>
      <c r="G284" s="328">
        <f>IF('Inputs &amp; Results'!B287="Yes",F284,0)</f>
        <v>0</v>
      </c>
      <c r="H284" s="370">
        <f t="shared" si="148"/>
        <v>0</v>
      </c>
      <c r="I284" s="124">
        <f t="shared" si="141"/>
        <v>0</v>
      </c>
      <c r="J284" s="300">
        <f t="shared" si="149"/>
        <v>0</v>
      </c>
      <c r="K284" s="328">
        <f t="shared" si="142"/>
        <v>0</v>
      </c>
      <c r="L284" s="300">
        <f t="shared" si="150"/>
        <v>0</v>
      </c>
      <c r="M284" s="124">
        <f t="shared" si="143"/>
        <v>0</v>
      </c>
      <c r="N284" s="124">
        <f t="shared" si="144"/>
        <v>0</v>
      </c>
      <c r="O284" s="206">
        <f t="shared" si="145"/>
        <v>653959.54030312493</v>
      </c>
      <c r="P284" s="124">
        <f>IF('Inputs &amp; Results'!B269="Yes",O284*StateBonusDeprec,0)</f>
        <v>0</v>
      </c>
      <c r="Q284" s="206">
        <f t="shared" si="151"/>
        <v>653959.54030312493</v>
      </c>
    </row>
    <row r="285" spans="1:42" s="101" customFormat="1" x14ac:dyDescent="0.2">
      <c r="A285" s="234" t="str">
        <f>'Inputs &amp; Results'!A249</f>
        <v>20-yr SL</v>
      </c>
      <c r="B285" s="324">
        <f t="shared" si="140"/>
        <v>3.0456852791878163E-2</v>
      </c>
      <c r="C285" s="124">
        <f>'Inputs &amp; Results'!B258</f>
        <v>1307919.0806062499</v>
      </c>
      <c r="D285" s="124">
        <f t="shared" si="146"/>
        <v>0</v>
      </c>
      <c r="E285" s="124">
        <f t="shared" si="146"/>
        <v>0</v>
      </c>
      <c r="F285" s="206">
        <f t="shared" si="147"/>
        <v>1307919.0806062499</v>
      </c>
      <c r="G285" s="328">
        <f>IF('Inputs &amp; Results'!B288="Yes",F285,0)</f>
        <v>0</v>
      </c>
      <c r="H285" s="370">
        <f t="shared" si="148"/>
        <v>0</v>
      </c>
      <c r="I285" s="124">
        <f t="shared" si="141"/>
        <v>0</v>
      </c>
      <c r="J285" s="300">
        <f t="shared" si="149"/>
        <v>0</v>
      </c>
      <c r="K285" s="328">
        <f t="shared" si="142"/>
        <v>0</v>
      </c>
      <c r="L285" s="300">
        <f t="shared" si="150"/>
        <v>0</v>
      </c>
      <c r="M285" s="124">
        <f t="shared" si="143"/>
        <v>0</v>
      </c>
      <c r="N285" s="124">
        <f t="shared" si="144"/>
        <v>0</v>
      </c>
      <c r="O285" s="206">
        <f t="shared" si="145"/>
        <v>1307919.0806062499</v>
      </c>
      <c r="P285" s="124">
        <f>IF('Inputs &amp; Results'!B270="Yes",O285*StateBonusDeprec,0)</f>
        <v>0</v>
      </c>
      <c r="Q285" s="206">
        <f t="shared" si="151"/>
        <v>1307919.0806062499</v>
      </c>
    </row>
    <row r="286" spans="1:42" s="101" customFormat="1" x14ac:dyDescent="0.2">
      <c r="A286" s="234" t="str">
        <f>'Inputs &amp; Results'!A250</f>
        <v>39-yr SL</v>
      </c>
      <c r="B286" s="324">
        <f t="shared" si="140"/>
        <v>5.0761421319796942E-3</v>
      </c>
      <c r="C286" s="124">
        <f>'Inputs &amp; Results'!B259</f>
        <v>217986.513434375</v>
      </c>
      <c r="D286" s="124">
        <f t="shared" si="146"/>
        <v>0</v>
      </c>
      <c r="E286" s="124">
        <f t="shared" si="146"/>
        <v>0</v>
      </c>
      <c r="F286" s="206">
        <f t="shared" si="147"/>
        <v>217986.513434375</v>
      </c>
      <c r="G286" s="328">
        <f>IF('Inputs &amp; Results'!B289="Yes",F286,0)</f>
        <v>0</v>
      </c>
      <c r="H286" s="370">
        <f t="shared" si="148"/>
        <v>0</v>
      </c>
      <c r="I286" s="124">
        <f t="shared" si="141"/>
        <v>0</v>
      </c>
      <c r="J286" s="300">
        <f t="shared" si="149"/>
        <v>0</v>
      </c>
      <c r="K286" s="328">
        <f t="shared" si="142"/>
        <v>0</v>
      </c>
      <c r="L286" s="300">
        <f t="shared" si="150"/>
        <v>0</v>
      </c>
      <c r="M286" s="124">
        <f t="shared" si="143"/>
        <v>0</v>
      </c>
      <c r="N286" s="124">
        <f t="shared" si="144"/>
        <v>0</v>
      </c>
      <c r="O286" s="206">
        <f t="shared" si="145"/>
        <v>217986.513434375</v>
      </c>
      <c r="P286" s="124">
        <f>IF('Inputs &amp; Results'!B271="Yes",O286*StateBonusDeprec,0)</f>
        <v>0</v>
      </c>
      <c r="Q286" s="206">
        <f t="shared" si="151"/>
        <v>217986.513434375</v>
      </c>
    </row>
    <row r="287" spans="1:42" x14ac:dyDescent="0.2">
      <c r="A287" s="238" t="s">
        <v>311</v>
      </c>
      <c r="B287" s="192"/>
      <c r="C287" s="193"/>
      <c r="D287" s="194"/>
      <c r="E287" s="194"/>
      <c r="F287" s="86"/>
      <c r="G287" s="192"/>
      <c r="H287" s="213"/>
      <c r="I287" s="213"/>
      <c r="J287" s="270"/>
      <c r="K287" s="192"/>
      <c r="L287" s="270"/>
      <c r="M287" s="194"/>
      <c r="N287" s="194"/>
      <c r="O287" s="86"/>
      <c r="P287" s="194"/>
      <c r="Q287" s="86"/>
    </row>
    <row r="288" spans="1:42" s="101" customFormat="1" x14ac:dyDescent="0.2">
      <c r="B288" s="330">
        <f>SUM(B281:B287)</f>
        <v>1</v>
      </c>
      <c r="C288" s="186">
        <f>SUM(C281:C287)</f>
        <v>42943343.146571882</v>
      </c>
      <c r="D288" s="186">
        <f>B297+B303</f>
        <v>0</v>
      </c>
      <c r="E288" s="186">
        <f>B309</f>
        <v>0</v>
      </c>
      <c r="F288" s="207">
        <f t="shared" ref="F288:Q288" si="152">SUM(F281:F287)</f>
        <v>42943343.146571882</v>
      </c>
      <c r="G288" s="207">
        <f>SUM(G281:G287)</f>
        <v>40109518.471925005</v>
      </c>
      <c r="H288" s="331">
        <f>SUM(H281:H287)</f>
        <v>1</v>
      </c>
      <c r="I288" s="207">
        <f>MIN(ITCStateMax,ITCStatePercent*G288)</f>
        <v>0</v>
      </c>
      <c r="J288" s="207">
        <f>SUM(J281:J287)</f>
        <v>0</v>
      </c>
      <c r="K288" s="207">
        <f>ITCStateFixed</f>
        <v>0</v>
      </c>
      <c r="L288" s="207">
        <f>SUM(L281:L287)</f>
        <v>0</v>
      </c>
      <c r="M288" s="186">
        <f t="shared" si="152"/>
        <v>0</v>
      </c>
      <c r="N288" s="186">
        <f t="shared" si="152"/>
        <v>6016427.7707887506</v>
      </c>
      <c r="O288" s="207">
        <f t="shared" si="152"/>
        <v>36926915.375783131</v>
      </c>
      <c r="P288" s="207">
        <f t="shared" si="152"/>
        <v>0</v>
      </c>
      <c r="Q288" s="207">
        <f t="shared" si="152"/>
        <v>36926915.375783131</v>
      </c>
    </row>
    <row r="290" spans="1:2" x14ac:dyDescent="0.2">
      <c r="A290" s="20" t="s">
        <v>152</v>
      </c>
    </row>
    <row r="291" spans="1:2" x14ac:dyDescent="0.2">
      <c r="A291" s="167" t="str">
        <f>A560</f>
        <v>Investment Based Incentive (IBI)</v>
      </c>
    </row>
    <row r="292" spans="1:2" x14ac:dyDescent="0.2">
      <c r="A292" s="183" t="str">
        <f t="shared" ref="A292:A308" si="153">A561</f>
        <v>Fixed Amount ($)</v>
      </c>
    </row>
    <row r="293" spans="1:2" x14ac:dyDescent="0.2">
      <c r="A293" s="196" t="str">
        <f t="shared" si="153"/>
        <v>Federal</v>
      </c>
      <c r="B293" s="135">
        <f>IF(IBIFedFixedStateDeprec="Yes",IBIFedFixed,0)</f>
        <v>0</v>
      </c>
    </row>
    <row r="294" spans="1:2" x14ac:dyDescent="0.2">
      <c r="A294" s="196" t="str">
        <f t="shared" si="153"/>
        <v>State</v>
      </c>
      <c r="B294" s="135">
        <f>IF(IBIStateFixedStateDeprec="Yes",IBIStateFixed,0)</f>
        <v>0</v>
      </c>
    </row>
    <row r="295" spans="1:2" x14ac:dyDescent="0.2">
      <c r="A295" s="196" t="str">
        <f t="shared" si="153"/>
        <v>Utility</v>
      </c>
      <c r="B295" s="135">
        <f>IF(IBIUtilityFixedStateDeprec="Yes",IBIUtilityFixed,0)</f>
        <v>0</v>
      </c>
    </row>
    <row r="296" spans="1:2" x14ac:dyDescent="0.2">
      <c r="A296" s="196" t="str">
        <f t="shared" si="153"/>
        <v>Other</v>
      </c>
      <c r="B296" s="170">
        <f>IF(IBIOtherFixedStateDeprec="Yes",IBIOtherFixed,0)</f>
        <v>0</v>
      </c>
    </row>
    <row r="297" spans="1:2" x14ac:dyDescent="0.2">
      <c r="A297" s="196" t="str">
        <f t="shared" si="153"/>
        <v>Total</v>
      </c>
      <c r="B297" s="135">
        <f>SUM(B293:B296)</f>
        <v>0</v>
      </c>
    </row>
    <row r="298" spans="1:2" x14ac:dyDescent="0.2">
      <c r="A298" s="183" t="str">
        <f t="shared" si="153"/>
        <v>Percentage of Pre-Financing Costs</v>
      </c>
    </row>
    <row r="299" spans="1:2" x14ac:dyDescent="0.2">
      <c r="A299" s="196" t="str">
        <f t="shared" si="153"/>
        <v>Federal</v>
      </c>
      <c r="B299" s="135">
        <f>IF(IBIFedPercentStateDeprec="Yes",IBIFedPercent,0)</f>
        <v>0</v>
      </c>
    </row>
    <row r="300" spans="1:2" x14ac:dyDescent="0.2">
      <c r="A300" s="196" t="str">
        <f>A569</f>
        <v>State</v>
      </c>
      <c r="B300" s="135">
        <f>IF(IBIStatePercentStateDeprec="Yes",IBIStatePercent,0)</f>
        <v>0</v>
      </c>
    </row>
    <row r="301" spans="1:2" x14ac:dyDescent="0.2">
      <c r="A301" s="196" t="str">
        <f t="shared" si="153"/>
        <v>Utility</v>
      </c>
      <c r="B301" s="135">
        <f>IF(IBIUtilityPercentStateDeprec="Yes",IBIUtilityPercent,0)</f>
        <v>0</v>
      </c>
    </row>
    <row r="302" spans="1:2" x14ac:dyDescent="0.2">
      <c r="A302" s="196" t="str">
        <f t="shared" si="153"/>
        <v>Other</v>
      </c>
      <c r="B302" s="170">
        <f>IF(IBIOtherPercentStateDeprec="Yes",IBIOtherPercent,0)</f>
        <v>0</v>
      </c>
    </row>
    <row r="303" spans="1:2" x14ac:dyDescent="0.2">
      <c r="A303" s="196" t="str">
        <f t="shared" si="153"/>
        <v>Total</v>
      </c>
      <c r="B303" s="135">
        <f>SUM(B299:B302)</f>
        <v>0</v>
      </c>
    </row>
    <row r="304" spans="1:2" x14ac:dyDescent="0.2">
      <c r="A304" s="167" t="str">
        <f t="shared" si="153"/>
        <v>Capacity Based Incentive (CBI)</v>
      </c>
    </row>
    <row r="305" spans="1:42" x14ac:dyDescent="0.2">
      <c r="A305" s="183" t="str">
        <f t="shared" si="153"/>
        <v>Federal</v>
      </c>
      <c r="B305" s="135">
        <f>IF(CBIFedStateDeprec="Yes",CBIFed,0)</f>
        <v>0</v>
      </c>
    </row>
    <row r="306" spans="1:42" x14ac:dyDescent="0.2">
      <c r="A306" s="183" t="str">
        <f>A575</f>
        <v>State</v>
      </c>
      <c r="B306" s="135">
        <f>IF(CBIStateStateDeprec="Yes",CBIState,0)</f>
        <v>0</v>
      </c>
    </row>
    <row r="307" spans="1:42" x14ac:dyDescent="0.2">
      <c r="A307" s="183" t="str">
        <f t="shared" si="153"/>
        <v>Utility</v>
      </c>
      <c r="B307" s="135">
        <f>IF(CBIUtilityStateDeprec="Yes",CBIUtility,0)</f>
        <v>0</v>
      </c>
    </row>
    <row r="308" spans="1:42" x14ac:dyDescent="0.2">
      <c r="A308" s="183" t="str">
        <f t="shared" si="153"/>
        <v>Other</v>
      </c>
      <c r="B308" s="170">
        <f>IF(CBIOtherStateDeprec="Yes",CBIOther,0)</f>
        <v>0</v>
      </c>
    </row>
    <row r="309" spans="1:42" x14ac:dyDescent="0.2">
      <c r="A309" s="183" t="str">
        <f>A578</f>
        <v>Total</v>
      </c>
      <c r="B309" s="177">
        <f>SUM(B305:B308)</f>
        <v>0</v>
      </c>
    </row>
    <row r="310" spans="1:42" x14ac:dyDescent="0.2">
      <c r="A310" s="167" t="s">
        <v>140</v>
      </c>
      <c r="B310" s="135">
        <f>B297+B303+B309</f>
        <v>0</v>
      </c>
    </row>
    <row r="312" spans="1:42" x14ac:dyDescent="0.2">
      <c r="A312" s="20" t="s">
        <v>235</v>
      </c>
    </row>
    <row r="313" spans="1:42" x14ac:dyDescent="0.2">
      <c r="A313" s="167" t="s">
        <v>146</v>
      </c>
    </row>
    <row r="314" spans="1:42" x14ac:dyDescent="0.2">
      <c r="A314" s="188" t="str">
        <f>A281</f>
        <v>5-yr MACRS</v>
      </c>
      <c r="B314" s="197">
        <f>SUM(C314:AP314)</f>
        <v>0.99999999999999989</v>
      </c>
      <c r="C314" s="198">
        <f>LOOKUP(C$2,'Depreciation Schedules'!$A$3:$A$42,'Depreciation Schedules'!$B$3:$B$42)</f>
        <v>0.2</v>
      </c>
      <c r="D314" s="198">
        <f>LOOKUP(D$2,'Depreciation Schedules'!$A$3:$A$42,'Depreciation Schedules'!$B$3:$B$42)</f>
        <v>0.32</v>
      </c>
      <c r="E314" s="198">
        <f>LOOKUP(E$2,'Depreciation Schedules'!$A$3:$A$42,'Depreciation Schedules'!$B$3:$B$42)</f>
        <v>0.192</v>
      </c>
      <c r="F314" s="198">
        <f>LOOKUP(F$2,'Depreciation Schedules'!$A$3:$A$42,'Depreciation Schedules'!$B$3:$B$42)</f>
        <v>0.1152</v>
      </c>
      <c r="G314" s="198">
        <f>LOOKUP(G$2,'Depreciation Schedules'!$A$3:$A$42,'Depreciation Schedules'!$B$3:$B$42)</f>
        <v>0.1152</v>
      </c>
      <c r="H314" s="198">
        <f>LOOKUP(H$2,'Depreciation Schedules'!$A$3:$A$42,'Depreciation Schedules'!$B$3:$B$42)</f>
        <v>5.7599999999999998E-2</v>
      </c>
      <c r="I314" s="198">
        <f>LOOKUP(I$2,'Depreciation Schedules'!$A$3:$A$42,'Depreciation Schedules'!$B$3:$B$42)</f>
        <v>0</v>
      </c>
      <c r="J314" s="198">
        <f>LOOKUP(J$2,'Depreciation Schedules'!$A$3:$A$42,'Depreciation Schedules'!$B$3:$B$42)</f>
        <v>0</v>
      </c>
      <c r="K314" s="198">
        <f>LOOKUP(K$2,'Depreciation Schedules'!$A$3:$A$42,'Depreciation Schedules'!$B$3:$B$42)</f>
        <v>0</v>
      </c>
      <c r="L314" s="198">
        <f>LOOKUP(L$2,'Depreciation Schedules'!$A$3:$A$42,'Depreciation Schedules'!$B$3:$B$42)</f>
        <v>0</v>
      </c>
      <c r="M314" s="198">
        <f>LOOKUP(M$2,'Depreciation Schedules'!$A$3:$A$42,'Depreciation Schedules'!$B$3:$B$42)</f>
        <v>0</v>
      </c>
      <c r="N314" s="198">
        <f>LOOKUP(N$2,'Depreciation Schedules'!$A$3:$A$42,'Depreciation Schedules'!$B$3:$B$42)</f>
        <v>0</v>
      </c>
      <c r="O314" s="198">
        <f>LOOKUP(O$2,'Depreciation Schedules'!$A$3:$A$42,'Depreciation Schedules'!$B$3:$B$42)</f>
        <v>0</v>
      </c>
      <c r="P314" s="198">
        <f>LOOKUP(P$2,'Depreciation Schedules'!$A$3:$A$42,'Depreciation Schedules'!$B$3:$B$42)</f>
        <v>0</v>
      </c>
      <c r="Q314" s="198">
        <f>LOOKUP(Q$2,'Depreciation Schedules'!$A$3:$A$42,'Depreciation Schedules'!$B$3:$B$42)</f>
        <v>0</v>
      </c>
      <c r="R314" s="198">
        <f>LOOKUP(R$2,'Depreciation Schedules'!$A$3:$A$42,'Depreciation Schedules'!$B$3:$B$42)</f>
        <v>0</v>
      </c>
      <c r="S314" s="198">
        <f>LOOKUP(S$2,'Depreciation Schedules'!$A$3:$A$42,'Depreciation Schedules'!$B$3:$B$42)</f>
        <v>0</v>
      </c>
      <c r="T314" s="198">
        <f>LOOKUP(T$2,'Depreciation Schedules'!$A$3:$A$42,'Depreciation Schedules'!$B$3:$B$42)</f>
        <v>0</v>
      </c>
      <c r="U314" s="198">
        <f>LOOKUP(U$2,'Depreciation Schedules'!$A$3:$A$42,'Depreciation Schedules'!$B$3:$B$42)</f>
        <v>0</v>
      </c>
      <c r="V314" s="198">
        <f>LOOKUP(V$2,'Depreciation Schedules'!$A$3:$A$42,'Depreciation Schedules'!$B$3:$B$42)</f>
        <v>0</v>
      </c>
      <c r="W314" s="198">
        <f>LOOKUP(W$2,'Depreciation Schedules'!$A$3:$A$42,'Depreciation Schedules'!$B$3:$B$42)</f>
        <v>0</v>
      </c>
      <c r="X314" s="198">
        <f>LOOKUP(X$2,'Depreciation Schedules'!$A$3:$A$42,'Depreciation Schedules'!$B$3:$B$42)</f>
        <v>0</v>
      </c>
      <c r="Y314" s="198">
        <f>LOOKUP(Y$2,'Depreciation Schedules'!$A$3:$A$42,'Depreciation Schedules'!$B$3:$B$42)</f>
        <v>0</v>
      </c>
      <c r="Z314" s="198">
        <f>LOOKUP(Z$2,'Depreciation Schedules'!$A$3:$A$42,'Depreciation Schedules'!$B$3:$B$42)</f>
        <v>0</v>
      </c>
      <c r="AA314" s="198">
        <f>LOOKUP(AA$2,'Depreciation Schedules'!$A$3:$A$42,'Depreciation Schedules'!$B$3:$B$42)</f>
        <v>0</v>
      </c>
      <c r="AB314" s="198">
        <f>LOOKUP(AB$2,'Depreciation Schedules'!$A$3:$A$42,'Depreciation Schedules'!$B$3:$B$42)</f>
        <v>0</v>
      </c>
      <c r="AC314" s="198">
        <f>LOOKUP(AC$2,'Depreciation Schedules'!$A$3:$A$42,'Depreciation Schedules'!$B$3:$B$42)</f>
        <v>0</v>
      </c>
      <c r="AD314" s="198">
        <f>LOOKUP(AD$2,'Depreciation Schedules'!$A$3:$A$42,'Depreciation Schedules'!$B$3:$B$42)</f>
        <v>0</v>
      </c>
      <c r="AE314" s="198">
        <f>LOOKUP(AE$2,'Depreciation Schedules'!$A$3:$A$42,'Depreciation Schedules'!$B$3:$B$42)</f>
        <v>0</v>
      </c>
      <c r="AF314" s="198">
        <f>LOOKUP(AF$2,'Depreciation Schedules'!$A$3:$A$42,'Depreciation Schedules'!$B$3:$B$42)</f>
        <v>0</v>
      </c>
      <c r="AG314" s="198">
        <f>LOOKUP(AG$2,'Depreciation Schedules'!$A$3:$A$42,'Depreciation Schedules'!$B$3:$B$42)</f>
        <v>0</v>
      </c>
      <c r="AH314" s="198">
        <f>LOOKUP(AH$2,'Depreciation Schedules'!$A$3:$A$42,'Depreciation Schedules'!$B$3:$B$42)</f>
        <v>0</v>
      </c>
      <c r="AI314" s="198">
        <f>LOOKUP(AI$2,'Depreciation Schedules'!$A$3:$A$42,'Depreciation Schedules'!$B$3:$B$42)</f>
        <v>0</v>
      </c>
      <c r="AJ314" s="198">
        <f>LOOKUP(AJ$2,'Depreciation Schedules'!$A$3:$A$42,'Depreciation Schedules'!$B$3:$B$42)</f>
        <v>0</v>
      </c>
      <c r="AK314" s="198">
        <f>LOOKUP(AK$2,'Depreciation Schedules'!$A$3:$A$42,'Depreciation Schedules'!$B$3:$B$42)</f>
        <v>0</v>
      </c>
      <c r="AL314" s="198">
        <f>LOOKUP(AL$2,'Depreciation Schedules'!$A$3:$A$42,'Depreciation Schedules'!$B$3:$B$42)</f>
        <v>0</v>
      </c>
      <c r="AM314" s="198">
        <f>LOOKUP(AM$2,'Depreciation Schedules'!$A$3:$A$42,'Depreciation Schedules'!$B$3:$B$42)</f>
        <v>0</v>
      </c>
      <c r="AN314" s="198">
        <f>LOOKUP(AN$2,'Depreciation Schedules'!$A$3:$A$42,'Depreciation Schedules'!$B$3:$B$42)</f>
        <v>0</v>
      </c>
      <c r="AO314" s="198">
        <f>LOOKUP(AO$2,'Depreciation Schedules'!$A$3:$A$42,'Depreciation Schedules'!$B$3:$B$42)</f>
        <v>0</v>
      </c>
      <c r="AP314" s="198">
        <f>LOOKUP(AP$2,'Depreciation Schedules'!$A$3:$A$42,'Depreciation Schedules'!$B$3:$B$42)</f>
        <v>0</v>
      </c>
    </row>
    <row r="315" spans="1:42" x14ac:dyDescent="0.2">
      <c r="A315" s="188" t="str">
        <f t="shared" ref="A315:A319" si="154">A282</f>
        <v>15-yr MACRS</v>
      </c>
      <c r="B315" s="199">
        <f t="shared" ref="B315:B319" si="155">SUM(C315:AP315)</f>
        <v>1.0000000000000002</v>
      </c>
      <c r="C315" s="198">
        <f>LOOKUP(C$2,'Depreciation Schedules'!$A$3:$A$42,'Depreciation Schedules'!$C$3:$C$42)</f>
        <v>0.05</v>
      </c>
      <c r="D315" s="198">
        <f>LOOKUP(D$2,'Depreciation Schedules'!$A$3:$A$42,'Depreciation Schedules'!$C$3:$C$42)</f>
        <v>9.5000000000000001E-2</v>
      </c>
      <c r="E315" s="198">
        <f>LOOKUP(E$2,'Depreciation Schedules'!$A$3:$A$42,'Depreciation Schedules'!$C$3:$C$42)</f>
        <v>8.5500000000000007E-2</v>
      </c>
      <c r="F315" s="198">
        <f>LOOKUP(F$2,'Depreciation Schedules'!$A$3:$A$42,'Depreciation Schedules'!$C$3:$C$42)</f>
        <v>7.6999999999999999E-2</v>
      </c>
      <c r="G315" s="198">
        <f>LOOKUP(G$2,'Depreciation Schedules'!$A$3:$A$42,'Depreciation Schedules'!$C$3:$C$42)</f>
        <v>6.93E-2</v>
      </c>
      <c r="H315" s="198">
        <f>LOOKUP(H$2,'Depreciation Schedules'!$A$3:$A$42,'Depreciation Schedules'!$C$3:$C$42)</f>
        <v>6.2300000000000001E-2</v>
      </c>
      <c r="I315" s="198">
        <f>LOOKUP(I$2,'Depreciation Schedules'!$A$3:$A$42,'Depreciation Schedules'!$C$3:$C$42)</f>
        <v>5.8999999999999997E-2</v>
      </c>
      <c r="J315" s="198">
        <f>LOOKUP(J$2,'Depreciation Schedules'!$A$3:$A$42,'Depreciation Schedules'!$C$3:$C$42)</f>
        <v>5.8999999999999997E-2</v>
      </c>
      <c r="K315" s="198">
        <f>LOOKUP(K$2,'Depreciation Schedules'!$A$3:$A$42,'Depreciation Schedules'!$C$3:$C$42)</f>
        <v>5.91E-2</v>
      </c>
      <c r="L315" s="198">
        <f>LOOKUP(L$2,'Depreciation Schedules'!$A$3:$A$42,'Depreciation Schedules'!$C$3:$C$42)</f>
        <v>5.8999999999999997E-2</v>
      </c>
      <c r="M315" s="198">
        <f>LOOKUP(M$2,'Depreciation Schedules'!$A$3:$A$42,'Depreciation Schedules'!$C$3:$C$42)</f>
        <v>5.91E-2</v>
      </c>
      <c r="N315" s="198">
        <f>LOOKUP(N$2,'Depreciation Schedules'!$A$3:$A$42,'Depreciation Schedules'!$C$3:$C$42)</f>
        <v>5.8999999999999997E-2</v>
      </c>
      <c r="O315" s="198">
        <f>LOOKUP(O$2,'Depreciation Schedules'!$A$3:$A$42,'Depreciation Schedules'!$C$3:$C$42)</f>
        <v>5.91E-2</v>
      </c>
      <c r="P315" s="198">
        <f>LOOKUP(P$2,'Depreciation Schedules'!$A$3:$A$42,'Depreciation Schedules'!$C$3:$C$42)</f>
        <v>5.8999999999999997E-2</v>
      </c>
      <c r="Q315" s="198">
        <f>LOOKUP(Q$2,'Depreciation Schedules'!$A$3:$A$42,'Depreciation Schedules'!$C$3:$C$42)</f>
        <v>5.91E-2</v>
      </c>
      <c r="R315" s="198">
        <f>LOOKUP(R$2,'Depreciation Schedules'!$A$3:$A$42,'Depreciation Schedules'!$C$3:$C$42)</f>
        <v>2.9499999999999998E-2</v>
      </c>
      <c r="S315" s="198">
        <f>LOOKUP(S$2,'Depreciation Schedules'!$A$3:$A$42,'Depreciation Schedules'!$C$3:$C$42)</f>
        <v>0</v>
      </c>
      <c r="T315" s="198">
        <f>LOOKUP(T$2,'Depreciation Schedules'!$A$3:$A$42,'Depreciation Schedules'!$C$3:$C$42)</f>
        <v>0</v>
      </c>
      <c r="U315" s="198">
        <f>LOOKUP(U$2,'Depreciation Schedules'!$A$3:$A$42,'Depreciation Schedules'!$C$3:$C$42)</f>
        <v>0</v>
      </c>
      <c r="V315" s="198">
        <f>LOOKUP(V$2,'Depreciation Schedules'!$A$3:$A$42,'Depreciation Schedules'!$C$3:$C$42)</f>
        <v>0</v>
      </c>
      <c r="W315" s="198">
        <f>LOOKUP(W$2,'Depreciation Schedules'!$A$3:$A$42,'Depreciation Schedules'!$C$3:$C$42)</f>
        <v>0</v>
      </c>
      <c r="X315" s="198">
        <f>LOOKUP(X$2,'Depreciation Schedules'!$A$3:$A$42,'Depreciation Schedules'!$C$3:$C$42)</f>
        <v>0</v>
      </c>
      <c r="Y315" s="198">
        <f>LOOKUP(Y$2,'Depreciation Schedules'!$A$3:$A$42,'Depreciation Schedules'!$C$3:$C$42)</f>
        <v>0</v>
      </c>
      <c r="Z315" s="198">
        <f>LOOKUP(Z$2,'Depreciation Schedules'!$A$3:$A$42,'Depreciation Schedules'!$C$3:$C$42)</f>
        <v>0</v>
      </c>
      <c r="AA315" s="198">
        <f>LOOKUP(AA$2,'Depreciation Schedules'!$A$3:$A$42,'Depreciation Schedules'!$C$3:$C$42)</f>
        <v>0</v>
      </c>
      <c r="AB315" s="198">
        <f>LOOKUP(AB$2,'Depreciation Schedules'!$A$3:$A$42,'Depreciation Schedules'!$C$3:$C$42)</f>
        <v>0</v>
      </c>
      <c r="AC315" s="198">
        <f>LOOKUP(AC$2,'Depreciation Schedules'!$A$3:$A$42,'Depreciation Schedules'!$C$3:$C$42)</f>
        <v>0</v>
      </c>
      <c r="AD315" s="198">
        <f>LOOKUP(AD$2,'Depreciation Schedules'!$A$3:$A$42,'Depreciation Schedules'!$C$3:$C$42)</f>
        <v>0</v>
      </c>
      <c r="AE315" s="198">
        <f>LOOKUP(AE$2,'Depreciation Schedules'!$A$3:$A$42,'Depreciation Schedules'!$C$3:$C$42)</f>
        <v>0</v>
      </c>
      <c r="AF315" s="198">
        <f>LOOKUP(AF$2,'Depreciation Schedules'!$A$3:$A$42,'Depreciation Schedules'!$C$3:$C$42)</f>
        <v>0</v>
      </c>
      <c r="AG315" s="198">
        <f>LOOKUP(AG$2,'Depreciation Schedules'!$A$3:$A$42,'Depreciation Schedules'!$C$3:$C$42)</f>
        <v>0</v>
      </c>
      <c r="AH315" s="198">
        <f>LOOKUP(AH$2,'Depreciation Schedules'!$A$3:$A$42,'Depreciation Schedules'!$C$3:$C$42)</f>
        <v>0</v>
      </c>
      <c r="AI315" s="198">
        <f>LOOKUP(AI$2,'Depreciation Schedules'!$A$3:$A$42,'Depreciation Schedules'!$C$3:$C$42)</f>
        <v>0</v>
      </c>
      <c r="AJ315" s="198">
        <f>LOOKUP(AJ$2,'Depreciation Schedules'!$A$3:$A$42,'Depreciation Schedules'!$C$3:$C$42)</f>
        <v>0</v>
      </c>
      <c r="AK315" s="198">
        <f>LOOKUP(AK$2,'Depreciation Schedules'!$A$3:$A$42,'Depreciation Schedules'!$C$3:$C$42)</f>
        <v>0</v>
      </c>
      <c r="AL315" s="198">
        <f>LOOKUP(AL$2,'Depreciation Schedules'!$A$3:$A$42,'Depreciation Schedules'!$C$3:$C$42)</f>
        <v>0</v>
      </c>
      <c r="AM315" s="198">
        <f>LOOKUP(AM$2,'Depreciation Schedules'!$A$3:$A$42,'Depreciation Schedules'!$C$3:$C$42)</f>
        <v>0</v>
      </c>
      <c r="AN315" s="198">
        <f>LOOKUP(AN$2,'Depreciation Schedules'!$A$3:$A$42,'Depreciation Schedules'!$C$3:$C$42)</f>
        <v>0</v>
      </c>
      <c r="AO315" s="198">
        <f>LOOKUP(AO$2,'Depreciation Schedules'!$A$3:$A$42,'Depreciation Schedules'!$C$3:$C$42)</f>
        <v>0</v>
      </c>
      <c r="AP315" s="198">
        <f>LOOKUP(AP$2,'Depreciation Schedules'!$A$3:$A$42,'Depreciation Schedules'!$C$3:$C$42)</f>
        <v>0</v>
      </c>
    </row>
    <row r="316" spans="1:42" x14ac:dyDescent="0.2">
      <c r="A316" s="188" t="str">
        <f t="shared" si="154"/>
        <v>5-yr SL</v>
      </c>
      <c r="B316" s="199">
        <f t="shared" si="155"/>
        <v>0.99999999999999989</v>
      </c>
      <c r="C316" s="198">
        <f>LOOKUP(C$2,'Depreciation Schedules'!$A$3:$A$42,'Depreciation Schedules'!$D$3:$D$42)</f>
        <v>0.1</v>
      </c>
      <c r="D316" s="198">
        <f>LOOKUP(D$2,'Depreciation Schedules'!$A$3:$A$42,'Depreciation Schedules'!$D$3:$D$42)</f>
        <v>0.2</v>
      </c>
      <c r="E316" s="198">
        <f>LOOKUP(E$2,'Depreciation Schedules'!$A$3:$A$42,'Depreciation Schedules'!$D$3:$D$42)</f>
        <v>0.2</v>
      </c>
      <c r="F316" s="198">
        <f>LOOKUP(F$2,'Depreciation Schedules'!$A$3:$A$42,'Depreciation Schedules'!$D$3:$D$42)</f>
        <v>0.2</v>
      </c>
      <c r="G316" s="198">
        <f>LOOKUP(G$2,'Depreciation Schedules'!$A$3:$A$42,'Depreciation Schedules'!$D$3:$D$42)</f>
        <v>0.2</v>
      </c>
      <c r="H316" s="198">
        <f>LOOKUP(H$2,'Depreciation Schedules'!$A$3:$A$42,'Depreciation Schedules'!$D$3:$D$42)</f>
        <v>0.1</v>
      </c>
      <c r="I316" s="198">
        <f>LOOKUP(I$2,'Depreciation Schedules'!$A$3:$A$42,'Depreciation Schedules'!$D$3:$D$42)</f>
        <v>0</v>
      </c>
      <c r="J316" s="198">
        <f>LOOKUP(J$2,'Depreciation Schedules'!$A$3:$A$42,'Depreciation Schedules'!$D$3:$D$42)</f>
        <v>0</v>
      </c>
      <c r="K316" s="198">
        <f>LOOKUP(K$2,'Depreciation Schedules'!$A$3:$A$42,'Depreciation Schedules'!$D$3:$D$42)</f>
        <v>0</v>
      </c>
      <c r="L316" s="198">
        <f>LOOKUP(L$2,'Depreciation Schedules'!$A$3:$A$42,'Depreciation Schedules'!$D$3:$D$42)</f>
        <v>0</v>
      </c>
      <c r="M316" s="198">
        <f>LOOKUP(M$2,'Depreciation Schedules'!$A$3:$A$42,'Depreciation Schedules'!$D$3:$D$42)</f>
        <v>0</v>
      </c>
      <c r="N316" s="198">
        <f>LOOKUP(N$2,'Depreciation Schedules'!$A$3:$A$42,'Depreciation Schedules'!$D$3:$D$42)</f>
        <v>0</v>
      </c>
      <c r="O316" s="198">
        <f>LOOKUP(O$2,'Depreciation Schedules'!$A$3:$A$42,'Depreciation Schedules'!$D$3:$D$42)</f>
        <v>0</v>
      </c>
      <c r="P316" s="198">
        <f>LOOKUP(P$2,'Depreciation Schedules'!$A$3:$A$42,'Depreciation Schedules'!$D$3:$D$42)</f>
        <v>0</v>
      </c>
      <c r="Q316" s="198">
        <f>LOOKUP(Q$2,'Depreciation Schedules'!$A$3:$A$42,'Depreciation Schedules'!$D$3:$D$42)</f>
        <v>0</v>
      </c>
      <c r="R316" s="198">
        <f>LOOKUP(R$2,'Depreciation Schedules'!$A$3:$A$42,'Depreciation Schedules'!$D$3:$D$42)</f>
        <v>0</v>
      </c>
      <c r="S316" s="198">
        <f>LOOKUP(S$2,'Depreciation Schedules'!$A$3:$A$42,'Depreciation Schedules'!$D$3:$D$42)</f>
        <v>0</v>
      </c>
      <c r="T316" s="198">
        <f>LOOKUP(T$2,'Depreciation Schedules'!$A$3:$A$42,'Depreciation Schedules'!$D$3:$D$42)</f>
        <v>0</v>
      </c>
      <c r="U316" s="198">
        <f>LOOKUP(U$2,'Depreciation Schedules'!$A$3:$A$42,'Depreciation Schedules'!$D$3:$D$42)</f>
        <v>0</v>
      </c>
      <c r="V316" s="198">
        <f>LOOKUP(V$2,'Depreciation Schedules'!$A$3:$A$42,'Depreciation Schedules'!$D$3:$D$42)</f>
        <v>0</v>
      </c>
      <c r="W316" s="198">
        <f>LOOKUP(W$2,'Depreciation Schedules'!$A$3:$A$42,'Depreciation Schedules'!$D$3:$D$42)</f>
        <v>0</v>
      </c>
      <c r="X316" s="198">
        <f>LOOKUP(X$2,'Depreciation Schedules'!$A$3:$A$42,'Depreciation Schedules'!$D$3:$D$42)</f>
        <v>0</v>
      </c>
      <c r="Y316" s="198">
        <f>LOOKUP(Y$2,'Depreciation Schedules'!$A$3:$A$42,'Depreciation Schedules'!$D$3:$D$42)</f>
        <v>0</v>
      </c>
      <c r="Z316" s="198">
        <f>LOOKUP(Z$2,'Depreciation Schedules'!$A$3:$A$42,'Depreciation Schedules'!$D$3:$D$42)</f>
        <v>0</v>
      </c>
      <c r="AA316" s="198">
        <f>LOOKUP(AA$2,'Depreciation Schedules'!$A$3:$A$42,'Depreciation Schedules'!$D$3:$D$42)</f>
        <v>0</v>
      </c>
      <c r="AB316" s="198">
        <f>LOOKUP(AB$2,'Depreciation Schedules'!$A$3:$A$42,'Depreciation Schedules'!$D$3:$D$42)</f>
        <v>0</v>
      </c>
      <c r="AC316" s="198">
        <f>LOOKUP(AC$2,'Depreciation Schedules'!$A$3:$A$42,'Depreciation Schedules'!$D$3:$D$42)</f>
        <v>0</v>
      </c>
      <c r="AD316" s="198">
        <f>LOOKUP(AD$2,'Depreciation Schedules'!$A$3:$A$42,'Depreciation Schedules'!$D$3:$D$42)</f>
        <v>0</v>
      </c>
      <c r="AE316" s="198">
        <f>LOOKUP(AE$2,'Depreciation Schedules'!$A$3:$A$42,'Depreciation Schedules'!$D$3:$D$42)</f>
        <v>0</v>
      </c>
      <c r="AF316" s="198">
        <f>LOOKUP(AF$2,'Depreciation Schedules'!$A$3:$A$42,'Depreciation Schedules'!$D$3:$D$42)</f>
        <v>0</v>
      </c>
      <c r="AG316" s="198">
        <f>LOOKUP(AG$2,'Depreciation Schedules'!$A$3:$A$42,'Depreciation Schedules'!$D$3:$D$42)</f>
        <v>0</v>
      </c>
      <c r="AH316" s="198">
        <f>LOOKUP(AH$2,'Depreciation Schedules'!$A$3:$A$42,'Depreciation Schedules'!$D$3:$D$42)</f>
        <v>0</v>
      </c>
      <c r="AI316" s="198">
        <f>LOOKUP(AI$2,'Depreciation Schedules'!$A$3:$A$42,'Depreciation Schedules'!$D$3:$D$42)</f>
        <v>0</v>
      </c>
      <c r="AJ316" s="198">
        <f>LOOKUP(AJ$2,'Depreciation Schedules'!$A$3:$A$42,'Depreciation Schedules'!$D$3:$D$42)</f>
        <v>0</v>
      </c>
      <c r="AK316" s="198">
        <f>LOOKUP(AK$2,'Depreciation Schedules'!$A$3:$A$42,'Depreciation Schedules'!$D$3:$D$42)</f>
        <v>0</v>
      </c>
      <c r="AL316" s="198">
        <f>LOOKUP(AL$2,'Depreciation Schedules'!$A$3:$A$42,'Depreciation Schedules'!$D$3:$D$42)</f>
        <v>0</v>
      </c>
      <c r="AM316" s="198">
        <f>LOOKUP(AM$2,'Depreciation Schedules'!$A$3:$A$42,'Depreciation Schedules'!$D$3:$D$42)</f>
        <v>0</v>
      </c>
      <c r="AN316" s="198">
        <f>LOOKUP(AN$2,'Depreciation Schedules'!$A$3:$A$42,'Depreciation Schedules'!$D$3:$D$42)</f>
        <v>0</v>
      </c>
      <c r="AO316" s="198">
        <f>LOOKUP(AO$2,'Depreciation Schedules'!$A$3:$A$42,'Depreciation Schedules'!$D$3:$D$42)</f>
        <v>0</v>
      </c>
      <c r="AP316" s="198">
        <f>LOOKUP(AP$2,'Depreciation Schedules'!$A$3:$A$42,'Depreciation Schedules'!$D$3:$D$42)</f>
        <v>0</v>
      </c>
    </row>
    <row r="317" spans="1:42" x14ac:dyDescent="0.2">
      <c r="A317" s="188" t="str">
        <f t="shared" si="154"/>
        <v>15-yr SL</v>
      </c>
      <c r="B317" s="199">
        <f t="shared" si="155"/>
        <v>0.99999999999999989</v>
      </c>
      <c r="C317" s="198">
        <f>LOOKUP(C$2,'Depreciation Schedules'!$A$3:$A$42,'Depreciation Schedules'!$E$3:$E$42)</f>
        <v>3.3300000000000003E-2</v>
      </c>
      <c r="D317" s="198">
        <f>LOOKUP(D$2,'Depreciation Schedules'!$A$3:$A$42,'Depreciation Schedules'!$E$3:$E$42)</f>
        <v>6.6699999999999995E-2</v>
      </c>
      <c r="E317" s="198">
        <f>LOOKUP(E$2,'Depreciation Schedules'!$A$3:$A$42,'Depreciation Schedules'!$E$3:$E$42)</f>
        <v>6.6699999999999995E-2</v>
      </c>
      <c r="F317" s="198">
        <f>LOOKUP(F$2,'Depreciation Schedules'!$A$3:$A$42,'Depreciation Schedules'!$E$3:$E$42)</f>
        <v>6.6699999999999995E-2</v>
      </c>
      <c r="G317" s="198">
        <f>LOOKUP(G$2,'Depreciation Schedules'!$A$3:$A$42,'Depreciation Schedules'!$E$3:$E$42)</f>
        <v>6.6699999999999995E-2</v>
      </c>
      <c r="H317" s="198">
        <f>LOOKUP(H$2,'Depreciation Schedules'!$A$3:$A$42,'Depreciation Schedules'!$E$3:$E$42)</f>
        <v>6.6699999999999995E-2</v>
      </c>
      <c r="I317" s="198">
        <f>LOOKUP(I$2,'Depreciation Schedules'!$A$3:$A$42,'Depreciation Schedules'!$E$3:$E$42)</f>
        <v>6.6699999999999995E-2</v>
      </c>
      <c r="J317" s="198">
        <f>LOOKUP(J$2,'Depreciation Schedules'!$A$3:$A$42,'Depreciation Schedules'!$E$3:$E$42)</f>
        <v>6.6600000000000006E-2</v>
      </c>
      <c r="K317" s="198">
        <f>LOOKUP(K$2,'Depreciation Schedules'!$A$3:$A$42,'Depreciation Schedules'!$E$3:$E$42)</f>
        <v>6.6699999999999995E-2</v>
      </c>
      <c r="L317" s="198">
        <f>LOOKUP(L$2,'Depreciation Schedules'!$A$3:$A$42,'Depreciation Schedules'!$E$3:$E$42)</f>
        <v>6.6600000000000006E-2</v>
      </c>
      <c r="M317" s="198">
        <f>LOOKUP(M$2,'Depreciation Schedules'!$A$3:$A$42,'Depreciation Schedules'!$E$3:$E$42)</f>
        <v>6.6699999999999995E-2</v>
      </c>
      <c r="N317" s="198">
        <f>LOOKUP(N$2,'Depreciation Schedules'!$A$3:$A$42,'Depreciation Schedules'!$E$3:$E$42)</f>
        <v>6.6600000000000006E-2</v>
      </c>
      <c r="O317" s="198">
        <f>LOOKUP(O$2,'Depreciation Schedules'!$A$3:$A$42,'Depreciation Schedules'!$E$3:$E$42)</f>
        <v>6.6699999999999995E-2</v>
      </c>
      <c r="P317" s="198">
        <f>LOOKUP(P$2,'Depreciation Schedules'!$A$3:$A$42,'Depreciation Schedules'!$E$3:$E$42)</f>
        <v>6.6600000000000006E-2</v>
      </c>
      <c r="Q317" s="198">
        <f>LOOKUP(Q$2,'Depreciation Schedules'!$A$3:$A$42,'Depreciation Schedules'!$E$3:$E$42)</f>
        <v>6.6699999999999995E-2</v>
      </c>
      <c r="R317" s="198">
        <f>LOOKUP(R$2,'Depreciation Schedules'!$A$3:$A$42,'Depreciation Schedules'!$E$3:$E$42)</f>
        <v>3.3300000000000003E-2</v>
      </c>
      <c r="S317" s="198">
        <f>LOOKUP(S$2,'Depreciation Schedules'!$A$3:$A$42,'Depreciation Schedules'!$E$3:$E$42)</f>
        <v>0</v>
      </c>
      <c r="T317" s="198">
        <f>LOOKUP(T$2,'Depreciation Schedules'!$A$3:$A$42,'Depreciation Schedules'!$E$3:$E$42)</f>
        <v>0</v>
      </c>
      <c r="U317" s="198">
        <f>LOOKUP(U$2,'Depreciation Schedules'!$A$3:$A$42,'Depreciation Schedules'!$E$3:$E$42)</f>
        <v>0</v>
      </c>
      <c r="V317" s="198">
        <f>LOOKUP(V$2,'Depreciation Schedules'!$A$3:$A$42,'Depreciation Schedules'!$E$3:$E$42)</f>
        <v>0</v>
      </c>
      <c r="W317" s="198">
        <f>LOOKUP(W$2,'Depreciation Schedules'!$A$3:$A$42,'Depreciation Schedules'!$E$3:$E$42)</f>
        <v>0</v>
      </c>
      <c r="X317" s="198">
        <f>LOOKUP(X$2,'Depreciation Schedules'!$A$3:$A$42,'Depreciation Schedules'!$E$3:$E$42)</f>
        <v>0</v>
      </c>
      <c r="Y317" s="198">
        <f>LOOKUP(Y$2,'Depreciation Schedules'!$A$3:$A$42,'Depreciation Schedules'!$E$3:$E$42)</f>
        <v>0</v>
      </c>
      <c r="Z317" s="198">
        <f>LOOKUP(Z$2,'Depreciation Schedules'!$A$3:$A$42,'Depreciation Schedules'!$E$3:$E$42)</f>
        <v>0</v>
      </c>
      <c r="AA317" s="198">
        <f>LOOKUP(AA$2,'Depreciation Schedules'!$A$3:$A$42,'Depreciation Schedules'!$E$3:$E$42)</f>
        <v>0</v>
      </c>
      <c r="AB317" s="198">
        <f>LOOKUP(AB$2,'Depreciation Schedules'!$A$3:$A$42,'Depreciation Schedules'!$E$3:$E$42)</f>
        <v>0</v>
      </c>
      <c r="AC317" s="198">
        <f>LOOKUP(AC$2,'Depreciation Schedules'!$A$3:$A$42,'Depreciation Schedules'!$E$3:$E$42)</f>
        <v>0</v>
      </c>
      <c r="AD317" s="198">
        <f>LOOKUP(AD$2,'Depreciation Schedules'!$A$3:$A$42,'Depreciation Schedules'!$E$3:$E$42)</f>
        <v>0</v>
      </c>
      <c r="AE317" s="198">
        <f>LOOKUP(AE$2,'Depreciation Schedules'!$A$3:$A$42,'Depreciation Schedules'!$E$3:$E$42)</f>
        <v>0</v>
      </c>
      <c r="AF317" s="198">
        <f>LOOKUP(AF$2,'Depreciation Schedules'!$A$3:$A$42,'Depreciation Schedules'!$E$3:$E$42)</f>
        <v>0</v>
      </c>
      <c r="AG317" s="198">
        <f>LOOKUP(AG$2,'Depreciation Schedules'!$A$3:$A$42,'Depreciation Schedules'!$E$3:$E$42)</f>
        <v>0</v>
      </c>
      <c r="AH317" s="198">
        <f>LOOKUP(AH$2,'Depreciation Schedules'!$A$3:$A$42,'Depreciation Schedules'!$E$3:$E$42)</f>
        <v>0</v>
      </c>
      <c r="AI317" s="198">
        <f>LOOKUP(AI$2,'Depreciation Schedules'!$A$3:$A$42,'Depreciation Schedules'!$E$3:$E$42)</f>
        <v>0</v>
      </c>
      <c r="AJ317" s="198">
        <f>LOOKUP(AJ$2,'Depreciation Schedules'!$A$3:$A$42,'Depreciation Schedules'!$E$3:$E$42)</f>
        <v>0</v>
      </c>
      <c r="AK317" s="198">
        <f>LOOKUP(AK$2,'Depreciation Schedules'!$A$3:$A$42,'Depreciation Schedules'!$E$3:$E$42)</f>
        <v>0</v>
      </c>
      <c r="AL317" s="198">
        <f>LOOKUP(AL$2,'Depreciation Schedules'!$A$3:$A$42,'Depreciation Schedules'!$E$3:$E$42)</f>
        <v>0</v>
      </c>
      <c r="AM317" s="198">
        <f>LOOKUP(AM$2,'Depreciation Schedules'!$A$3:$A$42,'Depreciation Schedules'!$E$3:$E$42)</f>
        <v>0</v>
      </c>
      <c r="AN317" s="198">
        <f>LOOKUP(AN$2,'Depreciation Schedules'!$A$3:$A$42,'Depreciation Schedules'!$E$3:$E$42)</f>
        <v>0</v>
      </c>
      <c r="AO317" s="198">
        <f>LOOKUP(AO$2,'Depreciation Schedules'!$A$3:$A$42,'Depreciation Schedules'!$E$3:$E$42)</f>
        <v>0</v>
      </c>
      <c r="AP317" s="198">
        <f>LOOKUP(AP$2,'Depreciation Schedules'!$A$3:$A$42,'Depreciation Schedules'!$E$3:$E$42)</f>
        <v>0</v>
      </c>
    </row>
    <row r="318" spans="1:42" x14ac:dyDescent="0.2">
      <c r="A318" s="188" t="str">
        <f t="shared" si="154"/>
        <v>20-yr SL</v>
      </c>
      <c r="B318" s="199">
        <f t="shared" si="155"/>
        <v>1.0000000000000002</v>
      </c>
      <c r="C318" s="198">
        <f>LOOKUP(C$2,'Depreciation Schedules'!$A$3:$A$42,'Depreciation Schedules'!$F$3:$F$42)</f>
        <v>2.5000000000000001E-2</v>
      </c>
      <c r="D318" s="198">
        <f>LOOKUP(D$2,'Depreciation Schedules'!$A$3:$A$42,'Depreciation Schedules'!$F$3:$F$42)</f>
        <v>0.05</v>
      </c>
      <c r="E318" s="198">
        <f>LOOKUP(E$2,'Depreciation Schedules'!$A$3:$A$42,'Depreciation Schedules'!$F$3:$F$42)</f>
        <v>0.05</v>
      </c>
      <c r="F318" s="198">
        <f>LOOKUP(F$2,'Depreciation Schedules'!$A$3:$A$42,'Depreciation Schedules'!$F$3:$F$42)</f>
        <v>0.05</v>
      </c>
      <c r="G318" s="198">
        <f>LOOKUP(G$2,'Depreciation Schedules'!$A$3:$A$42,'Depreciation Schedules'!$F$3:$F$42)</f>
        <v>0.05</v>
      </c>
      <c r="H318" s="198">
        <f>LOOKUP(H$2,'Depreciation Schedules'!$A$3:$A$42,'Depreciation Schedules'!$F$3:$F$42)</f>
        <v>0.05</v>
      </c>
      <c r="I318" s="198">
        <f>LOOKUP(I$2,'Depreciation Schedules'!$A$3:$A$42,'Depreciation Schedules'!$F$3:$F$42)</f>
        <v>0.05</v>
      </c>
      <c r="J318" s="198">
        <f>LOOKUP(J$2,'Depreciation Schedules'!$A$3:$A$42,'Depreciation Schedules'!$F$3:$F$42)</f>
        <v>0.05</v>
      </c>
      <c r="K318" s="198">
        <f>LOOKUP(K$2,'Depreciation Schedules'!$A$3:$A$42,'Depreciation Schedules'!$F$3:$F$42)</f>
        <v>0.05</v>
      </c>
      <c r="L318" s="198">
        <f>LOOKUP(L$2,'Depreciation Schedules'!$A$3:$A$42,'Depreciation Schedules'!$F$3:$F$42)</f>
        <v>0.05</v>
      </c>
      <c r="M318" s="198">
        <f>LOOKUP(M$2,'Depreciation Schedules'!$A$3:$A$42,'Depreciation Schedules'!$F$3:$F$42)</f>
        <v>0.05</v>
      </c>
      <c r="N318" s="198">
        <f>LOOKUP(N$2,'Depreciation Schedules'!$A$3:$A$42,'Depreciation Schedules'!$F$3:$F$42)</f>
        <v>0.05</v>
      </c>
      <c r="O318" s="198">
        <f>LOOKUP(O$2,'Depreciation Schedules'!$A$3:$A$42,'Depreciation Schedules'!$F$3:$F$42)</f>
        <v>0.05</v>
      </c>
      <c r="P318" s="198">
        <f>LOOKUP(P$2,'Depreciation Schedules'!$A$3:$A$42,'Depreciation Schedules'!$F$3:$F$42)</f>
        <v>0.05</v>
      </c>
      <c r="Q318" s="198">
        <f>LOOKUP(Q$2,'Depreciation Schedules'!$A$3:$A$42,'Depreciation Schedules'!$F$3:$F$42)</f>
        <v>0.05</v>
      </c>
      <c r="R318" s="198">
        <f>LOOKUP(R$2,'Depreciation Schedules'!$A$3:$A$42,'Depreciation Schedules'!$F$3:$F$42)</f>
        <v>0.05</v>
      </c>
      <c r="S318" s="198">
        <f>LOOKUP(S$2,'Depreciation Schedules'!$A$3:$A$42,'Depreciation Schedules'!$F$3:$F$42)</f>
        <v>0.05</v>
      </c>
      <c r="T318" s="198">
        <f>LOOKUP(T$2,'Depreciation Schedules'!$A$3:$A$42,'Depreciation Schedules'!$F$3:$F$42)</f>
        <v>0.05</v>
      </c>
      <c r="U318" s="198">
        <f>LOOKUP(U$2,'Depreciation Schedules'!$A$3:$A$42,'Depreciation Schedules'!$F$3:$F$42)</f>
        <v>0.05</v>
      </c>
      <c r="V318" s="198">
        <f>LOOKUP(V$2,'Depreciation Schedules'!$A$3:$A$42,'Depreciation Schedules'!$F$3:$F$42)</f>
        <v>0.05</v>
      </c>
      <c r="W318" s="198">
        <f>LOOKUP(W$2,'Depreciation Schedules'!$A$3:$A$42,'Depreciation Schedules'!$F$3:$F$42)</f>
        <v>2.5000000000000001E-2</v>
      </c>
      <c r="X318" s="198">
        <f>LOOKUP(X$2,'Depreciation Schedules'!$A$3:$A$42,'Depreciation Schedules'!$F$3:$F$42)</f>
        <v>0</v>
      </c>
      <c r="Y318" s="198">
        <f>LOOKUP(Y$2,'Depreciation Schedules'!$A$3:$A$42,'Depreciation Schedules'!$F$3:$F$42)</f>
        <v>0</v>
      </c>
      <c r="Z318" s="198">
        <f>LOOKUP(Z$2,'Depreciation Schedules'!$A$3:$A$42,'Depreciation Schedules'!$F$3:$F$42)</f>
        <v>0</v>
      </c>
      <c r="AA318" s="198">
        <f>LOOKUP(AA$2,'Depreciation Schedules'!$A$3:$A$42,'Depreciation Schedules'!$F$3:$F$42)</f>
        <v>0</v>
      </c>
      <c r="AB318" s="198">
        <f>LOOKUP(AB$2,'Depreciation Schedules'!$A$3:$A$42,'Depreciation Schedules'!$F$3:$F$42)</f>
        <v>0</v>
      </c>
      <c r="AC318" s="198">
        <f>LOOKUP(AC$2,'Depreciation Schedules'!$A$3:$A$42,'Depreciation Schedules'!$F$3:$F$42)</f>
        <v>0</v>
      </c>
      <c r="AD318" s="198">
        <f>LOOKUP(AD$2,'Depreciation Schedules'!$A$3:$A$42,'Depreciation Schedules'!$F$3:$F$42)</f>
        <v>0</v>
      </c>
      <c r="AE318" s="198">
        <f>LOOKUP(AE$2,'Depreciation Schedules'!$A$3:$A$42,'Depreciation Schedules'!$F$3:$F$42)</f>
        <v>0</v>
      </c>
      <c r="AF318" s="198">
        <f>LOOKUP(AF$2,'Depreciation Schedules'!$A$3:$A$42,'Depreciation Schedules'!$F$3:$F$42)</f>
        <v>0</v>
      </c>
      <c r="AG318" s="198">
        <f>LOOKUP(AG$2,'Depreciation Schedules'!$A$3:$A$42,'Depreciation Schedules'!$F$3:$F$42)</f>
        <v>0</v>
      </c>
      <c r="AH318" s="198">
        <f>LOOKUP(AH$2,'Depreciation Schedules'!$A$3:$A$42,'Depreciation Schedules'!$F$3:$F$42)</f>
        <v>0</v>
      </c>
      <c r="AI318" s="198">
        <f>LOOKUP(AI$2,'Depreciation Schedules'!$A$3:$A$42,'Depreciation Schedules'!$F$3:$F$42)</f>
        <v>0</v>
      </c>
      <c r="AJ318" s="198">
        <f>LOOKUP(AJ$2,'Depreciation Schedules'!$A$3:$A$42,'Depreciation Schedules'!$F$3:$F$42)</f>
        <v>0</v>
      </c>
      <c r="AK318" s="198">
        <f>LOOKUP(AK$2,'Depreciation Schedules'!$A$3:$A$42,'Depreciation Schedules'!$F$3:$F$42)</f>
        <v>0</v>
      </c>
      <c r="AL318" s="198">
        <f>LOOKUP(AL$2,'Depreciation Schedules'!$A$3:$A$42,'Depreciation Schedules'!$F$3:$F$42)</f>
        <v>0</v>
      </c>
      <c r="AM318" s="198">
        <f>LOOKUP(AM$2,'Depreciation Schedules'!$A$3:$A$42,'Depreciation Schedules'!$F$3:$F$42)</f>
        <v>0</v>
      </c>
      <c r="AN318" s="198">
        <f>LOOKUP(AN$2,'Depreciation Schedules'!$A$3:$A$42,'Depreciation Schedules'!$F$3:$F$42)</f>
        <v>0</v>
      </c>
      <c r="AO318" s="198">
        <f>LOOKUP(AO$2,'Depreciation Schedules'!$A$3:$A$42,'Depreciation Schedules'!$F$3:$F$42)</f>
        <v>0</v>
      </c>
      <c r="AP318" s="198">
        <f>LOOKUP(AP$2,'Depreciation Schedules'!$A$3:$A$42,'Depreciation Schedules'!$F$3:$F$42)</f>
        <v>0</v>
      </c>
    </row>
    <row r="319" spans="1:42" x14ac:dyDescent="0.2">
      <c r="A319" s="188" t="str">
        <f t="shared" si="154"/>
        <v>39-yr SL</v>
      </c>
      <c r="B319" s="200">
        <f t="shared" si="155"/>
        <v>1.0000000000000004</v>
      </c>
      <c r="C319" s="198">
        <f>LOOKUP(C$2,'Depreciation Schedules'!$A$3:$A$42,'Depreciation Schedules'!$G$3:$G$42)</f>
        <v>1.2820512820512799E-2</v>
      </c>
      <c r="D319" s="198">
        <f>LOOKUP(D$2,'Depreciation Schedules'!$A$3:$A$42,'Depreciation Schedules'!$G$3:$G$42)</f>
        <v>2.564102564102564E-2</v>
      </c>
      <c r="E319" s="198">
        <f>LOOKUP(E$2,'Depreciation Schedules'!$A$3:$A$42,'Depreciation Schedules'!$G$3:$G$42)</f>
        <v>2.564102564102564E-2</v>
      </c>
      <c r="F319" s="198">
        <f>LOOKUP(F$2,'Depreciation Schedules'!$A$3:$A$42,'Depreciation Schedules'!$G$3:$G$42)</f>
        <v>2.564102564102564E-2</v>
      </c>
      <c r="G319" s="198">
        <f>LOOKUP(G$2,'Depreciation Schedules'!$A$3:$A$42,'Depreciation Schedules'!$G$3:$G$42)</f>
        <v>2.564102564102564E-2</v>
      </c>
      <c r="H319" s="198">
        <f>LOOKUP(H$2,'Depreciation Schedules'!$A$3:$A$42,'Depreciation Schedules'!$G$3:$G$42)</f>
        <v>2.564102564102564E-2</v>
      </c>
      <c r="I319" s="198">
        <f>LOOKUP(I$2,'Depreciation Schedules'!$A$3:$A$42,'Depreciation Schedules'!$G$3:$G$42)</f>
        <v>2.564102564102564E-2</v>
      </c>
      <c r="J319" s="198">
        <f>LOOKUP(J$2,'Depreciation Schedules'!$A$3:$A$42,'Depreciation Schedules'!$G$3:$G$42)</f>
        <v>2.564102564102564E-2</v>
      </c>
      <c r="K319" s="198">
        <f>LOOKUP(K$2,'Depreciation Schedules'!$A$3:$A$42,'Depreciation Schedules'!$G$3:$G$42)</f>
        <v>2.564102564102564E-2</v>
      </c>
      <c r="L319" s="198">
        <f>LOOKUP(L$2,'Depreciation Schedules'!$A$3:$A$42,'Depreciation Schedules'!$G$3:$G$42)</f>
        <v>2.564102564102564E-2</v>
      </c>
      <c r="M319" s="198">
        <f>LOOKUP(M$2,'Depreciation Schedules'!$A$3:$A$42,'Depreciation Schedules'!$G$3:$G$42)</f>
        <v>2.564102564102564E-2</v>
      </c>
      <c r="N319" s="198">
        <f>LOOKUP(N$2,'Depreciation Schedules'!$A$3:$A$42,'Depreciation Schedules'!$G$3:$G$42)</f>
        <v>2.564102564102564E-2</v>
      </c>
      <c r="O319" s="198">
        <f>LOOKUP(O$2,'Depreciation Schedules'!$A$3:$A$42,'Depreciation Schedules'!$G$3:$G$42)</f>
        <v>2.564102564102564E-2</v>
      </c>
      <c r="P319" s="198">
        <f>LOOKUP(P$2,'Depreciation Schedules'!$A$3:$A$42,'Depreciation Schedules'!$G$3:$G$42)</f>
        <v>2.564102564102564E-2</v>
      </c>
      <c r="Q319" s="198">
        <f>LOOKUP(Q$2,'Depreciation Schedules'!$A$3:$A$42,'Depreciation Schedules'!$G$3:$G$42)</f>
        <v>2.564102564102564E-2</v>
      </c>
      <c r="R319" s="198">
        <f>LOOKUP(R$2,'Depreciation Schedules'!$A$3:$A$42,'Depreciation Schedules'!$G$3:$G$42)</f>
        <v>2.564102564102564E-2</v>
      </c>
      <c r="S319" s="198">
        <f>LOOKUP(S$2,'Depreciation Schedules'!$A$3:$A$42,'Depreciation Schedules'!$G$3:$G$42)</f>
        <v>2.564102564102564E-2</v>
      </c>
      <c r="T319" s="198">
        <f>LOOKUP(T$2,'Depreciation Schedules'!$A$3:$A$42,'Depreciation Schedules'!$G$3:$G$42)</f>
        <v>2.564102564102564E-2</v>
      </c>
      <c r="U319" s="198">
        <f>LOOKUP(U$2,'Depreciation Schedules'!$A$3:$A$42,'Depreciation Schedules'!$G$3:$G$42)</f>
        <v>2.564102564102564E-2</v>
      </c>
      <c r="V319" s="198">
        <f>LOOKUP(V$2,'Depreciation Schedules'!$A$3:$A$42,'Depreciation Schedules'!$G$3:$G$42)</f>
        <v>2.564102564102564E-2</v>
      </c>
      <c r="W319" s="198">
        <f>LOOKUP(W$2,'Depreciation Schedules'!$A$3:$A$42,'Depreciation Schedules'!$G$3:$G$42)</f>
        <v>2.564102564102564E-2</v>
      </c>
      <c r="X319" s="198">
        <f>LOOKUP(X$2,'Depreciation Schedules'!$A$3:$A$42,'Depreciation Schedules'!$G$3:$G$42)</f>
        <v>2.564102564102564E-2</v>
      </c>
      <c r="Y319" s="198">
        <f>LOOKUP(Y$2,'Depreciation Schedules'!$A$3:$A$42,'Depreciation Schedules'!$G$3:$G$42)</f>
        <v>2.564102564102564E-2</v>
      </c>
      <c r="Z319" s="198">
        <f>LOOKUP(Z$2,'Depreciation Schedules'!$A$3:$A$42,'Depreciation Schedules'!$G$3:$G$42)</f>
        <v>2.564102564102564E-2</v>
      </c>
      <c r="AA319" s="198">
        <f>LOOKUP(AA$2,'Depreciation Schedules'!$A$3:$A$42,'Depreciation Schedules'!$G$3:$G$42)</f>
        <v>2.564102564102564E-2</v>
      </c>
      <c r="AB319" s="198">
        <f>LOOKUP(AB$2,'Depreciation Schedules'!$A$3:$A$42,'Depreciation Schedules'!$G$3:$G$42)</f>
        <v>2.564102564102564E-2</v>
      </c>
      <c r="AC319" s="198">
        <f>LOOKUP(AC$2,'Depreciation Schedules'!$A$3:$A$42,'Depreciation Schedules'!$G$3:$G$42)</f>
        <v>2.564102564102564E-2</v>
      </c>
      <c r="AD319" s="198">
        <f>LOOKUP(AD$2,'Depreciation Schedules'!$A$3:$A$42,'Depreciation Schedules'!$G$3:$G$42)</f>
        <v>2.564102564102564E-2</v>
      </c>
      <c r="AE319" s="198">
        <f>LOOKUP(AE$2,'Depreciation Schedules'!$A$3:$A$42,'Depreciation Schedules'!$G$3:$G$42)</f>
        <v>2.564102564102564E-2</v>
      </c>
      <c r="AF319" s="198">
        <f>LOOKUP(AF$2,'Depreciation Schedules'!$A$3:$A$42,'Depreciation Schedules'!$G$3:$G$42)</f>
        <v>2.564102564102564E-2</v>
      </c>
      <c r="AG319" s="198">
        <f>LOOKUP(AG$2,'Depreciation Schedules'!$A$3:$A$42,'Depreciation Schedules'!$G$3:$G$42)</f>
        <v>2.564102564102564E-2</v>
      </c>
      <c r="AH319" s="198">
        <f>LOOKUP(AH$2,'Depreciation Schedules'!$A$3:$A$42,'Depreciation Schedules'!$G$3:$G$42)</f>
        <v>2.564102564102564E-2</v>
      </c>
      <c r="AI319" s="198">
        <f>LOOKUP(AI$2,'Depreciation Schedules'!$A$3:$A$42,'Depreciation Schedules'!$G$3:$G$42)</f>
        <v>2.564102564102564E-2</v>
      </c>
      <c r="AJ319" s="198">
        <f>LOOKUP(AJ$2,'Depreciation Schedules'!$A$3:$A$42,'Depreciation Schedules'!$G$3:$G$42)</f>
        <v>2.564102564102564E-2</v>
      </c>
      <c r="AK319" s="198">
        <f>LOOKUP(AK$2,'Depreciation Schedules'!$A$3:$A$42,'Depreciation Schedules'!$G$3:$G$42)</f>
        <v>2.564102564102564E-2</v>
      </c>
      <c r="AL319" s="198">
        <f>LOOKUP(AL$2,'Depreciation Schedules'!$A$3:$A$42,'Depreciation Schedules'!$G$3:$G$42)</f>
        <v>2.564102564102564E-2</v>
      </c>
      <c r="AM319" s="198">
        <f>LOOKUP(AM$2,'Depreciation Schedules'!$A$3:$A$42,'Depreciation Schedules'!$G$3:$G$42)</f>
        <v>2.564102564102564E-2</v>
      </c>
      <c r="AN319" s="198">
        <f>LOOKUP(AN$2,'Depreciation Schedules'!$A$3:$A$42,'Depreciation Schedules'!$G$3:$G$42)</f>
        <v>2.564102564102564E-2</v>
      </c>
      <c r="AO319" s="198">
        <f>LOOKUP(AO$2,'Depreciation Schedules'!$A$3:$A$42,'Depreciation Schedules'!$G$3:$G$42)</f>
        <v>2.564102564102564E-2</v>
      </c>
      <c r="AP319" s="198">
        <f>LOOKUP(AP$2,'Depreciation Schedules'!$A$3:$A$42,'Depreciation Schedules'!$G$3:$G$42)</f>
        <v>1.2820512820512799E-2</v>
      </c>
    </row>
    <row r="320" spans="1:42" x14ac:dyDescent="0.2">
      <c r="A320" s="167" t="s">
        <v>34</v>
      </c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</row>
    <row r="321" spans="1:42" x14ac:dyDescent="0.2">
      <c r="A321" s="188" t="str">
        <f>A314</f>
        <v>5-yr MACRS</v>
      </c>
      <c r="B321" s="201">
        <f>SUM(C321:AP321)</f>
        <v>34093090.701136254</v>
      </c>
      <c r="C321" s="169">
        <f t="shared" ref="C321:AP321" si="156">C314*$Q281</f>
        <v>6818618.1402272508</v>
      </c>
      <c r="D321" s="169">
        <f t="shared" si="156"/>
        <v>10909789.024363602</v>
      </c>
      <c r="E321" s="169">
        <f t="shared" si="156"/>
        <v>6545873.4146181606</v>
      </c>
      <c r="F321" s="169">
        <f t="shared" si="156"/>
        <v>3927524.0487708962</v>
      </c>
      <c r="G321" s="169">
        <f t="shared" si="156"/>
        <v>3927524.0487708962</v>
      </c>
      <c r="H321" s="169">
        <f t="shared" si="156"/>
        <v>1963762.0243854481</v>
      </c>
      <c r="I321" s="169">
        <f t="shared" si="156"/>
        <v>0</v>
      </c>
      <c r="J321" s="169">
        <f t="shared" si="156"/>
        <v>0</v>
      </c>
      <c r="K321" s="169">
        <f t="shared" si="156"/>
        <v>0</v>
      </c>
      <c r="L321" s="169">
        <f t="shared" si="156"/>
        <v>0</v>
      </c>
      <c r="M321" s="169">
        <f t="shared" si="156"/>
        <v>0</v>
      </c>
      <c r="N321" s="169">
        <f t="shared" si="156"/>
        <v>0</v>
      </c>
      <c r="O321" s="169">
        <f t="shared" si="156"/>
        <v>0</v>
      </c>
      <c r="P321" s="169">
        <f t="shared" si="156"/>
        <v>0</v>
      </c>
      <c r="Q321" s="169">
        <f t="shared" si="156"/>
        <v>0</v>
      </c>
      <c r="R321" s="169">
        <f t="shared" si="156"/>
        <v>0</v>
      </c>
      <c r="S321" s="169">
        <f t="shared" si="156"/>
        <v>0</v>
      </c>
      <c r="T321" s="169">
        <f t="shared" si="156"/>
        <v>0</v>
      </c>
      <c r="U321" s="169">
        <f t="shared" si="156"/>
        <v>0</v>
      </c>
      <c r="V321" s="169">
        <f t="shared" si="156"/>
        <v>0</v>
      </c>
      <c r="W321" s="169">
        <f t="shared" si="156"/>
        <v>0</v>
      </c>
      <c r="X321" s="169">
        <f t="shared" si="156"/>
        <v>0</v>
      </c>
      <c r="Y321" s="169">
        <f t="shared" si="156"/>
        <v>0</v>
      </c>
      <c r="Z321" s="169">
        <f t="shared" si="156"/>
        <v>0</v>
      </c>
      <c r="AA321" s="169">
        <f t="shared" si="156"/>
        <v>0</v>
      </c>
      <c r="AB321" s="169">
        <f t="shared" si="156"/>
        <v>0</v>
      </c>
      <c r="AC321" s="169">
        <f t="shared" si="156"/>
        <v>0</v>
      </c>
      <c r="AD321" s="169">
        <f t="shared" si="156"/>
        <v>0</v>
      </c>
      <c r="AE321" s="169">
        <f t="shared" si="156"/>
        <v>0</v>
      </c>
      <c r="AF321" s="169">
        <f t="shared" si="156"/>
        <v>0</v>
      </c>
      <c r="AG321" s="169">
        <f t="shared" si="156"/>
        <v>0</v>
      </c>
      <c r="AH321" s="169">
        <f t="shared" si="156"/>
        <v>0</v>
      </c>
      <c r="AI321" s="169">
        <f t="shared" si="156"/>
        <v>0</v>
      </c>
      <c r="AJ321" s="169">
        <f t="shared" si="156"/>
        <v>0</v>
      </c>
      <c r="AK321" s="169">
        <f t="shared" si="156"/>
        <v>0</v>
      </c>
      <c r="AL321" s="169">
        <f t="shared" si="156"/>
        <v>0</v>
      </c>
      <c r="AM321" s="169">
        <f t="shared" si="156"/>
        <v>0</v>
      </c>
      <c r="AN321" s="169">
        <f t="shared" si="156"/>
        <v>0</v>
      </c>
      <c r="AO321" s="169">
        <f t="shared" si="156"/>
        <v>0</v>
      </c>
      <c r="AP321" s="169">
        <f t="shared" si="156"/>
        <v>0</v>
      </c>
    </row>
    <row r="322" spans="1:42" x14ac:dyDescent="0.2">
      <c r="A322" s="188" t="str">
        <f t="shared" ref="A322:A326" si="157">A315</f>
        <v>15-yr MACRS</v>
      </c>
      <c r="B322" s="136">
        <f t="shared" ref="B322:B328" si="158">SUM(C322:AP322)</f>
        <v>653959.54030312493</v>
      </c>
      <c r="C322" s="169">
        <f t="shared" ref="C322:AP322" si="159">C315*$Q282</f>
        <v>32697.977015156248</v>
      </c>
      <c r="D322" s="169">
        <f t="shared" si="159"/>
        <v>62126.156328796867</v>
      </c>
      <c r="E322" s="169">
        <f t="shared" si="159"/>
        <v>55913.540695917189</v>
      </c>
      <c r="F322" s="169">
        <f t="shared" si="159"/>
        <v>50354.884603340623</v>
      </c>
      <c r="G322" s="169">
        <f t="shared" si="159"/>
        <v>45319.396143006561</v>
      </c>
      <c r="H322" s="169">
        <f t="shared" si="159"/>
        <v>40741.679360884686</v>
      </c>
      <c r="I322" s="169">
        <f t="shared" si="159"/>
        <v>38583.61287788437</v>
      </c>
      <c r="J322" s="169">
        <f t="shared" si="159"/>
        <v>38583.61287788437</v>
      </c>
      <c r="K322" s="169">
        <f t="shared" si="159"/>
        <v>38649.008831914682</v>
      </c>
      <c r="L322" s="169">
        <f t="shared" si="159"/>
        <v>38583.61287788437</v>
      </c>
      <c r="M322" s="169">
        <f t="shared" si="159"/>
        <v>38649.008831914682</v>
      </c>
      <c r="N322" s="169">
        <f t="shared" si="159"/>
        <v>38583.61287788437</v>
      </c>
      <c r="O322" s="169">
        <f t="shared" si="159"/>
        <v>38649.008831914682</v>
      </c>
      <c r="P322" s="169">
        <f t="shared" si="159"/>
        <v>38583.61287788437</v>
      </c>
      <c r="Q322" s="169">
        <f t="shared" si="159"/>
        <v>38649.008831914682</v>
      </c>
      <c r="R322" s="169">
        <f t="shared" si="159"/>
        <v>19291.806438942185</v>
      </c>
      <c r="S322" s="169">
        <f t="shared" si="159"/>
        <v>0</v>
      </c>
      <c r="T322" s="169">
        <f t="shared" si="159"/>
        <v>0</v>
      </c>
      <c r="U322" s="169">
        <f t="shared" si="159"/>
        <v>0</v>
      </c>
      <c r="V322" s="169">
        <f t="shared" si="159"/>
        <v>0</v>
      </c>
      <c r="W322" s="169">
        <f t="shared" si="159"/>
        <v>0</v>
      </c>
      <c r="X322" s="169">
        <f t="shared" si="159"/>
        <v>0</v>
      </c>
      <c r="Y322" s="169">
        <f t="shared" si="159"/>
        <v>0</v>
      </c>
      <c r="Z322" s="169">
        <f t="shared" si="159"/>
        <v>0</v>
      </c>
      <c r="AA322" s="169">
        <f t="shared" si="159"/>
        <v>0</v>
      </c>
      <c r="AB322" s="169">
        <f t="shared" si="159"/>
        <v>0</v>
      </c>
      <c r="AC322" s="169">
        <f t="shared" si="159"/>
        <v>0</v>
      </c>
      <c r="AD322" s="169">
        <f t="shared" si="159"/>
        <v>0</v>
      </c>
      <c r="AE322" s="169">
        <f t="shared" si="159"/>
        <v>0</v>
      </c>
      <c r="AF322" s="169">
        <f t="shared" si="159"/>
        <v>0</v>
      </c>
      <c r="AG322" s="169">
        <f t="shared" si="159"/>
        <v>0</v>
      </c>
      <c r="AH322" s="169">
        <f t="shared" si="159"/>
        <v>0</v>
      </c>
      <c r="AI322" s="169">
        <f t="shared" si="159"/>
        <v>0</v>
      </c>
      <c r="AJ322" s="169">
        <f t="shared" si="159"/>
        <v>0</v>
      </c>
      <c r="AK322" s="169">
        <f t="shared" si="159"/>
        <v>0</v>
      </c>
      <c r="AL322" s="169">
        <f t="shared" si="159"/>
        <v>0</v>
      </c>
      <c r="AM322" s="169">
        <f t="shared" si="159"/>
        <v>0</v>
      </c>
      <c r="AN322" s="169">
        <f t="shared" si="159"/>
        <v>0</v>
      </c>
      <c r="AO322" s="169">
        <f t="shared" si="159"/>
        <v>0</v>
      </c>
      <c r="AP322" s="169">
        <f t="shared" si="159"/>
        <v>0</v>
      </c>
    </row>
    <row r="323" spans="1:42" x14ac:dyDescent="0.2">
      <c r="A323" s="188" t="str">
        <f t="shared" si="157"/>
        <v>5-yr SL</v>
      </c>
      <c r="B323" s="136">
        <f t="shared" si="158"/>
        <v>0</v>
      </c>
      <c r="C323" s="169">
        <f t="shared" ref="C323:AP323" si="160">C316*$Q283</f>
        <v>0</v>
      </c>
      <c r="D323" s="169">
        <f t="shared" si="160"/>
        <v>0</v>
      </c>
      <c r="E323" s="169">
        <f t="shared" si="160"/>
        <v>0</v>
      </c>
      <c r="F323" s="169">
        <f t="shared" si="160"/>
        <v>0</v>
      </c>
      <c r="G323" s="169">
        <f t="shared" si="160"/>
        <v>0</v>
      </c>
      <c r="H323" s="169">
        <f t="shared" si="160"/>
        <v>0</v>
      </c>
      <c r="I323" s="169">
        <f t="shared" si="160"/>
        <v>0</v>
      </c>
      <c r="J323" s="169">
        <f t="shared" si="160"/>
        <v>0</v>
      </c>
      <c r="K323" s="169">
        <f t="shared" si="160"/>
        <v>0</v>
      </c>
      <c r="L323" s="169">
        <f t="shared" si="160"/>
        <v>0</v>
      </c>
      <c r="M323" s="169">
        <f t="shared" si="160"/>
        <v>0</v>
      </c>
      <c r="N323" s="169">
        <f t="shared" si="160"/>
        <v>0</v>
      </c>
      <c r="O323" s="169">
        <f t="shared" si="160"/>
        <v>0</v>
      </c>
      <c r="P323" s="169">
        <f t="shared" si="160"/>
        <v>0</v>
      </c>
      <c r="Q323" s="169">
        <f t="shared" si="160"/>
        <v>0</v>
      </c>
      <c r="R323" s="169">
        <f t="shared" si="160"/>
        <v>0</v>
      </c>
      <c r="S323" s="169">
        <f t="shared" si="160"/>
        <v>0</v>
      </c>
      <c r="T323" s="169">
        <f t="shared" si="160"/>
        <v>0</v>
      </c>
      <c r="U323" s="169">
        <f t="shared" si="160"/>
        <v>0</v>
      </c>
      <c r="V323" s="169">
        <f t="shared" si="160"/>
        <v>0</v>
      </c>
      <c r="W323" s="169">
        <f t="shared" si="160"/>
        <v>0</v>
      </c>
      <c r="X323" s="169">
        <f t="shared" si="160"/>
        <v>0</v>
      </c>
      <c r="Y323" s="169">
        <f t="shared" si="160"/>
        <v>0</v>
      </c>
      <c r="Z323" s="169">
        <f t="shared" si="160"/>
        <v>0</v>
      </c>
      <c r="AA323" s="169">
        <f t="shared" si="160"/>
        <v>0</v>
      </c>
      <c r="AB323" s="169">
        <f t="shared" si="160"/>
        <v>0</v>
      </c>
      <c r="AC323" s="169">
        <f t="shared" si="160"/>
        <v>0</v>
      </c>
      <c r="AD323" s="169">
        <f t="shared" si="160"/>
        <v>0</v>
      </c>
      <c r="AE323" s="169">
        <f t="shared" si="160"/>
        <v>0</v>
      </c>
      <c r="AF323" s="169">
        <f t="shared" si="160"/>
        <v>0</v>
      </c>
      <c r="AG323" s="169">
        <f t="shared" si="160"/>
        <v>0</v>
      </c>
      <c r="AH323" s="169">
        <f t="shared" si="160"/>
        <v>0</v>
      </c>
      <c r="AI323" s="169">
        <f t="shared" si="160"/>
        <v>0</v>
      </c>
      <c r="AJ323" s="169">
        <f t="shared" si="160"/>
        <v>0</v>
      </c>
      <c r="AK323" s="169">
        <f t="shared" si="160"/>
        <v>0</v>
      </c>
      <c r="AL323" s="169">
        <f t="shared" si="160"/>
        <v>0</v>
      </c>
      <c r="AM323" s="169">
        <f t="shared" si="160"/>
        <v>0</v>
      </c>
      <c r="AN323" s="169">
        <f t="shared" si="160"/>
        <v>0</v>
      </c>
      <c r="AO323" s="169">
        <f t="shared" si="160"/>
        <v>0</v>
      </c>
      <c r="AP323" s="169">
        <f t="shared" si="160"/>
        <v>0</v>
      </c>
    </row>
    <row r="324" spans="1:42" x14ac:dyDescent="0.2">
      <c r="A324" s="188" t="str">
        <f t="shared" si="157"/>
        <v>15-yr SL</v>
      </c>
      <c r="B324" s="136">
        <f t="shared" si="158"/>
        <v>653959.54030312481</v>
      </c>
      <c r="C324" s="169">
        <f t="shared" ref="C324:AP324" si="161">C317*$Q284</f>
        <v>21776.852692094064</v>
      </c>
      <c r="D324" s="169">
        <f t="shared" si="161"/>
        <v>43619.101338218432</v>
      </c>
      <c r="E324" s="169">
        <f t="shared" si="161"/>
        <v>43619.101338218432</v>
      </c>
      <c r="F324" s="169">
        <f t="shared" si="161"/>
        <v>43619.101338218432</v>
      </c>
      <c r="G324" s="169">
        <f t="shared" si="161"/>
        <v>43619.101338218432</v>
      </c>
      <c r="H324" s="169">
        <f t="shared" si="161"/>
        <v>43619.101338218432</v>
      </c>
      <c r="I324" s="169">
        <f t="shared" si="161"/>
        <v>43619.101338218432</v>
      </c>
      <c r="J324" s="169">
        <f t="shared" si="161"/>
        <v>43553.705384188128</v>
      </c>
      <c r="K324" s="169">
        <f t="shared" si="161"/>
        <v>43619.101338218432</v>
      </c>
      <c r="L324" s="169">
        <f t="shared" si="161"/>
        <v>43553.705384188128</v>
      </c>
      <c r="M324" s="169">
        <f t="shared" si="161"/>
        <v>43619.101338218432</v>
      </c>
      <c r="N324" s="169">
        <f t="shared" si="161"/>
        <v>43553.705384188128</v>
      </c>
      <c r="O324" s="169">
        <f t="shared" si="161"/>
        <v>43619.101338218432</v>
      </c>
      <c r="P324" s="169">
        <f t="shared" si="161"/>
        <v>43553.705384188128</v>
      </c>
      <c r="Q324" s="169">
        <f t="shared" si="161"/>
        <v>43619.101338218432</v>
      </c>
      <c r="R324" s="169">
        <f t="shared" si="161"/>
        <v>21776.852692094064</v>
      </c>
      <c r="S324" s="169">
        <f t="shared" si="161"/>
        <v>0</v>
      </c>
      <c r="T324" s="169">
        <f t="shared" si="161"/>
        <v>0</v>
      </c>
      <c r="U324" s="169">
        <f t="shared" si="161"/>
        <v>0</v>
      </c>
      <c r="V324" s="169">
        <f t="shared" si="161"/>
        <v>0</v>
      </c>
      <c r="W324" s="169">
        <f t="shared" si="161"/>
        <v>0</v>
      </c>
      <c r="X324" s="169">
        <f t="shared" si="161"/>
        <v>0</v>
      </c>
      <c r="Y324" s="169">
        <f t="shared" si="161"/>
        <v>0</v>
      </c>
      <c r="Z324" s="169">
        <f t="shared" si="161"/>
        <v>0</v>
      </c>
      <c r="AA324" s="169">
        <f t="shared" si="161"/>
        <v>0</v>
      </c>
      <c r="AB324" s="169">
        <f t="shared" si="161"/>
        <v>0</v>
      </c>
      <c r="AC324" s="169">
        <f t="shared" si="161"/>
        <v>0</v>
      </c>
      <c r="AD324" s="169">
        <f t="shared" si="161"/>
        <v>0</v>
      </c>
      <c r="AE324" s="169">
        <f t="shared" si="161"/>
        <v>0</v>
      </c>
      <c r="AF324" s="169">
        <f t="shared" si="161"/>
        <v>0</v>
      </c>
      <c r="AG324" s="169">
        <f t="shared" si="161"/>
        <v>0</v>
      </c>
      <c r="AH324" s="169">
        <f t="shared" si="161"/>
        <v>0</v>
      </c>
      <c r="AI324" s="169">
        <f t="shared" si="161"/>
        <v>0</v>
      </c>
      <c r="AJ324" s="169">
        <f t="shared" si="161"/>
        <v>0</v>
      </c>
      <c r="AK324" s="169">
        <f t="shared" si="161"/>
        <v>0</v>
      </c>
      <c r="AL324" s="169">
        <f t="shared" si="161"/>
        <v>0</v>
      </c>
      <c r="AM324" s="169">
        <f t="shared" si="161"/>
        <v>0</v>
      </c>
      <c r="AN324" s="169">
        <f t="shared" si="161"/>
        <v>0</v>
      </c>
      <c r="AO324" s="169">
        <f t="shared" si="161"/>
        <v>0</v>
      </c>
      <c r="AP324" s="169">
        <f t="shared" si="161"/>
        <v>0</v>
      </c>
    </row>
    <row r="325" spans="1:42" x14ac:dyDescent="0.2">
      <c r="A325" s="188" t="str">
        <f t="shared" si="157"/>
        <v>20-yr SL</v>
      </c>
      <c r="B325" s="136">
        <f t="shared" si="158"/>
        <v>1307919.0806062501</v>
      </c>
      <c r="C325" s="169">
        <f t="shared" ref="C325:AP325" si="162">C318*$Q285</f>
        <v>32697.977015156248</v>
      </c>
      <c r="D325" s="169">
        <f t="shared" si="162"/>
        <v>65395.954030312496</v>
      </c>
      <c r="E325" s="169">
        <f t="shared" si="162"/>
        <v>65395.954030312496</v>
      </c>
      <c r="F325" s="169">
        <f t="shared" si="162"/>
        <v>65395.954030312496</v>
      </c>
      <c r="G325" s="169">
        <f t="shared" si="162"/>
        <v>65395.954030312496</v>
      </c>
      <c r="H325" s="169">
        <f t="shared" si="162"/>
        <v>65395.954030312496</v>
      </c>
      <c r="I325" s="169">
        <f t="shared" si="162"/>
        <v>65395.954030312496</v>
      </c>
      <c r="J325" s="169">
        <f t="shared" si="162"/>
        <v>65395.954030312496</v>
      </c>
      <c r="K325" s="169">
        <f t="shared" si="162"/>
        <v>65395.954030312496</v>
      </c>
      <c r="L325" s="169">
        <f t="shared" si="162"/>
        <v>65395.954030312496</v>
      </c>
      <c r="M325" s="169">
        <f t="shared" si="162"/>
        <v>65395.954030312496</v>
      </c>
      <c r="N325" s="169">
        <f t="shared" si="162"/>
        <v>65395.954030312496</v>
      </c>
      <c r="O325" s="169">
        <f t="shared" si="162"/>
        <v>65395.954030312496</v>
      </c>
      <c r="P325" s="169">
        <f t="shared" si="162"/>
        <v>65395.954030312496</v>
      </c>
      <c r="Q325" s="169">
        <f t="shared" si="162"/>
        <v>65395.954030312496</v>
      </c>
      <c r="R325" s="169">
        <f t="shared" si="162"/>
        <v>65395.954030312496</v>
      </c>
      <c r="S325" s="169">
        <f t="shared" si="162"/>
        <v>65395.954030312496</v>
      </c>
      <c r="T325" s="169">
        <f t="shared" si="162"/>
        <v>65395.954030312496</v>
      </c>
      <c r="U325" s="169">
        <f t="shared" si="162"/>
        <v>65395.954030312496</v>
      </c>
      <c r="V325" s="169">
        <f t="shared" si="162"/>
        <v>65395.954030312496</v>
      </c>
      <c r="W325" s="169">
        <f t="shared" si="162"/>
        <v>32697.977015156248</v>
      </c>
      <c r="X325" s="169">
        <f t="shared" si="162"/>
        <v>0</v>
      </c>
      <c r="Y325" s="169">
        <f t="shared" si="162"/>
        <v>0</v>
      </c>
      <c r="Z325" s="169">
        <f t="shared" si="162"/>
        <v>0</v>
      </c>
      <c r="AA325" s="169">
        <f t="shared" si="162"/>
        <v>0</v>
      </c>
      <c r="AB325" s="169">
        <f t="shared" si="162"/>
        <v>0</v>
      </c>
      <c r="AC325" s="169">
        <f t="shared" si="162"/>
        <v>0</v>
      </c>
      <c r="AD325" s="169">
        <f t="shared" si="162"/>
        <v>0</v>
      </c>
      <c r="AE325" s="169">
        <f t="shared" si="162"/>
        <v>0</v>
      </c>
      <c r="AF325" s="169">
        <f t="shared" si="162"/>
        <v>0</v>
      </c>
      <c r="AG325" s="169">
        <f t="shared" si="162"/>
        <v>0</v>
      </c>
      <c r="AH325" s="169">
        <f t="shared" si="162"/>
        <v>0</v>
      </c>
      <c r="AI325" s="169">
        <f t="shared" si="162"/>
        <v>0</v>
      </c>
      <c r="AJ325" s="169">
        <f t="shared" si="162"/>
        <v>0</v>
      </c>
      <c r="AK325" s="169">
        <f t="shared" si="162"/>
        <v>0</v>
      </c>
      <c r="AL325" s="169">
        <f t="shared" si="162"/>
        <v>0</v>
      </c>
      <c r="AM325" s="169">
        <f t="shared" si="162"/>
        <v>0</v>
      </c>
      <c r="AN325" s="169">
        <f t="shared" si="162"/>
        <v>0</v>
      </c>
      <c r="AO325" s="169">
        <f t="shared" si="162"/>
        <v>0</v>
      </c>
      <c r="AP325" s="169">
        <f t="shared" si="162"/>
        <v>0</v>
      </c>
    </row>
    <row r="326" spans="1:42" x14ac:dyDescent="0.2">
      <c r="A326" s="188" t="str">
        <f t="shared" si="157"/>
        <v>39-yr SL</v>
      </c>
      <c r="B326" s="136">
        <f t="shared" si="158"/>
        <v>217986.51343437508</v>
      </c>
      <c r="C326" s="169">
        <f t="shared" ref="C326:AP326" si="163">C319*$Q286</f>
        <v>2794.6988901842901</v>
      </c>
      <c r="D326" s="169">
        <f t="shared" si="163"/>
        <v>5589.3977803685893</v>
      </c>
      <c r="E326" s="169">
        <f t="shared" si="163"/>
        <v>5589.3977803685893</v>
      </c>
      <c r="F326" s="169">
        <f t="shared" si="163"/>
        <v>5589.3977803685893</v>
      </c>
      <c r="G326" s="169">
        <f t="shared" si="163"/>
        <v>5589.3977803685893</v>
      </c>
      <c r="H326" s="169">
        <f t="shared" si="163"/>
        <v>5589.3977803685893</v>
      </c>
      <c r="I326" s="169">
        <f t="shared" si="163"/>
        <v>5589.3977803685893</v>
      </c>
      <c r="J326" s="169">
        <f t="shared" si="163"/>
        <v>5589.3977803685893</v>
      </c>
      <c r="K326" s="169">
        <f t="shared" si="163"/>
        <v>5589.3977803685893</v>
      </c>
      <c r="L326" s="169">
        <f t="shared" si="163"/>
        <v>5589.3977803685893</v>
      </c>
      <c r="M326" s="169">
        <f t="shared" si="163"/>
        <v>5589.3977803685893</v>
      </c>
      <c r="N326" s="169">
        <f t="shared" si="163"/>
        <v>5589.3977803685893</v>
      </c>
      <c r="O326" s="169">
        <f t="shared" si="163"/>
        <v>5589.3977803685893</v>
      </c>
      <c r="P326" s="169">
        <f t="shared" si="163"/>
        <v>5589.3977803685893</v>
      </c>
      <c r="Q326" s="169">
        <f t="shared" si="163"/>
        <v>5589.3977803685893</v>
      </c>
      <c r="R326" s="169">
        <f t="shared" si="163"/>
        <v>5589.3977803685893</v>
      </c>
      <c r="S326" s="169">
        <f t="shared" si="163"/>
        <v>5589.3977803685893</v>
      </c>
      <c r="T326" s="169">
        <f t="shared" si="163"/>
        <v>5589.3977803685893</v>
      </c>
      <c r="U326" s="169">
        <f t="shared" si="163"/>
        <v>5589.3977803685893</v>
      </c>
      <c r="V326" s="169">
        <f t="shared" si="163"/>
        <v>5589.3977803685893</v>
      </c>
      <c r="W326" s="169">
        <f t="shared" si="163"/>
        <v>5589.3977803685893</v>
      </c>
      <c r="X326" s="169">
        <f t="shared" si="163"/>
        <v>5589.3977803685893</v>
      </c>
      <c r="Y326" s="169">
        <f t="shared" si="163"/>
        <v>5589.3977803685893</v>
      </c>
      <c r="Z326" s="169">
        <f t="shared" si="163"/>
        <v>5589.3977803685893</v>
      </c>
      <c r="AA326" s="169">
        <f t="shared" si="163"/>
        <v>5589.3977803685893</v>
      </c>
      <c r="AB326" s="169">
        <f t="shared" si="163"/>
        <v>5589.3977803685893</v>
      </c>
      <c r="AC326" s="169">
        <f t="shared" si="163"/>
        <v>5589.3977803685893</v>
      </c>
      <c r="AD326" s="169">
        <f t="shared" si="163"/>
        <v>5589.3977803685893</v>
      </c>
      <c r="AE326" s="169">
        <f t="shared" si="163"/>
        <v>5589.3977803685893</v>
      </c>
      <c r="AF326" s="169">
        <f t="shared" si="163"/>
        <v>5589.3977803685893</v>
      </c>
      <c r="AG326" s="169">
        <f t="shared" si="163"/>
        <v>5589.3977803685893</v>
      </c>
      <c r="AH326" s="169">
        <f t="shared" si="163"/>
        <v>5589.3977803685893</v>
      </c>
      <c r="AI326" s="169">
        <f t="shared" si="163"/>
        <v>5589.3977803685893</v>
      </c>
      <c r="AJ326" s="169">
        <f t="shared" si="163"/>
        <v>5589.3977803685893</v>
      </c>
      <c r="AK326" s="169">
        <f t="shared" si="163"/>
        <v>5589.3977803685893</v>
      </c>
      <c r="AL326" s="169">
        <f t="shared" si="163"/>
        <v>5589.3977803685893</v>
      </c>
      <c r="AM326" s="169">
        <f t="shared" si="163"/>
        <v>5589.3977803685893</v>
      </c>
      <c r="AN326" s="169">
        <f t="shared" si="163"/>
        <v>5589.3977803685893</v>
      </c>
      <c r="AO326" s="169">
        <f t="shared" si="163"/>
        <v>5589.3977803685893</v>
      </c>
      <c r="AP326" s="169">
        <f t="shared" si="163"/>
        <v>2794.6988901842901</v>
      </c>
    </row>
    <row r="327" spans="1:42" x14ac:dyDescent="0.2">
      <c r="A327" s="188" t="s">
        <v>268</v>
      </c>
      <c r="B327" s="195">
        <f t="shared" si="158"/>
        <v>0</v>
      </c>
      <c r="C327" s="170">
        <f>P288</f>
        <v>0</v>
      </c>
      <c r="D327" s="170">
        <v>0</v>
      </c>
      <c r="E327" s="170">
        <v>0</v>
      </c>
      <c r="F327" s="170">
        <v>0</v>
      </c>
      <c r="G327" s="170">
        <v>0</v>
      </c>
      <c r="H327" s="170">
        <v>0</v>
      </c>
      <c r="I327" s="170">
        <v>0</v>
      </c>
      <c r="J327" s="170">
        <v>0</v>
      </c>
      <c r="K327" s="170">
        <v>0</v>
      </c>
      <c r="L327" s="170">
        <v>0</v>
      </c>
      <c r="M327" s="170">
        <v>0</v>
      </c>
      <c r="N327" s="170">
        <v>0</v>
      </c>
      <c r="O327" s="170">
        <v>0</v>
      </c>
      <c r="P327" s="170">
        <v>0</v>
      </c>
      <c r="Q327" s="170">
        <v>0</v>
      </c>
      <c r="R327" s="170">
        <v>0</v>
      </c>
      <c r="S327" s="170">
        <v>0</v>
      </c>
      <c r="T327" s="170">
        <v>0</v>
      </c>
      <c r="U327" s="170">
        <v>0</v>
      </c>
      <c r="V327" s="170">
        <v>0</v>
      </c>
      <c r="W327" s="170">
        <v>0</v>
      </c>
      <c r="X327" s="170">
        <v>0</v>
      </c>
      <c r="Y327" s="170">
        <v>0</v>
      </c>
      <c r="Z327" s="170">
        <v>0</v>
      </c>
      <c r="AA327" s="170">
        <v>0</v>
      </c>
      <c r="AB327" s="170">
        <v>0</v>
      </c>
      <c r="AC327" s="170">
        <v>0</v>
      </c>
      <c r="AD327" s="170">
        <v>0</v>
      </c>
      <c r="AE327" s="170">
        <v>0</v>
      </c>
      <c r="AF327" s="170">
        <v>0</v>
      </c>
      <c r="AG327" s="170">
        <v>0</v>
      </c>
      <c r="AH327" s="170">
        <v>0</v>
      </c>
      <c r="AI327" s="170">
        <v>0</v>
      </c>
      <c r="AJ327" s="170">
        <v>0</v>
      </c>
      <c r="AK327" s="170">
        <v>0</v>
      </c>
      <c r="AL327" s="170">
        <v>0</v>
      </c>
      <c r="AM327" s="170">
        <v>0</v>
      </c>
      <c r="AN327" s="170">
        <v>0</v>
      </c>
      <c r="AO327" s="170">
        <v>0</v>
      </c>
      <c r="AP327" s="170">
        <v>0</v>
      </c>
    </row>
    <row r="328" spans="1:42" x14ac:dyDescent="0.2">
      <c r="A328" s="187"/>
      <c r="B328" s="195">
        <f t="shared" si="158"/>
        <v>36926915.375783086</v>
      </c>
      <c r="C328" s="169">
        <f>SUM(C321:C327)</f>
        <v>6908585.6458398411</v>
      </c>
      <c r="D328" s="169">
        <f t="shared" ref="D328:AP328" si="164">SUM(D321:D327)</f>
        <v>11086519.633841299</v>
      </c>
      <c r="E328" s="169">
        <f t="shared" si="164"/>
        <v>6716391.408462978</v>
      </c>
      <c r="F328" s="169">
        <f t="shared" si="164"/>
        <v>4092483.3865231364</v>
      </c>
      <c r="G328" s="169">
        <f t="shared" si="164"/>
        <v>4087447.8980628024</v>
      </c>
      <c r="H328" s="169">
        <f t="shared" si="164"/>
        <v>2119108.1568952324</v>
      </c>
      <c r="I328" s="169">
        <f t="shared" si="164"/>
        <v>153188.0660267839</v>
      </c>
      <c r="J328" s="169">
        <f t="shared" si="164"/>
        <v>153122.67007275359</v>
      </c>
      <c r="K328" s="169">
        <f t="shared" si="164"/>
        <v>153253.4619808142</v>
      </c>
      <c r="L328" s="169">
        <f t="shared" si="164"/>
        <v>153122.67007275359</v>
      </c>
      <c r="M328" s="169">
        <f t="shared" si="164"/>
        <v>153253.4619808142</v>
      </c>
      <c r="N328" s="169">
        <f t="shared" si="164"/>
        <v>153122.67007275359</v>
      </c>
      <c r="O328" s="169">
        <f t="shared" si="164"/>
        <v>153253.4619808142</v>
      </c>
      <c r="P328" s="169">
        <f t="shared" si="164"/>
        <v>153122.67007275359</v>
      </c>
      <c r="Q328" s="169">
        <f t="shared" si="164"/>
        <v>153253.4619808142</v>
      </c>
      <c r="R328" s="169">
        <f t="shared" si="164"/>
        <v>112054.01094171732</v>
      </c>
      <c r="S328" s="169">
        <f t="shared" si="164"/>
        <v>70985.351810681081</v>
      </c>
      <c r="T328" s="169">
        <f t="shared" si="164"/>
        <v>70985.351810681081</v>
      </c>
      <c r="U328" s="169">
        <f t="shared" si="164"/>
        <v>70985.351810681081</v>
      </c>
      <c r="V328" s="169">
        <f t="shared" si="164"/>
        <v>70985.351810681081</v>
      </c>
      <c r="W328" s="169">
        <f t="shared" si="164"/>
        <v>38287.37479552484</v>
      </c>
      <c r="X328" s="169">
        <f t="shared" si="164"/>
        <v>5589.3977803685893</v>
      </c>
      <c r="Y328" s="169">
        <f t="shared" si="164"/>
        <v>5589.3977803685893</v>
      </c>
      <c r="Z328" s="169">
        <f t="shared" si="164"/>
        <v>5589.3977803685893</v>
      </c>
      <c r="AA328" s="169">
        <f t="shared" si="164"/>
        <v>5589.3977803685893</v>
      </c>
      <c r="AB328" s="169">
        <f t="shared" si="164"/>
        <v>5589.3977803685893</v>
      </c>
      <c r="AC328" s="169">
        <f t="shared" si="164"/>
        <v>5589.3977803685893</v>
      </c>
      <c r="AD328" s="169">
        <f t="shared" si="164"/>
        <v>5589.3977803685893</v>
      </c>
      <c r="AE328" s="169">
        <f t="shared" si="164"/>
        <v>5589.3977803685893</v>
      </c>
      <c r="AF328" s="169">
        <f t="shared" si="164"/>
        <v>5589.3977803685893</v>
      </c>
      <c r="AG328" s="169">
        <f t="shared" si="164"/>
        <v>5589.3977803685893</v>
      </c>
      <c r="AH328" s="169">
        <f t="shared" si="164"/>
        <v>5589.3977803685893</v>
      </c>
      <c r="AI328" s="169">
        <f t="shared" si="164"/>
        <v>5589.3977803685893</v>
      </c>
      <c r="AJ328" s="169">
        <f t="shared" si="164"/>
        <v>5589.3977803685893</v>
      </c>
      <c r="AK328" s="169">
        <f t="shared" si="164"/>
        <v>5589.3977803685893</v>
      </c>
      <c r="AL328" s="169">
        <f t="shared" si="164"/>
        <v>5589.3977803685893</v>
      </c>
      <c r="AM328" s="169">
        <f t="shared" si="164"/>
        <v>5589.3977803685893</v>
      </c>
      <c r="AN328" s="169">
        <f t="shared" si="164"/>
        <v>5589.3977803685893</v>
      </c>
      <c r="AO328" s="169">
        <f t="shared" si="164"/>
        <v>5589.3977803685893</v>
      </c>
      <c r="AP328" s="169">
        <f t="shared" si="164"/>
        <v>2794.6988901842901</v>
      </c>
    </row>
    <row r="329" spans="1:42" x14ac:dyDescent="0.2">
      <c r="A329" s="187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</row>
    <row r="330" spans="1:42" x14ac:dyDescent="0.2">
      <c r="A330" s="180" t="s">
        <v>191</v>
      </c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</row>
    <row r="331" spans="1:42" x14ac:dyDescent="0.2">
      <c r="A331" s="187" t="s">
        <v>193</v>
      </c>
      <c r="B331" s="202" t="str">
        <f>MMStateTaxTreatment</f>
        <v>5-yr MACRS</v>
      </c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</row>
    <row r="332" spans="1:42" x14ac:dyDescent="0.2">
      <c r="A332" s="187" t="s">
        <v>194</v>
      </c>
      <c r="B332" s="169">
        <f t="shared" ref="B332:AP332" si="165">B2</f>
        <v>0</v>
      </c>
      <c r="C332" s="169">
        <f t="shared" si="165"/>
        <v>1</v>
      </c>
      <c r="D332" s="169">
        <f t="shared" si="165"/>
        <v>2</v>
      </c>
      <c r="E332" s="169">
        <f t="shared" si="165"/>
        <v>3</v>
      </c>
      <c r="F332" s="169">
        <f t="shared" si="165"/>
        <v>4</v>
      </c>
      <c r="G332" s="169">
        <f t="shared" si="165"/>
        <v>5</v>
      </c>
      <c r="H332" s="169">
        <f t="shared" si="165"/>
        <v>6</v>
      </c>
      <c r="I332" s="169">
        <f t="shared" si="165"/>
        <v>7</v>
      </c>
      <c r="J332" s="169">
        <f t="shared" si="165"/>
        <v>8</v>
      </c>
      <c r="K332" s="169">
        <f t="shared" si="165"/>
        <v>9</v>
      </c>
      <c r="L332" s="169">
        <f t="shared" si="165"/>
        <v>10</v>
      </c>
      <c r="M332" s="169">
        <f t="shared" si="165"/>
        <v>11</v>
      </c>
      <c r="N332" s="169">
        <f t="shared" si="165"/>
        <v>12</v>
      </c>
      <c r="O332" s="169">
        <f t="shared" si="165"/>
        <v>13</v>
      </c>
      <c r="P332" s="169">
        <f t="shared" si="165"/>
        <v>14</v>
      </c>
      <c r="Q332" s="169">
        <f t="shared" si="165"/>
        <v>15</v>
      </c>
      <c r="R332" s="169">
        <f t="shared" si="165"/>
        <v>16</v>
      </c>
      <c r="S332" s="169">
        <f t="shared" si="165"/>
        <v>17</v>
      </c>
      <c r="T332" s="169">
        <f t="shared" si="165"/>
        <v>18</v>
      </c>
      <c r="U332" s="169">
        <f t="shared" si="165"/>
        <v>19</v>
      </c>
      <c r="V332" s="169">
        <f t="shared" si="165"/>
        <v>20</v>
      </c>
      <c r="W332" s="169">
        <f t="shared" si="165"/>
        <v>21</v>
      </c>
      <c r="X332" s="169">
        <f t="shared" si="165"/>
        <v>22</v>
      </c>
      <c r="Y332" s="169">
        <f t="shared" si="165"/>
        <v>23</v>
      </c>
      <c r="Z332" s="169">
        <f t="shared" si="165"/>
        <v>24</v>
      </c>
      <c r="AA332" s="169">
        <f t="shared" si="165"/>
        <v>25</v>
      </c>
      <c r="AB332" s="169">
        <f t="shared" si="165"/>
        <v>26</v>
      </c>
      <c r="AC332" s="169">
        <f t="shared" si="165"/>
        <v>27</v>
      </c>
      <c r="AD332" s="169">
        <f t="shared" si="165"/>
        <v>28</v>
      </c>
      <c r="AE332" s="169">
        <f t="shared" si="165"/>
        <v>29</v>
      </c>
      <c r="AF332" s="169">
        <f t="shared" si="165"/>
        <v>30</v>
      </c>
      <c r="AG332" s="169">
        <f t="shared" si="165"/>
        <v>31</v>
      </c>
      <c r="AH332" s="169">
        <f t="shared" si="165"/>
        <v>32</v>
      </c>
      <c r="AI332" s="169">
        <f t="shared" si="165"/>
        <v>33</v>
      </c>
      <c r="AJ332" s="169">
        <f t="shared" si="165"/>
        <v>34</v>
      </c>
      <c r="AK332" s="169">
        <f t="shared" si="165"/>
        <v>35</v>
      </c>
      <c r="AL332" s="169">
        <f t="shared" si="165"/>
        <v>36</v>
      </c>
      <c r="AM332" s="169">
        <f t="shared" si="165"/>
        <v>37</v>
      </c>
      <c r="AN332" s="169">
        <f t="shared" si="165"/>
        <v>38</v>
      </c>
      <c r="AO332" s="169">
        <f t="shared" si="165"/>
        <v>39</v>
      </c>
      <c r="AP332" s="169">
        <f t="shared" si="165"/>
        <v>40</v>
      </c>
    </row>
    <row r="333" spans="1:42" x14ac:dyDescent="0.2">
      <c r="A333" s="187" t="s">
        <v>195</v>
      </c>
      <c r="B333" s="203">
        <v>0</v>
      </c>
      <c r="C333" s="198">
        <f t="shared" ref="C333:AP333" si="166">IF($B$331=$A314,C314,0)+IF($B$331=$A315,C315,0)+IF($B$331=$A316,C316,0)+IF($B$331=$A317,C317,0)+IF($B$331=$A318,C318,0)+IF($B$331=$A319,C319,0)</f>
        <v>0.2</v>
      </c>
      <c r="D333" s="198">
        <f t="shared" si="166"/>
        <v>0.32</v>
      </c>
      <c r="E333" s="198">
        <f t="shared" si="166"/>
        <v>0.192</v>
      </c>
      <c r="F333" s="198">
        <f t="shared" si="166"/>
        <v>0.1152</v>
      </c>
      <c r="G333" s="198">
        <f t="shared" si="166"/>
        <v>0.1152</v>
      </c>
      <c r="H333" s="198">
        <f t="shared" si="166"/>
        <v>5.7599999999999998E-2</v>
      </c>
      <c r="I333" s="198">
        <f t="shared" si="166"/>
        <v>0</v>
      </c>
      <c r="J333" s="198">
        <f t="shared" si="166"/>
        <v>0</v>
      </c>
      <c r="K333" s="198">
        <f t="shared" si="166"/>
        <v>0</v>
      </c>
      <c r="L333" s="198">
        <f t="shared" si="166"/>
        <v>0</v>
      </c>
      <c r="M333" s="198">
        <f t="shared" si="166"/>
        <v>0</v>
      </c>
      <c r="N333" s="198">
        <f t="shared" si="166"/>
        <v>0</v>
      </c>
      <c r="O333" s="198">
        <f t="shared" si="166"/>
        <v>0</v>
      </c>
      <c r="P333" s="198">
        <f t="shared" si="166"/>
        <v>0</v>
      </c>
      <c r="Q333" s="198">
        <f t="shared" si="166"/>
        <v>0</v>
      </c>
      <c r="R333" s="198">
        <f t="shared" si="166"/>
        <v>0</v>
      </c>
      <c r="S333" s="198">
        <f t="shared" si="166"/>
        <v>0</v>
      </c>
      <c r="T333" s="198">
        <f t="shared" si="166"/>
        <v>0</v>
      </c>
      <c r="U333" s="198">
        <f t="shared" si="166"/>
        <v>0</v>
      </c>
      <c r="V333" s="198">
        <f t="shared" si="166"/>
        <v>0</v>
      </c>
      <c r="W333" s="198">
        <f t="shared" si="166"/>
        <v>0</v>
      </c>
      <c r="X333" s="198">
        <f t="shared" si="166"/>
        <v>0</v>
      </c>
      <c r="Y333" s="198">
        <f t="shared" si="166"/>
        <v>0</v>
      </c>
      <c r="Z333" s="198">
        <f t="shared" si="166"/>
        <v>0</v>
      </c>
      <c r="AA333" s="198">
        <f t="shared" si="166"/>
        <v>0</v>
      </c>
      <c r="AB333" s="198">
        <f t="shared" si="166"/>
        <v>0</v>
      </c>
      <c r="AC333" s="198">
        <f t="shared" si="166"/>
        <v>0</v>
      </c>
      <c r="AD333" s="198">
        <f t="shared" si="166"/>
        <v>0</v>
      </c>
      <c r="AE333" s="198">
        <f t="shared" si="166"/>
        <v>0</v>
      </c>
      <c r="AF333" s="198">
        <f t="shared" si="166"/>
        <v>0</v>
      </c>
      <c r="AG333" s="198">
        <f t="shared" si="166"/>
        <v>0</v>
      </c>
      <c r="AH333" s="198">
        <f t="shared" si="166"/>
        <v>0</v>
      </c>
      <c r="AI333" s="198">
        <f t="shared" si="166"/>
        <v>0</v>
      </c>
      <c r="AJ333" s="198">
        <f t="shared" si="166"/>
        <v>0</v>
      </c>
      <c r="AK333" s="198">
        <f t="shared" si="166"/>
        <v>0</v>
      </c>
      <c r="AL333" s="198">
        <f t="shared" si="166"/>
        <v>0</v>
      </c>
      <c r="AM333" s="198">
        <f t="shared" si="166"/>
        <v>0</v>
      </c>
      <c r="AN333" s="198">
        <f t="shared" si="166"/>
        <v>0</v>
      </c>
      <c r="AO333" s="198">
        <f t="shared" si="166"/>
        <v>0</v>
      </c>
      <c r="AP333" s="198">
        <f t="shared" si="166"/>
        <v>0</v>
      </c>
    </row>
    <row r="334" spans="1:42" x14ac:dyDescent="0.2">
      <c r="A334" s="187"/>
      <c r="B334" s="203"/>
      <c r="C334" s="198"/>
      <c r="D334" s="198"/>
      <c r="E334" s="198"/>
      <c r="F334" s="198"/>
      <c r="G334" s="198"/>
      <c r="H334" s="198"/>
      <c r="I334" s="198"/>
      <c r="J334" s="198"/>
      <c r="K334" s="198"/>
      <c r="L334" s="198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  <c r="AA334" s="198"/>
      <c r="AB334" s="198"/>
      <c r="AC334" s="198"/>
      <c r="AD334" s="198"/>
      <c r="AE334" s="198"/>
      <c r="AF334" s="198"/>
      <c r="AG334" s="198"/>
      <c r="AH334" s="198"/>
      <c r="AI334" s="198"/>
      <c r="AJ334" s="198"/>
      <c r="AK334" s="198"/>
      <c r="AL334" s="198"/>
      <c r="AM334" s="198"/>
      <c r="AN334" s="198"/>
      <c r="AO334" s="198"/>
      <c r="AP334" s="198"/>
    </row>
    <row r="335" spans="1:42" x14ac:dyDescent="0.2">
      <c r="A335" s="180" t="s">
        <v>303</v>
      </c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</row>
    <row r="336" spans="1:42" x14ac:dyDescent="0.2">
      <c r="A336" s="187" t="s">
        <v>192</v>
      </c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</row>
    <row r="337" spans="1:42" x14ac:dyDescent="0.2">
      <c r="A337" s="20">
        <v>1</v>
      </c>
      <c r="C337" s="169">
        <f>IF(C$2&lt;=AnalysisPeriod,IF(SUM($C615:C615)&gt;0,B337+1,0),0)</f>
        <v>0</v>
      </c>
      <c r="D337" s="169">
        <f>IF(D$2&lt;=AnalysisPeriod,IF(SUM($C615:D615)&gt;0,C337+1,0),0)</f>
        <v>0</v>
      </c>
      <c r="E337" s="169">
        <f>IF(E$2&lt;=AnalysisPeriod,IF(SUM($C615:E615)&gt;0,D337+1,0),0)</f>
        <v>0</v>
      </c>
      <c r="F337" s="169">
        <f>IF(F$2&lt;=AnalysisPeriod,IF(SUM($C615:F615)&gt;0,E337+1,0),0)</f>
        <v>0</v>
      </c>
      <c r="G337" s="169">
        <f>IF(G$2&lt;=AnalysisPeriod,IF(SUM($C615:G615)&gt;0,F337+1,0),0)</f>
        <v>0</v>
      </c>
      <c r="H337" s="169">
        <f>IF(H$2&lt;=AnalysisPeriod,IF(SUM($C615:H615)&gt;0,G337+1,0),0)</f>
        <v>0</v>
      </c>
      <c r="I337" s="169">
        <f>IF(I$2&lt;=AnalysisPeriod,IF(SUM($C615:I615)&gt;0,H337+1,0),0)</f>
        <v>0</v>
      </c>
      <c r="J337" s="169">
        <f>IF(J$2&lt;=AnalysisPeriod,IF(SUM($C615:J615)&gt;0,I337+1,0),0)</f>
        <v>0</v>
      </c>
      <c r="K337" s="169">
        <f>IF(K$2&lt;=AnalysisPeriod,IF(SUM($C615:K615)&gt;0,J337+1,0),0)</f>
        <v>0</v>
      </c>
      <c r="L337" s="169">
        <f>IF(L$2&lt;=AnalysisPeriod,IF(SUM($C615:L615)&gt;0,K337+1,0),0)</f>
        <v>0</v>
      </c>
      <c r="M337" s="169">
        <f>IF(M$2&lt;=AnalysisPeriod,IF(SUM($C615:M615)&gt;0,L337+1,0),0)</f>
        <v>0</v>
      </c>
      <c r="N337" s="169">
        <f>IF(N$2&lt;=AnalysisPeriod,IF(SUM($C615:N615)&gt;0,M337+1,0),0)</f>
        <v>1</v>
      </c>
      <c r="O337" s="169">
        <f>IF(O$2&lt;=AnalysisPeriod,IF(SUM($C615:O615)&gt;0,N337+1,0),0)</f>
        <v>2</v>
      </c>
      <c r="P337" s="169">
        <f>IF(P$2&lt;=AnalysisPeriod,IF(SUM($C615:P615)&gt;0,O337+1,0),0)</f>
        <v>3</v>
      </c>
      <c r="Q337" s="169">
        <f>IF(Q$2&lt;=AnalysisPeriod,IF(SUM($C615:Q615)&gt;0,P337+1,0),0)</f>
        <v>4</v>
      </c>
      <c r="R337" s="169">
        <f>IF(R$2&lt;=AnalysisPeriod,IF(SUM($C615:R615)&gt;0,Q337+1,0),0)</f>
        <v>5</v>
      </c>
      <c r="S337" s="169">
        <f>IF(S$2&lt;=AnalysisPeriod,IF(SUM($C615:S615)&gt;0,R337+1,0),0)</f>
        <v>6</v>
      </c>
      <c r="T337" s="169">
        <f>IF(T$2&lt;=AnalysisPeriod,IF(SUM($C615:T615)&gt;0,S337+1,0),0)</f>
        <v>7</v>
      </c>
      <c r="U337" s="169">
        <f>IF(U$2&lt;=AnalysisPeriod,IF(SUM($C615:U615)&gt;0,T337+1,0),0)</f>
        <v>8</v>
      </c>
      <c r="V337" s="169">
        <f>IF(V$2&lt;=AnalysisPeriod,IF(SUM($C615:V615)&gt;0,U337+1,0),0)</f>
        <v>9</v>
      </c>
      <c r="W337" s="169">
        <f>IF(W$2&lt;=AnalysisPeriod,IF(SUM($C615:W615)&gt;0,V337+1,0),0)</f>
        <v>10</v>
      </c>
      <c r="X337" s="169">
        <f>IF(X$2&lt;=AnalysisPeriod,IF(SUM($C615:X615)&gt;0,W337+1,0),0)</f>
        <v>11</v>
      </c>
      <c r="Y337" s="169">
        <f>IF(Y$2&lt;=AnalysisPeriod,IF(SUM($C615:Y615)&gt;0,X337+1,0),0)</f>
        <v>12</v>
      </c>
      <c r="Z337" s="169">
        <f>IF(Z$2&lt;=AnalysisPeriod,IF(SUM($C615:Z615)&gt;0,Y337+1,0),0)</f>
        <v>13</v>
      </c>
      <c r="AA337" s="169">
        <f>IF(AA$2&lt;=AnalysisPeriod,IF(SUM($C615:AA615)&gt;0,Z337+1,0),0)</f>
        <v>14</v>
      </c>
      <c r="AB337" s="169">
        <f>IF(AB$2&lt;=AnalysisPeriod,IF(SUM($C615:AB615)&gt;0,AA337+1,0),0)</f>
        <v>15</v>
      </c>
      <c r="AC337" s="169">
        <f>IF(AC$2&lt;=AnalysisPeriod,IF(SUM($C615:AC615)&gt;0,AB337+1,0),0)</f>
        <v>16</v>
      </c>
      <c r="AD337" s="169">
        <f>IF(AD$2&lt;=AnalysisPeriod,IF(SUM($C615:AD615)&gt;0,AC337+1,0),0)</f>
        <v>17</v>
      </c>
      <c r="AE337" s="169">
        <f>IF(AE$2&lt;=AnalysisPeriod,IF(SUM($C615:AE615)&gt;0,AD337+1,0),0)</f>
        <v>18</v>
      </c>
      <c r="AF337" s="169">
        <f>IF(AF$2&lt;=AnalysisPeriod,IF(SUM($C615:AF615)&gt;0,AE337+1,0),0)</f>
        <v>19</v>
      </c>
      <c r="AG337" s="169">
        <f>IF(AG$2&lt;=AnalysisPeriod,IF(SUM($C615:AG615)&gt;0,AF337+1,0),0)</f>
        <v>20</v>
      </c>
      <c r="AH337" s="169">
        <f>IF(AH$2&lt;=AnalysisPeriod,IF(SUM($C615:AH615)&gt;0,AG337+1,0),0)</f>
        <v>21</v>
      </c>
      <c r="AI337" s="169">
        <f>IF(AI$2&lt;=AnalysisPeriod,IF(SUM($C615:AI615)&gt;0,AH337+1,0),0)</f>
        <v>22</v>
      </c>
      <c r="AJ337" s="169">
        <f>IF(AJ$2&lt;=AnalysisPeriod,IF(SUM($C615:AJ615)&gt;0,AI337+1,0),0)</f>
        <v>23</v>
      </c>
      <c r="AK337" s="169">
        <f>IF(AK$2&lt;=AnalysisPeriod,IF(SUM($C615:AK615)&gt;0,AJ337+1,0),0)</f>
        <v>24</v>
      </c>
      <c r="AL337" s="169">
        <f>IF(AL$2&lt;=AnalysisPeriod,IF(SUM($C615:AL615)&gt;0,AK337+1,0),0)</f>
        <v>25</v>
      </c>
      <c r="AM337" s="169">
        <f>IF(AM$2&lt;=AnalysisPeriod,IF(SUM($C615:AM615)&gt;0,AL337+1,0),0)</f>
        <v>26</v>
      </c>
      <c r="AN337" s="169">
        <f>IF(AN$2&lt;=AnalysisPeriod,IF(SUM($C615:AN615)&gt;0,AM337+1,0),0)</f>
        <v>27</v>
      </c>
      <c r="AO337" s="169">
        <f>IF(AO$2&lt;=AnalysisPeriod,IF(SUM($C615:AO615)&gt;0,AN337+1,0),0)</f>
        <v>28</v>
      </c>
      <c r="AP337" s="169">
        <f>IF(AP$2&lt;=AnalysisPeriod,IF(SUM($C615:AP615)&gt;0,AO337+1,0),0)</f>
        <v>29</v>
      </c>
    </row>
    <row r="338" spans="1:42" x14ac:dyDescent="0.2">
      <c r="A338" s="20">
        <f>A337+1</f>
        <v>2</v>
      </c>
      <c r="C338" s="169">
        <f>IF(C$2&lt;=AnalysisPeriod,IF(SUM($C616:C616)&gt;0,B338+1,0),0)</f>
        <v>0</v>
      </c>
      <c r="D338" s="169">
        <f>IF(D$2&lt;=AnalysisPeriod,IF(SUM($C616:D616)&gt;0,C338+1,0),0)</f>
        <v>0</v>
      </c>
      <c r="E338" s="169">
        <f>IF(E$2&lt;=AnalysisPeriod,IF(SUM($C616:E616)&gt;0,D338+1,0),0)</f>
        <v>0</v>
      </c>
      <c r="F338" s="169">
        <f>IF(F$2&lt;=AnalysisPeriod,IF(SUM($C616:F616)&gt;0,E338+1,0),0)</f>
        <v>0</v>
      </c>
      <c r="G338" s="169">
        <f>IF(G$2&lt;=AnalysisPeriod,IF(SUM($C616:G616)&gt;0,F338+1,0),0)</f>
        <v>0</v>
      </c>
      <c r="H338" s="169">
        <f>IF(H$2&lt;=AnalysisPeriod,IF(SUM($C616:H616)&gt;0,G338+1,0),0)</f>
        <v>0</v>
      </c>
      <c r="I338" s="169">
        <f>IF(I$2&lt;=AnalysisPeriod,IF(SUM($C616:I616)&gt;0,H338+1,0),0)</f>
        <v>0</v>
      </c>
      <c r="J338" s="169">
        <f>IF(J$2&lt;=AnalysisPeriod,IF(SUM($C616:J616)&gt;0,I338+1,0),0)</f>
        <v>0</v>
      </c>
      <c r="K338" s="169">
        <f>IF(K$2&lt;=AnalysisPeriod,IF(SUM($C616:K616)&gt;0,J338+1,0),0)</f>
        <v>0</v>
      </c>
      <c r="L338" s="169">
        <f>IF(L$2&lt;=AnalysisPeriod,IF(SUM($C616:L616)&gt;0,K338+1,0),0)</f>
        <v>0</v>
      </c>
      <c r="M338" s="169">
        <f>IF(M$2&lt;=AnalysisPeriod,IF(SUM($C616:M616)&gt;0,L338+1,0),0)</f>
        <v>0</v>
      </c>
      <c r="N338" s="169">
        <f>IF(N$2&lt;=AnalysisPeriod,IF(SUM($C616:N616)&gt;0,M338+1,0),0)</f>
        <v>0</v>
      </c>
      <c r="O338" s="169">
        <f>IF(O$2&lt;=AnalysisPeriod,IF(SUM($C616:O616)&gt;0,N338+1,0),0)</f>
        <v>0</v>
      </c>
      <c r="P338" s="169">
        <f>IF(P$2&lt;=AnalysisPeriod,IF(SUM($C616:P616)&gt;0,O338+1,0),0)</f>
        <v>0</v>
      </c>
      <c r="Q338" s="169">
        <f>IF(Q$2&lt;=AnalysisPeriod,IF(SUM($C616:Q616)&gt;0,P338+1,0),0)</f>
        <v>0</v>
      </c>
      <c r="R338" s="169">
        <f>IF(R$2&lt;=AnalysisPeriod,IF(SUM($C616:R616)&gt;0,Q338+1,0),0)</f>
        <v>0</v>
      </c>
      <c r="S338" s="169">
        <f>IF(S$2&lt;=AnalysisPeriod,IF(SUM($C616:S616)&gt;0,R338+1,0),0)</f>
        <v>0</v>
      </c>
      <c r="T338" s="169">
        <f>IF(T$2&lt;=AnalysisPeriod,IF(SUM($C616:T616)&gt;0,S338+1,0),0)</f>
        <v>0</v>
      </c>
      <c r="U338" s="169">
        <f>IF(U$2&lt;=AnalysisPeriod,IF(SUM($C616:U616)&gt;0,T338+1,0),0)</f>
        <v>0</v>
      </c>
      <c r="V338" s="169">
        <f>IF(V$2&lt;=AnalysisPeriod,IF(SUM($C616:V616)&gt;0,U338+1,0),0)</f>
        <v>0</v>
      </c>
      <c r="W338" s="169">
        <f>IF(W$2&lt;=AnalysisPeriod,IF(SUM($C616:W616)&gt;0,V338+1,0),0)</f>
        <v>0</v>
      </c>
      <c r="X338" s="169">
        <f>IF(X$2&lt;=AnalysisPeriod,IF(SUM($C616:X616)&gt;0,W338+1,0),0)</f>
        <v>0</v>
      </c>
      <c r="Y338" s="169">
        <f>IF(Y$2&lt;=AnalysisPeriod,IF(SUM($C616:Y616)&gt;0,X338+1,0),0)</f>
        <v>0</v>
      </c>
      <c r="Z338" s="169">
        <f>IF(Z$2&lt;=AnalysisPeriod,IF(SUM($C616:Z616)&gt;0,Y338+1,0),0)</f>
        <v>1</v>
      </c>
      <c r="AA338" s="169">
        <f>IF(AA$2&lt;=AnalysisPeriod,IF(SUM($C616:AA616)&gt;0,Z338+1,0),0)</f>
        <v>2</v>
      </c>
      <c r="AB338" s="169">
        <f>IF(AB$2&lt;=AnalysisPeriod,IF(SUM($C616:AB616)&gt;0,AA338+1,0),0)</f>
        <v>3</v>
      </c>
      <c r="AC338" s="169">
        <f>IF(AC$2&lt;=AnalysisPeriod,IF(SUM($C616:AC616)&gt;0,AB338+1,0),0)</f>
        <v>4</v>
      </c>
      <c r="AD338" s="169">
        <f>IF(AD$2&lt;=AnalysisPeriod,IF(SUM($C616:AD616)&gt;0,AC338+1,0),0)</f>
        <v>5</v>
      </c>
      <c r="AE338" s="169">
        <f>IF(AE$2&lt;=AnalysisPeriod,IF(SUM($C616:AE616)&gt;0,AD338+1,0),0)</f>
        <v>6</v>
      </c>
      <c r="AF338" s="169">
        <f>IF(AF$2&lt;=AnalysisPeriod,IF(SUM($C616:AF616)&gt;0,AE338+1,0),0)</f>
        <v>7</v>
      </c>
      <c r="AG338" s="169">
        <f>IF(AG$2&lt;=AnalysisPeriod,IF(SUM($C616:AG616)&gt;0,AF338+1,0),0)</f>
        <v>8</v>
      </c>
      <c r="AH338" s="169">
        <f>IF(AH$2&lt;=AnalysisPeriod,IF(SUM($C616:AH616)&gt;0,AG338+1,0),0)</f>
        <v>9</v>
      </c>
      <c r="AI338" s="169">
        <f>IF(AI$2&lt;=AnalysisPeriod,IF(SUM($C616:AI616)&gt;0,AH338+1,0),0)</f>
        <v>10</v>
      </c>
      <c r="AJ338" s="169">
        <f>IF(AJ$2&lt;=AnalysisPeriod,IF(SUM($C616:AJ616)&gt;0,AI338+1,0),0)</f>
        <v>11</v>
      </c>
      <c r="AK338" s="169">
        <f>IF(AK$2&lt;=AnalysisPeriod,IF(SUM($C616:AK616)&gt;0,AJ338+1,0),0)</f>
        <v>12</v>
      </c>
      <c r="AL338" s="169">
        <f>IF(AL$2&lt;=AnalysisPeriod,IF(SUM($C616:AL616)&gt;0,AK338+1,0),0)</f>
        <v>13</v>
      </c>
      <c r="AM338" s="169">
        <f>IF(AM$2&lt;=AnalysisPeriod,IF(SUM($C616:AM616)&gt;0,AL338+1,0),0)</f>
        <v>14</v>
      </c>
      <c r="AN338" s="169">
        <f>IF(AN$2&lt;=AnalysisPeriod,IF(SUM($C616:AN616)&gt;0,AM338+1,0),0)</f>
        <v>15</v>
      </c>
      <c r="AO338" s="169">
        <f>IF(AO$2&lt;=AnalysisPeriod,IF(SUM($C616:AO616)&gt;0,AN338+1,0),0)</f>
        <v>16</v>
      </c>
      <c r="AP338" s="169">
        <f>IF(AP$2&lt;=AnalysisPeriod,IF(SUM($C616:AP616)&gt;0,AO338+1,0),0)</f>
        <v>17</v>
      </c>
    </row>
    <row r="339" spans="1:42" x14ac:dyDescent="0.2">
      <c r="A339" s="20">
        <f t="shared" ref="A339:A346" si="167">A338+1</f>
        <v>3</v>
      </c>
      <c r="C339" s="169">
        <f>IF(C$2&lt;=AnalysisPeriod,IF(SUM($C617:C617)&gt;0,B339+1,0),0)</f>
        <v>0</v>
      </c>
      <c r="D339" s="169">
        <f>IF(D$2&lt;=AnalysisPeriod,IF(SUM($C617:D617)&gt;0,C339+1,0),0)</f>
        <v>0</v>
      </c>
      <c r="E339" s="169">
        <f>IF(E$2&lt;=AnalysisPeriod,IF(SUM($C617:E617)&gt;0,D339+1,0),0)</f>
        <v>0</v>
      </c>
      <c r="F339" s="169">
        <f>IF(F$2&lt;=AnalysisPeriod,IF(SUM($C617:F617)&gt;0,E339+1,0),0)</f>
        <v>0</v>
      </c>
      <c r="G339" s="169">
        <f>IF(G$2&lt;=AnalysisPeriod,IF(SUM($C617:G617)&gt;0,F339+1,0),0)</f>
        <v>0</v>
      </c>
      <c r="H339" s="169">
        <f>IF(H$2&lt;=AnalysisPeriod,IF(SUM($C617:H617)&gt;0,G339+1,0),0)</f>
        <v>0</v>
      </c>
      <c r="I339" s="169">
        <f>IF(I$2&lt;=AnalysisPeriod,IF(SUM($C617:I617)&gt;0,H339+1,0),0)</f>
        <v>0</v>
      </c>
      <c r="J339" s="169">
        <f>IF(J$2&lt;=AnalysisPeriod,IF(SUM($C617:J617)&gt;0,I339+1,0),0)</f>
        <v>0</v>
      </c>
      <c r="K339" s="169">
        <f>IF(K$2&lt;=AnalysisPeriod,IF(SUM($C617:K617)&gt;0,J339+1,0),0)</f>
        <v>0</v>
      </c>
      <c r="L339" s="169">
        <f>IF(L$2&lt;=AnalysisPeriod,IF(SUM($C617:L617)&gt;0,K339+1,0),0)</f>
        <v>0</v>
      </c>
      <c r="M339" s="169">
        <f>IF(M$2&lt;=AnalysisPeriod,IF(SUM($C617:M617)&gt;0,L339+1,0),0)</f>
        <v>0</v>
      </c>
      <c r="N339" s="169">
        <f>IF(N$2&lt;=AnalysisPeriod,IF(SUM($C617:N617)&gt;0,M339+1,0),0)</f>
        <v>0</v>
      </c>
      <c r="O339" s="169">
        <f>IF(O$2&lt;=AnalysisPeriod,IF(SUM($C617:O617)&gt;0,N339+1,0),0)</f>
        <v>0</v>
      </c>
      <c r="P339" s="169">
        <f>IF(P$2&lt;=AnalysisPeriod,IF(SUM($C617:P617)&gt;0,O339+1,0),0)</f>
        <v>0</v>
      </c>
      <c r="Q339" s="169">
        <f>IF(Q$2&lt;=AnalysisPeriod,IF(SUM($C617:Q617)&gt;0,P339+1,0),0)</f>
        <v>0</v>
      </c>
      <c r="R339" s="169">
        <f>IF(R$2&lt;=AnalysisPeriod,IF(SUM($C617:R617)&gt;0,Q339+1,0),0)</f>
        <v>0</v>
      </c>
      <c r="S339" s="169">
        <f>IF(S$2&lt;=AnalysisPeriod,IF(SUM($C617:S617)&gt;0,R339+1,0),0)</f>
        <v>0</v>
      </c>
      <c r="T339" s="169">
        <f>IF(T$2&lt;=AnalysisPeriod,IF(SUM($C617:T617)&gt;0,S339+1,0),0)</f>
        <v>0</v>
      </c>
      <c r="U339" s="169">
        <f>IF(U$2&lt;=AnalysisPeriod,IF(SUM($C617:U617)&gt;0,T339+1,0),0)</f>
        <v>0</v>
      </c>
      <c r="V339" s="169">
        <f>IF(V$2&lt;=AnalysisPeriod,IF(SUM($C617:V617)&gt;0,U339+1,0),0)</f>
        <v>0</v>
      </c>
      <c r="W339" s="169">
        <f>IF(W$2&lt;=AnalysisPeriod,IF(SUM($C617:W617)&gt;0,V339+1,0),0)</f>
        <v>0</v>
      </c>
      <c r="X339" s="169">
        <f>IF(X$2&lt;=AnalysisPeriod,IF(SUM($C617:X617)&gt;0,W339+1,0),0)</f>
        <v>0</v>
      </c>
      <c r="Y339" s="169">
        <f>IF(Y$2&lt;=AnalysisPeriod,IF(SUM($C617:Y617)&gt;0,X339+1,0),0)</f>
        <v>0</v>
      </c>
      <c r="Z339" s="169">
        <f>IF(Z$2&lt;=AnalysisPeriod,IF(SUM($C617:Z617)&gt;0,Y339+1,0),0)</f>
        <v>0</v>
      </c>
      <c r="AA339" s="169">
        <f>IF(AA$2&lt;=AnalysisPeriod,IF(SUM($C617:AA617)&gt;0,Z339+1,0),0)</f>
        <v>0</v>
      </c>
      <c r="AB339" s="169">
        <f>IF(AB$2&lt;=AnalysisPeriod,IF(SUM($C617:AB617)&gt;0,AA339+1,0),0)</f>
        <v>0</v>
      </c>
      <c r="AC339" s="169">
        <f>IF(AC$2&lt;=AnalysisPeriod,IF(SUM($C617:AC617)&gt;0,AB339+1,0),0)</f>
        <v>0</v>
      </c>
      <c r="AD339" s="169">
        <f>IF(AD$2&lt;=AnalysisPeriod,IF(SUM($C617:AD617)&gt;0,AC339+1,0),0)</f>
        <v>0</v>
      </c>
      <c r="AE339" s="169">
        <f>IF(AE$2&lt;=AnalysisPeriod,IF(SUM($C617:AE617)&gt;0,AD339+1,0),0)</f>
        <v>0</v>
      </c>
      <c r="AF339" s="169">
        <f>IF(AF$2&lt;=AnalysisPeriod,IF(SUM($C617:AF617)&gt;0,AE339+1,0),0)</f>
        <v>0</v>
      </c>
      <c r="AG339" s="169">
        <f>IF(AG$2&lt;=AnalysisPeriod,IF(SUM($C617:AG617)&gt;0,AF339+1,0),0)</f>
        <v>0</v>
      </c>
      <c r="AH339" s="169">
        <f>IF(AH$2&lt;=AnalysisPeriod,IF(SUM($C617:AH617)&gt;0,AG339+1,0),0)</f>
        <v>0</v>
      </c>
      <c r="AI339" s="169">
        <f>IF(AI$2&lt;=AnalysisPeriod,IF(SUM($C617:AI617)&gt;0,AH339+1,0),0)</f>
        <v>0</v>
      </c>
      <c r="AJ339" s="169">
        <f>IF(AJ$2&lt;=AnalysisPeriod,IF(SUM($C617:AJ617)&gt;0,AI339+1,0),0)</f>
        <v>0</v>
      </c>
      <c r="AK339" s="169">
        <f>IF(AK$2&lt;=AnalysisPeriod,IF(SUM($C617:AK617)&gt;0,AJ339+1,0),0)</f>
        <v>0</v>
      </c>
      <c r="AL339" s="169">
        <f>IF(AL$2&lt;=AnalysisPeriod,IF(SUM($C617:AL617)&gt;0,AK339+1,0),0)</f>
        <v>1</v>
      </c>
      <c r="AM339" s="169">
        <f>IF(AM$2&lt;=AnalysisPeriod,IF(SUM($C617:AM617)&gt;0,AL339+1,0),0)</f>
        <v>2</v>
      </c>
      <c r="AN339" s="169">
        <f>IF(AN$2&lt;=AnalysisPeriod,IF(SUM($C617:AN617)&gt;0,AM339+1,0),0)</f>
        <v>3</v>
      </c>
      <c r="AO339" s="169">
        <f>IF(AO$2&lt;=AnalysisPeriod,IF(SUM($C617:AO617)&gt;0,AN339+1,0),0)</f>
        <v>4</v>
      </c>
      <c r="AP339" s="169">
        <f>IF(AP$2&lt;=AnalysisPeriod,IF(SUM($C617:AP617)&gt;0,AO339+1,0),0)</f>
        <v>5</v>
      </c>
    </row>
    <row r="340" spans="1:42" x14ac:dyDescent="0.2">
      <c r="A340" s="20">
        <f t="shared" si="167"/>
        <v>4</v>
      </c>
      <c r="C340" s="169">
        <f>IF(C$2&lt;=AnalysisPeriod,IF(SUM($C618:C618)&gt;0,B340+1,0),0)</f>
        <v>0</v>
      </c>
      <c r="D340" s="169">
        <f>IF(D$2&lt;=AnalysisPeriod,IF(SUM($C618:D618)&gt;0,C340+1,0),0)</f>
        <v>0</v>
      </c>
      <c r="E340" s="169">
        <f>IF(E$2&lt;=AnalysisPeriod,IF(SUM($C618:E618)&gt;0,D340+1,0),0)</f>
        <v>0</v>
      </c>
      <c r="F340" s="169">
        <f>IF(F$2&lt;=AnalysisPeriod,IF(SUM($C618:F618)&gt;0,E340+1,0),0)</f>
        <v>0</v>
      </c>
      <c r="G340" s="169">
        <f>IF(G$2&lt;=AnalysisPeriod,IF(SUM($C618:G618)&gt;0,F340+1,0),0)</f>
        <v>0</v>
      </c>
      <c r="H340" s="169">
        <f>IF(H$2&lt;=AnalysisPeriod,IF(SUM($C618:H618)&gt;0,G340+1,0),0)</f>
        <v>0</v>
      </c>
      <c r="I340" s="169">
        <f>IF(I$2&lt;=AnalysisPeriod,IF(SUM($C618:I618)&gt;0,H340+1,0),0)</f>
        <v>0</v>
      </c>
      <c r="J340" s="169">
        <f>IF(J$2&lt;=AnalysisPeriod,IF(SUM($C618:J618)&gt;0,I340+1,0),0)</f>
        <v>0</v>
      </c>
      <c r="K340" s="169">
        <f>IF(K$2&lt;=AnalysisPeriod,IF(SUM($C618:K618)&gt;0,J340+1,0),0)</f>
        <v>0</v>
      </c>
      <c r="L340" s="169">
        <f>IF(L$2&lt;=AnalysisPeriod,IF(SUM($C618:L618)&gt;0,K340+1,0),0)</f>
        <v>0</v>
      </c>
      <c r="M340" s="169">
        <f>IF(M$2&lt;=AnalysisPeriod,IF(SUM($C618:M618)&gt;0,L340+1,0),0)</f>
        <v>0</v>
      </c>
      <c r="N340" s="169">
        <f>IF(N$2&lt;=AnalysisPeriod,IF(SUM($C618:N618)&gt;0,M340+1,0),0)</f>
        <v>0</v>
      </c>
      <c r="O340" s="169">
        <f>IF(O$2&lt;=AnalysisPeriod,IF(SUM($C618:O618)&gt;0,N340+1,0),0)</f>
        <v>0</v>
      </c>
      <c r="P340" s="169">
        <f>IF(P$2&lt;=AnalysisPeriod,IF(SUM($C618:P618)&gt;0,O340+1,0),0)</f>
        <v>0</v>
      </c>
      <c r="Q340" s="169">
        <f>IF(Q$2&lt;=AnalysisPeriod,IF(SUM($C618:Q618)&gt;0,P340+1,0),0)</f>
        <v>0</v>
      </c>
      <c r="R340" s="169">
        <f>IF(R$2&lt;=AnalysisPeriod,IF(SUM($C618:R618)&gt;0,Q340+1,0),0)</f>
        <v>0</v>
      </c>
      <c r="S340" s="169">
        <f>IF(S$2&lt;=AnalysisPeriod,IF(SUM($C618:S618)&gt;0,R340+1,0),0)</f>
        <v>0</v>
      </c>
      <c r="T340" s="169">
        <f>IF(T$2&lt;=AnalysisPeriod,IF(SUM($C618:T618)&gt;0,S340+1,0),0)</f>
        <v>0</v>
      </c>
      <c r="U340" s="169">
        <f>IF(U$2&lt;=AnalysisPeriod,IF(SUM($C618:U618)&gt;0,T340+1,0),0)</f>
        <v>0</v>
      </c>
      <c r="V340" s="169">
        <f>IF(V$2&lt;=AnalysisPeriod,IF(SUM($C618:V618)&gt;0,U340+1,0),0)</f>
        <v>0</v>
      </c>
      <c r="W340" s="169">
        <f>IF(W$2&lt;=AnalysisPeriod,IF(SUM($C618:W618)&gt;0,V340+1,0),0)</f>
        <v>0</v>
      </c>
      <c r="X340" s="169">
        <f>IF(X$2&lt;=AnalysisPeriod,IF(SUM($C618:X618)&gt;0,W340+1,0),0)</f>
        <v>0</v>
      </c>
      <c r="Y340" s="169">
        <f>IF(Y$2&lt;=AnalysisPeriod,IF(SUM($C618:Y618)&gt;0,X340+1,0),0)</f>
        <v>0</v>
      </c>
      <c r="Z340" s="169">
        <f>IF(Z$2&lt;=AnalysisPeriod,IF(SUM($C618:Z618)&gt;0,Y340+1,0),0)</f>
        <v>0</v>
      </c>
      <c r="AA340" s="169">
        <f>IF(AA$2&lt;=AnalysisPeriod,IF(SUM($C618:AA618)&gt;0,Z340+1,0),0)</f>
        <v>0</v>
      </c>
      <c r="AB340" s="169">
        <f>IF(AB$2&lt;=AnalysisPeriod,IF(SUM($C618:AB618)&gt;0,AA340+1,0),0)</f>
        <v>0</v>
      </c>
      <c r="AC340" s="169">
        <f>IF(AC$2&lt;=AnalysisPeriod,IF(SUM($C618:AC618)&gt;0,AB340+1,0),0)</f>
        <v>0</v>
      </c>
      <c r="AD340" s="169">
        <f>IF(AD$2&lt;=AnalysisPeriod,IF(SUM($C618:AD618)&gt;0,AC340+1,0),0)</f>
        <v>0</v>
      </c>
      <c r="AE340" s="169">
        <f>IF(AE$2&lt;=AnalysisPeriod,IF(SUM($C618:AE618)&gt;0,AD340+1,0),0)</f>
        <v>0</v>
      </c>
      <c r="AF340" s="169">
        <f>IF(AF$2&lt;=AnalysisPeriod,IF(SUM($C618:AF618)&gt;0,AE340+1,0),0)</f>
        <v>0</v>
      </c>
      <c r="AG340" s="169">
        <f>IF(AG$2&lt;=AnalysisPeriod,IF(SUM($C618:AG618)&gt;0,AF340+1,0),0)</f>
        <v>0</v>
      </c>
      <c r="AH340" s="169">
        <f>IF(AH$2&lt;=AnalysisPeriod,IF(SUM($C618:AH618)&gt;0,AG340+1,0),0)</f>
        <v>0</v>
      </c>
      <c r="AI340" s="169">
        <f>IF(AI$2&lt;=AnalysisPeriod,IF(SUM($C618:AI618)&gt;0,AH340+1,0),0)</f>
        <v>0</v>
      </c>
      <c r="AJ340" s="169">
        <f>IF(AJ$2&lt;=AnalysisPeriod,IF(SUM($C618:AJ618)&gt;0,AI340+1,0),0)</f>
        <v>0</v>
      </c>
      <c r="AK340" s="169">
        <f>IF(AK$2&lt;=AnalysisPeriod,IF(SUM($C618:AK618)&gt;0,AJ340+1,0),0)</f>
        <v>0</v>
      </c>
      <c r="AL340" s="169">
        <f>IF(AL$2&lt;=AnalysisPeriod,IF(SUM($C618:AL618)&gt;0,AK340+1,0),0)</f>
        <v>0</v>
      </c>
      <c r="AM340" s="169">
        <f>IF(AM$2&lt;=AnalysisPeriod,IF(SUM($C618:AM618)&gt;0,AL340+1,0),0)</f>
        <v>0</v>
      </c>
      <c r="AN340" s="169">
        <f>IF(AN$2&lt;=AnalysisPeriod,IF(SUM($C618:AN618)&gt;0,AM340+1,0),0)</f>
        <v>0</v>
      </c>
      <c r="AO340" s="169">
        <f>IF(AO$2&lt;=AnalysisPeriod,IF(SUM($C618:AO618)&gt;0,AN340+1,0),0)</f>
        <v>0</v>
      </c>
      <c r="AP340" s="169">
        <f>IF(AP$2&lt;=AnalysisPeriod,IF(SUM($C618:AP618)&gt;0,AO340+1,0),0)</f>
        <v>0</v>
      </c>
    </row>
    <row r="341" spans="1:42" x14ac:dyDescent="0.2">
      <c r="A341" s="20">
        <f t="shared" si="167"/>
        <v>5</v>
      </c>
      <c r="C341" s="169">
        <f>IF(C$2&lt;=AnalysisPeriod,IF(SUM($C619:C619)&gt;0,B341+1,0),0)</f>
        <v>0</v>
      </c>
      <c r="D341" s="169">
        <f>IF(D$2&lt;=AnalysisPeriod,IF(SUM($C619:D619)&gt;0,C341+1,0),0)</f>
        <v>0</v>
      </c>
      <c r="E341" s="169">
        <f>IF(E$2&lt;=AnalysisPeriod,IF(SUM($C619:E619)&gt;0,D341+1,0),0)</f>
        <v>0</v>
      </c>
      <c r="F341" s="169">
        <f>IF(F$2&lt;=AnalysisPeriod,IF(SUM($C619:F619)&gt;0,E341+1,0),0)</f>
        <v>0</v>
      </c>
      <c r="G341" s="169">
        <f>IF(G$2&lt;=AnalysisPeriod,IF(SUM($C619:G619)&gt;0,F341+1,0),0)</f>
        <v>0</v>
      </c>
      <c r="H341" s="169">
        <f>IF(H$2&lt;=AnalysisPeriod,IF(SUM($C619:H619)&gt;0,G341+1,0),0)</f>
        <v>0</v>
      </c>
      <c r="I341" s="169">
        <f>IF(I$2&lt;=AnalysisPeriod,IF(SUM($C619:I619)&gt;0,H341+1,0),0)</f>
        <v>0</v>
      </c>
      <c r="J341" s="169">
        <f>IF(J$2&lt;=AnalysisPeriod,IF(SUM($C619:J619)&gt;0,I341+1,0),0)</f>
        <v>0</v>
      </c>
      <c r="K341" s="169">
        <f>IF(K$2&lt;=AnalysisPeriod,IF(SUM($C619:K619)&gt;0,J341+1,0),0)</f>
        <v>0</v>
      </c>
      <c r="L341" s="169">
        <f>IF(L$2&lt;=AnalysisPeriod,IF(SUM($C619:L619)&gt;0,K341+1,0),0)</f>
        <v>0</v>
      </c>
      <c r="M341" s="169">
        <f>IF(M$2&lt;=AnalysisPeriod,IF(SUM($C619:M619)&gt;0,L341+1,0),0)</f>
        <v>0</v>
      </c>
      <c r="N341" s="169">
        <f>IF(N$2&lt;=AnalysisPeriod,IF(SUM($C619:N619)&gt;0,M341+1,0),0)</f>
        <v>0</v>
      </c>
      <c r="O341" s="169">
        <f>IF(O$2&lt;=AnalysisPeriod,IF(SUM($C619:O619)&gt;0,N341+1,0),0)</f>
        <v>0</v>
      </c>
      <c r="P341" s="169">
        <f>IF(P$2&lt;=AnalysisPeriod,IF(SUM($C619:P619)&gt;0,O341+1,0),0)</f>
        <v>0</v>
      </c>
      <c r="Q341" s="169">
        <f>IF(Q$2&lt;=AnalysisPeriod,IF(SUM($C619:Q619)&gt;0,P341+1,0),0)</f>
        <v>0</v>
      </c>
      <c r="R341" s="169">
        <f>IF(R$2&lt;=AnalysisPeriod,IF(SUM($C619:R619)&gt;0,Q341+1,0),0)</f>
        <v>0</v>
      </c>
      <c r="S341" s="169">
        <f>IF(S$2&lt;=AnalysisPeriod,IF(SUM($C619:S619)&gt;0,R341+1,0),0)</f>
        <v>0</v>
      </c>
      <c r="T341" s="169">
        <f>IF(T$2&lt;=AnalysisPeriod,IF(SUM($C619:T619)&gt;0,S341+1,0),0)</f>
        <v>0</v>
      </c>
      <c r="U341" s="169">
        <f>IF(U$2&lt;=AnalysisPeriod,IF(SUM($C619:U619)&gt;0,T341+1,0),0)</f>
        <v>0</v>
      </c>
      <c r="V341" s="169">
        <f>IF(V$2&lt;=AnalysisPeriod,IF(SUM($C619:V619)&gt;0,U341+1,0),0)</f>
        <v>0</v>
      </c>
      <c r="W341" s="169">
        <f>IF(W$2&lt;=AnalysisPeriod,IF(SUM($C619:W619)&gt;0,V341+1,0),0)</f>
        <v>0</v>
      </c>
      <c r="X341" s="169">
        <f>IF(X$2&lt;=AnalysisPeriod,IF(SUM($C619:X619)&gt;0,W341+1,0),0)</f>
        <v>0</v>
      </c>
      <c r="Y341" s="169">
        <f>IF(Y$2&lt;=AnalysisPeriod,IF(SUM($C619:Y619)&gt;0,X341+1,0),0)</f>
        <v>0</v>
      </c>
      <c r="Z341" s="169">
        <f>IF(Z$2&lt;=AnalysisPeriod,IF(SUM($C619:Z619)&gt;0,Y341+1,0),0)</f>
        <v>0</v>
      </c>
      <c r="AA341" s="169">
        <f>IF(AA$2&lt;=AnalysisPeriod,IF(SUM($C619:AA619)&gt;0,Z341+1,0),0)</f>
        <v>0</v>
      </c>
      <c r="AB341" s="169">
        <f>IF(AB$2&lt;=AnalysisPeriod,IF(SUM($C619:AB619)&gt;0,AA341+1,0),0)</f>
        <v>0</v>
      </c>
      <c r="AC341" s="169">
        <f>IF(AC$2&lt;=AnalysisPeriod,IF(SUM($C619:AC619)&gt;0,AB341+1,0),0)</f>
        <v>0</v>
      </c>
      <c r="AD341" s="169">
        <f>IF(AD$2&lt;=AnalysisPeriod,IF(SUM($C619:AD619)&gt;0,AC341+1,0),0)</f>
        <v>0</v>
      </c>
      <c r="AE341" s="169">
        <f>IF(AE$2&lt;=AnalysisPeriod,IF(SUM($C619:AE619)&gt;0,AD341+1,0),0)</f>
        <v>0</v>
      </c>
      <c r="AF341" s="169">
        <f>IF(AF$2&lt;=AnalysisPeriod,IF(SUM($C619:AF619)&gt;0,AE341+1,0),0)</f>
        <v>0</v>
      </c>
      <c r="AG341" s="169">
        <f>IF(AG$2&lt;=AnalysisPeriod,IF(SUM($C619:AG619)&gt;0,AF341+1,0),0)</f>
        <v>0</v>
      </c>
      <c r="AH341" s="169">
        <f>IF(AH$2&lt;=AnalysisPeriod,IF(SUM($C619:AH619)&gt;0,AG341+1,0),0)</f>
        <v>0</v>
      </c>
      <c r="AI341" s="169">
        <f>IF(AI$2&lt;=AnalysisPeriod,IF(SUM($C619:AI619)&gt;0,AH341+1,0),0)</f>
        <v>0</v>
      </c>
      <c r="AJ341" s="169">
        <f>IF(AJ$2&lt;=AnalysisPeriod,IF(SUM($C619:AJ619)&gt;0,AI341+1,0),0)</f>
        <v>0</v>
      </c>
      <c r="AK341" s="169">
        <f>IF(AK$2&lt;=AnalysisPeriod,IF(SUM($C619:AK619)&gt;0,AJ341+1,0),0)</f>
        <v>0</v>
      </c>
      <c r="AL341" s="169">
        <f>IF(AL$2&lt;=AnalysisPeriod,IF(SUM($C619:AL619)&gt;0,AK341+1,0),0)</f>
        <v>0</v>
      </c>
      <c r="AM341" s="169">
        <f>IF(AM$2&lt;=AnalysisPeriod,IF(SUM($C619:AM619)&gt;0,AL341+1,0),0)</f>
        <v>0</v>
      </c>
      <c r="AN341" s="169">
        <f>IF(AN$2&lt;=AnalysisPeriod,IF(SUM($C619:AN619)&gt;0,AM341+1,0),0)</f>
        <v>0</v>
      </c>
      <c r="AO341" s="169">
        <f>IF(AO$2&lt;=AnalysisPeriod,IF(SUM($C619:AO619)&gt;0,AN341+1,0),0)</f>
        <v>0</v>
      </c>
      <c r="AP341" s="169">
        <f>IF(AP$2&lt;=AnalysisPeriod,IF(SUM($C619:AP619)&gt;0,AO341+1,0),0)</f>
        <v>0</v>
      </c>
    </row>
    <row r="342" spans="1:42" x14ac:dyDescent="0.2">
      <c r="A342" s="20">
        <f t="shared" si="167"/>
        <v>6</v>
      </c>
      <c r="C342" s="169">
        <f>IF(C$2&lt;=AnalysisPeriod,IF(SUM($C620:C620)&gt;0,B342+1,0),0)</f>
        <v>0</v>
      </c>
      <c r="D342" s="169">
        <f>IF(D$2&lt;=AnalysisPeriod,IF(SUM($C620:D620)&gt;0,C342+1,0),0)</f>
        <v>0</v>
      </c>
      <c r="E342" s="169">
        <f>IF(E$2&lt;=AnalysisPeriod,IF(SUM($C620:E620)&gt;0,D342+1,0),0)</f>
        <v>0</v>
      </c>
      <c r="F342" s="169">
        <f>IF(F$2&lt;=AnalysisPeriod,IF(SUM($C620:F620)&gt;0,E342+1,0),0)</f>
        <v>0</v>
      </c>
      <c r="G342" s="169">
        <f>IF(G$2&lt;=AnalysisPeriod,IF(SUM($C620:G620)&gt;0,F342+1,0),0)</f>
        <v>0</v>
      </c>
      <c r="H342" s="169">
        <f>IF(H$2&lt;=AnalysisPeriod,IF(SUM($C620:H620)&gt;0,G342+1,0),0)</f>
        <v>0</v>
      </c>
      <c r="I342" s="169">
        <f>IF(I$2&lt;=AnalysisPeriod,IF(SUM($C620:I620)&gt;0,H342+1,0),0)</f>
        <v>0</v>
      </c>
      <c r="J342" s="169">
        <f>IF(J$2&lt;=AnalysisPeriod,IF(SUM($C620:J620)&gt;0,I342+1,0),0)</f>
        <v>0</v>
      </c>
      <c r="K342" s="169">
        <f>IF(K$2&lt;=AnalysisPeriod,IF(SUM($C620:K620)&gt;0,J342+1,0),0)</f>
        <v>0</v>
      </c>
      <c r="L342" s="169">
        <f>IF(L$2&lt;=AnalysisPeriod,IF(SUM($C620:L620)&gt;0,K342+1,0),0)</f>
        <v>0</v>
      </c>
      <c r="M342" s="169">
        <f>IF(M$2&lt;=AnalysisPeriod,IF(SUM($C620:M620)&gt;0,L342+1,0),0)</f>
        <v>0</v>
      </c>
      <c r="N342" s="169">
        <f>IF(N$2&lt;=AnalysisPeriod,IF(SUM($C620:N620)&gt;0,M342+1,0),0)</f>
        <v>0</v>
      </c>
      <c r="O342" s="169">
        <f>IF(O$2&lt;=AnalysisPeriod,IF(SUM($C620:O620)&gt;0,N342+1,0),0)</f>
        <v>0</v>
      </c>
      <c r="P342" s="169">
        <f>IF(P$2&lt;=AnalysisPeriod,IF(SUM($C620:P620)&gt;0,O342+1,0),0)</f>
        <v>0</v>
      </c>
      <c r="Q342" s="169">
        <f>IF(Q$2&lt;=AnalysisPeriod,IF(SUM($C620:Q620)&gt;0,P342+1,0),0)</f>
        <v>0</v>
      </c>
      <c r="R342" s="169">
        <f>IF(R$2&lt;=AnalysisPeriod,IF(SUM($C620:R620)&gt;0,Q342+1,0),0)</f>
        <v>0</v>
      </c>
      <c r="S342" s="169">
        <f>IF(S$2&lt;=AnalysisPeriod,IF(SUM($C620:S620)&gt;0,R342+1,0),0)</f>
        <v>0</v>
      </c>
      <c r="T342" s="169">
        <f>IF(T$2&lt;=AnalysisPeriod,IF(SUM($C620:T620)&gt;0,S342+1,0),0)</f>
        <v>0</v>
      </c>
      <c r="U342" s="169">
        <f>IF(U$2&lt;=AnalysisPeriod,IF(SUM($C620:U620)&gt;0,T342+1,0),0)</f>
        <v>0</v>
      </c>
      <c r="V342" s="169">
        <f>IF(V$2&lt;=AnalysisPeriod,IF(SUM($C620:V620)&gt;0,U342+1,0),0)</f>
        <v>0</v>
      </c>
      <c r="W342" s="169">
        <f>IF(W$2&lt;=AnalysisPeriod,IF(SUM($C620:W620)&gt;0,V342+1,0),0)</f>
        <v>0</v>
      </c>
      <c r="X342" s="169">
        <f>IF(X$2&lt;=AnalysisPeriod,IF(SUM($C620:X620)&gt;0,W342+1,0),0)</f>
        <v>0</v>
      </c>
      <c r="Y342" s="169">
        <f>IF(Y$2&lt;=AnalysisPeriod,IF(SUM($C620:Y620)&gt;0,X342+1,0),0)</f>
        <v>0</v>
      </c>
      <c r="Z342" s="169">
        <f>IF(Z$2&lt;=AnalysisPeriod,IF(SUM($C620:Z620)&gt;0,Y342+1,0),0)</f>
        <v>0</v>
      </c>
      <c r="AA342" s="169">
        <f>IF(AA$2&lt;=AnalysisPeriod,IF(SUM($C620:AA620)&gt;0,Z342+1,0),0)</f>
        <v>0</v>
      </c>
      <c r="AB342" s="169">
        <f>IF(AB$2&lt;=AnalysisPeriod,IF(SUM($C620:AB620)&gt;0,AA342+1,0),0)</f>
        <v>0</v>
      </c>
      <c r="AC342" s="169">
        <f>IF(AC$2&lt;=AnalysisPeriod,IF(SUM($C620:AC620)&gt;0,AB342+1,0),0)</f>
        <v>0</v>
      </c>
      <c r="AD342" s="169">
        <f>IF(AD$2&lt;=AnalysisPeriod,IF(SUM($C620:AD620)&gt;0,AC342+1,0),0)</f>
        <v>0</v>
      </c>
      <c r="AE342" s="169">
        <f>IF(AE$2&lt;=AnalysisPeriod,IF(SUM($C620:AE620)&gt;0,AD342+1,0),0)</f>
        <v>0</v>
      </c>
      <c r="AF342" s="169">
        <f>IF(AF$2&lt;=AnalysisPeriod,IF(SUM($C620:AF620)&gt;0,AE342+1,0),0)</f>
        <v>0</v>
      </c>
      <c r="AG342" s="169">
        <f>IF(AG$2&lt;=AnalysisPeriod,IF(SUM($C620:AG620)&gt;0,AF342+1,0),0)</f>
        <v>0</v>
      </c>
      <c r="AH342" s="169">
        <f>IF(AH$2&lt;=AnalysisPeriod,IF(SUM($C620:AH620)&gt;0,AG342+1,0),0)</f>
        <v>0</v>
      </c>
      <c r="AI342" s="169">
        <f>IF(AI$2&lt;=AnalysisPeriod,IF(SUM($C620:AI620)&gt;0,AH342+1,0),0)</f>
        <v>0</v>
      </c>
      <c r="AJ342" s="169">
        <f>IF(AJ$2&lt;=AnalysisPeriod,IF(SUM($C620:AJ620)&gt;0,AI342+1,0),0)</f>
        <v>0</v>
      </c>
      <c r="AK342" s="169">
        <f>IF(AK$2&lt;=AnalysisPeriod,IF(SUM($C620:AK620)&gt;0,AJ342+1,0),0)</f>
        <v>0</v>
      </c>
      <c r="AL342" s="169">
        <f>IF(AL$2&lt;=AnalysisPeriod,IF(SUM($C620:AL620)&gt;0,AK342+1,0),0)</f>
        <v>0</v>
      </c>
      <c r="AM342" s="169">
        <f>IF(AM$2&lt;=AnalysisPeriod,IF(SUM($C620:AM620)&gt;0,AL342+1,0),0)</f>
        <v>0</v>
      </c>
      <c r="AN342" s="169">
        <f>IF(AN$2&lt;=AnalysisPeriod,IF(SUM($C620:AN620)&gt;0,AM342+1,0),0)</f>
        <v>0</v>
      </c>
      <c r="AO342" s="169">
        <f>IF(AO$2&lt;=AnalysisPeriod,IF(SUM($C620:AO620)&gt;0,AN342+1,0),0)</f>
        <v>0</v>
      </c>
      <c r="AP342" s="169">
        <f>IF(AP$2&lt;=AnalysisPeriod,IF(SUM($C620:AP620)&gt;0,AO342+1,0),0)</f>
        <v>0</v>
      </c>
    </row>
    <row r="343" spans="1:42" x14ac:dyDescent="0.2">
      <c r="A343" s="20">
        <f t="shared" si="167"/>
        <v>7</v>
      </c>
      <c r="C343" s="169">
        <f>IF(C$2&lt;=AnalysisPeriod,IF(SUM($C621:C621)&gt;0,B343+1,0),0)</f>
        <v>0</v>
      </c>
      <c r="D343" s="169">
        <f>IF(D$2&lt;=AnalysisPeriod,IF(SUM($C621:D621)&gt;0,C343+1,0),0)</f>
        <v>0</v>
      </c>
      <c r="E343" s="169">
        <f>IF(E$2&lt;=AnalysisPeriod,IF(SUM($C621:E621)&gt;0,D343+1,0),0)</f>
        <v>0</v>
      </c>
      <c r="F343" s="169">
        <f>IF(F$2&lt;=AnalysisPeriod,IF(SUM($C621:F621)&gt;0,E343+1,0),0)</f>
        <v>0</v>
      </c>
      <c r="G343" s="169">
        <f>IF(G$2&lt;=AnalysisPeriod,IF(SUM($C621:G621)&gt;0,F343+1,0),0)</f>
        <v>0</v>
      </c>
      <c r="H343" s="169">
        <f>IF(H$2&lt;=AnalysisPeriod,IF(SUM($C621:H621)&gt;0,G343+1,0),0)</f>
        <v>0</v>
      </c>
      <c r="I343" s="169">
        <f>IF(I$2&lt;=AnalysisPeriod,IF(SUM($C621:I621)&gt;0,H343+1,0),0)</f>
        <v>0</v>
      </c>
      <c r="J343" s="169">
        <f>IF(J$2&lt;=AnalysisPeriod,IF(SUM($C621:J621)&gt;0,I343+1,0),0)</f>
        <v>0</v>
      </c>
      <c r="K343" s="169">
        <f>IF(K$2&lt;=AnalysisPeriod,IF(SUM($C621:K621)&gt;0,J343+1,0),0)</f>
        <v>0</v>
      </c>
      <c r="L343" s="169">
        <f>IF(L$2&lt;=AnalysisPeriod,IF(SUM($C621:L621)&gt;0,K343+1,0),0)</f>
        <v>0</v>
      </c>
      <c r="M343" s="169">
        <f>IF(M$2&lt;=AnalysisPeriod,IF(SUM($C621:M621)&gt;0,L343+1,0),0)</f>
        <v>0</v>
      </c>
      <c r="N343" s="169">
        <f>IF(N$2&lt;=AnalysisPeriod,IF(SUM($C621:N621)&gt;0,M343+1,0),0)</f>
        <v>0</v>
      </c>
      <c r="O343" s="169">
        <f>IF(O$2&lt;=AnalysisPeriod,IF(SUM($C621:O621)&gt;0,N343+1,0),0)</f>
        <v>0</v>
      </c>
      <c r="P343" s="169">
        <f>IF(P$2&lt;=AnalysisPeriod,IF(SUM($C621:P621)&gt;0,O343+1,0),0)</f>
        <v>0</v>
      </c>
      <c r="Q343" s="169">
        <f>IF(Q$2&lt;=AnalysisPeriod,IF(SUM($C621:Q621)&gt;0,P343+1,0),0)</f>
        <v>0</v>
      </c>
      <c r="R343" s="169">
        <f>IF(R$2&lt;=AnalysisPeriod,IF(SUM($C621:R621)&gt;0,Q343+1,0),0)</f>
        <v>0</v>
      </c>
      <c r="S343" s="169">
        <f>IF(S$2&lt;=AnalysisPeriod,IF(SUM($C621:S621)&gt;0,R343+1,0),0)</f>
        <v>0</v>
      </c>
      <c r="T343" s="169">
        <f>IF(T$2&lt;=AnalysisPeriod,IF(SUM($C621:T621)&gt;0,S343+1,0),0)</f>
        <v>0</v>
      </c>
      <c r="U343" s="169">
        <f>IF(U$2&lt;=AnalysisPeriod,IF(SUM($C621:U621)&gt;0,T343+1,0),0)</f>
        <v>0</v>
      </c>
      <c r="V343" s="169">
        <f>IF(V$2&lt;=AnalysisPeriod,IF(SUM($C621:V621)&gt;0,U343+1,0),0)</f>
        <v>0</v>
      </c>
      <c r="W343" s="169">
        <f>IF(W$2&lt;=AnalysisPeriod,IF(SUM($C621:W621)&gt;0,V343+1,0),0)</f>
        <v>0</v>
      </c>
      <c r="X343" s="169">
        <f>IF(X$2&lt;=AnalysisPeriod,IF(SUM($C621:X621)&gt;0,W343+1,0),0)</f>
        <v>0</v>
      </c>
      <c r="Y343" s="169">
        <f>IF(Y$2&lt;=AnalysisPeriod,IF(SUM($C621:Y621)&gt;0,X343+1,0),0)</f>
        <v>0</v>
      </c>
      <c r="Z343" s="169">
        <f>IF(Z$2&lt;=AnalysisPeriod,IF(SUM($C621:Z621)&gt;0,Y343+1,0),0)</f>
        <v>0</v>
      </c>
      <c r="AA343" s="169">
        <f>IF(AA$2&lt;=AnalysisPeriod,IF(SUM($C621:AA621)&gt;0,Z343+1,0),0)</f>
        <v>0</v>
      </c>
      <c r="AB343" s="169">
        <f>IF(AB$2&lt;=AnalysisPeriod,IF(SUM($C621:AB621)&gt;0,AA343+1,0),0)</f>
        <v>0</v>
      </c>
      <c r="AC343" s="169">
        <f>IF(AC$2&lt;=AnalysisPeriod,IF(SUM($C621:AC621)&gt;0,AB343+1,0),0)</f>
        <v>0</v>
      </c>
      <c r="AD343" s="169">
        <f>IF(AD$2&lt;=AnalysisPeriod,IF(SUM($C621:AD621)&gt;0,AC343+1,0),0)</f>
        <v>0</v>
      </c>
      <c r="AE343" s="169">
        <f>IF(AE$2&lt;=AnalysisPeriod,IF(SUM($C621:AE621)&gt;0,AD343+1,0),0)</f>
        <v>0</v>
      </c>
      <c r="AF343" s="169">
        <f>IF(AF$2&lt;=AnalysisPeriod,IF(SUM($C621:AF621)&gt;0,AE343+1,0),0)</f>
        <v>0</v>
      </c>
      <c r="AG343" s="169">
        <f>IF(AG$2&lt;=AnalysisPeriod,IF(SUM($C621:AG621)&gt;0,AF343+1,0),0)</f>
        <v>0</v>
      </c>
      <c r="AH343" s="169">
        <f>IF(AH$2&lt;=AnalysisPeriod,IF(SUM($C621:AH621)&gt;0,AG343+1,0),0)</f>
        <v>0</v>
      </c>
      <c r="AI343" s="169">
        <f>IF(AI$2&lt;=AnalysisPeriod,IF(SUM($C621:AI621)&gt;0,AH343+1,0),0)</f>
        <v>0</v>
      </c>
      <c r="AJ343" s="169">
        <f>IF(AJ$2&lt;=AnalysisPeriod,IF(SUM($C621:AJ621)&gt;0,AI343+1,0),0)</f>
        <v>0</v>
      </c>
      <c r="AK343" s="169">
        <f>IF(AK$2&lt;=AnalysisPeriod,IF(SUM($C621:AK621)&gt;0,AJ343+1,0),0)</f>
        <v>0</v>
      </c>
      <c r="AL343" s="169">
        <f>IF(AL$2&lt;=AnalysisPeriod,IF(SUM($C621:AL621)&gt;0,AK343+1,0),0)</f>
        <v>0</v>
      </c>
      <c r="AM343" s="169">
        <f>IF(AM$2&lt;=AnalysisPeriod,IF(SUM($C621:AM621)&gt;0,AL343+1,0),0)</f>
        <v>0</v>
      </c>
      <c r="AN343" s="169">
        <f>IF(AN$2&lt;=AnalysisPeriod,IF(SUM($C621:AN621)&gt;0,AM343+1,0),0)</f>
        <v>0</v>
      </c>
      <c r="AO343" s="169">
        <f>IF(AO$2&lt;=AnalysisPeriod,IF(SUM($C621:AO621)&gt;0,AN343+1,0),0)</f>
        <v>0</v>
      </c>
      <c r="AP343" s="169">
        <f>IF(AP$2&lt;=AnalysisPeriod,IF(SUM($C621:AP621)&gt;0,AO343+1,0),0)</f>
        <v>0</v>
      </c>
    </row>
    <row r="344" spans="1:42" x14ac:dyDescent="0.2">
      <c r="A344" s="20">
        <f t="shared" si="167"/>
        <v>8</v>
      </c>
      <c r="C344" s="169">
        <f>IF(C$2&lt;=AnalysisPeriod,IF(SUM($C622:C622)&gt;0,B344+1,0),0)</f>
        <v>0</v>
      </c>
      <c r="D344" s="169">
        <f>IF(D$2&lt;=AnalysisPeriod,IF(SUM($C622:D622)&gt;0,C344+1,0),0)</f>
        <v>0</v>
      </c>
      <c r="E344" s="169">
        <f>IF(E$2&lt;=AnalysisPeriod,IF(SUM($C622:E622)&gt;0,D344+1,0),0)</f>
        <v>0</v>
      </c>
      <c r="F344" s="169">
        <f>IF(F$2&lt;=AnalysisPeriod,IF(SUM($C622:F622)&gt;0,E344+1,0),0)</f>
        <v>0</v>
      </c>
      <c r="G344" s="169">
        <f>IF(G$2&lt;=AnalysisPeriod,IF(SUM($C622:G622)&gt;0,F344+1,0),0)</f>
        <v>0</v>
      </c>
      <c r="H344" s="169">
        <f>IF(H$2&lt;=AnalysisPeriod,IF(SUM($C622:H622)&gt;0,G344+1,0),0)</f>
        <v>0</v>
      </c>
      <c r="I344" s="169">
        <f>IF(I$2&lt;=AnalysisPeriod,IF(SUM($C622:I622)&gt;0,H344+1,0),0)</f>
        <v>0</v>
      </c>
      <c r="J344" s="169">
        <f>IF(J$2&lt;=AnalysisPeriod,IF(SUM($C622:J622)&gt;0,I344+1,0),0)</f>
        <v>0</v>
      </c>
      <c r="K344" s="169">
        <f>IF(K$2&lt;=AnalysisPeriod,IF(SUM($C622:K622)&gt;0,J344+1,0),0)</f>
        <v>0</v>
      </c>
      <c r="L344" s="169">
        <f>IF(L$2&lt;=AnalysisPeriod,IF(SUM($C622:L622)&gt;0,K344+1,0),0)</f>
        <v>0</v>
      </c>
      <c r="M344" s="169">
        <f>IF(M$2&lt;=AnalysisPeriod,IF(SUM($C622:M622)&gt;0,L344+1,0),0)</f>
        <v>0</v>
      </c>
      <c r="N344" s="169">
        <f>IF(N$2&lt;=AnalysisPeriod,IF(SUM($C622:N622)&gt;0,M344+1,0),0)</f>
        <v>0</v>
      </c>
      <c r="O344" s="169">
        <f>IF(O$2&lt;=AnalysisPeriod,IF(SUM($C622:O622)&gt;0,N344+1,0),0)</f>
        <v>0</v>
      </c>
      <c r="P344" s="169">
        <f>IF(P$2&lt;=AnalysisPeriod,IF(SUM($C622:P622)&gt;0,O344+1,0),0)</f>
        <v>0</v>
      </c>
      <c r="Q344" s="169">
        <f>IF(Q$2&lt;=AnalysisPeriod,IF(SUM($C622:Q622)&gt;0,P344+1,0),0)</f>
        <v>0</v>
      </c>
      <c r="R344" s="169">
        <f>IF(R$2&lt;=AnalysisPeriod,IF(SUM($C622:R622)&gt;0,Q344+1,0),0)</f>
        <v>0</v>
      </c>
      <c r="S344" s="169">
        <f>IF(S$2&lt;=AnalysisPeriod,IF(SUM($C622:S622)&gt;0,R344+1,0),0)</f>
        <v>0</v>
      </c>
      <c r="T344" s="169">
        <f>IF(T$2&lt;=AnalysisPeriod,IF(SUM($C622:T622)&gt;0,S344+1,0),0)</f>
        <v>0</v>
      </c>
      <c r="U344" s="169">
        <f>IF(U$2&lt;=AnalysisPeriod,IF(SUM($C622:U622)&gt;0,T344+1,0),0)</f>
        <v>0</v>
      </c>
      <c r="V344" s="169">
        <f>IF(V$2&lt;=AnalysisPeriod,IF(SUM($C622:V622)&gt;0,U344+1,0),0)</f>
        <v>0</v>
      </c>
      <c r="W344" s="169">
        <f>IF(W$2&lt;=AnalysisPeriod,IF(SUM($C622:W622)&gt;0,V344+1,0),0)</f>
        <v>0</v>
      </c>
      <c r="X344" s="169">
        <f>IF(X$2&lt;=AnalysisPeriod,IF(SUM($C622:X622)&gt;0,W344+1,0),0)</f>
        <v>0</v>
      </c>
      <c r="Y344" s="169">
        <f>IF(Y$2&lt;=AnalysisPeriod,IF(SUM($C622:Y622)&gt;0,X344+1,0),0)</f>
        <v>0</v>
      </c>
      <c r="Z344" s="169">
        <f>IF(Z$2&lt;=AnalysisPeriod,IF(SUM($C622:Z622)&gt;0,Y344+1,0),0)</f>
        <v>0</v>
      </c>
      <c r="AA344" s="169">
        <f>IF(AA$2&lt;=AnalysisPeriod,IF(SUM($C622:AA622)&gt;0,Z344+1,0),0)</f>
        <v>0</v>
      </c>
      <c r="AB344" s="169">
        <f>IF(AB$2&lt;=AnalysisPeriod,IF(SUM($C622:AB622)&gt;0,AA344+1,0),0)</f>
        <v>0</v>
      </c>
      <c r="AC344" s="169">
        <f>IF(AC$2&lt;=AnalysisPeriod,IF(SUM($C622:AC622)&gt;0,AB344+1,0),0)</f>
        <v>0</v>
      </c>
      <c r="AD344" s="169">
        <f>IF(AD$2&lt;=AnalysisPeriod,IF(SUM($C622:AD622)&gt;0,AC344+1,0),0)</f>
        <v>0</v>
      </c>
      <c r="AE344" s="169">
        <f>IF(AE$2&lt;=AnalysisPeriod,IF(SUM($C622:AE622)&gt;0,AD344+1,0),0)</f>
        <v>0</v>
      </c>
      <c r="AF344" s="169">
        <f>IF(AF$2&lt;=AnalysisPeriod,IF(SUM($C622:AF622)&gt;0,AE344+1,0),0)</f>
        <v>0</v>
      </c>
      <c r="AG344" s="169">
        <f>IF(AG$2&lt;=AnalysisPeriod,IF(SUM($C622:AG622)&gt;0,AF344+1,0),0)</f>
        <v>0</v>
      </c>
      <c r="AH344" s="169">
        <f>IF(AH$2&lt;=AnalysisPeriod,IF(SUM($C622:AH622)&gt;0,AG344+1,0),0)</f>
        <v>0</v>
      </c>
      <c r="AI344" s="169">
        <f>IF(AI$2&lt;=AnalysisPeriod,IF(SUM($C622:AI622)&gt;0,AH344+1,0),0)</f>
        <v>0</v>
      </c>
      <c r="AJ344" s="169">
        <f>IF(AJ$2&lt;=AnalysisPeriod,IF(SUM($C622:AJ622)&gt;0,AI344+1,0),0)</f>
        <v>0</v>
      </c>
      <c r="AK344" s="169">
        <f>IF(AK$2&lt;=AnalysisPeriod,IF(SUM($C622:AK622)&gt;0,AJ344+1,0),0)</f>
        <v>0</v>
      </c>
      <c r="AL344" s="169">
        <f>IF(AL$2&lt;=AnalysisPeriod,IF(SUM($C622:AL622)&gt;0,AK344+1,0),0)</f>
        <v>0</v>
      </c>
      <c r="AM344" s="169">
        <f>IF(AM$2&lt;=AnalysisPeriod,IF(SUM($C622:AM622)&gt;0,AL344+1,0),0)</f>
        <v>0</v>
      </c>
      <c r="AN344" s="169">
        <f>IF(AN$2&lt;=AnalysisPeriod,IF(SUM($C622:AN622)&gt;0,AM344+1,0),0)</f>
        <v>0</v>
      </c>
      <c r="AO344" s="169">
        <f>IF(AO$2&lt;=AnalysisPeriod,IF(SUM($C622:AO622)&gt;0,AN344+1,0),0)</f>
        <v>0</v>
      </c>
      <c r="AP344" s="169">
        <f>IF(AP$2&lt;=AnalysisPeriod,IF(SUM($C622:AP622)&gt;0,AO344+1,0),0)</f>
        <v>0</v>
      </c>
    </row>
    <row r="345" spans="1:42" x14ac:dyDescent="0.2">
      <c r="A345" s="20">
        <f>A344+1</f>
        <v>9</v>
      </c>
      <c r="C345" s="169">
        <f>IF(C$2&lt;=AnalysisPeriod,IF(SUM($C623:C623)&gt;0,B345+1,0),0)</f>
        <v>0</v>
      </c>
      <c r="D345" s="169">
        <f>IF(D$2&lt;=AnalysisPeriod,IF(SUM($C623:D623)&gt;0,C345+1,0),0)</f>
        <v>0</v>
      </c>
      <c r="E345" s="169">
        <f>IF(E$2&lt;=AnalysisPeriod,IF(SUM($C623:E623)&gt;0,D345+1,0),0)</f>
        <v>0</v>
      </c>
      <c r="F345" s="169">
        <f>IF(F$2&lt;=AnalysisPeriod,IF(SUM($C623:F623)&gt;0,E345+1,0),0)</f>
        <v>0</v>
      </c>
      <c r="G345" s="169">
        <f>IF(G$2&lt;=AnalysisPeriod,IF(SUM($C623:G623)&gt;0,F345+1,0),0)</f>
        <v>0</v>
      </c>
      <c r="H345" s="169">
        <f>IF(H$2&lt;=AnalysisPeriod,IF(SUM($C623:H623)&gt;0,G345+1,0),0)</f>
        <v>0</v>
      </c>
      <c r="I345" s="169">
        <f>IF(I$2&lt;=AnalysisPeriod,IF(SUM($C623:I623)&gt;0,H345+1,0),0)</f>
        <v>0</v>
      </c>
      <c r="J345" s="169">
        <f>IF(J$2&lt;=AnalysisPeriod,IF(SUM($C623:J623)&gt;0,I345+1,0),0)</f>
        <v>0</v>
      </c>
      <c r="K345" s="169">
        <f>IF(K$2&lt;=AnalysisPeriod,IF(SUM($C623:K623)&gt;0,J345+1,0),0)</f>
        <v>0</v>
      </c>
      <c r="L345" s="169">
        <f>IF(L$2&lt;=AnalysisPeriod,IF(SUM($C623:L623)&gt;0,K345+1,0),0)</f>
        <v>0</v>
      </c>
      <c r="M345" s="169">
        <f>IF(M$2&lt;=AnalysisPeriod,IF(SUM($C623:M623)&gt;0,L345+1,0),0)</f>
        <v>0</v>
      </c>
      <c r="N345" s="169">
        <f>IF(N$2&lt;=AnalysisPeriod,IF(SUM($C623:N623)&gt;0,M345+1,0),0)</f>
        <v>0</v>
      </c>
      <c r="O345" s="169">
        <f>IF(O$2&lt;=AnalysisPeriod,IF(SUM($C623:O623)&gt;0,N345+1,0),0)</f>
        <v>0</v>
      </c>
      <c r="P345" s="169">
        <f>IF(P$2&lt;=AnalysisPeriod,IF(SUM($C623:P623)&gt;0,O345+1,0),0)</f>
        <v>0</v>
      </c>
      <c r="Q345" s="169">
        <f>IF(Q$2&lt;=AnalysisPeriod,IF(SUM($C623:Q623)&gt;0,P345+1,0),0)</f>
        <v>0</v>
      </c>
      <c r="R345" s="169">
        <f>IF(R$2&lt;=AnalysisPeriod,IF(SUM($C623:R623)&gt;0,Q345+1,0),0)</f>
        <v>0</v>
      </c>
      <c r="S345" s="169">
        <f>IF(S$2&lt;=AnalysisPeriod,IF(SUM($C623:S623)&gt;0,R345+1,0),0)</f>
        <v>0</v>
      </c>
      <c r="T345" s="169">
        <f>IF(T$2&lt;=AnalysisPeriod,IF(SUM($C623:T623)&gt;0,S345+1,0),0)</f>
        <v>0</v>
      </c>
      <c r="U345" s="169">
        <f>IF(U$2&lt;=AnalysisPeriod,IF(SUM($C623:U623)&gt;0,T345+1,0),0)</f>
        <v>0</v>
      </c>
      <c r="V345" s="169">
        <f>IF(V$2&lt;=AnalysisPeriod,IF(SUM($C623:V623)&gt;0,U345+1,0),0)</f>
        <v>0</v>
      </c>
      <c r="W345" s="169">
        <f>IF(W$2&lt;=AnalysisPeriod,IF(SUM($C623:W623)&gt;0,V345+1,0),0)</f>
        <v>0</v>
      </c>
      <c r="X345" s="169">
        <f>IF(X$2&lt;=AnalysisPeriod,IF(SUM($C623:X623)&gt;0,W345+1,0),0)</f>
        <v>0</v>
      </c>
      <c r="Y345" s="169">
        <f>IF(Y$2&lt;=AnalysisPeriod,IF(SUM($C623:Y623)&gt;0,X345+1,0),0)</f>
        <v>0</v>
      </c>
      <c r="Z345" s="169">
        <f>IF(Z$2&lt;=AnalysisPeriod,IF(SUM($C623:Z623)&gt;0,Y345+1,0),0)</f>
        <v>0</v>
      </c>
      <c r="AA345" s="169">
        <f>IF(AA$2&lt;=AnalysisPeriod,IF(SUM($C623:AA623)&gt;0,Z345+1,0),0)</f>
        <v>0</v>
      </c>
      <c r="AB345" s="169">
        <f>IF(AB$2&lt;=AnalysisPeriod,IF(SUM($C623:AB623)&gt;0,AA345+1,0),0)</f>
        <v>0</v>
      </c>
      <c r="AC345" s="169">
        <f>IF(AC$2&lt;=AnalysisPeriod,IF(SUM($C623:AC623)&gt;0,AB345+1,0),0)</f>
        <v>0</v>
      </c>
      <c r="AD345" s="169">
        <f>IF(AD$2&lt;=AnalysisPeriod,IF(SUM($C623:AD623)&gt;0,AC345+1,0),0)</f>
        <v>0</v>
      </c>
      <c r="AE345" s="169">
        <f>IF(AE$2&lt;=AnalysisPeriod,IF(SUM($C623:AE623)&gt;0,AD345+1,0),0)</f>
        <v>0</v>
      </c>
      <c r="AF345" s="169">
        <f>IF(AF$2&lt;=AnalysisPeriod,IF(SUM($C623:AF623)&gt;0,AE345+1,0),0)</f>
        <v>0</v>
      </c>
      <c r="AG345" s="169">
        <f>IF(AG$2&lt;=AnalysisPeriod,IF(SUM($C623:AG623)&gt;0,AF345+1,0),0)</f>
        <v>0</v>
      </c>
      <c r="AH345" s="169">
        <f>IF(AH$2&lt;=AnalysisPeriod,IF(SUM($C623:AH623)&gt;0,AG345+1,0),0)</f>
        <v>0</v>
      </c>
      <c r="AI345" s="169">
        <f>IF(AI$2&lt;=AnalysisPeriod,IF(SUM($C623:AI623)&gt;0,AH345+1,0),0)</f>
        <v>0</v>
      </c>
      <c r="AJ345" s="169">
        <f>IF(AJ$2&lt;=AnalysisPeriod,IF(SUM($C623:AJ623)&gt;0,AI345+1,0),0)</f>
        <v>0</v>
      </c>
      <c r="AK345" s="169">
        <f>IF(AK$2&lt;=AnalysisPeriod,IF(SUM($C623:AK623)&gt;0,AJ345+1,0),0)</f>
        <v>0</v>
      </c>
      <c r="AL345" s="169">
        <f>IF(AL$2&lt;=AnalysisPeriod,IF(SUM($C623:AL623)&gt;0,AK345+1,0),0)</f>
        <v>0</v>
      </c>
      <c r="AM345" s="169">
        <f>IF(AM$2&lt;=AnalysisPeriod,IF(SUM($C623:AM623)&gt;0,AL345+1,0),0)</f>
        <v>0</v>
      </c>
      <c r="AN345" s="169">
        <f>IF(AN$2&lt;=AnalysisPeriod,IF(SUM($C623:AN623)&gt;0,AM345+1,0),0)</f>
        <v>0</v>
      </c>
      <c r="AO345" s="169">
        <f>IF(AO$2&lt;=AnalysisPeriod,IF(SUM($C623:AO623)&gt;0,AN345+1,0),0)</f>
        <v>0</v>
      </c>
      <c r="AP345" s="169">
        <f>IF(AP$2&lt;=AnalysisPeriod,IF(SUM($C623:AP623)&gt;0,AO345+1,0),0)</f>
        <v>0</v>
      </c>
    </row>
    <row r="346" spans="1:42" x14ac:dyDescent="0.2">
      <c r="A346" s="20">
        <f t="shared" si="167"/>
        <v>10</v>
      </c>
      <c r="C346" s="169">
        <f>IF(C$2&lt;=AnalysisPeriod,IF(SUM($C624:C624)&gt;0,B346+1,0),0)</f>
        <v>0</v>
      </c>
      <c r="D346" s="169">
        <f>IF(D$2&lt;=AnalysisPeriod,IF(SUM($C624:D624)&gt;0,C346+1,0),0)</f>
        <v>0</v>
      </c>
      <c r="E346" s="169">
        <f>IF(E$2&lt;=AnalysisPeriod,IF(SUM($C624:E624)&gt;0,D346+1,0),0)</f>
        <v>0</v>
      </c>
      <c r="F346" s="169">
        <f>IF(F$2&lt;=AnalysisPeriod,IF(SUM($C624:F624)&gt;0,E346+1,0),0)</f>
        <v>0</v>
      </c>
      <c r="G346" s="169">
        <f>IF(G$2&lt;=AnalysisPeriod,IF(SUM($C624:G624)&gt;0,F346+1,0),0)</f>
        <v>0</v>
      </c>
      <c r="H346" s="169">
        <f>IF(H$2&lt;=AnalysisPeriod,IF(SUM($C624:H624)&gt;0,G346+1,0),0)</f>
        <v>0</v>
      </c>
      <c r="I346" s="169">
        <f>IF(I$2&lt;=AnalysisPeriod,IF(SUM($C624:I624)&gt;0,H346+1,0),0)</f>
        <v>0</v>
      </c>
      <c r="J346" s="169">
        <f>IF(J$2&lt;=AnalysisPeriod,IF(SUM($C624:J624)&gt;0,I346+1,0),0)</f>
        <v>0</v>
      </c>
      <c r="K346" s="169">
        <f>IF(K$2&lt;=AnalysisPeriod,IF(SUM($C624:K624)&gt;0,J346+1,0),0)</f>
        <v>0</v>
      </c>
      <c r="L346" s="169">
        <f>IF(L$2&lt;=AnalysisPeriod,IF(SUM($C624:L624)&gt;0,K346+1,0),0)</f>
        <v>0</v>
      </c>
      <c r="M346" s="169">
        <f>IF(M$2&lt;=AnalysisPeriod,IF(SUM($C624:M624)&gt;0,L346+1,0),0)</f>
        <v>0</v>
      </c>
      <c r="N346" s="169">
        <f>IF(N$2&lt;=AnalysisPeriod,IF(SUM($C624:N624)&gt;0,M346+1,0),0)</f>
        <v>0</v>
      </c>
      <c r="O346" s="169">
        <f>IF(O$2&lt;=AnalysisPeriod,IF(SUM($C624:O624)&gt;0,N346+1,0),0)</f>
        <v>0</v>
      </c>
      <c r="P346" s="169">
        <f>IF(P$2&lt;=AnalysisPeriod,IF(SUM($C624:P624)&gt;0,O346+1,0),0)</f>
        <v>0</v>
      </c>
      <c r="Q346" s="169">
        <f>IF(Q$2&lt;=AnalysisPeriod,IF(SUM($C624:Q624)&gt;0,P346+1,0),0)</f>
        <v>0</v>
      </c>
      <c r="R346" s="169">
        <f>IF(R$2&lt;=AnalysisPeriod,IF(SUM($C624:R624)&gt;0,Q346+1,0),0)</f>
        <v>0</v>
      </c>
      <c r="S346" s="169">
        <f>IF(S$2&lt;=AnalysisPeriod,IF(SUM($C624:S624)&gt;0,R346+1,0),0)</f>
        <v>0</v>
      </c>
      <c r="T346" s="169">
        <f>IF(T$2&lt;=AnalysisPeriod,IF(SUM($C624:T624)&gt;0,S346+1,0),0)</f>
        <v>0</v>
      </c>
      <c r="U346" s="169">
        <f>IF(U$2&lt;=AnalysisPeriod,IF(SUM($C624:U624)&gt;0,T346+1,0),0)</f>
        <v>0</v>
      </c>
      <c r="V346" s="169">
        <f>IF(V$2&lt;=AnalysisPeriod,IF(SUM($C624:V624)&gt;0,U346+1,0),0)</f>
        <v>0</v>
      </c>
      <c r="W346" s="169">
        <f>IF(W$2&lt;=AnalysisPeriod,IF(SUM($C624:W624)&gt;0,V346+1,0),0)</f>
        <v>0</v>
      </c>
      <c r="X346" s="169">
        <f>IF(X$2&lt;=AnalysisPeriod,IF(SUM($C624:X624)&gt;0,W346+1,0),0)</f>
        <v>0</v>
      </c>
      <c r="Y346" s="169">
        <f>IF(Y$2&lt;=AnalysisPeriod,IF(SUM($C624:Y624)&gt;0,X346+1,0),0)</f>
        <v>0</v>
      </c>
      <c r="Z346" s="169">
        <f>IF(Z$2&lt;=AnalysisPeriod,IF(SUM($C624:Z624)&gt;0,Y346+1,0),0)</f>
        <v>0</v>
      </c>
      <c r="AA346" s="169">
        <f>IF(AA$2&lt;=AnalysisPeriod,IF(SUM($C624:AA624)&gt;0,Z346+1,0),0)</f>
        <v>0</v>
      </c>
      <c r="AB346" s="169">
        <f>IF(AB$2&lt;=AnalysisPeriod,IF(SUM($C624:AB624)&gt;0,AA346+1,0),0)</f>
        <v>0</v>
      </c>
      <c r="AC346" s="169">
        <f>IF(AC$2&lt;=AnalysisPeriod,IF(SUM($C624:AC624)&gt;0,AB346+1,0),0)</f>
        <v>0</v>
      </c>
      <c r="AD346" s="169">
        <f>IF(AD$2&lt;=AnalysisPeriod,IF(SUM($C624:AD624)&gt;0,AC346+1,0),0)</f>
        <v>0</v>
      </c>
      <c r="AE346" s="169">
        <f>IF(AE$2&lt;=AnalysisPeriod,IF(SUM($C624:AE624)&gt;0,AD346+1,0),0)</f>
        <v>0</v>
      </c>
      <c r="AF346" s="169">
        <f>IF(AF$2&lt;=AnalysisPeriod,IF(SUM($C624:AF624)&gt;0,AE346+1,0),0)</f>
        <v>0</v>
      </c>
      <c r="AG346" s="169">
        <f>IF(AG$2&lt;=AnalysisPeriod,IF(SUM($C624:AG624)&gt;0,AF346+1,0),0)</f>
        <v>0</v>
      </c>
      <c r="AH346" s="169">
        <f>IF(AH$2&lt;=AnalysisPeriod,IF(SUM($C624:AH624)&gt;0,AG346+1,0),0)</f>
        <v>0</v>
      </c>
      <c r="AI346" s="169">
        <f>IF(AI$2&lt;=AnalysisPeriod,IF(SUM($C624:AI624)&gt;0,AH346+1,0),0)</f>
        <v>0</v>
      </c>
      <c r="AJ346" s="169">
        <f>IF(AJ$2&lt;=AnalysisPeriod,IF(SUM($C624:AJ624)&gt;0,AI346+1,0),0)</f>
        <v>0</v>
      </c>
      <c r="AK346" s="169">
        <f>IF(AK$2&lt;=AnalysisPeriod,IF(SUM($C624:AK624)&gt;0,AJ346+1,0),0)</f>
        <v>0</v>
      </c>
      <c r="AL346" s="169">
        <f>IF(AL$2&lt;=AnalysisPeriod,IF(SUM($C624:AL624)&gt;0,AK346+1,0),0)</f>
        <v>0</v>
      </c>
      <c r="AM346" s="169">
        <f>IF(AM$2&lt;=AnalysisPeriod,IF(SUM($C624:AM624)&gt;0,AL346+1,0),0)</f>
        <v>0</v>
      </c>
      <c r="AN346" s="169">
        <f>IF(AN$2&lt;=AnalysisPeriod,IF(SUM($C624:AN624)&gt;0,AM346+1,0),0)</f>
        <v>0</v>
      </c>
      <c r="AO346" s="169">
        <f>IF(AO$2&lt;=AnalysisPeriod,IF(SUM($C624:AO624)&gt;0,AN346+1,0),0)</f>
        <v>0</v>
      </c>
      <c r="AP346" s="169">
        <f>IF(AP$2&lt;=AnalysisPeriod,IF(SUM($C624:AP624)&gt;0,AO346+1,0),0)</f>
        <v>0</v>
      </c>
    </row>
    <row r="347" spans="1:42" x14ac:dyDescent="0.2">
      <c r="A347" s="187" t="s">
        <v>196</v>
      </c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</row>
    <row r="348" spans="1:42" x14ac:dyDescent="0.2">
      <c r="A348" s="20">
        <v>1</v>
      </c>
      <c r="B348" s="179">
        <f t="shared" ref="B348:B357" si="168">SUM(C348:AP348)</f>
        <v>2944872.3435013141</v>
      </c>
      <c r="C348" s="169">
        <f t="shared" ref="C348:AP348" si="169">LOOKUP(C337,$B$332:$AP$332,$B$333:$AP$333)*$B615</f>
        <v>0</v>
      </c>
      <c r="D348" s="169">
        <f t="shared" si="169"/>
        <v>0</v>
      </c>
      <c r="E348" s="169">
        <f t="shared" si="169"/>
        <v>0</v>
      </c>
      <c r="F348" s="169">
        <f t="shared" si="169"/>
        <v>0</v>
      </c>
      <c r="G348" s="169">
        <f t="shared" si="169"/>
        <v>0</v>
      </c>
      <c r="H348" s="169">
        <f t="shared" si="169"/>
        <v>0</v>
      </c>
      <c r="I348" s="169">
        <f t="shared" si="169"/>
        <v>0</v>
      </c>
      <c r="J348" s="169">
        <f t="shared" si="169"/>
        <v>0</v>
      </c>
      <c r="K348" s="169">
        <f t="shared" si="169"/>
        <v>0</v>
      </c>
      <c r="L348" s="169">
        <f t="shared" si="169"/>
        <v>0</v>
      </c>
      <c r="M348" s="169">
        <f t="shared" si="169"/>
        <v>0</v>
      </c>
      <c r="N348" s="169">
        <f t="shared" si="169"/>
        <v>588974.46870026283</v>
      </c>
      <c r="O348" s="169">
        <f t="shared" si="169"/>
        <v>942359.14992042049</v>
      </c>
      <c r="P348" s="169">
        <f t="shared" si="169"/>
        <v>565415.48995225236</v>
      </c>
      <c r="Q348" s="169">
        <f t="shared" si="169"/>
        <v>339249.29397135135</v>
      </c>
      <c r="R348" s="169">
        <f t="shared" si="169"/>
        <v>339249.29397135135</v>
      </c>
      <c r="S348" s="169">
        <f t="shared" si="169"/>
        <v>169624.64698567567</v>
      </c>
      <c r="T348" s="169">
        <f t="shared" si="169"/>
        <v>0</v>
      </c>
      <c r="U348" s="169">
        <f t="shared" si="169"/>
        <v>0</v>
      </c>
      <c r="V348" s="169">
        <f t="shared" si="169"/>
        <v>0</v>
      </c>
      <c r="W348" s="169">
        <f t="shared" si="169"/>
        <v>0</v>
      </c>
      <c r="X348" s="169">
        <f t="shared" si="169"/>
        <v>0</v>
      </c>
      <c r="Y348" s="169">
        <f t="shared" si="169"/>
        <v>0</v>
      </c>
      <c r="Z348" s="169">
        <f t="shared" si="169"/>
        <v>0</v>
      </c>
      <c r="AA348" s="169">
        <f t="shared" si="169"/>
        <v>0</v>
      </c>
      <c r="AB348" s="169">
        <f t="shared" si="169"/>
        <v>0</v>
      </c>
      <c r="AC348" s="169">
        <f t="shared" si="169"/>
        <v>0</v>
      </c>
      <c r="AD348" s="169">
        <f t="shared" si="169"/>
        <v>0</v>
      </c>
      <c r="AE348" s="169">
        <f t="shared" si="169"/>
        <v>0</v>
      </c>
      <c r="AF348" s="169">
        <f t="shared" si="169"/>
        <v>0</v>
      </c>
      <c r="AG348" s="169">
        <f t="shared" si="169"/>
        <v>0</v>
      </c>
      <c r="AH348" s="169">
        <f t="shared" si="169"/>
        <v>0</v>
      </c>
      <c r="AI348" s="169">
        <f t="shared" si="169"/>
        <v>0</v>
      </c>
      <c r="AJ348" s="169">
        <f t="shared" si="169"/>
        <v>0</v>
      </c>
      <c r="AK348" s="169">
        <f t="shared" si="169"/>
        <v>0</v>
      </c>
      <c r="AL348" s="169">
        <f t="shared" si="169"/>
        <v>0</v>
      </c>
      <c r="AM348" s="169">
        <f t="shared" si="169"/>
        <v>0</v>
      </c>
      <c r="AN348" s="169">
        <f t="shared" si="169"/>
        <v>0</v>
      </c>
      <c r="AO348" s="169">
        <f t="shared" si="169"/>
        <v>0</v>
      </c>
      <c r="AP348" s="169">
        <f t="shared" si="169"/>
        <v>0</v>
      </c>
    </row>
    <row r="349" spans="1:42" x14ac:dyDescent="0.2">
      <c r="A349" s="20">
        <f>A348+1</f>
        <v>2</v>
      </c>
      <c r="B349" s="179">
        <f t="shared" si="168"/>
        <v>3520942.886524681</v>
      </c>
      <c r="C349" s="169">
        <f t="shared" ref="C349:AP349" si="170">LOOKUP(C338,$B$332:$AP$332,$B$333:$AP$333)*$B616</f>
        <v>0</v>
      </c>
      <c r="D349" s="169">
        <f t="shared" si="170"/>
        <v>0</v>
      </c>
      <c r="E349" s="169">
        <f t="shared" si="170"/>
        <v>0</v>
      </c>
      <c r="F349" s="169">
        <f t="shared" si="170"/>
        <v>0</v>
      </c>
      <c r="G349" s="169">
        <f t="shared" si="170"/>
        <v>0</v>
      </c>
      <c r="H349" s="169">
        <f t="shared" si="170"/>
        <v>0</v>
      </c>
      <c r="I349" s="169">
        <f t="shared" si="170"/>
        <v>0</v>
      </c>
      <c r="J349" s="169">
        <f t="shared" si="170"/>
        <v>0</v>
      </c>
      <c r="K349" s="169">
        <f t="shared" si="170"/>
        <v>0</v>
      </c>
      <c r="L349" s="169">
        <f t="shared" si="170"/>
        <v>0</v>
      </c>
      <c r="M349" s="169">
        <f t="shared" si="170"/>
        <v>0</v>
      </c>
      <c r="N349" s="169">
        <f t="shared" si="170"/>
        <v>0</v>
      </c>
      <c r="O349" s="169">
        <f t="shared" si="170"/>
        <v>0</v>
      </c>
      <c r="P349" s="169">
        <f t="shared" si="170"/>
        <v>0</v>
      </c>
      <c r="Q349" s="169">
        <f t="shared" si="170"/>
        <v>0</v>
      </c>
      <c r="R349" s="169">
        <f t="shared" si="170"/>
        <v>0</v>
      </c>
      <c r="S349" s="169">
        <f t="shared" si="170"/>
        <v>0</v>
      </c>
      <c r="T349" s="169">
        <f t="shared" si="170"/>
        <v>0</v>
      </c>
      <c r="U349" s="169">
        <f t="shared" si="170"/>
        <v>0</v>
      </c>
      <c r="V349" s="169">
        <f t="shared" si="170"/>
        <v>0</v>
      </c>
      <c r="W349" s="169">
        <f t="shared" si="170"/>
        <v>0</v>
      </c>
      <c r="X349" s="169">
        <f t="shared" si="170"/>
        <v>0</v>
      </c>
      <c r="Y349" s="169">
        <f t="shared" si="170"/>
        <v>0</v>
      </c>
      <c r="Z349" s="169">
        <f t="shared" si="170"/>
        <v>704188.57730493625</v>
      </c>
      <c r="AA349" s="169">
        <f t="shared" si="170"/>
        <v>1126701.7236878979</v>
      </c>
      <c r="AB349" s="169">
        <f t="shared" si="170"/>
        <v>676021.03421273874</v>
      </c>
      <c r="AC349" s="169">
        <f t="shared" si="170"/>
        <v>405612.62052764324</v>
      </c>
      <c r="AD349" s="169">
        <f t="shared" si="170"/>
        <v>405612.62052764324</v>
      </c>
      <c r="AE349" s="169">
        <f t="shared" si="170"/>
        <v>202806.31026382162</v>
      </c>
      <c r="AF349" s="169">
        <f t="shared" si="170"/>
        <v>0</v>
      </c>
      <c r="AG349" s="169">
        <f t="shared" si="170"/>
        <v>0</v>
      </c>
      <c r="AH349" s="169">
        <f t="shared" si="170"/>
        <v>0</v>
      </c>
      <c r="AI349" s="169">
        <f t="shared" si="170"/>
        <v>0</v>
      </c>
      <c r="AJ349" s="169">
        <f t="shared" si="170"/>
        <v>0</v>
      </c>
      <c r="AK349" s="169">
        <f t="shared" si="170"/>
        <v>0</v>
      </c>
      <c r="AL349" s="169">
        <f t="shared" si="170"/>
        <v>0</v>
      </c>
      <c r="AM349" s="169">
        <f t="shared" si="170"/>
        <v>0</v>
      </c>
      <c r="AN349" s="169">
        <f t="shared" si="170"/>
        <v>0</v>
      </c>
      <c r="AO349" s="169">
        <f t="shared" si="170"/>
        <v>0</v>
      </c>
      <c r="AP349" s="169">
        <f t="shared" si="170"/>
        <v>0</v>
      </c>
    </row>
    <row r="350" spans="1:42" x14ac:dyDescent="0.2">
      <c r="A350" s="20">
        <f t="shared" ref="A350:A357" si="171">A349+1</f>
        <v>3</v>
      </c>
      <c r="B350" s="179">
        <f t="shared" si="168"/>
        <v>3967224.3859686418</v>
      </c>
      <c r="C350" s="169">
        <f t="shared" ref="C350:AP350" si="172">LOOKUP(C339,$B$332:$AP$332,$B$333:$AP$333)*$B617</f>
        <v>0</v>
      </c>
      <c r="D350" s="169">
        <f t="shared" si="172"/>
        <v>0</v>
      </c>
      <c r="E350" s="169">
        <f t="shared" si="172"/>
        <v>0</v>
      </c>
      <c r="F350" s="169">
        <f t="shared" si="172"/>
        <v>0</v>
      </c>
      <c r="G350" s="169">
        <f t="shared" si="172"/>
        <v>0</v>
      </c>
      <c r="H350" s="169">
        <f t="shared" si="172"/>
        <v>0</v>
      </c>
      <c r="I350" s="169">
        <f t="shared" si="172"/>
        <v>0</v>
      </c>
      <c r="J350" s="169">
        <f t="shared" si="172"/>
        <v>0</v>
      </c>
      <c r="K350" s="169">
        <f t="shared" si="172"/>
        <v>0</v>
      </c>
      <c r="L350" s="169">
        <f t="shared" si="172"/>
        <v>0</v>
      </c>
      <c r="M350" s="169">
        <f t="shared" si="172"/>
        <v>0</v>
      </c>
      <c r="N350" s="169">
        <f t="shared" si="172"/>
        <v>0</v>
      </c>
      <c r="O350" s="169">
        <f t="shared" si="172"/>
        <v>0</v>
      </c>
      <c r="P350" s="169">
        <f t="shared" si="172"/>
        <v>0</v>
      </c>
      <c r="Q350" s="169">
        <f t="shared" si="172"/>
        <v>0</v>
      </c>
      <c r="R350" s="169">
        <f t="shared" si="172"/>
        <v>0</v>
      </c>
      <c r="S350" s="169">
        <f t="shared" si="172"/>
        <v>0</v>
      </c>
      <c r="T350" s="169">
        <f t="shared" si="172"/>
        <v>0</v>
      </c>
      <c r="U350" s="169">
        <f t="shared" si="172"/>
        <v>0</v>
      </c>
      <c r="V350" s="169">
        <f t="shared" si="172"/>
        <v>0</v>
      </c>
      <c r="W350" s="169">
        <f t="shared" si="172"/>
        <v>0</v>
      </c>
      <c r="X350" s="169">
        <f t="shared" si="172"/>
        <v>0</v>
      </c>
      <c r="Y350" s="169">
        <f t="shared" si="172"/>
        <v>0</v>
      </c>
      <c r="Z350" s="169">
        <f t="shared" si="172"/>
        <v>0</v>
      </c>
      <c r="AA350" s="169">
        <f t="shared" si="172"/>
        <v>0</v>
      </c>
      <c r="AB350" s="169">
        <f t="shared" si="172"/>
        <v>0</v>
      </c>
      <c r="AC350" s="169">
        <f t="shared" si="172"/>
        <v>0</v>
      </c>
      <c r="AD350" s="169">
        <f t="shared" si="172"/>
        <v>0</v>
      </c>
      <c r="AE350" s="169">
        <f t="shared" si="172"/>
        <v>0</v>
      </c>
      <c r="AF350" s="169">
        <f t="shared" si="172"/>
        <v>0</v>
      </c>
      <c r="AG350" s="169">
        <f t="shared" si="172"/>
        <v>0</v>
      </c>
      <c r="AH350" s="169">
        <f t="shared" si="172"/>
        <v>0</v>
      </c>
      <c r="AI350" s="169">
        <f t="shared" si="172"/>
        <v>0</v>
      </c>
      <c r="AJ350" s="169">
        <f t="shared" si="172"/>
        <v>0</v>
      </c>
      <c r="AK350" s="169">
        <f t="shared" si="172"/>
        <v>0</v>
      </c>
      <c r="AL350" s="169">
        <f t="shared" si="172"/>
        <v>841940.65916142659</v>
      </c>
      <c r="AM350" s="169">
        <f t="shared" si="172"/>
        <v>1347105.0546582823</v>
      </c>
      <c r="AN350" s="169">
        <f t="shared" si="172"/>
        <v>808263.03279496951</v>
      </c>
      <c r="AO350" s="169">
        <f t="shared" si="172"/>
        <v>484957.81967698166</v>
      </c>
      <c r="AP350" s="169">
        <f t="shared" si="172"/>
        <v>484957.81967698166</v>
      </c>
    </row>
    <row r="351" spans="1:42" x14ac:dyDescent="0.2">
      <c r="A351" s="20">
        <f t="shared" si="171"/>
        <v>4</v>
      </c>
      <c r="B351" s="179">
        <f t="shared" si="168"/>
        <v>0</v>
      </c>
      <c r="C351" s="169">
        <f t="shared" ref="C351:AP351" si="173">LOOKUP(C340,$B$332:$AP$332,$B$333:$AP$333)*$B618</f>
        <v>0</v>
      </c>
      <c r="D351" s="169">
        <f t="shared" si="173"/>
        <v>0</v>
      </c>
      <c r="E351" s="169">
        <f t="shared" si="173"/>
        <v>0</v>
      </c>
      <c r="F351" s="169">
        <f t="shared" si="173"/>
        <v>0</v>
      </c>
      <c r="G351" s="169">
        <f t="shared" si="173"/>
        <v>0</v>
      </c>
      <c r="H351" s="169">
        <f t="shared" si="173"/>
        <v>0</v>
      </c>
      <c r="I351" s="169">
        <f t="shared" si="173"/>
        <v>0</v>
      </c>
      <c r="J351" s="169">
        <f t="shared" si="173"/>
        <v>0</v>
      </c>
      <c r="K351" s="169">
        <f t="shared" si="173"/>
        <v>0</v>
      </c>
      <c r="L351" s="169">
        <f t="shared" si="173"/>
        <v>0</v>
      </c>
      <c r="M351" s="169">
        <f t="shared" si="173"/>
        <v>0</v>
      </c>
      <c r="N351" s="169">
        <f t="shared" si="173"/>
        <v>0</v>
      </c>
      <c r="O351" s="169">
        <f t="shared" si="173"/>
        <v>0</v>
      </c>
      <c r="P351" s="169">
        <f t="shared" si="173"/>
        <v>0</v>
      </c>
      <c r="Q351" s="169">
        <f t="shared" si="173"/>
        <v>0</v>
      </c>
      <c r="R351" s="169">
        <f t="shared" si="173"/>
        <v>0</v>
      </c>
      <c r="S351" s="169">
        <f t="shared" si="173"/>
        <v>0</v>
      </c>
      <c r="T351" s="169">
        <f t="shared" si="173"/>
        <v>0</v>
      </c>
      <c r="U351" s="169">
        <f t="shared" si="173"/>
        <v>0</v>
      </c>
      <c r="V351" s="169">
        <f t="shared" si="173"/>
        <v>0</v>
      </c>
      <c r="W351" s="169">
        <f t="shared" si="173"/>
        <v>0</v>
      </c>
      <c r="X351" s="169">
        <f t="shared" si="173"/>
        <v>0</v>
      </c>
      <c r="Y351" s="169">
        <f t="shared" si="173"/>
        <v>0</v>
      </c>
      <c r="Z351" s="169">
        <f t="shared" si="173"/>
        <v>0</v>
      </c>
      <c r="AA351" s="169">
        <f t="shared" si="173"/>
        <v>0</v>
      </c>
      <c r="AB351" s="169">
        <f t="shared" si="173"/>
        <v>0</v>
      </c>
      <c r="AC351" s="169">
        <f t="shared" si="173"/>
        <v>0</v>
      </c>
      <c r="AD351" s="169">
        <f t="shared" si="173"/>
        <v>0</v>
      </c>
      <c r="AE351" s="169">
        <f t="shared" si="173"/>
        <v>0</v>
      </c>
      <c r="AF351" s="169">
        <f t="shared" si="173"/>
        <v>0</v>
      </c>
      <c r="AG351" s="169">
        <f t="shared" si="173"/>
        <v>0</v>
      </c>
      <c r="AH351" s="169">
        <f t="shared" si="173"/>
        <v>0</v>
      </c>
      <c r="AI351" s="169">
        <f t="shared" si="173"/>
        <v>0</v>
      </c>
      <c r="AJ351" s="169">
        <f t="shared" si="173"/>
        <v>0</v>
      </c>
      <c r="AK351" s="169">
        <f t="shared" si="173"/>
        <v>0</v>
      </c>
      <c r="AL351" s="169">
        <f t="shared" si="173"/>
        <v>0</v>
      </c>
      <c r="AM351" s="169">
        <f t="shared" si="173"/>
        <v>0</v>
      </c>
      <c r="AN351" s="169">
        <f t="shared" si="173"/>
        <v>0</v>
      </c>
      <c r="AO351" s="169">
        <f t="shared" si="173"/>
        <v>0</v>
      </c>
      <c r="AP351" s="169">
        <f t="shared" si="173"/>
        <v>0</v>
      </c>
    </row>
    <row r="352" spans="1:42" x14ac:dyDescent="0.2">
      <c r="A352" s="20">
        <f t="shared" si="171"/>
        <v>5</v>
      </c>
      <c r="B352" s="179">
        <f t="shared" si="168"/>
        <v>0</v>
      </c>
      <c r="C352" s="169">
        <f t="shared" ref="C352:AP352" si="174">LOOKUP(C341,$B$332:$AP$332,$B$333:$AP$333)*$B619</f>
        <v>0</v>
      </c>
      <c r="D352" s="169">
        <f t="shared" si="174"/>
        <v>0</v>
      </c>
      <c r="E352" s="169">
        <f t="shared" si="174"/>
        <v>0</v>
      </c>
      <c r="F352" s="169">
        <f t="shared" si="174"/>
        <v>0</v>
      </c>
      <c r="G352" s="169">
        <f t="shared" si="174"/>
        <v>0</v>
      </c>
      <c r="H352" s="169">
        <f t="shared" si="174"/>
        <v>0</v>
      </c>
      <c r="I352" s="169">
        <f t="shared" si="174"/>
        <v>0</v>
      </c>
      <c r="J352" s="169">
        <f t="shared" si="174"/>
        <v>0</v>
      </c>
      <c r="K352" s="169">
        <f t="shared" si="174"/>
        <v>0</v>
      </c>
      <c r="L352" s="169">
        <f t="shared" si="174"/>
        <v>0</v>
      </c>
      <c r="M352" s="169">
        <f t="shared" si="174"/>
        <v>0</v>
      </c>
      <c r="N352" s="169">
        <f t="shared" si="174"/>
        <v>0</v>
      </c>
      <c r="O352" s="169">
        <f t="shared" si="174"/>
        <v>0</v>
      </c>
      <c r="P352" s="169">
        <f t="shared" si="174"/>
        <v>0</v>
      </c>
      <c r="Q352" s="169">
        <f t="shared" si="174"/>
        <v>0</v>
      </c>
      <c r="R352" s="169">
        <f t="shared" si="174"/>
        <v>0</v>
      </c>
      <c r="S352" s="169">
        <f t="shared" si="174"/>
        <v>0</v>
      </c>
      <c r="T352" s="169">
        <f t="shared" si="174"/>
        <v>0</v>
      </c>
      <c r="U352" s="169">
        <f t="shared" si="174"/>
        <v>0</v>
      </c>
      <c r="V352" s="169">
        <f t="shared" si="174"/>
        <v>0</v>
      </c>
      <c r="W352" s="169">
        <f t="shared" si="174"/>
        <v>0</v>
      </c>
      <c r="X352" s="169">
        <f t="shared" si="174"/>
        <v>0</v>
      </c>
      <c r="Y352" s="169">
        <f t="shared" si="174"/>
        <v>0</v>
      </c>
      <c r="Z352" s="169">
        <f t="shared" si="174"/>
        <v>0</v>
      </c>
      <c r="AA352" s="169">
        <f t="shared" si="174"/>
        <v>0</v>
      </c>
      <c r="AB352" s="169">
        <f t="shared" si="174"/>
        <v>0</v>
      </c>
      <c r="AC352" s="169">
        <f t="shared" si="174"/>
        <v>0</v>
      </c>
      <c r="AD352" s="169">
        <f t="shared" si="174"/>
        <v>0</v>
      </c>
      <c r="AE352" s="169">
        <f t="shared" si="174"/>
        <v>0</v>
      </c>
      <c r="AF352" s="169">
        <f t="shared" si="174"/>
        <v>0</v>
      </c>
      <c r="AG352" s="169">
        <f t="shared" si="174"/>
        <v>0</v>
      </c>
      <c r="AH352" s="169">
        <f t="shared" si="174"/>
        <v>0</v>
      </c>
      <c r="AI352" s="169">
        <f t="shared" si="174"/>
        <v>0</v>
      </c>
      <c r="AJ352" s="169">
        <f t="shared" si="174"/>
        <v>0</v>
      </c>
      <c r="AK352" s="169">
        <f t="shared" si="174"/>
        <v>0</v>
      </c>
      <c r="AL352" s="169">
        <f t="shared" si="174"/>
        <v>0</v>
      </c>
      <c r="AM352" s="169">
        <f t="shared" si="174"/>
        <v>0</v>
      </c>
      <c r="AN352" s="169">
        <f t="shared" si="174"/>
        <v>0</v>
      </c>
      <c r="AO352" s="169">
        <f t="shared" si="174"/>
        <v>0</v>
      </c>
      <c r="AP352" s="169">
        <f t="shared" si="174"/>
        <v>0</v>
      </c>
    </row>
    <row r="353" spans="1:42" x14ac:dyDescent="0.2">
      <c r="A353" s="101">
        <f t="shared" si="171"/>
        <v>6</v>
      </c>
      <c r="B353" s="179">
        <f t="shared" si="168"/>
        <v>0</v>
      </c>
      <c r="C353" s="169">
        <f t="shared" ref="C353:AP353" si="175">LOOKUP(C342,$B$332:$AP$332,$B$333:$AP$333)*$B620</f>
        <v>0</v>
      </c>
      <c r="D353" s="169">
        <f t="shared" si="175"/>
        <v>0</v>
      </c>
      <c r="E353" s="169">
        <f t="shared" si="175"/>
        <v>0</v>
      </c>
      <c r="F353" s="169">
        <f t="shared" si="175"/>
        <v>0</v>
      </c>
      <c r="G353" s="169">
        <f t="shared" si="175"/>
        <v>0</v>
      </c>
      <c r="H353" s="169">
        <f t="shared" si="175"/>
        <v>0</v>
      </c>
      <c r="I353" s="169">
        <f t="shared" si="175"/>
        <v>0</v>
      </c>
      <c r="J353" s="169">
        <f t="shared" si="175"/>
        <v>0</v>
      </c>
      <c r="K353" s="169">
        <f t="shared" si="175"/>
        <v>0</v>
      </c>
      <c r="L353" s="169">
        <f t="shared" si="175"/>
        <v>0</v>
      </c>
      <c r="M353" s="169">
        <f t="shared" si="175"/>
        <v>0</v>
      </c>
      <c r="N353" s="169">
        <f t="shared" si="175"/>
        <v>0</v>
      </c>
      <c r="O353" s="169">
        <f t="shared" si="175"/>
        <v>0</v>
      </c>
      <c r="P353" s="169">
        <f t="shared" si="175"/>
        <v>0</v>
      </c>
      <c r="Q353" s="169">
        <f t="shared" si="175"/>
        <v>0</v>
      </c>
      <c r="R353" s="169">
        <f t="shared" si="175"/>
        <v>0</v>
      </c>
      <c r="S353" s="169">
        <f t="shared" si="175"/>
        <v>0</v>
      </c>
      <c r="T353" s="169">
        <f t="shared" si="175"/>
        <v>0</v>
      </c>
      <c r="U353" s="169">
        <f t="shared" si="175"/>
        <v>0</v>
      </c>
      <c r="V353" s="169">
        <f t="shared" si="175"/>
        <v>0</v>
      </c>
      <c r="W353" s="169">
        <f t="shared" si="175"/>
        <v>0</v>
      </c>
      <c r="X353" s="169">
        <f t="shared" si="175"/>
        <v>0</v>
      </c>
      <c r="Y353" s="169">
        <f t="shared" si="175"/>
        <v>0</v>
      </c>
      <c r="Z353" s="169">
        <f t="shared" si="175"/>
        <v>0</v>
      </c>
      <c r="AA353" s="169">
        <f t="shared" si="175"/>
        <v>0</v>
      </c>
      <c r="AB353" s="169">
        <f t="shared" si="175"/>
        <v>0</v>
      </c>
      <c r="AC353" s="169">
        <f t="shared" si="175"/>
        <v>0</v>
      </c>
      <c r="AD353" s="169">
        <f t="shared" si="175"/>
        <v>0</v>
      </c>
      <c r="AE353" s="169">
        <f t="shared" si="175"/>
        <v>0</v>
      </c>
      <c r="AF353" s="169">
        <f t="shared" si="175"/>
        <v>0</v>
      </c>
      <c r="AG353" s="169">
        <f t="shared" si="175"/>
        <v>0</v>
      </c>
      <c r="AH353" s="169">
        <f t="shared" si="175"/>
        <v>0</v>
      </c>
      <c r="AI353" s="169">
        <f t="shared" si="175"/>
        <v>0</v>
      </c>
      <c r="AJ353" s="169">
        <f t="shared" si="175"/>
        <v>0</v>
      </c>
      <c r="AK353" s="169">
        <f t="shared" si="175"/>
        <v>0</v>
      </c>
      <c r="AL353" s="169">
        <f t="shared" si="175"/>
        <v>0</v>
      </c>
      <c r="AM353" s="169">
        <f t="shared" si="175"/>
        <v>0</v>
      </c>
      <c r="AN353" s="169">
        <f t="shared" si="175"/>
        <v>0</v>
      </c>
      <c r="AO353" s="169">
        <f t="shared" si="175"/>
        <v>0</v>
      </c>
      <c r="AP353" s="169">
        <f t="shared" si="175"/>
        <v>0</v>
      </c>
    </row>
    <row r="354" spans="1:42" x14ac:dyDescent="0.2">
      <c r="A354" s="101">
        <f t="shared" si="171"/>
        <v>7</v>
      </c>
      <c r="B354" s="179">
        <f t="shared" si="168"/>
        <v>0</v>
      </c>
      <c r="C354" s="169">
        <f t="shared" ref="C354:AP354" si="176">LOOKUP(C343,$B$332:$AP$332,$B$333:$AP$333)*$B621</f>
        <v>0</v>
      </c>
      <c r="D354" s="169">
        <f t="shared" si="176"/>
        <v>0</v>
      </c>
      <c r="E354" s="169">
        <f t="shared" si="176"/>
        <v>0</v>
      </c>
      <c r="F354" s="169">
        <f t="shared" si="176"/>
        <v>0</v>
      </c>
      <c r="G354" s="169">
        <f t="shared" si="176"/>
        <v>0</v>
      </c>
      <c r="H354" s="169">
        <f t="shared" si="176"/>
        <v>0</v>
      </c>
      <c r="I354" s="169">
        <f t="shared" si="176"/>
        <v>0</v>
      </c>
      <c r="J354" s="169">
        <f t="shared" si="176"/>
        <v>0</v>
      </c>
      <c r="K354" s="169">
        <f t="shared" si="176"/>
        <v>0</v>
      </c>
      <c r="L354" s="169">
        <f t="shared" si="176"/>
        <v>0</v>
      </c>
      <c r="M354" s="169">
        <f t="shared" si="176"/>
        <v>0</v>
      </c>
      <c r="N354" s="169">
        <f t="shared" si="176"/>
        <v>0</v>
      </c>
      <c r="O354" s="169">
        <f t="shared" si="176"/>
        <v>0</v>
      </c>
      <c r="P354" s="169">
        <f t="shared" si="176"/>
        <v>0</v>
      </c>
      <c r="Q354" s="169">
        <f t="shared" si="176"/>
        <v>0</v>
      </c>
      <c r="R354" s="169">
        <f t="shared" si="176"/>
        <v>0</v>
      </c>
      <c r="S354" s="169">
        <f t="shared" si="176"/>
        <v>0</v>
      </c>
      <c r="T354" s="169">
        <f t="shared" si="176"/>
        <v>0</v>
      </c>
      <c r="U354" s="169">
        <f t="shared" si="176"/>
        <v>0</v>
      </c>
      <c r="V354" s="169">
        <f t="shared" si="176"/>
        <v>0</v>
      </c>
      <c r="W354" s="169">
        <f t="shared" si="176"/>
        <v>0</v>
      </c>
      <c r="X354" s="169">
        <f t="shared" si="176"/>
        <v>0</v>
      </c>
      <c r="Y354" s="169">
        <f t="shared" si="176"/>
        <v>0</v>
      </c>
      <c r="Z354" s="169">
        <f t="shared" si="176"/>
        <v>0</v>
      </c>
      <c r="AA354" s="169">
        <f t="shared" si="176"/>
        <v>0</v>
      </c>
      <c r="AB354" s="169">
        <f t="shared" si="176"/>
        <v>0</v>
      </c>
      <c r="AC354" s="169">
        <f t="shared" si="176"/>
        <v>0</v>
      </c>
      <c r="AD354" s="169">
        <f t="shared" si="176"/>
        <v>0</v>
      </c>
      <c r="AE354" s="169">
        <f t="shared" si="176"/>
        <v>0</v>
      </c>
      <c r="AF354" s="169">
        <f t="shared" si="176"/>
        <v>0</v>
      </c>
      <c r="AG354" s="169">
        <f t="shared" si="176"/>
        <v>0</v>
      </c>
      <c r="AH354" s="169">
        <f t="shared" si="176"/>
        <v>0</v>
      </c>
      <c r="AI354" s="169">
        <f t="shared" si="176"/>
        <v>0</v>
      </c>
      <c r="AJ354" s="169">
        <f t="shared" si="176"/>
        <v>0</v>
      </c>
      <c r="AK354" s="169">
        <f t="shared" si="176"/>
        <v>0</v>
      </c>
      <c r="AL354" s="169">
        <f t="shared" si="176"/>
        <v>0</v>
      </c>
      <c r="AM354" s="169">
        <f t="shared" si="176"/>
        <v>0</v>
      </c>
      <c r="AN354" s="169">
        <f t="shared" si="176"/>
        <v>0</v>
      </c>
      <c r="AO354" s="169">
        <f t="shared" si="176"/>
        <v>0</v>
      </c>
      <c r="AP354" s="169">
        <f t="shared" si="176"/>
        <v>0</v>
      </c>
    </row>
    <row r="355" spans="1:42" x14ac:dyDescent="0.2">
      <c r="A355" s="101">
        <f t="shared" si="171"/>
        <v>8</v>
      </c>
      <c r="B355" s="179">
        <f t="shared" si="168"/>
        <v>0</v>
      </c>
      <c r="C355" s="169">
        <f t="shared" ref="C355:AP355" si="177">LOOKUP(C344,$B$332:$AP$332,$B$333:$AP$333)*$B622</f>
        <v>0</v>
      </c>
      <c r="D355" s="169">
        <f t="shared" si="177"/>
        <v>0</v>
      </c>
      <c r="E355" s="169">
        <f t="shared" si="177"/>
        <v>0</v>
      </c>
      <c r="F355" s="169">
        <f t="shared" si="177"/>
        <v>0</v>
      </c>
      <c r="G355" s="169">
        <f t="shared" si="177"/>
        <v>0</v>
      </c>
      <c r="H355" s="169">
        <f t="shared" si="177"/>
        <v>0</v>
      </c>
      <c r="I355" s="169">
        <f t="shared" si="177"/>
        <v>0</v>
      </c>
      <c r="J355" s="169">
        <f t="shared" si="177"/>
        <v>0</v>
      </c>
      <c r="K355" s="169">
        <f t="shared" si="177"/>
        <v>0</v>
      </c>
      <c r="L355" s="169">
        <f t="shared" si="177"/>
        <v>0</v>
      </c>
      <c r="M355" s="169">
        <f t="shared" si="177"/>
        <v>0</v>
      </c>
      <c r="N355" s="169">
        <f t="shared" si="177"/>
        <v>0</v>
      </c>
      <c r="O355" s="169">
        <f t="shared" si="177"/>
        <v>0</v>
      </c>
      <c r="P355" s="169">
        <f t="shared" si="177"/>
        <v>0</v>
      </c>
      <c r="Q355" s="169">
        <f t="shared" si="177"/>
        <v>0</v>
      </c>
      <c r="R355" s="169">
        <f t="shared" si="177"/>
        <v>0</v>
      </c>
      <c r="S355" s="169">
        <f t="shared" si="177"/>
        <v>0</v>
      </c>
      <c r="T355" s="169">
        <f t="shared" si="177"/>
        <v>0</v>
      </c>
      <c r="U355" s="169">
        <f t="shared" si="177"/>
        <v>0</v>
      </c>
      <c r="V355" s="169">
        <f t="shared" si="177"/>
        <v>0</v>
      </c>
      <c r="W355" s="169">
        <f t="shared" si="177"/>
        <v>0</v>
      </c>
      <c r="X355" s="169">
        <f t="shared" si="177"/>
        <v>0</v>
      </c>
      <c r="Y355" s="169">
        <f t="shared" si="177"/>
        <v>0</v>
      </c>
      <c r="Z355" s="169">
        <f t="shared" si="177"/>
        <v>0</v>
      </c>
      <c r="AA355" s="169">
        <f t="shared" si="177"/>
        <v>0</v>
      </c>
      <c r="AB355" s="169">
        <f t="shared" si="177"/>
        <v>0</v>
      </c>
      <c r="AC355" s="169">
        <f t="shared" si="177"/>
        <v>0</v>
      </c>
      <c r="AD355" s="169">
        <f t="shared" si="177"/>
        <v>0</v>
      </c>
      <c r="AE355" s="169">
        <f t="shared" si="177"/>
        <v>0</v>
      </c>
      <c r="AF355" s="169">
        <f t="shared" si="177"/>
        <v>0</v>
      </c>
      <c r="AG355" s="169">
        <f t="shared" si="177"/>
        <v>0</v>
      </c>
      <c r="AH355" s="169">
        <f t="shared" si="177"/>
        <v>0</v>
      </c>
      <c r="AI355" s="169">
        <f t="shared" si="177"/>
        <v>0</v>
      </c>
      <c r="AJ355" s="169">
        <f t="shared" si="177"/>
        <v>0</v>
      </c>
      <c r="AK355" s="169">
        <f t="shared" si="177"/>
        <v>0</v>
      </c>
      <c r="AL355" s="169">
        <f t="shared" si="177"/>
        <v>0</v>
      </c>
      <c r="AM355" s="169">
        <f t="shared" si="177"/>
        <v>0</v>
      </c>
      <c r="AN355" s="169">
        <f t="shared" si="177"/>
        <v>0</v>
      </c>
      <c r="AO355" s="169">
        <f t="shared" si="177"/>
        <v>0</v>
      </c>
      <c r="AP355" s="169">
        <f t="shared" si="177"/>
        <v>0</v>
      </c>
    </row>
    <row r="356" spans="1:42" x14ac:dyDescent="0.2">
      <c r="A356" s="101">
        <f>A355+1</f>
        <v>9</v>
      </c>
      <c r="B356" s="179">
        <f t="shared" si="168"/>
        <v>0</v>
      </c>
      <c r="C356" s="169">
        <f t="shared" ref="C356:AP356" si="178">LOOKUP(C345,$B$332:$AP$332,$B$333:$AP$333)*$B623</f>
        <v>0</v>
      </c>
      <c r="D356" s="169">
        <f t="shared" si="178"/>
        <v>0</v>
      </c>
      <c r="E356" s="169">
        <f t="shared" si="178"/>
        <v>0</v>
      </c>
      <c r="F356" s="169">
        <f t="shared" si="178"/>
        <v>0</v>
      </c>
      <c r="G356" s="169">
        <f t="shared" si="178"/>
        <v>0</v>
      </c>
      <c r="H356" s="169">
        <f t="shared" si="178"/>
        <v>0</v>
      </c>
      <c r="I356" s="169">
        <f t="shared" si="178"/>
        <v>0</v>
      </c>
      <c r="J356" s="169">
        <f t="shared" si="178"/>
        <v>0</v>
      </c>
      <c r="K356" s="169">
        <f t="shared" si="178"/>
        <v>0</v>
      </c>
      <c r="L356" s="169">
        <f t="shared" si="178"/>
        <v>0</v>
      </c>
      <c r="M356" s="169">
        <f t="shared" si="178"/>
        <v>0</v>
      </c>
      <c r="N356" s="169">
        <f t="shared" si="178"/>
        <v>0</v>
      </c>
      <c r="O356" s="169">
        <f t="shared" si="178"/>
        <v>0</v>
      </c>
      <c r="P356" s="169">
        <f t="shared" si="178"/>
        <v>0</v>
      </c>
      <c r="Q356" s="169">
        <f t="shared" si="178"/>
        <v>0</v>
      </c>
      <c r="R356" s="169">
        <f t="shared" si="178"/>
        <v>0</v>
      </c>
      <c r="S356" s="169">
        <f t="shared" si="178"/>
        <v>0</v>
      </c>
      <c r="T356" s="169">
        <f t="shared" si="178"/>
        <v>0</v>
      </c>
      <c r="U356" s="169">
        <f t="shared" si="178"/>
        <v>0</v>
      </c>
      <c r="V356" s="169">
        <f t="shared" si="178"/>
        <v>0</v>
      </c>
      <c r="W356" s="169">
        <f t="shared" si="178"/>
        <v>0</v>
      </c>
      <c r="X356" s="169">
        <f t="shared" si="178"/>
        <v>0</v>
      </c>
      <c r="Y356" s="169">
        <f t="shared" si="178"/>
        <v>0</v>
      </c>
      <c r="Z356" s="169">
        <f t="shared" si="178"/>
        <v>0</v>
      </c>
      <c r="AA356" s="169">
        <f t="shared" si="178"/>
        <v>0</v>
      </c>
      <c r="AB356" s="169">
        <f t="shared" si="178"/>
        <v>0</v>
      </c>
      <c r="AC356" s="169">
        <f t="shared" si="178"/>
        <v>0</v>
      </c>
      <c r="AD356" s="169">
        <f t="shared" si="178"/>
        <v>0</v>
      </c>
      <c r="AE356" s="169">
        <f t="shared" si="178"/>
        <v>0</v>
      </c>
      <c r="AF356" s="169">
        <f t="shared" si="178"/>
        <v>0</v>
      </c>
      <c r="AG356" s="169">
        <f t="shared" si="178"/>
        <v>0</v>
      </c>
      <c r="AH356" s="169">
        <f t="shared" si="178"/>
        <v>0</v>
      </c>
      <c r="AI356" s="169">
        <f t="shared" si="178"/>
        <v>0</v>
      </c>
      <c r="AJ356" s="169">
        <f t="shared" si="178"/>
        <v>0</v>
      </c>
      <c r="AK356" s="169">
        <f t="shared" si="178"/>
        <v>0</v>
      </c>
      <c r="AL356" s="169">
        <f t="shared" si="178"/>
        <v>0</v>
      </c>
      <c r="AM356" s="169">
        <f t="shared" si="178"/>
        <v>0</v>
      </c>
      <c r="AN356" s="169">
        <f t="shared" si="178"/>
        <v>0</v>
      </c>
      <c r="AO356" s="169">
        <f t="shared" si="178"/>
        <v>0</v>
      </c>
      <c r="AP356" s="169">
        <f t="shared" si="178"/>
        <v>0</v>
      </c>
    </row>
    <row r="357" spans="1:42" x14ac:dyDescent="0.2">
      <c r="A357" s="101">
        <f t="shared" si="171"/>
        <v>10</v>
      </c>
      <c r="B357" s="179">
        <f t="shared" si="168"/>
        <v>0</v>
      </c>
      <c r="C357" s="204">
        <f t="shared" ref="C357:AP357" si="179">LOOKUP(C346,$B$332:$AP$332,$B$333:$AP$333)*$B624</f>
        <v>0</v>
      </c>
      <c r="D357" s="170">
        <f t="shared" si="179"/>
        <v>0</v>
      </c>
      <c r="E357" s="170">
        <f t="shared" si="179"/>
        <v>0</v>
      </c>
      <c r="F357" s="170">
        <f t="shared" si="179"/>
        <v>0</v>
      </c>
      <c r="G357" s="170">
        <f t="shared" si="179"/>
        <v>0</v>
      </c>
      <c r="H357" s="170">
        <f t="shared" si="179"/>
        <v>0</v>
      </c>
      <c r="I357" s="170">
        <f t="shared" si="179"/>
        <v>0</v>
      </c>
      <c r="J357" s="170">
        <f t="shared" si="179"/>
        <v>0</v>
      </c>
      <c r="K357" s="170">
        <f t="shared" si="179"/>
        <v>0</v>
      </c>
      <c r="L357" s="170">
        <f t="shared" si="179"/>
        <v>0</v>
      </c>
      <c r="M357" s="170">
        <f t="shared" si="179"/>
        <v>0</v>
      </c>
      <c r="N357" s="170">
        <f t="shared" si="179"/>
        <v>0</v>
      </c>
      <c r="O357" s="170">
        <f t="shared" si="179"/>
        <v>0</v>
      </c>
      <c r="P357" s="170">
        <f t="shared" si="179"/>
        <v>0</v>
      </c>
      <c r="Q357" s="170">
        <f t="shared" si="179"/>
        <v>0</v>
      </c>
      <c r="R357" s="170">
        <f t="shared" si="179"/>
        <v>0</v>
      </c>
      <c r="S357" s="170">
        <f t="shared" si="179"/>
        <v>0</v>
      </c>
      <c r="T357" s="170">
        <f t="shared" si="179"/>
        <v>0</v>
      </c>
      <c r="U357" s="170">
        <f t="shared" si="179"/>
        <v>0</v>
      </c>
      <c r="V357" s="170">
        <f t="shared" si="179"/>
        <v>0</v>
      </c>
      <c r="W357" s="170">
        <f t="shared" si="179"/>
        <v>0</v>
      </c>
      <c r="X357" s="170">
        <f t="shared" si="179"/>
        <v>0</v>
      </c>
      <c r="Y357" s="170">
        <f t="shared" si="179"/>
        <v>0</v>
      </c>
      <c r="Z357" s="170">
        <f t="shared" si="179"/>
        <v>0</v>
      </c>
      <c r="AA357" s="170">
        <f t="shared" si="179"/>
        <v>0</v>
      </c>
      <c r="AB357" s="170">
        <f t="shared" si="179"/>
        <v>0</v>
      </c>
      <c r="AC357" s="170">
        <f t="shared" si="179"/>
        <v>0</v>
      </c>
      <c r="AD357" s="170">
        <f t="shared" si="179"/>
        <v>0</v>
      </c>
      <c r="AE357" s="170">
        <f t="shared" si="179"/>
        <v>0</v>
      </c>
      <c r="AF357" s="170">
        <f t="shared" si="179"/>
        <v>0</v>
      </c>
      <c r="AG357" s="170">
        <f t="shared" si="179"/>
        <v>0</v>
      </c>
      <c r="AH357" s="170">
        <f t="shared" si="179"/>
        <v>0</v>
      </c>
      <c r="AI357" s="170">
        <f t="shared" si="179"/>
        <v>0</v>
      </c>
      <c r="AJ357" s="170">
        <f t="shared" si="179"/>
        <v>0</v>
      </c>
      <c r="AK357" s="170">
        <f t="shared" si="179"/>
        <v>0</v>
      </c>
      <c r="AL357" s="170">
        <f t="shared" si="179"/>
        <v>0</v>
      </c>
      <c r="AM357" s="170">
        <f t="shared" si="179"/>
        <v>0</v>
      </c>
      <c r="AN357" s="170">
        <f t="shared" si="179"/>
        <v>0</v>
      </c>
      <c r="AO357" s="170">
        <f t="shared" si="179"/>
        <v>0</v>
      </c>
      <c r="AP357" s="170">
        <f t="shared" si="179"/>
        <v>0</v>
      </c>
    </row>
    <row r="358" spans="1:42" s="101" customFormat="1" ht="12" customHeight="1" x14ac:dyDescent="0.2">
      <c r="A358" s="205" t="s">
        <v>53</v>
      </c>
      <c r="B358" s="124"/>
      <c r="C358" s="124">
        <f>SUM(C348:C357)</f>
        <v>0</v>
      </c>
      <c r="D358" s="124">
        <f t="shared" ref="D358:AP358" si="180">SUM(D348:D357)</f>
        <v>0</v>
      </c>
      <c r="E358" s="124">
        <f t="shared" si="180"/>
        <v>0</v>
      </c>
      <c r="F358" s="124">
        <f t="shared" si="180"/>
        <v>0</v>
      </c>
      <c r="G358" s="124">
        <f t="shared" si="180"/>
        <v>0</v>
      </c>
      <c r="H358" s="124">
        <f t="shared" si="180"/>
        <v>0</v>
      </c>
      <c r="I358" s="124">
        <f t="shared" si="180"/>
        <v>0</v>
      </c>
      <c r="J358" s="124">
        <f t="shared" si="180"/>
        <v>0</v>
      </c>
      <c r="K358" s="124">
        <f t="shared" si="180"/>
        <v>0</v>
      </c>
      <c r="L358" s="124">
        <f t="shared" si="180"/>
        <v>0</v>
      </c>
      <c r="M358" s="124">
        <f t="shared" si="180"/>
        <v>0</v>
      </c>
      <c r="N358" s="124">
        <f t="shared" si="180"/>
        <v>588974.46870026283</v>
      </c>
      <c r="O358" s="124">
        <f t="shared" si="180"/>
        <v>942359.14992042049</v>
      </c>
      <c r="P358" s="124">
        <f t="shared" si="180"/>
        <v>565415.48995225236</v>
      </c>
      <c r="Q358" s="124">
        <f t="shared" si="180"/>
        <v>339249.29397135135</v>
      </c>
      <c r="R358" s="124">
        <f t="shared" si="180"/>
        <v>339249.29397135135</v>
      </c>
      <c r="S358" s="124">
        <f t="shared" si="180"/>
        <v>169624.64698567567</v>
      </c>
      <c r="T358" s="124">
        <f t="shared" si="180"/>
        <v>0</v>
      </c>
      <c r="U358" s="124">
        <f t="shared" si="180"/>
        <v>0</v>
      </c>
      <c r="V358" s="124">
        <f t="shared" si="180"/>
        <v>0</v>
      </c>
      <c r="W358" s="124">
        <f t="shared" si="180"/>
        <v>0</v>
      </c>
      <c r="X358" s="124">
        <f t="shared" si="180"/>
        <v>0</v>
      </c>
      <c r="Y358" s="124">
        <f t="shared" si="180"/>
        <v>0</v>
      </c>
      <c r="Z358" s="124">
        <f t="shared" si="180"/>
        <v>704188.57730493625</v>
      </c>
      <c r="AA358" s="124">
        <f t="shared" si="180"/>
        <v>1126701.7236878979</v>
      </c>
      <c r="AB358" s="124">
        <f t="shared" si="180"/>
        <v>676021.03421273874</v>
      </c>
      <c r="AC358" s="124">
        <f t="shared" si="180"/>
        <v>405612.62052764324</v>
      </c>
      <c r="AD358" s="124">
        <f t="shared" si="180"/>
        <v>405612.62052764324</v>
      </c>
      <c r="AE358" s="124">
        <f t="shared" si="180"/>
        <v>202806.31026382162</v>
      </c>
      <c r="AF358" s="124">
        <f t="shared" si="180"/>
        <v>0</v>
      </c>
      <c r="AG358" s="124">
        <f t="shared" si="180"/>
        <v>0</v>
      </c>
      <c r="AH358" s="124">
        <f t="shared" si="180"/>
        <v>0</v>
      </c>
      <c r="AI358" s="124">
        <f t="shared" si="180"/>
        <v>0</v>
      </c>
      <c r="AJ358" s="124">
        <f t="shared" si="180"/>
        <v>0</v>
      </c>
      <c r="AK358" s="124">
        <f t="shared" si="180"/>
        <v>0</v>
      </c>
      <c r="AL358" s="124">
        <f t="shared" si="180"/>
        <v>841940.65916142659</v>
      </c>
      <c r="AM358" s="124">
        <f t="shared" si="180"/>
        <v>1347105.0546582823</v>
      </c>
      <c r="AN358" s="124">
        <f t="shared" si="180"/>
        <v>808263.03279496951</v>
      </c>
      <c r="AO358" s="124">
        <f t="shared" si="180"/>
        <v>484957.81967698166</v>
      </c>
      <c r="AP358" s="124">
        <f t="shared" si="180"/>
        <v>484957.81967698166</v>
      </c>
    </row>
    <row r="359" spans="1:42" x14ac:dyDescent="0.2">
      <c r="A359" s="187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</row>
    <row r="360" spans="1:42" x14ac:dyDescent="0.2">
      <c r="A360" s="180" t="s">
        <v>304</v>
      </c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</row>
    <row r="361" spans="1:42" x14ac:dyDescent="0.2">
      <c r="A361" s="187" t="s">
        <v>192</v>
      </c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</row>
    <row r="362" spans="1:42" x14ac:dyDescent="0.2">
      <c r="A362" s="101">
        <v>1</v>
      </c>
      <c r="C362" s="169">
        <f>IF(C$2&lt;=AnalysisPeriod,IF(SUM($C647:C647)&gt;0,B362+1,0),0)</f>
        <v>0</v>
      </c>
      <c r="D362" s="169">
        <f>IF(D$2&lt;=AnalysisPeriod,IF(SUM($C647:D647)&gt;0,C362+1,0),0)</f>
        <v>0</v>
      </c>
      <c r="E362" s="169">
        <f>IF(E$2&lt;=AnalysisPeriod,IF(SUM($C647:E647)&gt;0,D362+1,0),0)</f>
        <v>0</v>
      </c>
      <c r="F362" s="169">
        <f>IF(F$2&lt;=AnalysisPeriod,IF(SUM($C647:F647)&gt;0,E362+1,0),0)</f>
        <v>0</v>
      </c>
      <c r="G362" s="169">
        <f>IF(G$2&lt;=AnalysisPeriod,IF(SUM($C647:G647)&gt;0,F362+1,0),0)</f>
        <v>0</v>
      </c>
      <c r="H362" s="169">
        <f>IF(H$2&lt;=AnalysisPeriod,IF(SUM($C647:H647)&gt;0,G362+1,0),0)</f>
        <v>0</v>
      </c>
      <c r="I362" s="169">
        <f>IF(I$2&lt;=AnalysisPeriod,IF(SUM($C647:I647)&gt;0,H362+1,0),0)</f>
        <v>0</v>
      </c>
      <c r="J362" s="169">
        <f>IF(J$2&lt;=AnalysisPeriod,IF(SUM($C647:J647)&gt;0,I362+1,0),0)</f>
        <v>0</v>
      </c>
      <c r="K362" s="169">
        <f>IF(K$2&lt;=AnalysisPeriod,IF(SUM($C647:K647)&gt;0,J362+1,0),0)</f>
        <v>0</v>
      </c>
      <c r="L362" s="169">
        <f>IF(L$2&lt;=AnalysisPeriod,IF(SUM($C647:L647)&gt;0,K362+1,0),0)</f>
        <v>0</v>
      </c>
      <c r="M362" s="169">
        <f>IF(M$2&lt;=AnalysisPeriod,IF(SUM($C647:M647)&gt;0,L362+1,0),0)</f>
        <v>0</v>
      </c>
      <c r="N362" s="169">
        <f>IF(N$2&lt;=AnalysisPeriod,IF(SUM($C647:N647)&gt;0,M362+1,0),0)</f>
        <v>0</v>
      </c>
      <c r="O362" s="169">
        <f>IF(O$2&lt;=AnalysisPeriod,IF(SUM($C647:O647)&gt;0,N362+1,0),0)</f>
        <v>0</v>
      </c>
      <c r="P362" s="169">
        <f>IF(P$2&lt;=AnalysisPeriod,IF(SUM($C647:P647)&gt;0,O362+1,0),0)</f>
        <v>0</v>
      </c>
      <c r="Q362" s="169">
        <f>IF(Q$2&lt;=AnalysisPeriod,IF(SUM($C647:Q647)&gt;0,P362+1,0),0)</f>
        <v>0</v>
      </c>
      <c r="R362" s="169">
        <f>IF(R$2&lt;=AnalysisPeriod,IF(SUM($C647:R647)&gt;0,Q362+1,0),0)</f>
        <v>0</v>
      </c>
      <c r="S362" s="169">
        <f>IF(S$2&lt;=AnalysisPeriod,IF(SUM($C647:S647)&gt;0,R362+1,0),0)</f>
        <v>0</v>
      </c>
      <c r="T362" s="169">
        <f>IF(T$2&lt;=AnalysisPeriod,IF(SUM($C647:T647)&gt;0,S362+1,0),0)</f>
        <v>0</v>
      </c>
      <c r="U362" s="169">
        <f>IF(U$2&lt;=AnalysisPeriod,IF(SUM($C647:U647)&gt;0,T362+1,0),0)</f>
        <v>0</v>
      </c>
      <c r="V362" s="169">
        <f>IF(V$2&lt;=AnalysisPeriod,IF(SUM($C647:V647)&gt;0,U362+1,0),0)</f>
        <v>0</v>
      </c>
      <c r="W362" s="169">
        <f>IF(W$2&lt;=AnalysisPeriod,IF(SUM($C647:W647)&gt;0,V362+1,0),0)</f>
        <v>0</v>
      </c>
      <c r="X362" s="169">
        <f>IF(X$2&lt;=AnalysisPeriod,IF(SUM($C647:X647)&gt;0,W362+1,0),0)</f>
        <v>0</v>
      </c>
      <c r="Y362" s="169">
        <f>IF(Y$2&lt;=AnalysisPeriod,IF(SUM($C647:Y647)&gt;0,X362+1,0),0)</f>
        <v>0</v>
      </c>
      <c r="Z362" s="169">
        <f>IF(Z$2&lt;=AnalysisPeriod,IF(SUM($C647:Z647)&gt;0,Y362+1,0),0)</f>
        <v>0</v>
      </c>
      <c r="AA362" s="169">
        <f>IF(AA$2&lt;=AnalysisPeriod,IF(SUM($C647:AA647)&gt;0,Z362+1,0),0)</f>
        <v>0</v>
      </c>
      <c r="AB362" s="169">
        <f>IF(AB$2&lt;=AnalysisPeriod,IF(SUM($C647:AB647)&gt;0,AA362+1,0),0)</f>
        <v>0</v>
      </c>
      <c r="AC362" s="169">
        <f>IF(AC$2&lt;=AnalysisPeriod,IF(SUM($C647:AC647)&gt;0,AB362+1,0),0)</f>
        <v>0</v>
      </c>
      <c r="AD362" s="169">
        <f>IF(AD$2&lt;=AnalysisPeriod,IF(SUM($C647:AD647)&gt;0,AC362+1,0),0)</f>
        <v>0</v>
      </c>
      <c r="AE362" s="169">
        <f>IF(AE$2&lt;=AnalysisPeriod,IF(SUM($C647:AE647)&gt;0,AD362+1,0),0)</f>
        <v>0</v>
      </c>
      <c r="AF362" s="169">
        <f>IF(AF$2&lt;=AnalysisPeriod,IF(SUM($C647:AF647)&gt;0,AE362+1,0),0)</f>
        <v>0</v>
      </c>
      <c r="AG362" s="169">
        <f>IF(AG$2&lt;=AnalysisPeriod,IF(SUM($C647:AG647)&gt;0,AF362+1,0),0)</f>
        <v>0</v>
      </c>
      <c r="AH362" s="169">
        <f>IF(AH$2&lt;=AnalysisPeriod,IF(SUM($C647:AH647)&gt;0,AG362+1,0),0)</f>
        <v>0</v>
      </c>
      <c r="AI362" s="169">
        <f>IF(AI$2&lt;=AnalysisPeriod,IF(SUM($C647:AI647)&gt;0,AH362+1,0),0)</f>
        <v>0</v>
      </c>
      <c r="AJ362" s="169">
        <f>IF(AJ$2&lt;=AnalysisPeriod,IF(SUM($C647:AJ647)&gt;0,AI362+1,0),0)</f>
        <v>0</v>
      </c>
      <c r="AK362" s="169">
        <f>IF(AK$2&lt;=AnalysisPeriod,IF(SUM($C647:AK647)&gt;0,AJ362+1,0),0)</f>
        <v>0</v>
      </c>
      <c r="AL362" s="169">
        <f>IF(AL$2&lt;=AnalysisPeriod,IF(SUM($C647:AL647)&gt;0,AK362+1,0),0)</f>
        <v>0</v>
      </c>
      <c r="AM362" s="169">
        <f>IF(AM$2&lt;=AnalysisPeriod,IF(SUM($C647:AM647)&gt;0,AL362+1,0),0)</f>
        <v>0</v>
      </c>
      <c r="AN362" s="169">
        <f>IF(AN$2&lt;=AnalysisPeriod,IF(SUM($C647:AN647)&gt;0,AM362+1,0),0)</f>
        <v>0</v>
      </c>
      <c r="AO362" s="169">
        <f>IF(AO$2&lt;=AnalysisPeriod,IF(SUM($C647:AO647)&gt;0,AN362+1,0),0)</f>
        <v>0</v>
      </c>
      <c r="AP362" s="169">
        <f>IF(AP$2&lt;=AnalysisPeriod,IF(SUM($C647:AP647)&gt;0,AO362+1,0),0)</f>
        <v>0</v>
      </c>
    </row>
    <row r="363" spans="1:42" x14ac:dyDescent="0.2">
      <c r="A363" s="101">
        <f>A362+1</f>
        <v>2</v>
      </c>
      <c r="C363" s="169">
        <f>IF(C$2&lt;=AnalysisPeriod,IF(SUM($C648:C648)&gt;0,B363+1,0),0)</f>
        <v>0</v>
      </c>
      <c r="D363" s="169">
        <f>IF(D$2&lt;=AnalysisPeriod,IF(SUM($C648:D648)&gt;0,C363+1,0),0)</f>
        <v>0</v>
      </c>
      <c r="E363" s="169">
        <f>IF(E$2&lt;=AnalysisPeriod,IF(SUM($C648:E648)&gt;0,D363+1,0),0)</f>
        <v>0</v>
      </c>
      <c r="F363" s="169">
        <f>IF(F$2&lt;=AnalysisPeriod,IF(SUM($C648:F648)&gt;0,E363+1,0),0)</f>
        <v>0</v>
      </c>
      <c r="G363" s="169">
        <f>IF(G$2&lt;=AnalysisPeriod,IF(SUM($C648:G648)&gt;0,F363+1,0),0)</f>
        <v>0</v>
      </c>
      <c r="H363" s="169">
        <f>IF(H$2&lt;=AnalysisPeriod,IF(SUM($C648:H648)&gt;0,G363+1,0),0)</f>
        <v>0</v>
      </c>
      <c r="I363" s="169">
        <f>IF(I$2&lt;=AnalysisPeriod,IF(SUM($C648:I648)&gt;0,H363+1,0),0)</f>
        <v>0</v>
      </c>
      <c r="J363" s="169">
        <f>IF(J$2&lt;=AnalysisPeriod,IF(SUM($C648:J648)&gt;0,I363+1,0),0)</f>
        <v>0</v>
      </c>
      <c r="K363" s="169">
        <f>IF(K$2&lt;=AnalysisPeriod,IF(SUM($C648:K648)&gt;0,J363+1,0),0)</f>
        <v>0</v>
      </c>
      <c r="L363" s="169">
        <f>IF(L$2&lt;=AnalysisPeriod,IF(SUM($C648:L648)&gt;0,K363+1,0),0)</f>
        <v>0</v>
      </c>
      <c r="M363" s="169">
        <f>IF(M$2&lt;=AnalysisPeriod,IF(SUM($C648:M648)&gt;0,L363+1,0),0)</f>
        <v>0</v>
      </c>
      <c r="N363" s="169">
        <f>IF(N$2&lt;=AnalysisPeriod,IF(SUM($C648:N648)&gt;0,M363+1,0),0)</f>
        <v>0</v>
      </c>
      <c r="O363" s="169">
        <f>IF(O$2&lt;=AnalysisPeriod,IF(SUM($C648:O648)&gt;0,N363+1,0),0)</f>
        <v>0</v>
      </c>
      <c r="P363" s="169">
        <f>IF(P$2&lt;=AnalysisPeriod,IF(SUM($C648:P648)&gt;0,O363+1,0),0)</f>
        <v>0</v>
      </c>
      <c r="Q363" s="169">
        <f>IF(Q$2&lt;=AnalysisPeriod,IF(SUM($C648:Q648)&gt;0,P363+1,0),0)</f>
        <v>0</v>
      </c>
      <c r="R363" s="169">
        <f>IF(R$2&lt;=AnalysisPeriod,IF(SUM($C648:R648)&gt;0,Q363+1,0),0)</f>
        <v>0</v>
      </c>
      <c r="S363" s="169">
        <f>IF(S$2&lt;=AnalysisPeriod,IF(SUM($C648:S648)&gt;0,R363+1,0),0)</f>
        <v>0</v>
      </c>
      <c r="T363" s="169">
        <f>IF(T$2&lt;=AnalysisPeriod,IF(SUM($C648:T648)&gt;0,S363+1,0),0)</f>
        <v>0</v>
      </c>
      <c r="U363" s="169">
        <f>IF(U$2&lt;=AnalysisPeriod,IF(SUM($C648:U648)&gt;0,T363+1,0),0)</f>
        <v>0</v>
      </c>
      <c r="V363" s="169">
        <f>IF(V$2&lt;=AnalysisPeriod,IF(SUM($C648:V648)&gt;0,U363+1,0),0)</f>
        <v>0</v>
      </c>
      <c r="W363" s="169">
        <f>IF(W$2&lt;=AnalysisPeriod,IF(SUM($C648:W648)&gt;0,V363+1,0),0)</f>
        <v>0</v>
      </c>
      <c r="X363" s="169">
        <f>IF(X$2&lt;=AnalysisPeriod,IF(SUM($C648:X648)&gt;0,W363+1,0),0)</f>
        <v>0</v>
      </c>
      <c r="Y363" s="169">
        <f>IF(Y$2&lt;=AnalysisPeriod,IF(SUM($C648:Y648)&gt;0,X363+1,0),0)</f>
        <v>0</v>
      </c>
      <c r="Z363" s="169">
        <f>IF(Z$2&lt;=AnalysisPeriod,IF(SUM($C648:Z648)&gt;0,Y363+1,0),0)</f>
        <v>0</v>
      </c>
      <c r="AA363" s="169">
        <f>IF(AA$2&lt;=AnalysisPeriod,IF(SUM($C648:AA648)&gt;0,Z363+1,0),0)</f>
        <v>0</v>
      </c>
      <c r="AB363" s="169">
        <f>IF(AB$2&lt;=AnalysisPeriod,IF(SUM($C648:AB648)&gt;0,AA363+1,0),0)</f>
        <v>0</v>
      </c>
      <c r="AC363" s="169">
        <f>IF(AC$2&lt;=AnalysisPeriod,IF(SUM($C648:AC648)&gt;0,AB363+1,0),0)</f>
        <v>0</v>
      </c>
      <c r="AD363" s="169">
        <f>IF(AD$2&lt;=AnalysisPeriod,IF(SUM($C648:AD648)&gt;0,AC363+1,0),0)</f>
        <v>0</v>
      </c>
      <c r="AE363" s="169">
        <f>IF(AE$2&lt;=AnalysisPeriod,IF(SUM($C648:AE648)&gt;0,AD363+1,0),0)</f>
        <v>0</v>
      </c>
      <c r="AF363" s="169">
        <f>IF(AF$2&lt;=AnalysisPeriod,IF(SUM($C648:AF648)&gt;0,AE363+1,0),0)</f>
        <v>0</v>
      </c>
      <c r="AG363" s="169">
        <f>IF(AG$2&lt;=AnalysisPeriod,IF(SUM($C648:AG648)&gt;0,AF363+1,0),0)</f>
        <v>0</v>
      </c>
      <c r="AH363" s="169">
        <f>IF(AH$2&lt;=AnalysisPeriod,IF(SUM($C648:AH648)&gt;0,AG363+1,0),0)</f>
        <v>0</v>
      </c>
      <c r="AI363" s="169">
        <f>IF(AI$2&lt;=AnalysisPeriod,IF(SUM($C648:AI648)&gt;0,AH363+1,0),0)</f>
        <v>0</v>
      </c>
      <c r="AJ363" s="169">
        <f>IF(AJ$2&lt;=AnalysisPeriod,IF(SUM($C648:AJ648)&gt;0,AI363+1,0),0)</f>
        <v>0</v>
      </c>
      <c r="AK363" s="169">
        <f>IF(AK$2&lt;=AnalysisPeriod,IF(SUM($C648:AK648)&gt;0,AJ363+1,0),0)</f>
        <v>0</v>
      </c>
      <c r="AL363" s="169">
        <f>IF(AL$2&lt;=AnalysisPeriod,IF(SUM($C648:AL648)&gt;0,AK363+1,0),0)</f>
        <v>0</v>
      </c>
      <c r="AM363" s="169">
        <f>IF(AM$2&lt;=AnalysisPeriod,IF(SUM($C648:AM648)&gt;0,AL363+1,0),0)</f>
        <v>0</v>
      </c>
      <c r="AN363" s="169">
        <f>IF(AN$2&lt;=AnalysisPeriod,IF(SUM($C648:AN648)&gt;0,AM363+1,0),0)</f>
        <v>0</v>
      </c>
      <c r="AO363" s="169">
        <f>IF(AO$2&lt;=AnalysisPeriod,IF(SUM($C648:AO648)&gt;0,AN363+1,0),0)</f>
        <v>0</v>
      </c>
      <c r="AP363" s="169">
        <f>IF(AP$2&lt;=AnalysisPeriod,IF(SUM($C648:AP648)&gt;0,AO363+1,0),0)</f>
        <v>0</v>
      </c>
    </row>
    <row r="364" spans="1:42" x14ac:dyDescent="0.2">
      <c r="A364" s="101">
        <f t="shared" ref="A364:A371" si="181">A363+1</f>
        <v>3</v>
      </c>
      <c r="C364" s="169">
        <f>IF(C$2&lt;=AnalysisPeriod,IF(SUM($C649:C649)&gt;0,B364+1,0),0)</f>
        <v>0</v>
      </c>
      <c r="D364" s="169">
        <f>IF(D$2&lt;=AnalysisPeriod,IF(SUM($C649:D649)&gt;0,C364+1,0),0)</f>
        <v>0</v>
      </c>
      <c r="E364" s="169">
        <f>IF(E$2&lt;=AnalysisPeriod,IF(SUM($C649:E649)&gt;0,D364+1,0),0)</f>
        <v>0</v>
      </c>
      <c r="F364" s="169">
        <f>IF(F$2&lt;=AnalysisPeriod,IF(SUM($C649:F649)&gt;0,E364+1,0),0)</f>
        <v>0</v>
      </c>
      <c r="G364" s="169">
        <f>IF(G$2&lt;=AnalysisPeriod,IF(SUM($C649:G649)&gt;0,F364+1,0),0)</f>
        <v>0</v>
      </c>
      <c r="H364" s="169">
        <f>IF(H$2&lt;=AnalysisPeriod,IF(SUM($C649:H649)&gt;0,G364+1,0),0)</f>
        <v>0</v>
      </c>
      <c r="I364" s="169">
        <f>IF(I$2&lt;=AnalysisPeriod,IF(SUM($C649:I649)&gt;0,H364+1,0),0)</f>
        <v>0</v>
      </c>
      <c r="J364" s="169">
        <f>IF(J$2&lt;=AnalysisPeriod,IF(SUM($C649:J649)&gt;0,I364+1,0),0)</f>
        <v>0</v>
      </c>
      <c r="K364" s="169">
        <f>IF(K$2&lt;=AnalysisPeriod,IF(SUM($C649:K649)&gt;0,J364+1,0),0)</f>
        <v>0</v>
      </c>
      <c r="L364" s="169">
        <f>IF(L$2&lt;=AnalysisPeriod,IF(SUM($C649:L649)&gt;0,K364+1,0),0)</f>
        <v>0</v>
      </c>
      <c r="M364" s="169">
        <f>IF(M$2&lt;=AnalysisPeriod,IF(SUM($C649:M649)&gt;0,L364+1,0),0)</f>
        <v>0</v>
      </c>
      <c r="N364" s="169">
        <f>IF(N$2&lt;=AnalysisPeriod,IF(SUM($C649:N649)&gt;0,M364+1,0),0)</f>
        <v>0</v>
      </c>
      <c r="O364" s="169">
        <f>IF(O$2&lt;=AnalysisPeriod,IF(SUM($C649:O649)&gt;0,N364+1,0),0)</f>
        <v>0</v>
      </c>
      <c r="P364" s="169">
        <f>IF(P$2&lt;=AnalysisPeriod,IF(SUM($C649:P649)&gt;0,O364+1,0),0)</f>
        <v>0</v>
      </c>
      <c r="Q364" s="169">
        <f>IF(Q$2&lt;=AnalysisPeriod,IF(SUM($C649:Q649)&gt;0,P364+1,0),0)</f>
        <v>0</v>
      </c>
      <c r="R364" s="169">
        <f>IF(R$2&lt;=AnalysisPeriod,IF(SUM($C649:R649)&gt;0,Q364+1,0),0)</f>
        <v>0</v>
      </c>
      <c r="S364" s="169">
        <f>IF(S$2&lt;=AnalysisPeriod,IF(SUM($C649:S649)&gt;0,R364+1,0),0)</f>
        <v>0</v>
      </c>
      <c r="T364" s="169">
        <f>IF(T$2&lt;=AnalysisPeriod,IF(SUM($C649:T649)&gt;0,S364+1,0),0)</f>
        <v>0</v>
      </c>
      <c r="U364" s="169">
        <f>IF(U$2&lt;=AnalysisPeriod,IF(SUM($C649:U649)&gt;0,T364+1,0),0)</f>
        <v>0</v>
      </c>
      <c r="V364" s="169">
        <f>IF(V$2&lt;=AnalysisPeriod,IF(SUM($C649:V649)&gt;0,U364+1,0),0)</f>
        <v>0</v>
      </c>
      <c r="W364" s="169">
        <f>IF(W$2&lt;=AnalysisPeriod,IF(SUM($C649:W649)&gt;0,V364+1,0),0)</f>
        <v>0</v>
      </c>
      <c r="X364" s="169">
        <f>IF(X$2&lt;=AnalysisPeriod,IF(SUM($C649:X649)&gt;0,W364+1,0),0)</f>
        <v>0</v>
      </c>
      <c r="Y364" s="169">
        <f>IF(Y$2&lt;=AnalysisPeriod,IF(SUM($C649:Y649)&gt;0,X364+1,0),0)</f>
        <v>0</v>
      </c>
      <c r="Z364" s="169">
        <f>IF(Z$2&lt;=AnalysisPeriod,IF(SUM($C649:Z649)&gt;0,Y364+1,0),0)</f>
        <v>0</v>
      </c>
      <c r="AA364" s="169">
        <f>IF(AA$2&lt;=AnalysisPeriod,IF(SUM($C649:AA649)&gt;0,Z364+1,0),0)</f>
        <v>0</v>
      </c>
      <c r="AB364" s="169">
        <f>IF(AB$2&lt;=AnalysisPeriod,IF(SUM($C649:AB649)&gt;0,AA364+1,0),0)</f>
        <v>0</v>
      </c>
      <c r="AC364" s="169">
        <f>IF(AC$2&lt;=AnalysisPeriod,IF(SUM($C649:AC649)&gt;0,AB364+1,0),0)</f>
        <v>0</v>
      </c>
      <c r="AD364" s="169">
        <f>IF(AD$2&lt;=AnalysisPeriod,IF(SUM($C649:AD649)&gt;0,AC364+1,0),0)</f>
        <v>0</v>
      </c>
      <c r="AE364" s="169">
        <f>IF(AE$2&lt;=AnalysisPeriod,IF(SUM($C649:AE649)&gt;0,AD364+1,0),0)</f>
        <v>0</v>
      </c>
      <c r="AF364" s="169">
        <f>IF(AF$2&lt;=AnalysisPeriod,IF(SUM($C649:AF649)&gt;0,AE364+1,0),0)</f>
        <v>0</v>
      </c>
      <c r="AG364" s="169">
        <f>IF(AG$2&lt;=AnalysisPeriod,IF(SUM($C649:AG649)&gt;0,AF364+1,0),0)</f>
        <v>0</v>
      </c>
      <c r="AH364" s="169">
        <f>IF(AH$2&lt;=AnalysisPeriod,IF(SUM($C649:AH649)&gt;0,AG364+1,0),0)</f>
        <v>0</v>
      </c>
      <c r="AI364" s="169">
        <f>IF(AI$2&lt;=AnalysisPeriod,IF(SUM($C649:AI649)&gt;0,AH364+1,0),0)</f>
        <v>0</v>
      </c>
      <c r="AJ364" s="169">
        <f>IF(AJ$2&lt;=AnalysisPeriod,IF(SUM($C649:AJ649)&gt;0,AI364+1,0),0)</f>
        <v>0</v>
      </c>
      <c r="AK364" s="169">
        <f>IF(AK$2&lt;=AnalysisPeriod,IF(SUM($C649:AK649)&gt;0,AJ364+1,0),0)</f>
        <v>0</v>
      </c>
      <c r="AL364" s="169">
        <f>IF(AL$2&lt;=AnalysisPeriod,IF(SUM($C649:AL649)&gt;0,AK364+1,0),0)</f>
        <v>0</v>
      </c>
      <c r="AM364" s="169">
        <f>IF(AM$2&lt;=AnalysisPeriod,IF(SUM($C649:AM649)&gt;0,AL364+1,0),0)</f>
        <v>0</v>
      </c>
      <c r="AN364" s="169">
        <f>IF(AN$2&lt;=AnalysisPeriod,IF(SUM($C649:AN649)&gt;0,AM364+1,0),0)</f>
        <v>0</v>
      </c>
      <c r="AO364" s="169">
        <f>IF(AO$2&lt;=AnalysisPeriod,IF(SUM($C649:AO649)&gt;0,AN364+1,0),0)</f>
        <v>0</v>
      </c>
      <c r="AP364" s="169">
        <f>IF(AP$2&lt;=AnalysisPeriod,IF(SUM($C649:AP649)&gt;0,AO364+1,0),0)</f>
        <v>0</v>
      </c>
    </row>
    <row r="365" spans="1:42" x14ac:dyDescent="0.2">
      <c r="A365" s="101">
        <f t="shared" si="181"/>
        <v>4</v>
      </c>
      <c r="C365" s="169">
        <f>IF(C$2&lt;=AnalysisPeriod,IF(SUM($C650:C650)&gt;0,B365+1,0),0)</f>
        <v>0</v>
      </c>
      <c r="D365" s="169">
        <f>IF(D$2&lt;=AnalysisPeriod,IF(SUM($C650:D650)&gt;0,C365+1,0),0)</f>
        <v>0</v>
      </c>
      <c r="E365" s="169">
        <f>IF(E$2&lt;=AnalysisPeriod,IF(SUM($C650:E650)&gt;0,D365+1,0),0)</f>
        <v>0</v>
      </c>
      <c r="F365" s="169">
        <f>IF(F$2&lt;=AnalysisPeriod,IF(SUM($C650:F650)&gt;0,E365+1,0),0)</f>
        <v>0</v>
      </c>
      <c r="G365" s="169">
        <f>IF(G$2&lt;=AnalysisPeriod,IF(SUM($C650:G650)&gt;0,F365+1,0),0)</f>
        <v>0</v>
      </c>
      <c r="H365" s="169">
        <f>IF(H$2&lt;=AnalysisPeriod,IF(SUM($C650:H650)&gt;0,G365+1,0),0)</f>
        <v>0</v>
      </c>
      <c r="I365" s="169">
        <f>IF(I$2&lt;=AnalysisPeriod,IF(SUM($C650:I650)&gt;0,H365+1,0),0)</f>
        <v>0</v>
      </c>
      <c r="J365" s="169">
        <f>IF(J$2&lt;=AnalysisPeriod,IF(SUM($C650:J650)&gt;0,I365+1,0),0)</f>
        <v>0</v>
      </c>
      <c r="K365" s="169">
        <f>IF(K$2&lt;=AnalysisPeriod,IF(SUM($C650:K650)&gt;0,J365+1,0),0)</f>
        <v>0</v>
      </c>
      <c r="L365" s="169">
        <f>IF(L$2&lt;=AnalysisPeriod,IF(SUM($C650:L650)&gt;0,K365+1,0),0)</f>
        <v>0</v>
      </c>
      <c r="M365" s="169">
        <f>IF(M$2&lt;=AnalysisPeriod,IF(SUM($C650:M650)&gt;0,L365+1,0),0)</f>
        <v>0</v>
      </c>
      <c r="N365" s="169">
        <f>IF(N$2&lt;=AnalysisPeriod,IF(SUM($C650:N650)&gt;0,M365+1,0),0)</f>
        <v>0</v>
      </c>
      <c r="O365" s="169">
        <f>IF(O$2&lt;=AnalysisPeriod,IF(SUM($C650:O650)&gt;0,N365+1,0),0)</f>
        <v>0</v>
      </c>
      <c r="P365" s="169">
        <f>IF(P$2&lt;=AnalysisPeriod,IF(SUM($C650:P650)&gt;0,O365+1,0),0)</f>
        <v>0</v>
      </c>
      <c r="Q365" s="169">
        <f>IF(Q$2&lt;=AnalysisPeriod,IF(SUM($C650:Q650)&gt;0,P365+1,0),0)</f>
        <v>0</v>
      </c>
      <c r="R365" s="169">
        <f>IF(R$2&lt;=AnalysisPeriod,IF(SUM($C650:R650)&gt;0,Q365+1,0),0)</f>
        <v>0</v>
      </c>
      <c r="S365" s="169">
        <f>IF(S$2&lt;=AnalysisPeriod,IF(SUM($C650:S650)&gt;0,R365+1,0),0)</f>
        <v>0</v>
      </c>
      <c r="T365" s="169">
        <f>IF(T$2&lt;=AnalysisPeriod,IF(SUM($C650:T650)&gt;0,S365+1,0),0)</f>
        <v>0</v>
      </c>
      <c r="U365" s="169">
        <f>IF(U$2&lt;=AnalysisPeriod,IF(SUM($C650:U650)&gt;0,T365+1,0),0)</f>
        <v>0</v>
      </c>
      <c r="V365" s="169">
        <f>IF(V$2&lt;=AnalysisPeriod,IF(SUM($C650:V650)&gt;0,U365+1,0),0)</f>
        <v>0</v>
      </c>
      <c r="W365" s="169">
        <f>IF(W$2&lt;=AnalysisPeriod,IF(SUM($C650:W650)&gt;0,V365+1,0),0)</f>
        <v>0</v>
      </c>
      <c r="X365" s="169">
        <f>IF(X$2&lt;=AnalysisPeriod,IF(SUM($C650:X650)&gt;0,W365+1,0),0)</f>
        <v>0</v>
      </c>
      <c r="Y365" s="169">
        <f>IF(Y$2&lt;=AnalysisPeriod,IF(SUM($C650:Y650)&gt;0,X365+1,0),0)</f>
        <v>0</v>
      </c>
      <c r="Z365" s="169">
        <f>IF(Z$2&lt;=AnalysisPeriod,IF(SUM($C650:Z650)&gt;0,Y365+1,0),0)</f>
        <v>0</v>
      </c>
      <c r="AA365" s="169">
        <f>IF(AA$2&lt;=AnalysisPeriod,IF(SUM($C650:AA650)&gt;0,Z365+1,0),0)</f>
        <v>0</v>
      </c>
      <c r="AB365" s="169">
        <f>IF(AB$2&lt;=AnalysisPeriod,IF(SUM($C650:AB650)&gt;0,AA365+1,0),0)</f>
        <v>0</v>
      </c>
      <c r="AC365" s="169">
        <f>IF(AC$2&lt;=AnalysisPeriod,IF(SUM($C650:AC650)&gt;0,AB365+1,0),0)</f>
        <v>0</v>
      </c>
      <c r="AD365" s="169">
        <f>IF(AD$2&lt;=AnalysisPeriod,IF(SUM($C650:AD650)&gt;0,AC365+1,0),0)</f>
        <v>0</v>
      </c>
      <c r="AE365" s="169">
        <f>IF(AE$2&lt;=AnalysisPeriod,IF(SUM($C650:AE650)&gt;0,AD365+1,0),0)</f>
        <v>0</v>
      </c>
      <c r="AF365" s="169">
        <f>IF(AF$2&lt;=AnalysisPeriod,IF(SUM($C650:AF650)&gt;0,AE365+1,0),0)</f>
        <v>0</v>
      </c>
      <c r="AG365" s="169">
        <f>IF(AG$2&lt;=AnalysisPeriod,IF(SUM($C650:AG650)&gt;0,AF365+1,0),0)</f>
        <v>0</v>
      </c>
      <c r="AH365" s="169">
        <f>IF(AH$2&lt;=AnalysisPeriod,IF(SUM($C650:AH650)&gt;0,AG365+1,0),0)</f>
        <v>0</v>
      </c>
      <c r="AI365" s="169">
        <f>IF(AI$2&lt;=AnalysisPeriod,IF(SUM($C650:AI650)&gt;0,AH365+1,0),0)</f>
        <v>0</v>
      </c>
      <c r="AJ365" s="169">
        <f>IF(AJ$2&lt;=AnalysisPeriod,IF(SUM($C650:AJ650)&gt;0,AI365+1,0),0)</f>
        <v>0</v>
      </c>
      <c r="AK365" s="169">
        <f>IF(AK$2&lt;=AnalysisPeriod,IF(SUM($C650:AK650)&gt;0,AJ365+1,0),0)</f>
        <v>0</v>
      </c>
      <c r="AL365" s="169">
        <f>IF(AL$2&lt;=AnalysisPeriod,IF(SUM($C650:AL650)&gt;0,AK365+1,0),0)</f>
        <v>0</v>
      </c>
      <c r="AM365" s="169">
        <f>IF(AM$2&lt;=AnalysisPeriod,IF(SUM($C650:AM650)&gt;0,AL365+1,0),0)</f>
        <v>0</v>
      </c>
      <c r="AN365" s="169">
        <f>IF(AN$2&lt;=AnalysisPeriod,IF(SUM($C650:AN650)&gt;0,AM365+1,0),0)</f>
        <v>0</v>
      </c>
      <c r="AO365" s="169">
        <f>IF(AO$2&lt;=AnalysisPeriod,IF(SUM($C650:AO650)&gt;0,AN365+1,0),0)</f>
        <v>0</v>
      </c>
      <c r="AP365" s="169">
        <f>IF(AP$2&lt;=AnalysisPeriod,IF(SUM($C650:AP650)&gt;0,AO365+1,0),0)</f>
        <v>0</v>
      </c>
    </row>
    <row r="366" spans="1:42" x14ac:dyDescent="0.2">
      <c r="A366" s="101">
        <f t="shared" si="181"/>
        <v>5</v>
      </c>
      <c r="C366" s="169">
        <f>IF(C$2&lt;=AnalysisPeriod,IF(SUM($C651:C651)&gt;0,B366+1,0),0)</f>
        <v>0</v>
      </c>
      <c r="D366" s="169">
        <f>IF(D$2&lt;=AnalysisPeriod,IF(SUM($C651:D651)&gt;0,C366+1,0),0)</f>
        <v>0</v>
      </c>
      <c r="E366" s="169">
        <f>IF(E$2&lt;=AnalysisPeriod,IF(SUM($C651:E651)&gt;0,D366+1,0),0)</f>
        <v>0</v>
      </c>
      <c r="F366" s="169">
        <f>IF(F$2&lt;=AnalysisPeriod,IF(SUM($C651:F651)&gt;0,E366+1,0),0)</f>
        <v>0</v>
      </c>
      <c r="G366" s="169">
        <f>IF(G$2&lt;=AnalysisPeriod,IF(SUM($C651:G651)&gt;0,F366+1,0),0)</f>
        <v>0</v>
      </c>
      <c r="H366" s="169">
        <f>IF(H$2&lt;=AnalysisPeriod,IF(SUM($C651:H651)&gt;0,G366+1,0),0)</f>
        <v>0</v>
      </c>
      <c r="I366" s="169">
        <f>IF(I$2&lt;=AnalysisPeriod,IF(SUM($C651:I651)&gt;0,H366+1,0),0)</f>
        <v>0</v>
      </c>
      <c r="J366" s="169">
        <f>IF(J$2&lt;=AnalysisPeriod,IF(SUM($C651:J651)&gt;0,I366+1,0),0)</f>
        <v>0</v>
      </c>
      <c r="K366" s="169">
        <f>IF(K$2&lt;=AnalysisPeriod,IF(SUM($C651:K651)&gt;0,J366+1,0),0)</f>
        <v>0</v>
      </c>
      <c r="L366" s="169">
        <f>IF(L$2&lt;=AnalysisPeriod,IF(SUM($C651:L651)&gt;0,K366+1,0),0)</f>
        <v>0</v>
      </c>
      <c r="M366" s="169">
        <f>IF(M$2&lt;=AnalysisPeriod,IF(SUM($C651:M651)&gt;0,L366+1,0),0)</f>
        <v>0</v>
      </c>
      <c r="N366" s="169">
        <f>IF(N$2&lt;=AnalysisPeriod,IF(SUM($C651:N651)&gt;0,M366+1,0),0)</f>
        <v>0</v>
      </c>
      <c r="O366" s="169">
        <f>IF(O$2&lt;=AnalysisPeriod,IF(SUM($C651:O651)&gt;0,N366+1,0),0)</f>
        <v>0</v>
      </c>
      <c r="P366" s="169">
        <f>IF(P$2&lt;=AnalysisPeriod,IF(SUM($C651:P651)&gt;0,O366+1,0),0)</f>
        <v>0</v>
      </c>
      <c r="Q366" s="169">
        <f>IF(Q$2&lt;=AnalysisPeriod,IF(SUM($C651:Q651)&gt;0,P366+1,0),0)</f>
        <v>0</v>
      </c>
      <c r="R366" s="169">
        <f>IF(R$2&lt;=AnalysisPeriod,IF(SUM($C651:R651)&gt;0,Q366+1,0),0)</f>
        <v>0</v>
      </c>
      <c r="S366" s="169">
        <f>IF(S$2&lt;=AnalysisPeriod,IF(SUM($C651:S651)&gt;0,R366+1,0),0)</f>
        <v>0</v>
      </c>
      <c r="T366" s="169">
        <f>IF(T$2&lt;=AnalysisPeriod,IF(SUM($C651:T651)&gt;0,S366+1,0),0)</f>
        <v>0</v>
      </c>
      <c r="U366" s="169">
        <f>IF(U$2&lt;=AnalysisPeriod,IF(SUM($C651:U651)&gt;0,T366+1,0),0)</f>
        <v>0</v>
      </c>
      <c r="V366" s="169">
        <f>IF(V$2&lt;=AnalysisPeriod,IF(SUM($C651:V651)&gt;0,U366+1,0),0)</f>
        <v>0</v>
      </c>
      <c r="W366" s="169">
        <f>IF(W$2&lt;=AnalysisPeriod,IF(SUM($C651:W651)&gt;0,V366+1,0),0)</f>
        <v>0</v>
      </c>
      <c r="X366" s="169">
        <f>IF(X$2&lt;=AnalysisPeriod,IF(SUM($C651:X651)&gt;0,W366+1,0),0)</f>
        <v>0</v>
      </c>
      <c r="Y366" s="169">
        <f>IF(Y$2&lt;=AnalysisPeriod,IF(SUM($C651:Y651)&gt;0,X366+1,0),0)</f>
        <v>0</v>
      </c>
      <c r="Z366" s="169">
        <f>IF(Z$2&lt;=AnalysisPeriod,IF(SUM($C651:Z651)&gt;0,Y366+1,0),0)</f>
        <v>0</v>
      </c>
      <c r="AA366" s="169">
        <f>IF(AA$2&lt;=AnalysisPeriod,IF(SUM($C651:AA651)&gt;0,Z366+1,0),0)</f>
        <v>0</v>
      </c>
      <c r="AB366" s="169">
        <f>IF(AB$2&lt;=AnalysisPeriod,IF(SUM($C651:AB651)&gt;0,AA366+1,0),0)</f>
        <v>0</v>
      </c>
      <c r="AC366" s="169">
        <f>IF(AC$2&lt;=AnalysisPeriod,IF(SUM($C651:AC651)&gt;0,AB366+1,0),0)</f>
        <v>0</v>
      </c>
      <c r="AD366" s="169">
        <f>IF(AD$2&lt;=AnalysisPeriod,IF(SUM($C651:AD651)&gt;0,AC366+1,0),0)</f>
        <v>0</v>
      </c>
      <c r="AE366" s="169">
        <f>IF(AE$2&lt;=AnalysisPeriod,IF(SUM($C651:AE651)&gt;0,AD366+1,0),0)</f>
        <v>0</v>
      </c>
      <c r="AF366" s="169">
        <f>IF(AF$2&lt;=AnalysisPeriod,IF(SUM($C651:AF651)&gt;0,AE366+1,0),0)</f>
        <v>0</v>
      </c>
      <c r="AG366" s="169">
        <f>IF(AG$2&lt;=AnalysisPeriod,IF(SUM($C651:AG651)&gt;0,AF366+1,0),0)</f>
        <v>0</v>
      </c>
      <c r="AH366" s="169">
        <f>IF(AH$2&lt;=AnalysisPeriod,IF(SUM($C651:AH651)&gt;0,AG366+1,0),0)</f>
        <v>0</v>
      </c>
      <c r="AI366" s="169">
        <f>IF(AI$2&lt;=AnalysisPeriod,IF(SUM($C651:AI651)&gt;0,AH366+1,0),0)</f>
        <v>0</v>
      </c>
      <c r="AJ366" s="169">
        <f>IF(AJ$2&lt;=AnalysisPeriod,IF(SUM($C651:AJ651)&gt;0,AI366+1,0),0)</f>
        <v>0</v>
      </c>
      <c r="AK366" s="169">
        <f>IF(AK$2&lt;=AnalysisPeriod,IF(SUM($C651:AK651)&gt;0,AJ366+1,0),0)</f>
        <v>0</v>
      </c>
      <c r="AL366" s="169">
        <f>IF(AL$2&lt;=AnalysisPeriod,IF(SUM($C651:AL651)&gt;0,AK366+1,0),0)</f>
        <v>0</v>
      </c>
      <c r="AM366" s="169">
        <f>IF(AM$2&lt;=AnalysisPeriod,IF(SUM($C651:AM651)&gt;0,AL366+1,0),0)</f>
        <v>0</v>
      </c>
      <c r="AN366" s="169">
        <f>IF(AN$2&lt;=AnalysisPeriod,IF(SUM($C651:AN651)&gt;0,AM366+1,0),0)</f>
        <v>0</v>
      </c>
      <c r="AO366" s="169">
        <f>IF(AO$2&lt;=AnalysisPeriod,IF(SUM($C651:AO651)&gt;0,AN366+1,0),0)</f>
        <v>0</v>
      </c>
      <c r="AP366" s="169">
        <f>IF(AP$2&lt;=AnalysisPeriod,IF(SUM($C651:AP651)&gt;0,AO366+1,0),0)</f>
        <v>0</v>
      </c>
    </row>
    <row r="367" spans="1:42" x14ac:dyDescent="0.2">
      <c r="A367" s="101">
        <f t="shared" si="181"/>
        <v>6</v>
      </c>
      <c r="C367" s="169">
        <f>IF(C$2&lt;=AnalysisPeriod,IF(SUM($C652:C652)&gt;0,B367+1,0),0)</f>
        <v>0</v>
      </c>
      <c r="D367" s="169">
        <f>IF(D$2&lt;=AnalysisPeriod,IF(SUM($C652:D652)&gt;0,C367+1,0),0)</f>
        <v>0</v>
      </c>
      <c r="E367" s="169">
        <f>IF(E$2&lt;=AnalysisPeriod,IF(SUM($C652:E652)&gt;0,D367+1,0),0)</f>
        <v>0</v>
      </c>
      <c r="F367" s="169">
        <f>IF(F$2&lt;=AnalysisPeriod,IF(SUM($C652:F652)&gt;0,E367+1,0),0)</f>
        <v>0</v>
      </c>
      <c r="G367" s="169">
        <f>IF(G$2&lt;=AnalysisPeriod,IF(SUM($C652:G652)&gt;0,F367+1,0),0)</f>
        <v>0</v>
      </c>
      <c r="H367" s="169">
        <f>IF(H$2&lt;=AnalysisPeriod,IF(SUM($C652:H652)&gt;0,G367+1,0),0)</f>
        <v>0</v>
      </c>
      <c r="I367" s="169">
        <f>IF(I$2&lt;=AnalysisPeriod,IF(SUM($C652:I652)&gt;0,H367+1,0),0)</f>
        <v>0</v>
      </c>
      <c r="J367" s="169">
        <f>IF(J$2&lt;=AnalysisPeriod,IF(SUM($C652:J652)&gt;0,I367+1,0),0)</f>
        <v>0</v>
      </c>
      <c r="K367" s="169">
        <f>IF(K$2&lt;=AnalysisPeriod,IF(SUM($C652:K652)&gt;0,J367+1,0),0)</f>
        <v>0</v>
      </c>
      <c r="L367" s="169">
        <f>IF(L$2&lt;=AnalysisPeriod,IF(SUM($C652:L652)&gt;0,K367+1,0),0)</f>
        <v>0</v>
      </c>
      <c r="M367" s="169">
        <f>IF(M$2&lt;=AnalysisPeriod,IF(SUM($C652:M652)&gt;0,L367+1,0),0)</f>
        <v>0</v>
      </c>
      <c r="N367" s="169">
        <f>IF(N$2&lt;=AnalysisPeriod,IF(SUM($C652:N652)&gt;0,M367+1,0),0)</f>
        <v>0</v>
      </c>
      <c r="O367" s="169">
        <f>IF(O$2&lt;=AnalysisPeriod,IF(SUM($C652:O652)&gt;0,N367+1,0),0)</f>
        <v>0</v>
      </c>
      <c r="P367" s="169">
        <f>IF(P$2&lt;=AnalysisPeriod,IF(SUM($C652:P652)&gt;0,O367+1,0),0)</f>
        <v>0</v>
      </c>
      <c r="Q367" s="169">
        <f>IF(Q$2&lt;=AnalysisPeriod,IF(SUM($C652:Q652)&gt;0,P367+1,0),0)</f>
        <v>0</v>
      </c>
      <c r="R367" s="169">
        <f>IF(R$2&lt;=AnalysisPeriod,IF(SUM($C652:R652)&gt;0,Q367+1,0),0)</f>
        <v>0</v>
      </c>
      <c r="S367" s="169">
        <f>IF(S$2&lt;=AnalysisPeriod,IF(SUM($C652:S652)&gt;0,R367+1,0),0)</f>
        <v>0</v>
      </c>
      <c r="T367" s="169">
        <f>IF(T$2&lt;=AnalysisPeriod,IF(SUM($C652:T652)&gt;0,S367+1,0),0)</f>
        <v>0</v>
      </c>
      <c r="U367" s="169">
        <f>IF(U$2&lt;=AnalysisPeriod,IF(SUM($C652:U652)&gt;0,T367+1,0),0)</f>
        <v>0</v>
      </c>
      <c r="V367" s="169">
        <f>IF(V$2&lt;=AnalysisPeriod,IF(SUM($C652:V652)&gt;0,U367+1,0),0)</f>
        <v>0</v>
      </c>
      <c r="W367" s="169">
        <f>IF(W$2&lt;=AnalysisPeriod,IF(SUM($C652:W652)&gt;0,V367+1,0),0)</f>
        <v>0</v>
      </c>
      <c r="X367" s="169">
        <f>IF(X$2&lt;=AnalysisPeriod,IF(SUM($C652:X652)&gt;0,W367+1,0),0)</f>
        <v>0</v>
      </c>
      <c r="Y367" s="169">
        <f>IF(Y$2&lt;=AnalysisPeriod,IF(SUM($C652:Y652)&gt;0,X367+1,0),0)</f>
        <v>0</v>
      </c>
      <c r="Z367" s="169">
        <f>IF(Z$2&lt;=AnalysisPeriod,IF(SUM($C652:Z652)&gt;0,Y367+1,0),0)</f>
        <v>0</v>
      </c>
      <c r="AA367" s="169">
        <f>IF(AA$2&lt;=AnalysisPeriod,IF(SUM($C652:AA652)&gt;0,Z367+1,0),0)</f>
        <v>0</v>
      </c>
      <c r="AB367" s="169">
        <f>IF(AB$2&lt;=AnalysisPeriod,IF(SUM($C652:AB652)&gt;0,AA367+1,0),0)</f>
        <v>0</v>
      </c>
      <c r="AC367" s="169">
        <f>IF(AC$2&lt;=AnalysisPeriod,IF(SUM($C652:AC652)&gt;0,AB367+1,0),0)</f>
        <v>0</v>
      </c>
      <c r="AD367" s="169">
        <f>IF(AD$2&lt;=AnalysisPeriod,IF(SUM($C652:AD652)&gt;0,AC367+1,0),0)</f>
        <v>0</v>
      </c>
      <c r="AE367" s="169">
        <f>IF(AE$2&lt;=AnalysisPeriod,IF(SUM($C652:AE652)&gt;0,AD367+1,0),0)</f>
        <v>0</v>
      </c>
      <c r="AF367" s="169">
        <f>IF(AF$2&lt;=AnalysisPeriod,IF(SUM($C652:AF652)&gt;0,AE367+1,0),0)</f>
        <v>0</v>
      </c>
      <c r="AG367" s="169">
        <f>IF(AG$2&lt;=AnalysisPeriod,IF(SUM($C652:AG652)&gt;0,AF367+1,0),0)</f>
        <v>0</v>
      </c>
      <c r="AH367" s="169">
        <f>IF(AH$2&lt;=AnalysisPeriod,IF(SUM($C652:AH652)&gt;0,AG367+1,0),0)</f>
        <v>0</v>
      </c>
      <c r="AI367" s="169">
        <f>IF(AI$2&lt;=AnalysisPeriod,IF(SUM($C652:AI652)&gt;0,AH367+1,0),0)</f>
        <v>0</v>
      </c>
      <c r="AJ367" s="169">
        <f>IF(AJ$2&lt;=AnalysisPeriod,IF(SUM($C652:AJ652)&gt;0,AI367+1,0),0)</f>
        <v>0</v>
      </c>
      <c r="AK367" s="169">
        <f>IF(AK$2&lt;=AnalysisPeriod,IF(SUM($C652:AK652)&gt;0,AJ367+1,0),0)</f>
        <v>0</v>
      </c>
      <c r="AL367" s="169">
        <f>IF(AL$2&lt;=AnalysisPeriod,IF(SUM($C652:AL652)&gt;0,AK367+1,0),0)</f>
        <v>0</v>
      </c>
      <c r="AM367" s="169">
        <f>IF(AM$2&lt;=AnalysisPeriod,IF(SUM($C652:AM652)&gt;0,AL367+1,0),0)</f>
        <v>0</v>
      </c>
      <c r="AN367" s="169">
        <f>IF(AN$2&lt;=AnalysisPeriod,IF(SUM($C652:AN652)&gt;0,AM367+1,0),0)</f>
        <v>0</v>
      </c>
      <c r="AO367" s="169">
        <f>IF(AO$2&lt;=AnalysisPeriod,IF(SUM($C652:AO652)&gt;0,AN367+1,0),0)</f>
        <v>0</v>
      </c>
      <c r="AP367" s="169">
        <f>IF(AP$2&lt;=AnalysisPeriod,IF(SUM($C652:AP652)&gt;0,AO367+1,0),0)</f>
        <v>0</v>
      </c>
    </row>
    <row r="368" spans="1:42" x14ac:dyDescent="0.2">
      <c r="A368" s="101">
        <f t="shared" si="181"/>
        <v>7</v>
      </c>
      <c r="C368" s="169">
        <f>IF(C$2&lt;=AnalysisPeriod,IF(SUM($C653:C653)&gt;0,B368+1,0),0)</f>
        <v>0</v>
      </c>
      <c r="D368" s="169">
        <f>IF(D$2&lt;=AnalysisPeriod,IF(SUM($C653:D653)&gt;0,C368+1,0),0)</f>
        <v>0</v>
      </c>
      <c r="E368" s="169">
        <f>IF(E$2&lt;=AnalysisPeriod,IF(SUM($C653:E653)&gt;0,D368+1,0),0)</f>
        <v>0</v>
      </c>
      <c r="F368" s="169">
        <f>IF(F$2&lt;=AnalysisPeriod,IF(SUM($C653:F653)&gt;0,E368+1,0),0)</f>
        <v>0</v>
      </c>
      <c r="G368" s="169">
        <f>IF(G$2&lt;=AnalysisPeriod,IF(SUM($C653:G653)&gt;0,F368+1,0),0)</f>
        <v>0</v>
      </c>
      <c r="H368" s="169">
        <f>IF(H$2&lt;=AnalysisPeriod,IF(SUM($C653:H653)&gt;0,G368+1,0),0)</f>
        <v>0</v>
      </c>
      <c r="I368" s="169">
        <f>IF(I$2&lt;=AnalysisPeriod,IF(SUM($C653:I653)&gt;0,H368+1,0),0)</f>
        <v>0</v>
      </c>
      <c r="J368" s="169">
        <f>IF(J$2&lt;=AnalysisPeriod,IF(SUM($C653:J653)&gt;0,I368+1,0),0)</f>
        <v>0</v>
      </c>
      <c r="K368" s="169">
        <f>IF(K$2&lt;=AnalysisPeriod,IF(SUM($C653:K653)&gt;0,J368+1,0),0)</f>
        <v>0</v>
      </c>
      <c r="L368" s="169">
        <f>IF(L$2&lt;=AnalysisPeriod,IF(SUM($C653:L653)&gt;0,K368+1,0),0)</f>
        <v>0</v>
      </c>
      <c r="M368" s="169">
        <f>IF(M$2&lt;=AnalysisPeriod,IF(SUM($C653:M653)&gt;0,L368+1,0),0)</f>
        <v>0</v>
      </c>
      <c r="N368" s="169">
        <f>IF(N$2&lt;=AnalysisPeriod,IF(SUM($C653:N653)&gt;0,M368+1,0),0)</f>
        <v>0</v>
      </c>
      <c r="O368" s="169">
        <f>IF(O$2&lt;=AnalysisPeriod,IF(SUM($C653:O653)&gt;0,N368+1,0),0)</f>
        <v>0</v>
      </c>
      <c r="P368" s="169">
        <f>IF(P$2&lt;=AnalysisPeriod,IF(SUM($C653:P653)&gt;0,O368+1,0),0)</f>
        <v>0</v>
      </c>
      <c r="Q368" s="169">
        <f>IF(Q$2&lt;=AnalysisPeriod,IF(SUM($C653:Q653)&gt;0,P368+1,0),0)</f>
        <v>0</v>
      </c>
      <c r="R368" s="169">
        <f>IF(R$2&lt;=AnalysisPeriod,IF(SUM($C653:R653)&gt;0,Q368+1,0),0)</f>
        <v>0</v>
      </c>
      <c r="S368" s="169">
        <f>IF(S$2&lt;=AnalysisPeriod,IF(SUM($C653:S653)&gt;0,R368+1,0),0)</f>
        <v>0</v>
      </c>
      <c r="T368" s="169">
        <f>IF(T$2&lt;=AnalysisPeriod,IF(SUM($C653:T653)&gt;0,S368+1,0),0)</f>
        <v>0</v>
      </c>
      <c r="U368" s="169">
        <f>IF(U$2&lt;=AnalysisPeriod,IF(SUM($C653:U653)&gt;0,T368+1,0),0)</f>
        <v>0</v>
      </c>
      <c r="V368" s="169">
        <f>IF(V$2&lt;=AnalysisPeriod,IF(SUM($C653:V653)&gt;0,U368+1,0),0)</f>
        <v>0</v>
      </c>
      <c r="W368" s="169">
        <f>IF(W$2&lt;=AnalysisPeriod,IF(SUM($C653:W653)&gt;0,V368+1,0),0)</f>
        <v>0</v>
      </c>
      <c r="X368" s="169">
        <f>IF(X$2&lt;=AnalysisPeriod,IF(SUM($C653:X653)&gt;0,W368+1,0),0)</f>
        <v>0</v>
      </c>
      <c r="Y368" s="169">
        <f>IF(Y$2&lt;=AnalysisPeriod,IF(SUM($C653:Y653)&gt;0,X368+1,0),0)</f>
        <v>0</v>
      </c>
      <c r="Z368" s="169">
        <f>IF(Z$2&lt;=AnalysisPeriod,IF(SUM($C653:Z653)&gt;0,Y368+1,0),0)</f>
        <v>0</v>
      </c>
      <c r="AA368" s="169">
        <f>IF(AA$2&lt;=AnalysisPeriod,IF(SUM($C653:AA653)&gt;0,Z368+1,0),0)</f>
        <v>0</v>
      </c>
      <c r="AB368" s="169">
        <f>IF(AB$2&lt;=AnalysisPeriod,IF(SUM($C653:AB653)&gt;0,AA368+1,0),0)</f>
        <v>0</v>
      </c>
      <c r="AC368" s="169">
        <f>IF(AC$2&lt;=AnalysisPeriod,IF(SUM($C653:AC653)&gt;0,AB368+1,0),0)</f>
        <v>0</v>
      </c>
      <c r="AD368" s="169">
        <f>IF(AD$2&lt;=AnalysisPeriod,IF(SUM($C653:AD653)&gt;0,AC368+1,0),0)</f>
        <v>0</v>
      </c>
      <c r="AE368" s="169">
        <f>IF(AE$2&lt;=AnalysisPeriod,IF(SUM($C653:AE653)&gt;0,AD368+1,0),0)</f>
        <v>0</v>
      </c>
      <c r="AF368" s="169">
        <f>IF(AF$2&lt;=AnalysisPeriod,IF(SUM($C653:AF653)&gt;0,AE368+1,0),0)</f>
        <v>0</v>
      </c>
      <c r="AG368" s="169">
        <f>IF(AG$2&lt;=AnalysisPeriod,IF(SUM($C653:AG653)&gt;0,AF368+1,0),0)</f>
        <v>0</v>
      </c>
      <c r="AH368" s="169">
        <f>IF(AH$2&lt;=AnalysisPeriod,IF(SUM($C653:AH653)&gt;0,AG368+1,0),0)</f>
        <v>0</v>
      </c>
      <c r="AI368" s="169">
        <f>IF(AI$2&lt;=AnalysisPeriod,IF(SUM($C653:AI653)&gt;0,AH368+1,0),0)</f>
        <v>0</v>
      </c>
      <c r="AJ368" s="169">
        <f>IF(AJ$2&lt;=AnalysisPeriod,IF(SUM($C653:AJ653)&gt;0,AI368+1,0),0)</f>
        <v>0</v>
      </c>
      <c r="AK368" s="169">
        <f>IF(AK$2&lt;=AnalysisPeriod,IF(SUM($C653:AK653)&gt;0,AJ368+1,0),0)</f>
        <v>0</v>
      </c>
      <c r="AL368" s="169">
        <f>IF(AL$2&lt;=AnalysisPeriod,IF(SUM($C653:AL653)&gt;0,AK368+1,0),0)</f>
        <v>0</v>
      </c>
      <c r="AM368" s="169">
        <f>IF(AM$2&lt;=AnalysisPeriod,IF(SUM($C653:AM653)&gt;0,AL368+1,0),0)</f>
        <v>0</v>
      </c>
      <c r="AN368" s="169">
        <f>IF(AN$2&lt;=AnalysisPeriod,IF(SUM($C653:AN653)&gt;0,AM368+1,0),0)</f>
        <v>0</v>
      </c>
      <c r="AO368" s="169">
        <f>IF(AO$2&lt;=AnalysisPeriod,IF(SUM($C653:AO653)&gt;0,AN368+1,0),0)</f>
        <v>0</v>
      </c>
      <c r="AP368" s="169">
        <f>IF(AP$2&lt;=AnalysisPeriod,IF(SUM($C653:AP653)&gt;0,AO368+1,0),0)</f>
        <v>0</v>
      </c>
    </row>
    <row r="369" spans="1:42" x14ac:dyDescent="0.2">
      <c r="A369" s="101">
        <f t="shared" si="181"/>
        <v>8</v>
      </c>
      <c r="C369" s="169">
        <f>IF(C$2&lt;=AnalysisPeriod,IF(SUM($C654:C654)&gt;0,B369+1,0),0)</f>
        <v>0</v>
      </c>
      <c r="D369" s="169">
        <f>IF(D$2&lt;=AnalysisPeriod,IF(SUM($C654:D654)&gt;0,C369+1,0),0)</f>
        <v>0</v>
      </c>
      <c r="E369" s="169">
        <f>IF(E$2&lt;=AnalysisPeriod,IF(SUM($C654:E654)&gt;0,D369+1,0),0)</f>
        <v>0</v>
      </c>
      <c r="F369" s="169">
        <f>IF(F$2&lt;=AnalysisPeriod,IF(SUM($C654:F654)&gt;0,E369+1,0),0)</f>
        <v>0</v>
      </c>
      <c r="G369" s="169">
        <f>IF(G$2&lt;=AnalysisPeriod,IF(SUM($C654:G654)&gt;0,F369+1,0),0)</f>
        <v>0</v>
      </c>
      <c r="H369" s="169">
        <f>IF(H$2&lt;=AnalysisPeriod,IF(SUM($C654:H654)&gt;0,G369+1,0),0)</f>
        <v>0</v>
      </c>
      <c r="I369" s="169">
        <f>IF(I$2&lt;=AnalysisPeriod,IF(SUM($C654:I654)&gt;0,H369+1,0),0)</f>
        <v>0</v>
      </c>
      <c r="J369" s="169">
        <f>IF(J$2&lt;=AnalysisPeriod,IF(SUM($C654:J654)&gt;0,I369+1,0),0)</f>
        <v>0</v>
      </c>
      <c r="K369" s="169">
        <f>IF(K$2&lt;=AnalysisPeriod,IF(SUM($C654:K654)&gt;0,J369+1,0),0)</f>
        <v>0</v>
      </c>
      <c r="L369" s="169">
        <f>IF(L$2&lt;=AnalysisPeriod,IF(SUM($C654:L654)&gt;0,K369+1,0),0)</f>
        <v>0</v>
      </c>
      <c r="M369" s="169">
        <f>IF(M$2&lt;=AnalysisPeriod,IF(SUM($C654:M654)&gt;0,L369+1,0),0)</f>
        <v>0</v>
      </c>
      <c r="N369" s="169">
        <f>IF(N$2&lt;=AnalysisPeriod,IF(SUM($C654:N654)&gt;0,M369+1,0),0)</f>
        <v>0</v>
      </c>
      <c r="O369" s="169">
        <f>IF(O$2&lt;=AnalysisPeriod,IF(SUM($C654:O654)&gt;0,N369+1,0),0)</f>
        <v>0</v>
      </c>
      <c r="P369" s="169">
        <f>IF(P$2&lt;=AnalysisPeriod,IF(SUM($C654:P654)&gt;0,O369+1,0),0)</f>
        <v>0</v>
      </c>
      <c r="Q369" s="169">
        <f>IF(Q$2&lt;=AnalysisPeriod,IF(SUM($C654:Q654)&gt;0,P369+1,0),0)</f>
        <v>0</v>
      </c>
      <c r="R369" s="169">
        <f>IF(R$2&lt;=AnalysisPeriod,IF(SUM($C654:R654)&gt;0,Q369+1,0),0)</f>
        <v>0</v>
      </c>
      <c r="S369" s="169">
        <f>IF(S$2&lt;=AnalysisPeriod,IF(SUM($C654:S654)&gt;0,R369+1,0),0)</f>
        <v>0</v>
      </c>
      <c r="T369" s="169">
        <f>IF(T$2&lt;=AnalysisPeriod,IF(SUM($C654:T654)&gt;0,S369+1,0),0)</f>
        <v>0</v>
      </c>
      <c r="U369" s="169">
        <f>IF(U$2&lt;=AnalysisPeriod,IF(SUM($C654:U654)&gt;0,T369+1,0),0)</f>
        <v>0</v>
      </c>
      <c r="V369" s="169">
        <f>IF(V$2&lt;=AnalysisPeriod,IF(SUM($C654:V654)&gt;0,U369+1,0),0)</f>
        <v>0</v>
      </c>
      <c r="W369" s="169">
        <f>IF(W$2&lt;=AnalysisPeriod,IF(SUM($C654:W654)&gt;0,V369+1,0),0)</f>
        <v>0</v>
      </c>
      <c r="X369" s="169">
        <f>IF(X$2&lt;=AnalysisPeriod,IF(SUM($C654:X654)&gt;0,W369+1,0),0)</f>
        <v>0</v>
      </c>
      <c r="Y369" s="169">
        <f>IF(Y$2&lt;=AnalysisPeriod,IF(SUM($C654:Y654)&gt;0,X369+1,0),0)</f>
        <v>0</v>
      </c>
      <c r="Z369" s="169">
        <f>IF(Z$2&lt;=AnalysisPeriod,IF(SUM($C654:Z654)&gt;0,Y369+1,0),0)</f>
        <v>0</v>
      </c>
      <c r="AA369" s="169">
        <f>IF(AA$2&lt;=AnalysisPeriod,IF(SUM($C654:AA654)&gt;0,Z369+1,0),0)</f>
        <v>0</v>
      </c>
      <c r="AB369" s="169">
        <f>IF(AB$2&lt;=AnalysisPeriod,IF(SUM($C654:AB654)&gt;0,AA369+1,0),0)</f>
        <v>0</v>
      </c>
      <c r="AC369" s="169">
        <f>IF(AC$2&lt;=AnalysisPeriod,IF(SUM($C654:AC654)&gt;0,AB369+1,0),0)</f>
        <v>0</v>
      </c>
      <c r="AD369" s="169">
        <f>IF(AD$2&lt;=AnalysisPeriod,IF(SUM($C654:AD654)&gt;0,AC369+1,0),0)</f>
        <v>0</v>
      </c>
      <c r="AE369" s="169">
        <f>IF(AE$2&lt;=AnalysisPeriod,IF(SUM($C654:AE654)&gt;0,AD369+1,0),0)</f>
        <v>0</v>
      </c>
      <c r="AF369" s="169">
        <f>IF(AF$2&lt;=AnalysisPeriod,IF(SUM($C654:AF654)&gt;0,AE369+1,0),0)</f>
        <v>0</v>
      </c>
      <c r="AG369" s="169">
        <f>IF(AG$2&lt;=AnalysisPeriod,IF(SUM($C654:AG654)&gt;0,AF369+1,0),0)</f>
        <v>0</v>
      </c>
      <c r="AH369" s="169">
        <f>IF(AH$2&lt;=AnalysisPeriod,IF(SUM($C654:AH654)&gt;0,AG369+1,0),0)</f>
        <v>0</v>
      </c>
      <c r="AI369" s="169">
        <f>IF(AI$2&lt;=AnalysisPeriod,IF(SUM($C654:AI654)&gt;0,AH369+1,0),0)</f>
        <v>0</v>
      </c>
      <c r="AJ369" s="169">
        <f>IF(AJ$2&lt;=AnalysisPeriod,IF(SUM($C654:AJ654)&gt;0,AI369+1,0),0)</f>
        <v>0</v>
      </c>
      <c r="AK369" s="169">
        <f>IF(AK$2&lt;=AnalysisPeriod,IF(SUM($C654:AK654)&gt;0,AJ369+1,0),0)</f>
        <v>0</v>
      </c>
      <c r="AL369" s="169">
        <f>IF(AL$2&lt;=AnalysisPeriod,IF(SUM($C654:AL654)&gt;0,AK369+1,0),0)</f>
        <v>0</v>
      </c>
      <c r="AM369" s="169">
        <f>IF(AM$2&lt;=AnalysisPeriod,IF(SUM($C654:AM654)&gt;0,AL369+1,0),0)</f>
        <v>0</v>
      </c>
      <c r="AN369" s="169">
        <f>IF(AN$2&lt;=AnalysisPeriod,IF(SUM($C654:AN654)&gt;0,AM369+1,0),0)</f>
        <v>0</v>
      </c>
      <c r="AO369" s="169">
        <f>IF(AO$2&lt;=AnalysisPeriod,IF(SUM($C654:AO654)&gt;0,AN369+1,0),0)</f>
        <v>0</v>
      </c>
      <c r="AP369" s="169">
        <f>IF(AP$2&lt;=AnalysisPeriod,IF(SUM($C654:AP654)&gt;0,AO369+1,0),0)</f>
        <v>0</v>
      </c>
    </row>
    <row r="370" spans="1:42" x14ac:dyDescent="0.2">
      <c r="A370" s="101">
        <f>A369+1</f>
        <v>9</v>
      </c>
      <c r="C370" s="169">
        <f>IF(C$2&lt;=AnalysisPeriod,IF(SUM($C655:C655)&gt;0,B370+1,0),0)</f>
        <v>0</v>
      </c>
      <c r="D370" s="169">
        <f>IF(D$2&lt;=AnalysisPeriod,IF(SUM($C655:D655)&gt;0,C370+1,0),0)</f>
        <v>0</v>
      </c>
      <c r="E370" s="169">
        <f>IF(E$2&lt;=AnalysisPeriod,IF(SUM($C655:E655)&gt;0,D370+1,0),0)</f>
        <v>0</v>
      </c>
      <c r="F370" s="169">
        <f>IF(F$2&lt;=AnalysisPeriod,IF(SUM($C655:F655)&gt;0,E370+1,0),0)</f>
        <v>0</v>
      </c>
      <c r="G370" s="169">
        <f>IF(G$2&lt;=AnalysisPeriod,IF(SUM($C655:G655)&gt;0,F370+1,0),0)</f>
        <v>0</v>
      </c>
      <c r="H370" s="169">
        <f>IF(H$2&lt;=AnalysisPeriod,IF(SUM($C655:H655)&gt;0,G370+1,0),0)</f>
        <v>0</v>
      </c>
      <c r="I370" s="169">
        <f>IF(I$2&lt;=AnalysisPeriod,IF(SUM($C655:I655)&gt;0,H370+1,0),0)</f>
        <v>0</v>
      </c>
      <c r="J370" s="169">
        <f>IF(J$2&lt;=AnalysisPeriod,IF(SUM($C655:J655)&gt;0,I370+1,0),0)</f>
        <v>0</v>
      </c>
      <c r="K370" s="169">
        <f>IF(K$2&lt;=AnalysisPeriod,IF(SUM($C655:K655)&gt;0,J370+1,0),0)</f>
        <v>0</v>
      </c>
      <c r="L370" s="169">
        <f>IF(L$2&lt;=AnalysisPeriod,IF(SUM($C655:L655)&gt;0,K370+1,0),0)</f>
        <v>0</v>
      </c>
      <c r="M370" s="169">
        <f>IF(M$2&lt;=AnalysisPeriod,IF(SUM($C655:M655)&gt;0,L370+1,0),0)</f>
        <v>0</v>
      </c>
      <c r="N370" s="169">
        <f>IF(N$2&lt;=AnalysisPeriod,IF(SUM($C655:N655)&gt;0,M370+1,0),0)</f>
        <v>0</v>
      </c>
      <c r="O370" s="169">
        <f>IF(O$2&lt;=AnalysisPeriod,IF(SUM($C655:O655)&gt;0,N370+1,0),0)</f>
        <v>0</v>
      </c>
      <c r="P370" s="169">
        <f>IF(P$2&lt;=AnalysisPeriod,IF(SUM($C655:P655)&gt;0,O370+1,0),0)</f>
        <v>0</v>
      </c>
      <c r="Q370" s="169">
        <f>IF(Q$2&lt;=AnalysisPeriod,IF(SUM($C655:Q655)&gt;0,P370+1,0),0)</f>
        <v>0</v>
      </c>
      <c r="R370" s="169">
        <f>IF(R$2&lt;=AnalysisPeriod,IF(SUM($C655:R655)&gt;0,Q370+1,0),0)</f>
        <v>0</v>
      </c>
      <c r="S370" s="169">
        <f>IF(S$2&lt;=AnalysisPeriod,IF(SUM($C655:S655)&gt;0,R370+1,0),0)</f>
        <v>0</v>
      </c>
      <c r="T370" s="169">
        <f>IF(T$2&lt;=AnalysisPeriod,IF(SUM($C655:T655)&gt;0,S370+1,0),0)</f>
        <v>0</v>
      </c>
      <c r="U370" s="169">
        <f>IF(U$2&lt;=AnalysisPeriod,IF(SUM($C655:U655)&gt;0,T370+1,0),0)</f>
        <v>0</v>
      </c>
      <c r="V370" s="169">
        <f>IF(V$2&lt;=AnalysisPeriod,IF(SUM($C655:V655)&gt;0,U370+1,0),0)</f>
        <v>0</v>
      </c>
      <c r="W370" s="169">
        <f>IF(W$2&lt;=AnalysisPeriod,IF(SUM($C655:W655)&gt;0,V370+1,0),0)</f>
        <v>0</v>
      </c>
      <c r="X370" s="169">
        <f>IF(X$2&lt;=AnalysisPeriod,IF(SUM($C655:X655)&gt;0,W370+1,0),0)</f>
        <v>0</v>
      </c>
      <c r="Y370" s="169">
        <f>IF(Y$2&lt;=AnalysisPeriod,IF(SUM($C655:Y655)&gt;0,X370+1,0),0)</f>
        <v>0</v>
      </c>
      <c r="Z370" s="169">
        <f>IF(Z$2&lt;=AnalysisPeriod,IF(SUM($C655:Z655)&gt;0,Y370+1,0),0)</f>
        <v>0</v>
      </c>
      <c r="AA370" s="169">
        <f>IF(AA$2&lt;=AnalysisPeriod,IF(SUM($C655:AA655)&gt;0,Z370+1,0),0)</f>
        <v>0</v>
      </c>
      <c r="AB370" s="169">
        <f>IF(AB$2&lt;=AnalysisPeriod,IF(SUM($C655:AB655)&gt;0,AA370+1,0),0)</f>
        <v>0</v>
      </c>
      <c r="AC370" s="169">
        <f>IF(AC$2&lt;=AnalysisPeriod,IF(SUM($C655:AC655)&gt;0,AB370+1,0),0)</f>
        <v>0</v>
      </c>
      <c r="AD370" s="169">
        <f>IF(AD$2&lt;=AnalysisPeriod,IF(SUM($C655:AD655)&gt;0,AC370+1,0),0)</f>
        <v>0</v>
      </c>
      <c r="AE370" s="169">
        <f>IF(AE$2&lt;=AnalysisPeriod,IF(SUM($C655:AE655)&gt;0,AD370+1,0),0)</f>
        <v>0</v>
      </c>
      <c r="AF370" s="169">
        <f>IF(AF$2&lt;=AnalysisPeriod,IF(SUM($C655:AF655)&gt;0,AE370+1,0),0)</f>
        <v>0</v>
      </c>
      <c r="AG370" s="169">
        <f>IF(AG$2&lt;=AnalysisPeriod,IF(SUM($C655:AG655)&gt;0,AF370+1,0),0)</f>
        <v>0</v>
      </c>
      <c r="AH370" s="169">
        <f>IF(AH$2&lt;=AnalysisPeriod,IF(SUM($C655:AH655)&gt;0,AG370+1,0),0)</f>
        <v>0</v>
      </c>
      <c r="AI370" s="169">
        <f>IF(AI$2&lt;=AnalysisPeriod,IF(SUM($C655:AI655)&gt;0,AH370+1,0),0)</f>
        <v>0</v>
      </c>
      <c r="AJ370" s="169">
        <f>IF(AJ$2&lt;=AnalysisPeriod,IF(SUM($C655:AJ655)&gt;0,AI370+1,0),0)</f>
        <v>0</v>
      </c>
      <c r="AK370" s="169">
        <f>IF(AK$2&lt;=AnalysisPeriod,IF(SUM($C655:AK655)&gt;0,AJ370+1,0),0)</f>
        <v>0</v>
      </c>
      <c r="AL370" s="169">
        <f>IF(AL$2&lt;=AnalysisPeriod,IF(SUM($C655:AL655)&gt;0,AK370+1,0),0)</f>
        <v>0</v>
      </c>
      <c r="AM370" s="169">
        <f>IF(AM$2&lt;=AnalysisPeriod,IF(SUM($C655:AM655)&gt;0,AL370+1,0),0)</f>
        <v>0</v>
      </c>
      <c r="AN370" s="169">
        <f>IF(AN$2&lt;=AnalysisPeriod,IF(SUM($C655:AN655)&gt;0,AM370+1,0),0)</f>
        <v>0</v>
      </c>
      <c r="AO370" s="169">
        <f>IF(AO$2&lt;=AnalysisPeriod,IF(SUM($C655:AO655)&gt;0,AN370+1,0),0)</f>
        <v>0</v>
      </c>
      <c r="AP370" s="169">
        <f>IF(AP$2&lt;=AnalysisPeriod,IF(SUM($C655:AP655)&gt;0,AO370+1,0),0)</f>
        <v>0</v>
      </c>
    </row>
    <row r="371" spans="1:42" x14ac:dyDescent="0.2">
      <c r="A371" s="101">
        <f t="shared" si="181"/>
        <v>10</v>
      </c>
      <c r="C371" s="169">
        <f>IF(C$2&lt;=AnalysisPeriod,IF(SUM($C656:C656)&gt;0,B371+1,0),0)</f>
        <v>0</v>
      </c>
      <c r="D371" s="169">
        <f>IF(D$2&lt;=AnalysisPeriod,IF(SUM($C656:D656)&gt;0,C371+1,0),0)</f>
        <v>0</v>
      </c>
      <c r="E371" s="169">
        <f>IF(E$2&lt;=AnalysisPeriod,IF(SUM($C656:E656)&gt;0,D371+1,0),0)</f>
        <v>0</v>
      </c>
      <c r="F371" s="169">
        <f>IF(F$2&lt;=AnalysisPeriod,IF(SUM($C656:F656)&gt;0,E371+1,0),0)</f>
        <v>0</v>
      </c>
      <c r="G371" s="169">
        <f>IF(G$2&lt;=AnalysisPeriod,IF(SUM($C656:G656)&gt;0,F371+1,0),0)</f>
        <v>0</v>
      </c>
      <c r="H371" s="169">
        <f>IF(H$2&lt;=AnalysisPeriod,IF(SUM($C656:H656)&gt;0,G371+1,0),0)</f>
        <v>0</v>
      </c>
      <c r="I371" s="169">
        <f>IF(I$2&lt;=AnalysisPeriod,IF(SUM($C656:I656)&gt;0,H371+1,0),0)</f>
        <v>0</v>
      </c>
      <c r="J371" s="169">
        <f>IF(J$2&lt;=AnalysisPeriod,IF(SUM($C656:J656)&gt;0,I371+1,0),0)</f>
        <v>0</v>
      </c>
      <c r="K371" s="169">
        <f>IF(K$2&lt;=AnalysisPeriod,IF(SUM($C656:K656)&gt;0,J371+1,0),0)</f>
        <v>0</v>
      </c>
      <c r="L371" s="169">
        <f>IF(L$2&lt;=AnalysisPeriod,IF(SUM($C656:L656)&gt;0,K371+1,0),0)</f>
        <v>0</v>
      </c>
      <c r="M371" s="169">
        <f>IF(M$2&lt;=AnalysisPeriod,IF(SUM($C656:M656)&gt;0,L371+1,0),0)</f>
        <v>0</v>
      </c>
      <c r="N371" s="169">
        <f>IF(N$2&lt;=AnalysisPeriod,IF(SUM($C656:N656)&gt;0,M371+1,0),0)</f>
        <v>0</v>
      </c>
      <c r="O371" s="169">
        <f>IF(O$2&lt;=AnalysisPeriod,IF(SUM($C656:O656)&gt;0,N371+1,0),0)</f>
        <v>0</v>
      </c>
      <c r="P371" s="169">
        <f>IF(P$2&lt;=AnalysisPeriod,IF(SUM($C656:P656)&gt;0,O371+1,0),0)</f>
        <v>0</v>
      </c>
      <c r="Q371" s="169">
        <f>IF(Q$2&lt;=AnalysisPeriod,IF(SUM($C656:Q656)&gt;0,P371+1,0),0)</f>
        <v>0</v>
      </c>
      <c r="R371" s="169">
        <f>IF(R$2&lt;=AnalysisPeriod,IF(SUM($C656:R656)&gt;0,Q371+1,0),0)</f>
        <v>0</v>
      </c>
      <c r="S371" s="169">
        <f>IF(S$2&lt;=AnalysisPeriod,IF(SUM($C656:S656)&gt;0,R371+1,0),0)</f>
        <v>0</v>
      </c>
      <c r="T371" s="169">
        <f>IF(T$2&lt;=AnalysisPeriod,IF(SUM($C656:T656)&gt;0,S371+1,0),0)</f>
        <v>0</v>
      </c>
      <c r="U371" s="169">
        <f>IF(U$2&lt;=AnalysisPeriod,IF(SUM($C656:U656)&gt;0,T371+1,0),0)</f>
        <v>0</v>
      </c>
      <c r="V371" s="169">
        <f>IF(V$2&lt;=AnalysisPeriod,IF(SUM($C656:V656)&gt;0,U371+1,0),0)</f>
        <v>0</v>
      </c>
      <c r="W371" s="169">
        <f>IF(W$2&lt;=AnalysisPeriod,IF(SUM($C656:W656)&gt;0,V371+1,0),0)</f>
        <v>0</v>
      </c>
      <c r="X371" s="169">
        <f>IF(X$2&lt;=AnalysisPeriod,IF(SUM($C656:X656)&gt;0,W371+1,0),0)</f>
        <v>0</v>
      </c>
      <c r="Y371" s="169">
        <f>IF(Y$2&lt;=AnalysisPeriod,IF(SUM($C656:Y656)&gt;0,X371+1,0),0)</f>
        <v>0</v>
      </c>
      <c r="Z371" s="169">
        <f>IF(Z$2&lt;=AnalysisPeriod,IF(SUM($C656:Z656)&gt;0,Y371+1,0),0)</f>
        <v>0</v>
      </c>
      <c r="AA371" s="169">
        <f>IF(AA$2&lt;=AnalysisPeriod,IF(SUM($C656:AA656)&gt;0,Z371+1,0),0)</f>
        <v>0</v>
      </c>
      <c r="AB371" s="169">
        <f>IF(AB$2&lt;=AnalysisPeriod,IF(SUM($C656:AB656)&gt;0,AA371+1,0),0)</f>
        <v>0</v>
      </c>
      <c r="AC371" s="169">
        <f>IF(AC$2&lt;=AnalysisPeriod,IF(SUM($C656:AC656)&gt;0,AB371+1,0),0)</f>
        <v>0</v>
      </c>
      <c r="AD371" s="169">
        <f>IF(AD$2&lt;=AnalysisPeriod,IF(SUM($C656:AD656)&gt;0,AC371+1,0),0)</f>
        <v>0</v>
      </c>
      <c r="AE371" s="169">
        <f>IF(AE$2&lt;=AnalysisPeriod,IF(SUM($C656:AE656)&gt;0,AD371+1,0),0)</f>
        <v>0</v>
      </c>
      <c r="AF371" s="169">
        <f>IF(AF$2&lt;=AnalysisPeriod,IF(SUM($C656:AF656)&gt;0,AE371+1,0),0)</f>
        <v>0</v>
      </c>
      <c r="AG371" s="169">
        <f>IF(AG$2&lt;=AnalysisPeriod,IF(SUM($C656:AG656)&gt;0,AF371+1,0),0)</f>
        <v>0</v>
      </c>
      <c r="AH371" s="169">
        <f>IF(AH$2&lt;=AnalysisPeriod,IF(SUM($C656:AH656)&gt;0,AG371+1,0),0)</f>
        <v>0</v>
      </c>
      <c r="AI371" s="169">
        <f>IF(AI$2&lt;=AnalysisPeriod,IF(SUM($C656:AI656)&gt;0,AH371+1,0),0)</f>
        <v>0</v>
      </c>
      <c r="AJ371" s="169">
        <f>IF(AJ$2&lt;=AnalysisPeriod,IF(SUM($C656:AJ656)&gt;0,AI371+1,0),0)</f>
        <v>0</v>
      </c>
      <c r="AK371" s="169">
        <f>IF(AK$2&lt;=AnalysisPeriod,IF(SUM($C656:AK656)&gt;0,AJ371+1,0),0)</f>
        <v>0</v>
      </c>
      <c r="AL371" s="169">
        <f>IF(AL$2&lt;=AnalysisPeriod,IF(SUM($C656:AL656)&gt;0,AK371+1,0),0)</f>
        <v>0</v>
      </c>
      <c r="AM371" s="169">
        <f>IF(AM$2&lt;=AnalysisPeriod,IF(SUM($C656:AM656)&gt;0,AL371+1,0),0)</f>
        <v>0</v>
      </c>
      <c r="AN371" s="169">
        <f>IF(AN$2&lt;=AnalysisPeriod,IF(SUM($C656:AN656)&gt;0,AM371+1,0),0)</f>
        <v>0</v>
      </c>
      <c r="AO371" s="169">
        <f>IF(AO$2&lt;=AnalysisPeriod,IF(SUM($C656:AO656)&gt;0,AN371+1,0),0)</f>
        <v>0</v>
      </c>
      <c r="AP371" s="169">
        <f>IF(AP$2&lt;=AnalysisPeriod,IF(SUM($C656:AP656)&gt;0,AO371+1,0),0)</f>
        <v>0</v>
      </c>
    </row>
    <row r="372" spans="1:42" x14ac:dyDescent="0.2">
      <c r="A372" s="187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</row>
    <row r="373" spans="1:42" x14ac:dyDescent="0.2">
      <c r="A373" s="187" t="s">
        <v>196</v>
      </c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</row>
    <row r="374" spans="1:42" x14ac:dyDescent="0.2">
      <c r="A374" s="101">
        <v>1</v>
      </c>
      <c r="B374" s="179">
        <f t="shared" ref="B374:B383" si="182">SUM(C374:AP374)</f>
        <v>0</v>
      </c>
      <c r="C374" s="208">
        <f t="shared" ref="C374:AP374" si="183">LOOKUP(C362,$B$332:$AP$332,$B$333:$AP$333)*$B647</f>
        <v>0</v>
      </c>
      <c r="D374" s="169">
        <f t="shared" si="183"/>
        <v>0</v>
      </c>
      <c r="E374" s="169">
        <f t="shared" si="183"/>
        <v>0</v>
      </c>
      <c r="F374" s="169">
        <f t="shared" si="183"/>
        <v>0</v>
      </c>
      <c r="G374" s="169">
        <f t="shared" si="183"/>
        <v>0</v>
      </c>
      <c r="H374" s="169">
        <f t="shared" si="183"/>
        <v>0</v>
      </c>
      <c r="I374" s="169">
        <f t="shared" si="183"/>
        <v>0</v>
      </c>
      <c r="J374" s="169">
        <f t="shared" si="183"/>
        <v>0</v>
      </c>
      <c r="K374" s="169">
        <f t="shared" si="183"/>
        <v>0</v>
      </c>
      <c r="L374" s="169">
        <f t="shared" si="183"/>
        <v>0</v>
      </c>
      <c r="M374" s="169">
        <f t="shared" si="183"/>
        <v>0</v>
      </c>
      <c r="N374" s="169">
        <f t="shared" si="183"/>
        <v>0</v>
      </c>
      <c r="O374" s="169">
        <f t="shared" si="183"/>
        <v>0</v>
      </c>
      <c r="P374" s="169">
        <f t="shared" si="183"/>
        <v>0</v>
      </c>
      <c r="Q374" s="169">
        <f t="shared" si="183"/>
        <v>0</v>
      </c>
      <c r="R374" s="169">
        <f t="shared" si="183"/>
        <v>0</v>
      </c>
      <c r="S374" s="169">
        <f t="shared" si="183"/>
        <v>0</v>
      </c>
      <c r="T374" s="169">
        <f t="shared" si="183"/>
        <v>0</v>
      </c>
      <c r="U374" s="169">
        <f t="shared" si="183"/>
        <v>0</v>
      </c>
      <c r="V374" s="169">
        <f t="shared" si="183"/>
        <v>0</v>
      </c>
      <c r="W374" s="169">
        <f t="shared" si="183"/>
        <v>0</v>
      </c>
      <c r="X374" s="169">
        <f t="shared" si="183"/>
        <v>0</v>
      </c>
      <c r="Y374" s="169">
        <f t="shared" si="183"/>
        <v>0</v>
      </c>
      <c r="Z374" s="169">
        <f t="shared" si="183"/>
        <v>0</v>
      </c>
      <c r="AA374" s="169">
        <f t="shared" si="183"/>
        <v>0</v>
      </c>
      <c r="AB374" s="169">
        <f t="shared" si="183"/>
        <v>0</v>
      </c>
      <c r="AC374" s="169">
        <f t="shared" si="183"/>
        <v>0</v>
      </c>
      <c r="AD374" s="169">
        <f t="shared" si="183"/>
        <v>0</v>
      </c>
      <c r="AE374" s="169">
        <f t="shared" si="183"/>
        <v>0</v>
      </c>
      <c r="AF374" s="169">
        <f t="shared" si="183"/>
        <v>0</v>
      </c>
      <c r="AG374" s="169">
        <f t="shared" si="183"/>
        <v>0</v>
      </c>
      <c r="AH374" s="169">
        <f t="shared" si="183"/>
        <v>0</v>
      </c>
      <c r="AI374" s="169">
        <f t="shared" si="183"/>
        <v>0</v>
      </c>
      <c r="AJ374" s="169">
        <f t="shared" si="183"/>
        <v>0</v>
      </c>
      <c r="AK374" s="169">
        <f t="shared" si="183"/>
        <v>0</v>
      </c>
      <c r="AL374" s="169">
        <f t="shared" si="183"/>
        <v>0</v>
      </c>
      <c r="AM374" s="169">
        <f t="shared" si="183"/>
        <v>0</v>
      </c>
      <c r="AN374" s="169">
        <f t="shared" si="183"/>
        <v>0</v>
      </c>
      <c r="AO374" s="169">
        <f t="shared" si="183"/>
        <v>0</v>
      </c>
      <c r="AP374" s="169">
        <f t="shared" si="183"/>
        <v>0</v>
      </c>
    </row>
    <row r="375" spans="1:42" x14ac:dyDescent="0.2">
      <c r="A375" s="101">
        <f>A374+1</f>
        <v>2</v>
      </c>
      <c r="B375" s="179">
        <f t="shared" si="182"/>
        <v>0</v>
      </c>
      <c r="C375" s="208">
        <f t="shared" ref="C375:AP375" si="184">LOOKUP(C363,$B$332:$AP$332,$B$333:$AP$333)*$B648</f>
        <v>0</v>
      </c>
      <c r="D375" s="169">
        <f t="shared" si="184"/>
        <v>0</v>
      </c>
      <c r="E375" s="169">
        <f t="shared" si="184"/>
        <v>0</v>
      </c>
      <c r="F375" s="169">
        <f t="shared" si="184"/>
        <v>0</v>
      </c>
      <c r="G375" s="169">
        <f t="shared" si="184"/>
        <v>0</v>
      </c>
      <c r="H375" s="169">
        <f t="shared" si="184"/>
        <v>0</v>
      </c>
      <c r="I375" s="169">
        <f t="shared" si="184"/>
        <v>0</v>
      </c>
      <c r="J375" s="169">
        <f t="shared" si="184"/>
        <v>0</v>
      </c>
      <c r="K375" s="169">
        <f t="shared" si="184"/>
        <v>0</v>
      </c>
      <c r="L375" s="169">
        <f t="shared" si="184"/>
        <v>0</v>
      </c>
      <c r="M375" s="169">
        <f t="shared" si="184"/>
        <v>0</v>
      </c>
      <c r="N375" s="169">
        <f t="shared" si="184"/>
        <v>0</v>
      </c>
      <c r="O375" s="169">
        <f t="shared" si="184"/>
        <v>0</v>
      </c>
      <c r="P375" s="169">
        <f t="shared" si="184"/>
        <v>0</v>
      </c>
      <c r="Q375" s="169">
        <f t="shared" si="184"/>
        <v>0</v>
      </c>
      <c r="R375" s="169">
        <f t="shared" si="184"/>
        <v>0</v>
      </c>
      <c r="S375" s="169">
        <f t="shared" si="184"/>
        <v>0</v>
      </c>
      <c r="T375" s="169">
        <f t="shared" si="184"/>
        <v>0</v>
      </c>
      <c r="U375" s="169">
        <f t="shared" si="184"/>
        <v>0</v>
      </c>
      <c r="V375" s="169">
        <f t="shared" si="184"/>
        <v>0</v>
      </c>
      <c r="W375" s="169">
        <f t="shared" si="184"/>
        <v>0</v>
      </c>
      <c r="X375" s="169">
        <f t="shared" si="184"/>
        <v>0</v>
      </c>
      <c r="Y375" s="169">
        <f t="shared" si="184"/>
        <v>0</v>
      </c>
      <c r="Z375" s="169">
        <f t="shared" si="184"/>
        <v>0</v>
      </c>
      <c r="AA375" s="169">
        <f t="shared" si="184"/>
        <v>0</v>
      </c>
      <c r="AB375" s="169">
        <f t="shared" si="184"/>
        <v>0</v>
      </c>
      <c r="AC375" s="169">
        <f t="shared" si="184"/>
        <v>0</v>
      </c>
      <c r="AD375" s="169">
        <f t="shared" si="184"/>
        <v>0</v>
      </c>
      <c r="AE375" s="169">
        <f t="shared" si="184"/>
        <v>0</v>
      </c>
      <c r="AF375" s="169">
        <f t="shared" si="184"/>
        <v>0</v>
      </c>
      <c r="AG375" s="169">
        <f t="shared" si="184"/>
        <v>0</v>
      </c>
      <c r="AH375" s="169">
        <f t="shared" si="184"/>
        <v>0</v>
      </c>
      <c r="AI375" s="169">
        <f t="shared" si="184"/>
        <v>0</v>
      </c>
      <c r="AJ375" s="169">
        <f t="shared" si="184"/>
        <v>0</v>
      </c>
      <c r="AK375" s="169">
        <f t="shared" si="184"/>
        <v>0</v>
      </c>
      <c r="AL375" s="169">
        <f t="shared" si="184"/>
        <v>0</v>
      </c>
      <c r="AM375" s="169">
        <f t="shared" si="184"/>
        <v>0</v>
      </c>
      <c r="AN375" s="169">
        <f t="shared" si="184"/>
        <v>0</v>
      </c>
      <c r="AO375" s="169">
        <f t="shared" si="184"/>
        <v>0</v>
      </c>
      <c r="AP375" s="169">
        <f t="shared" si="184"/>
        <v>0</v>
      </c>
    </row>
    <row r="376" spans="1:42" x14ac:dyDescent="0.2">
      <c r="A376" s="101">
        <f t="shared" ref="A376:A383" si="185">A375+1</f>
        <v>3</v>
      </c>
      <c r="B376" s="179">
        <f t="shared" si="182"/>
        <v>0</v>
      </c>
      <c r="C376" s="208">
        <f t="shared" ref="C376:AP376" si="186">LOOKUP(C364,$B$332:$AP$332,$B$333:$AP$333)*$B649</f>
        <v>0</v>
      </c>
      <c r="D376" s="169">
        <f t="shared" si="186"/>
        <v>0</v>
      </c>
      <c r="E376" s="169">
        <f t="shared" si="186"/>
        <v>0</v>
      </c>
      <c r="F376" s="169">
        <f t="shared" si="186"/>
        <v>0</v>
      </c>
      <c r="G376" s="169">
        <f t="shared" si="186"/>
        <v>0</v>
      </c>
      <c r="H376" s="169">
        <f t="shared" si="186"/>
        <v>0</v>
      </c>
      <c r="I376" s="169">
        <f t="shared" si="186"/>
        <v>0</v>
      </c>
      <c r="J376" s="169">
        <f t="shared" si="186"/>
        <v>0</v>
      </c>
      <c r="K376" s="169">
        <f t="shared" si="186"/>
        <v>0</v>
      </c>
      <c r="L376" s="169">
        <f t="shared" si="186"/>
        <v>0</v>
      </c>
      <c r="M376" s="169">
        <f t="shared" si="186"/>
        <v>0</v>
      </c>
      <c r="N376" s="169">
        <f t="shared" si="186"/>
        <v>0</v>
      </c>
      <c r="O376" s="169">
        <f t="shared" si="186"/>
        <v>0</v>
      </c>
      <c r="P376" s="169">
        <f t="shared" si="186"/>
        <v>0</v>
      </c>
      <c r="Q376" s="169">
        <f t="shared" si="186"/>
        <v>0</v>
      </c>
      <c r="R376" s="169">
        <f t="shared" si="186"/>
        <v>0</v>
      </c>
      <c r="S376" s="169">
        <f t="shared" si="186"/>
        <v>0</v>
      </c>
      <c r="T376" s="169">
        <f t="shared" si="186"/>
        <v>0</v>
      </c>
      <c r="U376" s="169">
        <f t="shared" si="186"/>
        <v>0</v>
      </c>
      <c r="V376" s="169">
        <f t="shared" si="186"/>
        <v>0</v>
      </c>
      <c r="W376" s="169">
        <f t="shared" si="186"/>
        <v>0</v>
      </c>
      <c r="X376" s="169">
        <f t="shared" si="186"/>
        <v>0</v>
      </c>
      <c r="Y376" s="169">
        <f t="shared" si="186"/>
        <v>0</v>
      </c>
      <c r="Z376" s="169">
        <f t="shared" si="186"/>
        <v>0</v>
      </c>
      <c r="AA376" s="169">
        <f t="shared" si="186"/>
        <v>0</v>
      </c>
      <c r="AB376" s="169">
        <f t="shared" si="186"/>
        <v>0</v>
      </c>
      <c r="AC376" s="169">
        <f t="shared" si="186"/>
        <v>0</v>
      </c>
      <c r="AD376" s="169">
        <f t="shared" si="186"/>
        <v>0</v>
      </c>
      <c r="AE376" s="169">
        <f t="shared" si="186"/>
        <v>0</v>
      </c>
      <c r="AF376" s="169">
        <f t="shared" si="186"/>
        <v>0</v>
      </c>
      <c r="AG376" s="169">
        <f t="shared" si="186"/>
        <v>0</v>
      </c>
      <c r="AH376" s="169">
        <f t="shared" si="186"/>
        <v>0</v>
      </c>
      <c r="AI376" s="169">
        <f t="shared" si="186"/>
        <v>0</v>
      </c>
      <c r="AJ376" s="169">
        <f t="shared" si="186"/>
        <v>0</v>
      </c>
      <c r="AK376" s="169">
        <f t="shared" si="186"/>
        <v>0</v>
      </c>
      <c r="AL376" s="169">
        <f t="shared" si="186"/>
        <v>0</v>
      </c>
      <c r="AM376" s="169">
        <f t="shared" si="186"/>
        <v>0</v>
      </c>
      <c r="AN376" s="169">
        <f t="shared" si="186"/>
        <v>0</v>
      </c>
      <c r="AO376" s="169">
        <f t="shared" si="186"/>
        <v>0</v>
      </c>
      <c r="AP376" s="169">
        <f t="shared" si="186"/>
        <v>0</v>
      </c>
    </row>
    <row r="377" spans="1:42" x14ac:dyDescent="0.2">
      <c r="A377" s="101">
        <f t="shared" si="185"/>
        <v>4</v>
      </c>
      <c r="B377" s="179">
        <f t="shared" si="182"/>
        <v>0</v>
      </c>
      <c r="C377" s="208">
        <f t="shared" ref="C377:AP377" si="187">LOOKUP(C365,$B$332:$AP$332,$B$333:$AP$333)*$B650</f>
        <v>0</v>
      </c>
      <c r="D377" s="169">
        <f t="shared" si="187"/>
        <v>0</v>
      </c>
      <c r="E377" s="169">
        <f t="shared" si="187"/>
        <v>0</v>
      </c>
      <c r="F377" s="169">
        <f t="shared" si="187"/>
        <v>0</v>
      </c>
      <c r="G377" s="169">
        <f t="shared" si="187"/>
        <v>0</v>
      </c>
      <c r="H377" s="169">
        <f t="shared" si="187"/>
        <v>0</v>
      </c>
      <c r="I377" s="169">
        <f t="shared" si="187"/>
        <v>0</v>
      </c>
      <c r="J377" s="169">
        <f t="shared" si="187"/>
        <v>0</v>
      </c>
      <c r="K377" s="169">
        <f t="shared" si="187"/>
        <v>0</v>
      </c>
      <c r="L377" s="169">
        <f t="shared" si="187"/>
        <v>0</v>
      </c>
      <c r="M377" s="169">
        <f t="shared" si="187"/>
        <v>0</v>
      </c>
      <c r="N377" s="169">
        <f t="shared" si="187"/>
        <v>0</v>
      </c>
      <c r="O377" s="169">
        <f t="shared" si="187"/>
        <v>0</v>
      </c>
      <c r="P377" s="169">
        <f t="shared" si="187"/>
        <v>0</v>
      </c>
      <c r="Q377" s="169">
        <f t="shared" si="187"/>
        <v>0</v>
      </c>
      <c r="R377" s="169">
        <f t="shared" si="187"/>
        <v>0</v>
      </c>
      <c r="S377" s="169">
        <f t="shared" si="187"/>
        <v>0</v>
      </c>
      <c r="T377" s="169">
        <f t="shared" si="187"/>
        <v>0</v>
      </c>
      <c r="U377" s="169">
        <f t="shared" si="187"/>
        <v>0</v>
      </c>
      <c r="V377" s="169">
        <f t="shared" si="187"/>
        <v>0</v>
      </c>
      <c r="W377" s="169">
        <f t="shared" si="187"/>
        <v>0</v>
      </c>
      <c r="X377" s="169">
        <f t="shared" si="187"/>
        <v>0</v>
      </c>
      <c r="Y377" s="169">
        <f t="shared" si="187"/>
        <v>0</v>
      </c>
      <c r="Z377" s="169">
        <f t="shared" si="187"/>
        <v>0</v>
      </c>
      <c r="AA377" s="169">
        <f t="shared" si="187"/>
        <v>0</v>
      </c>
      <c r="AB377" s="169">
        <f t="shared" si="187"/>
        <v>0</v>
      </c>
      <c r="AC377" s="169">
        <f t="shared" si="187"/>
        <v>0</v>
      </c>
      <c r="AD377" s="169">
        <f t="shared" si="187"/>
        <v>0</v>
      </c>
      <c r="AE377" s="169">
        <f t="shared" si="187"/>
        <v>0</v>
      </c>
      <c r="AF377" s="169">
        <f t="shared" si="187"/>
        <v>0</v>
      </c>
      <c r="AG377" s="169">
        <f t="shared" si="187"/>
        <v>0</v>
      </c>
      <c r="AH377" s="169">
        <f t="shared" si="187"/>
        <v>0</v>
      </c>
      <c r="AI377" s="169">
        <f t="shared" si="187"/>
        <v>0</v>
      </c>
      <c r="AJ377" s="169">
        <f t="shared" si="187"/>
        <v>0</v>
      </c>
      <c r="AK377" s="169">
        <f t="shared" si="187"/>
        <v>0</v>
      </c>
      <c r="AL377" s="169">
        <f t="shared" si="187"/>
        <v>0</v>
      </c>
      <c r="AM377" s="169">
        <f t="shared" si="187"/>
        <v>0</v>
      </c>
      <c r="AN377" s="169">
        <f t="shared" si="187"/>
        <v>0</v>
      </c>
      <c r="AO377" s="169">
        <f t="shared" si="187"/>
        <v>0</v>
      </c>
      <c r="AP377" s="169">
        <f t="shared" si="187"/>
        <v>0</v>
      </c>
    </row>
    <row r="378" spans="1:42" x14ac:dyDescent="0.2">
      <c r="A378" s="101">
        <f t="shared" si="185"/>
        <v>5</v>
      </c>
      <c r="B378" s="179">
        <f t="shared" si="182"/>
        <v>0</v>
      </c>
      <c r="C378" s="208">
        <f t="shared" ref="C378:AP378" si="188">LOOKUP(C366,$B$332:$AP$332,$B$333:$AP$333)*$B651</f>
        <v>0</v>
      </c>
      <c r="D378" s="169">
        <f t="shared" si="188"/>
        <v>0</v>
      </c>
      <c r="E378" s="169">
        <f t="shared" si="188"/>
        <v>0</v>
      </c>
      <c r="F378" s="169">
        <f t="shared" si="188"/>
        <v>0</v>
      </c>
      <c r="G378" s="169">
        <f t="shared" si="188"/>
        <v>0</v>
      </c>
      <c r="H378" s="169">
        <f t="shared" si="188"/>
        <v>0</v>
      </c>
      <c r="I378" s="169">
        <f t="shared" si="188"/>
        <v>0</v>
      </c>
      <c r="J378" s="169">
        <f t="shared" si="188"/>
        <v>0</v>
      </c>
      <c r="K378" s="169">
        <f t="shared" si="188"/>
        <v>0</v>
      </c>
      <c r="L378" s="169">
        <f t="shared" si="188"/>
        <v>0</v>
      </c>
      <c r="M378" s="169">
        <f t="shared" si="188"/>
        <v>0</v>
      </c>
      <c r="N378" s="169">
        <f t="shared" si="188"/>
        <v>0</v>
      </c>
      <c r="O378" s="169">
        <f t="shared" si="188"/>
        <v>0</v>
      </c>
      <c r="P378" s="169">
        <f t="shared" si="188"/>
        <v>0</v>
      </c>
      <c r="Q378" s="169">
        <f t="shared" si="188"/>
        <v>0</v>
      </c>
      <c r="R378" s="169">
        <f t="shared" si="188"/>
        <v>0</v>
      </c>
      <c r="S378" s="169">
        <f t="shared" si="188"/>
        <v>0</v>
      </c>
      <c r="T378" s="169">
        <f t="shared" si="188"/>
        <v>0</v>
      </c>
      <c r="U378" s="169">
        <f t="shared" si="188"/>
        <v>0</v>
      </c>
      <c r="V378" s="169">
        <f t="shared" si="188"/>
        <v>0</v>
      </c>
      <c r="W378" s="169">
        <f t="shared" si="188"/>
        <v>0</v>
      </c>
      <c r="X378" s="169">
        <f t="shared" si="188"/>
        <v>0</v>
      </c>
      <c r="Y378" s="169">
        <f t="shared" si="188"/>
        <v>0</v>
      </c>
      <c r="Z378" s="169">
        <f t="shared" si="188"/>
        <v>0</v>
      </c>
      <c r="AA378" s="169">
        <f t="shared" si="188"/>
        <v>0</v>
      </c>
      <c r="AB378" s="169">
        <f t="shared" si="188"/>
        <v>0</v>
      </c>
      <c r="AC378" s="169">
        <f t="shared" si="188"/>
        <v>0</v>
      </c>
      <c r="AD378" s="169">
        <f t="shared" si="188"/>
        <v>0</v>
      </c>
      <c r="AE378" s="169">
        <f t="shared" si="188"/>
        <v>0</v>
      </c>
      <c r="AF378" s="169">
        <f t="shared" si="188"/>
        <v>0</v>
      </c>
      <c r="AG378" s="169">
        <f t="shared" si="188"/>
        <v>0</v>
      </c>
      <c r="AH378" s="169">
        <f t="shared" si="188"/>
        <v>0</v>
      </c>
      <c r="AI378" s="169">
        <f t="shared" si="188"/>
        <v>0</v>
      </c>
      <c r="AJ378" s="169">
        <f t="shared" si="188"/>
        <v>0</v>
      </c>
      <c r="AK378" s="169">
        <f t="shared" si="188"/>
        <v>0</v>
      </c>
      <c r="AL378" s="169">
        <f t="shared" si="188"/>
        <v>0</v>
      </c>
      <c r="AM378" s="169">
        <f t="shared" si="188"/>
        <v>0</v>
      </c>
      <c r="AN378" s="169">
        <f t="shared" si="188"/>
        <v>0</v>
      </c>
      <c r="AO378" s="169">
        <f t="shared" si="188"/>
        <v>0</v>
      </c>
      <c r="AP378" s="169">
        <f t="shared" si="188"/>
        <v>0</v>
      </c>
    </row>
    <row r="379" spans="1:42" x14ac:dyDescent="0.2">
      <c r="A379" s="101">
        <f t="shared" si="185"/>
        <v>6</v>
      </c>
      <c r="B379" s="179">
        <f t="shared" si="182"/>
        <v>0</v>
      </c>
      <c r="C379" s="208">
        <f t="shared" ref="C379:AP379" si="189">LOOKUP(C367,$B$332:$AP$332,$B$333:$AP$333)*$B652</f>
        <v>0</v>
      </c>
      <c r="D379" s="169">
        <f t="shared" si="189"/>
        <v>0</v>
      </c>
      <c r="E379" s="169">
        <f t="shared" si="189"/>
        <v>0</v>
      </c>
      <c r="F379" s="169">
        <f t="shared" si="189"/>
        <v>0</v>
      </c>
      <c r="G379" s="169">
        <f t="shared" si="189"/>
        <v>0</v>
      </c>
      <c r="H379" s="169">
        <f t="shared" si="189"/>
        <v>0</v>
      </c>
      <c r="I379" s="169">
        <f t="shared" si="189"/>
        <v>0</v>
      </c>
      <c r="J379" s="169">
        <f t="shared" si="189"/>
        <v>0</v>
      </c>
      <c r="K379" s="169">
        <f t="shared" si="189"/>
        <v>0</v>
      </c>
      <c r="L379" s="169">
        <f t="shared" si="189"/>
        <v>0</v>
      </c>
      <c r="M379" s="169">
        <f t="shared" si="189"/>
        <v>0</v>
      </c>
      <c r="N379" s="169">
        <f t="shared" si="189"/>
        <v>0</v>
      </c>
      <c r="O379" s="169">
        <f t="shared" si="189"/>
        <v>0</v>
      </c>
      <c r="P379" s="169">
        <f t="shared" si="189"/>
        <v>0</v>
      </c>
      <c r="Q379" s="169">
        <f t="shared" si="189"/>
        <v>0</v>
      </c>
      <c r="R379" s="169">
        <f t="shared" si="189"/>
        <v>0</v>
      </c>
      <c r="S379" s="169">
        <f t="shared" si="189"/>
        <v>0</v>
      </c>
      <c r="T379" s="169">
        <f t="shared" si="189"/>
        <v>0</v>
      </c>
      <c r="U379" s="169">
        <f t="shared" si="189"/>
        <v>0</v>
      </c>
      <c r="V379" s="169">
        <f t="shared" si="189"/>
        <v>0</v>
      </c>
      <c r="W379" s="169">
        <f t="shared" si="189"/>
        <v>0</v>
      </c>
      <c r="X379" s="169">
        <f t="shared" si="189"/>
        <v>0</v>
      </c>
      <c r="Y379" s="169">
        <f t="shared" si="189"/>
        <v>0</v>
      </c>
      <c r="Z379" s="169">
        <f t="shared" si="189"/>
        <v>0</v>
      </c>
      <c r="AA379" s="169">
        <f t="shared" si="189"/>
        <v>0</v>
      </c>
      <c r="AB379" s="169">
        <f t="shared" si="189"/>
        <v>0</v>
      </c>
      <c r="AC379" s="169">
        <f t="shared" si="189"/>
        <v>0</v>
      </c>
      <c r="AD379" s="169">
        <f t="shared" si="189"/>
        <v>0</v>
      </c>
      <c r="AE379" s="169">
        <f t="shared" si="189"/>
        <v>0</v>
      </c>
      <c r="AF379" s="169">
        <f t="shared" si="189"/>
        <v>0</v>
      </c>
      <c r="AG379" s="169">
        <f t="shared" si="189"/>
        <v>0</v>
      </c>
      <c r="AH379" s="169">
        <f t="shared" si="189"/>
        <v>0</v>
      </c>
      <c r="AI379" s="169">
        <f t="shared" si="189"/>
        <v>0</v>
      </c>
      <c r="AJ379" s="169">
        <f t="shared" si="189"/>
        <v>0</v>
      </c>
      <c r="AK379" s="169">
        <f t="shared" si="189"/>
        <v>0</v>
      </c>
      <c r="AL379" s="169">
        <f t="shared" si="189"/>
        <v>0</v>
      </c>
      <c r="AM379" s="169">
        <f t="shared" si="189"/>
        <v>0</v>
      </c>
      <c r="AN379" s="169">
        <f t="shared" si="189"/>
        <v>0</v>
      </c>
      <c r="AO379" s="169">
        <f t="shared" si="189"/>
        <v>0</v>
      </c>
      <c r="AP379" s="169">
        <f t="shared" si="189"/>
        <v>0</v>
      </c>
    </row>
    <row r="380" spans="1:42" x14ac:dyDescent="0.2">
      <c r="A380" s="101">
        <f t="shared" si="185"/>
        <v>7</v>
      </c>
      <c r="B380" s="179">
        <f t="shared" si="182"/>
        <v>0</v>
      </c>
      <c r="C380" s="208">
        <f t="shared" ref="C380:AP380" si="190">LOOKUP(C368,$B$332:$AP$332,$B$333:$AP$333)*$B653</f>
        <v>0</v>
      </c>
      <c r="D380" s="169">
        <f t="shared" si="190"/>
        <v>0</v>
      </c>
      <c r="E380" s="169">
        <f t="shared" si="190"/>
        <v>0</v>
      </c>
      <c r="F380" s="169">
        <f t="shared" si="190"/>
        <v>0</v>
      </c>
      <c r="G380" s="169">
        <f t="shared" si="190"/>
        <v>0</v>
      </c>
      <c r="H380" s="169">
        <f t="shared" si="190"/>
        <v>0</v>
      </c>
      <c r="I380" s="169">
        <f t="shared" si="190"/>
        <v>0</v>
      </c>
      <c r="J380" s="169">
        <f t="shared" si="190"/>
        <v>0</v>
      </c>
      <c r="K380" s="169">
        <f t="shared" si="190"/>
        <v>0</v>
      </c>
      <c r="L380" s="169">
        <f t="shared" si="190"/>
        <v>0</v>
      </c>
      <c r="M380" s="169">
        <f t="shared" si="190"/>
        <v>0</v>
      </c>
      <c r="N380" s="169">
        <f t="shared" si="190"/>
        <v>0</v>
      </c>
      <c r="O380" s="169">
        <f t="shared" si="190"/>
        <v>0</v>
      </c>
      <c r="P380" s="169">
        <f t="shared" si="190"/>
        <v>0</v>
      </c>
      <c r="Q380" s="169">
        <f t="shared" si="190"/>
        <v>0</v>
      </c>
      <c r="R380" s="169">
        <f t="shared" si="190"/>
        <v>0</v>
      </c>
      <c r="S380" s="169">
        <f t="shared" si="190"/>
        <v>0</v>
      </c>
      <c r="T380" s="169">
        <f t="shared" si="190"/>
        <v>0</v>
      </c>
      <c r="U380" s="169">
        <f t="shared" si="190"/>
        <v>0</v>
      </c>
      <c r="V380" s="169">
        <f t="shared" si="190"/>
        <v>0</v>
      </c>
      <c r="W380" s="169">
        <f t="shared" si="190"/>
        <v>0</v>
      </c>
      <c r="X380" s="169">
        <f t="shared" si="190"/>
        <v>0</v>
      </c>
      <c r="Y380" s="169">
        <f t="shared" si="190"/>
        <v>0</v>
      </c>
      <c r="Z380" s="169">
        <f t="shared" si="190"/>
        <v>0</v>
      </c>
      <c r="AA380" s="169">
        <f t="shared" si="190"/>
        <v>0</v>
      </c>
      <c r="AB380" s="169">
        <f t="shared" si="190"/>
        <v>0</v>
      </c>
      <c r="AC380" s="169">
        <f t="shared" si="190"/>
        <v>0</v>
      </c>
      <c r="AD380" s="169">
        <f t="shared" si="190"/>
        <v>0</v>
      </c>
      <c r="AE380" s="169">
        <f t="shared" si="190"/>
        <v>0</v>
      </c>
      <c r="AF380" s="169">
        <f t="shared" si="190"/>
        <v>0</v>
      </c>
      <c r="AG380" s="169">
        <f t="shared" si="190"/>
        <v>0</v>
      </c>
      <c r="AH380" s="169">
        <f t="shared" si="190"/>
        <v>0</v>
      </c>
      <c r="AI380" s="169">
        <f t="shared" si="190"/>
        <v>0</v>
      </c>
      <c r="AJ380" s="169">
        <f t="shared" si="190"/>
        <v>0</v>
      </c>
      <c r="AK380" s="169">
        <f t="shared" si="190"/>
        <v>0</v>
      </c>
      <c r="AL380" s="169">
        <f t="shared" si="190"/>
        <v>0</v>
      </c>
      <c r="AM380" s="169">
        <f t="shared" si="190"/>
        <v>0</v>
      </c>
      <c r="AN380" s="169">
        <f t="shared" si="190"/>
        <v>0</v>
      </c>
      <c r="AO380" s="169">
        <f t="shared" si="190"/>
        <v>0</v>
      </c>
      <c r="AP380" s="169">
        <f t="shared" si="190"/>
        <v>0</v>
      </c>
    </row>
    <row r="381" spans="1:42" x14ac:dyDescent="0.2">
      <c r="A381" s="101">
        <f t="shared" si="185"/>
        <v>8</v>
      </c>
      <c r="B381" s="179">
        <f t="shared" si="182"/>
        <v>0</v>
      </c>
      <c r="C381" s="208">
        <f t="shared" ref="C381:AP381" si="191">LOOKUP(C369,$B$332:$AP$332,$B$333:$AP$333)*$B654</f>
        <v>0</v>
      </c>
      <c r="D381" s="169">
        <f t="shared" si="191"/>
        <v>0</v>
      </c>
      <c r="E381" s="169">
        <f t="shared" si="191"/>
        <v>0</v>
      </c>
      <c r="F381" s="169">
        <f t="shared" si="191"/>
        <v>0</v>
      </c>
      <c r="G381" s="169">
        <f t="shared" si="191"/>
        <v>0</v>
      </c>
      <c r="H381" s="169">
        <f t="shared" si="191"/>
        <v>0</v>
      </c>
      <c r="I381" s="169">
        <f t="shared" si="191"/>
        <v>0</v>
      </c>
      <c r="J381" s="169">
        <f t="shared" si="191"/>
        <v>0</v>
      </c>
      <c r="K381" s="169">
        <f t="shared" si="191"/>
        <v>0</v>
      </c>
      <c r="L381" s="169">
        <f t="shared" si="191"/>
        <v>0</v>
      </c>
      <c r="M381" s="169">
        <f t="shared" si="191"/>
        <v>0</v>
      </c>
      <c r="N381" s="169">
        <f t="shared" si="191"/>
        <v>0</v>
      </c>
      <c r="O381" s="169">
        <f t="shared" si="191"/>
        <v>0</v>
      </c>
      <c r="P381" s="169">
        <f t="shared" si="191"/>
        <v>0</v>
      </c>
      <c r="Q381" s="169">
        <f t="shared" si="191"/>
        <v>0</v>
      </c>
      <c r="R381" s="169">
        <f t="shared" si="191"/>
        <v>0</v>
      </c>
      <c r="S381" s="169">
        <f t="shared" si="191"/>
        <v>0</v>
      </c>
      <c r="T381" s="169">
        <f t="shared" si="191"/>
        <v>0</v>
      </c>
      <c r="U381" s="169">
        <f t="shared" si="191"/>
        <v>0</v>
      </c>
      <c r="V381" s="169">
        <f t="shared" si="191"/>
        <v>0</v>
      </c>
      <c r="W381" s="169">
        <f t="shared" si="191"/>
        <v>0</v>
      </c>
      <c r="X381" s="169">
        <f t="shared" si="191"/>
        <v>0</v>
      </c>
      <c r="Y381" s="169">
        <f t="shared" si="191"/>
        <v>0</v>
      </c>
      <c r="Z381" s="169">
        <f t="shared" si="191"/>
        <v>0</v>
      </c>
      <c r="AA381" s="169">
        <f t="shared" si="191"/>
        <v>0</v>
      </c>
      <c r="AB381" s="169">
        <f t="shared" si="191"/>
        <v>0</v>
      </c>
      <c r="AC381" s="169">
        <f t="shared" si="191"/>
        <v>0</v>
      </c>
      <c r="AD381" s="169">
        <f t="shared" si="191"/>
        <v>0</v>
      </c>
      <c r="AE381" s="169">
        <f t="shared" si="191"/>
        <v>0</v>
      </c>
      <c r="AF381" s="169">
        <f t="shared" si="191"/>
        <v>0</v>
      </c>
      <c r="AG381" s="169">
        <f t="shared" si="191"/>
        <v>0</v>
      </c>
      <c r="AH381" s="169">
        <f t="shared" si="191"/>
        <v>0</v>
      </c>
      <c r="AI381" s="169">
        <f t="shared" si="191"/>
        <v>0</v>
      </c>
      <c r="AJ381" s="169">
        <f t="shared" si="191"/>
        <v>0</v>
      </c>
      <c r="AK381" s="169">
        <f t="shared" si="191"/>
        <v>0</v>
      </c>
      <c r="AL381" s="169">
        <f t="shared" si="191"/>
        <v>0</v>
      </c>
      <c r="AM381" s="169">
        <f t="shared" si="191"/>
        <v>0</v>
      </c>
      <c r="AN381" s="169">
        <f t="shared" si="191"/>
        <v>0</v>
      </c>
      <c r="AO381" s="169">
        <f t="shared" si="191"/>
        <v>0</v>
      </c>
      <c r="AP381" s="169">
        <f t="shared" si="191"/>
        <v>0</v>
      </c>
    </row>
    <row r="382" spans="1:42" x14ac:dyDescent="0.2">
      <c r="A382" s="101">
        <f>A381+1</f>
        <v>9</v>
      </c>
      <c r="B382" s="179">
        <f t="shared" si="182"/>
        <v>0</v>
      </c>
      <c r="C382" s="208">
        <f t="shared" ref="C382:AP382" si="192">LOOKUP(C370,$B$332:$AP$332,$B$333:$AP$333)*$B655</f>
        <v>0</v>
      </c>
      <c r="D382" s="169">
        <f t="shared" si="192"/>
        <v>0</v>
      </c>
      <c r="E382" s="169">
        <f t="shared" si="192"/>
        <v>0</v>
      </c>
      <c r="F382" s="169">
        <f t="shared" si="192"/>
        <v>0</v>
      </c>
      <c r="G382" s="169">
        <f t="shared" si="192"/>
        <v>0</v>
      </c>
      <c r="H382" s="169">
        <f t="shared" si="192"/>
        <v>0</v>
      </c>
      <c r="I382" s="169">
        <f t="shared" si="192"/>
        <v>0</v>
      </c>
      <c r="J382" s="169">
        <f t="shared" si="192"/>
        <v>0</v>
      </c>
      <c r="K382" s="169">
        <f t="shared" si="192"/>
        <v>0</v>
      </c>
      <c r="L382" s="169">
        <f t="shared" si="192"/>
        <v>0</v>
      </c>
      <c r="M382" s="169">
        <f t="shared" si="192"/>
        <v>0</v>
      </c>
      <c r="N382" s="169">
        <f t="shared" si="192"/>
        <v>0</v>
      </c>
      <c r="O382" s="169">
        <f t="shared" si="192"/>
        <v>0</v>
      </c>
      <c r="P382" s="169">
        <f t="shared" si="192"/>
        <v>0</v>
      </c>
      <c r="Q382" s="169">
        <f t="shared" si="192"/>
        <v>0</v>
      </c>
      <c r="R382" s="169">
        <f t="shared" si="192"/>
        <v>0</v>
      </c>
      <c r="S382" s="169">
        <f t="shared" si="192"/>
        <v>0</v>
      </c>
      <c r="T382" s="169">
        <f t="shared" si="192"/>
        <v>0</v>
      </c>
      <c r="U382" s="169">
        <f t="shared" si="192"/>
        <v>0</v>
      </c>
      <c r="V382" s="169">
        <f t="shared" si="192"/>
        <v>0</v>
      </c>
      <c r="W382" s="169">
        <f t="shared" si="192"/>
        <v>0</v>
      </c>
      <c r="X382" s="169">
        <f t="shared" si="192"/>
        <v>0</v>
      </c>
      <c r="Y382" s="169">
        <f t="shared" si="192"/>
        <v>0</v>
      </c>
      <c r="Z382" s="169">
        <f t="shared" si="192"/>
        <v>0</v>
      </c>
      <c r="AA382" s="169">
        <f t="shared" si="192"/>
        <v>0</v>
      </c>
      <c r="AB382" s="169">
        <f t="shared" si="192"/>
        <v>0</v>
      </c>
      <c r="AC382" s="169">
        <f t="shared" si="192"/>
        <v>0</v>
      </c>
      <c r="AD382" s="169">
        <f t="shared" si="192"/>
        <v>0</v>
      </c>
      <c r="AE382" s="169">
        <f t="shared" si="192"/>
        <v>0</v>
      </c>
      <c r="AF382" s="169">
        <f t="shared" si="192"/>
        <v>0</v>
      </c>
      <c r="AG382" s="169">
        <f t="shared" si="192"/>
        <v>0</v>
      </c>
      <c r="AH382" s="169">
        <f t="shared" si="192"/>
        <v>0</v>
      </c>
      <c r="AI382" s="169">
        <f t="shared" si="192"/>
        <v>0</v>
      </c>
      <c r="AJ382" s="169">
        <f t="shared" si="192"/>
        <v>0</v>
      </c>
      <c r="AK382" s="169">
        <f t="shared" si="192"/>
        <v>0</v>
      </c>
      <c r="AL382" s="169">
        <f t="shared" si="192"/>
        <v>0</v>
      </c>
      <c r="AM382" s="169">
        <f t="shared" si="192"/>
        <v>0</v>
      </c>
      <c r="AN382" s="169">
        <f t="shared" si="192"/>
        <v>0</v>
      </c>
      <c r="AO382" s="169">
        <f t="shared" si="192"/>
        <v>0</v>
      </c>
      <c r="AP382" s="169">
        <f t="shared" si="192"/>
        <v>0</v>
      </c>
    </row>
    <row r="383" spans="1:42" x14ac:dyDescent="0.2">
      <c r="A383" s="101">
        <f t="shared" si="185"/>
        <v>10</v>
      </c>
      <c r="B383" s="179">
        <f t="shared" si="182"/>
        <v>0</v>
      </c>
      <c r="C383" s="204">
        <f t="shared" ref="C383:AP383" si="193">LOOKUP(C371,$B$332:$AP$332,$B$333:$AP$333)*$B656</f>
        <v>0</v>
      </c>
      <c r="D383" s="170">
        <f t="shared" si="193"/>
        <v>0</v>
      </c>
      <c r="E383" s="170">
        <f t="shared" si="193"/>
        <v>0</v>
      </c>
      <c r="F383" s="170">
        <f t="shared" si="193"/>
        <v>0</v>
      </c>
      <c r="G383" s="170">
        <f t="shared" si="193"/>
        <v>0</v>
      </c>
      <c r="H383" s="170">
        <f t="shared" si="193"/>
        <v>0</v>
      </c>
      <c r="I383" s="170">
        <f t="shared" si="193"/>
        <v>0</v>
      </c>
      <c r="J383" s="170">
        <f t="shared" si="193"/>
        <v>0</v>
      </c>
      <c r="K383" s="170">
        <f t="shared" si="193"/>
        <v>0</v>
      </c>
      <c r="L383" s="170">
        <f t="shared" si="193"/>
        <v>0</v>
      </c>
      <c r="M383" s="170">
        <f t="shared" si="193"/>
        <v>0</v>
      </c>
      <c r="N383" s="170">
        <f t="shared" si="193"/>
        <v>0</v>
      </c>
      <c r="O383" s="170">
        <f t="shared" si="193"/>
        <v>0</v>
      </c>
      <c r="P383" s="170">
        <f t="shared" si="193"/>
        <v>0</v>
      </c>
      <c r="Q383" s="170">
        <f t="shared" si="193"/>
        <v>0</v>
      </c>
      <c r="R383" s="170">
        <f t="shared" si="193"/>
        <v>0</v>
      </c>
      <c r="S383" s="170">
        <f t="shared" si="193"/>
        <v>0</v>
      </c>
      <c r="T383" s="170">
        <f t="shared" si="193"/>
        <v>0</v>
      </c>
      <c r="U383" s="170">
        <f t="shared" si="193"/>
        <v>0</v>
      </c>
      <c r="V383" s="170">
        <f t="shared" si="193"/>
        <v>0</v>
      </c>
      <c r="W383" s="170">
        <f t="shared" si="193"/>
        <v>0</v>
      </c>
      <c r="X383" s="170">
        <f t="shared" si="193"/>
        <v>0</v>
      </c>
      <c r="Y383" s="170">
        <f t="shared" si="193"/>
        <v>0</v>
      </c>
      <c r="Z383" s="170">
        <f t="shared" si="193"/>
        <v>0</v>
      </c>
      <c r="AA383" s="170">
        <f t="shared" si="193"/>
        <v>0</v>
      </c>
      <c r="AB383" s="170">
        <f t="shared" si="193"/>
        <v>0</v>
      </c>
      <c r="AC383" s="170">
        <f t="shared" si="193"/>
        <v>0</v>
      </c>
      <c r="AD383" s="170">
        <f t="shared" si="193"/>
        <v>0</v>
      </c>
      <c r="AE383" s="170">
        <f t="shared" si="193"/>
        <v>0</v>
      </c>
      <c r="AF383" s="170">
        <f t="shared" si="193"/>
        <v>0</v>
      </c>
      <c r="AG383" s="170">
        <f t="shared" si="193"/>
        <v>0</v>
      </c>
      <c r="AH383" s="170">
        <f t="shared" si="193"/>
        <v>0</v>
      </c>
      <c r="AI383" s="170">
        <f t="shared" si="193"/>
        <v>0</v>
      </c>
      <c r="AJ383" s="170">
        <f t="shared" si="193"/>
        <v>0</v>
      </c>
      <c r="AK383" s="170">
        <f t="shared" si="193"/>
        <v>0</v>
      </c>
      <c r="AL383" s="170">
        <f t="shared" si="193"/>
        <v>0</v>
      </c>
      <c r="AM383" s="170">
        <f t="shared" si="193"/>
        <v>0</v>
      </c>
      <c r="AN383" s="170">
        <f t="shared" si="193"/>
        <v>0</v>
      </c>
      <c r="AO383" s="170">
        <f t="shared" si="193"/>
        <v>0</v>
      </c>
      <c r="AP383" s="170">
        <f t="shared" si="193"/>
        <v>0</v>
      </c>
    </row>
    <row r="384" spans="1:42" s="101" customFormat="1" ht="12" customHeight="1" x14ac:dyDescent="0.2">
      <c r="A384" s="205" t="s">
        <v>53</v>
      </c>
      <c r="B384" s="124"/>
      <c r="C384" s="124">
        <f>SUM(C374:C383)</f>
        <v>0</v>
      </c>
      <c r="D384" s="124">
        <f t="shared" ref="D384:AP384" si="194">SUM(D374:D383)</f>
        <v>0</v>
      </c>
      <c r="E384" s="124">
        <f t="shared" si="194"/>
        <v>0</v>
      </c>
      <c r="F384" s="124">
        <f t="shared" si="194"/>
        <v>0</v>
      </c>
      <c r="G384" s="124">
        <f t="shared" si="194"/>
        <v>0</v>
      </c>
      <c r="H384" s="124">
        <f t="shared" si="194"/>
        <v>0</v>
      </c>
      <c r="I384" s="124">
        <f t="shared" si="194"/>
        <v>0</v>
      </c>
      <c r="J384" s="124">
        <f t="shared" si="194"/>
        <v>0</v>
      </c>
      <c r="K384" s="124">
        <f t="shared" si="194"/>
        <v>0</v>
      </c>
      <c r="L384" s="124">
        <f t="shared" si="194"/>
        <v>0</v>
      </c>
      <c r="M384" s="124">
        <f t="shared" si="194"/>
        <v>0</v>
      </c>
      <c r="N384" s="124">
        <f t="shared" si="194"/>
        <v>0</v>
      </c>
      <c r="O384" s="124">
        <f t="shared" si="194"/>
        <v>0</v>
      </c>
      <c r="P384" s="124">
        <f t="shared" si="194"/>
        <v>0</v>
      </c>
      <c r="Q384" s="124">
        <f t="shared" si="194"/>
        <v>0</v>
      </c>
      <c r="R384" s="124">
        <f t="shared" si="194"/>
        <v>0</v>
      </c>
      <c r="S384" s="124">
        <f t="shared" si="194"/>
        <v>0</v>
      </c>
      <c r="T384" s="124">
        <f t="shared" si="194"/>
        <v>0</v>
      </c>
      <c r="U384" s="124">
        <f t="shared" si="194"/>
        <v>0</v>
      </c>
      <c r="V384" s="124">
        <f t="shared" si="194"/>
        <v>0</v>
      </c>
      <c r="W384" s="124">
        <f t="shared" si="194"/>
        <v>0</v>
      </c>
      <c r="X384" s="124">
        <f t="shared" si="194"/>
        <v>0</v>
      </c>
      <c r="Y384" s="124">
        <f t="shared" si="194"/>
        <v>0</v>
      </c>
      <c r="Z384" s="124">
        <f t="shared" si="194"/>
        <v>0</v>
      </c>
      <c r="AA384" s="124">
        <f t="shared" si="194"/>
        <v>0</v>
      </c>
      <c r="AB384" s="124">
        <f t="shared" si="194"/>
        <v>0</v>
      </c>
      <c r="AC384" s="124">
        <f t="shared" si="194"/>
        <v>0</v>
      </c>
      <c r="AD384" s="124">
        <f t="shared" si="194"/>
        <v>0</v>
      </c>
      <c r="AE384" s="124">
        <f t="shared" si="194"/>
        <v>0</v>
      </c>
      <c r="AF384" s="124">
        <f t="shared" si="194"/>
        <v>0</v>
      </c>
      <c r="AG384" s="124">
        <f t="shared" si="194"/>
        <v>0</v>
      </c>
      <c r="AH384" s="124">
        <f t="shared" si="194"/>
        <v>0</v>
      </c>
      <c r="AI384" s="124">
        <f t="shared" si="194"/>
        <v>0</v>
      </c>
      <c r="AJ384" s="124">
        <f t="shared" si="194"/>
        <v>0</v>
      </c>
      <c r="AK384" s="124">
        <f t="shared" si="194"/>
        <v>0</v>
      </c>
      <c r="AL384" s="124">
        <f t="shared" si="194"/>
        <v>0</v>
      </c>
      <c r="AM384" s="124">
        <f t="shared" si="194"/>
        <v>0</v>
      </c>
      <c r="AN384" s="124">
        <f t="shared" si="194"/>
        <v>0</v>
      </c>
      <c r="AO384" s="124">
        <f t="shared" si="194"/>
        <v>0</v>
      </c>
      <c r="AP384" s="124">
        <f t="shared" si="194"/>
        <v>0</v>
      </c>
    </row>
    <row r="385" spans="1:42" x14ac:dyDescent="0.2">
      <c r="A385" s="187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</row>
    <row r="386" spans="1:42" x14ac:dyDescent="0.2">
      <c r="A386" s="180" t="s">
        <v>305</v>
      </c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</row>
    <row r="387" spans="1:42" x14ac:dyDescent="0.2">
      <c r="A387" s="187" t="s">
        <v>192</v>
      </c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</row>
    <row r="388" spans="1:42" x14ac:dyDescent="0.2">
      <c r="A388" s="101">
        <v>1</v>
      </c>
      <c r="C388" s="169">
        <f>IF(C$2&lt;=AnalysisPeriod,IF(SUM($C679:C679)&gt;0,B388+1,0),0)</f>
        <v>0</v>
      </c>
      <c r="D388" s="169">
        <f>IF(D$2&lt;=AnalysisPeriod,IF(SUM($C679:D679)&gt;0,C388+1,0),0)</f>
        <v>0</v>
      </c>
      <c r="E388" s="169">
        <f>IF(E$2&lt;=AnalysisPeriod,IF(SUM($C679:E679)&gt;0,D388+1,0),0)</f>
        <v>0</v>
      </c>
      <c r="F388" s="169">
        <f>IF(F$2&lt;=AnalysisPeriod,IF(SUM($C679:F679)&gt;0,E388+1,0),0)</f>
        <v>0</v>
      </c>
      <c r="G388" s="169">
        <f>IF(G$2&lt;=AnalysisPeriod,IF(SUM($C679:G679)&gt;0,F388+1,0),0)</f>
        <v>0</v>
      </c>
      <c r="H388" s="169">
        <f>IF(H$2&lt;=AnalysisPeriod,IF(SUM($C679:H679)&gt;0,G388+1,0),0)</f>
        <v>0</v>
      </c>
      <c r="I388" s="169">
        <f>IF(I$2&lt;=AnalysisPeriod,IF(SUM($C679:I679)&gt;0,H388+1,0),0)</f>
        <v>0</v>
      </c>
      <c r="J388" s="169">
        <f>IF(J$2&lt;=AnalysisPeriod,IF(SUM($C679:J679)&gt;0,I388+1,0),0)</f>
        <v>0</v>
      </c>
      <c r="K388" s="169">
        <f>IF(K$2&lt;=AnalysisPeriod,IF(SUM($C679:K679)&gt;0,J388+1,0),0)</f>
        <v>0</v>
      </c>
      <c r="L388" s="169">
        <f>IF(L$2&lt;=AnalysisPeriod,IF(SUM($C679:L679)&gt;0,K388+1,0),0)</f>
        <v>0</v>
      </c>
      <c r="M388" s="169">
        <f>IF(M$2&lt;=AnalysisPeriod,IF(SUM($C679:M679)&gt;0,L388+1,0),0)</f>
        <v>0</v>
      </c>
      <c r="N388" s="169">
        <f>IF(N$2&lt;=AnalysisPeriod,IF(SUM($C679:N679)&gt;0,M388+1,0),0)</f>
        <v>0</v>
      </c>
      <c r="O388" s="169">
        <f>IF(O$2&lt;=AnalysisPeriod,IF(SUM($C679:O679)&gt;0,N388+1,0),0)</f>
        <v>0</v>
      </c>
      <c r="P388" s="169">
        <f>IF(P$2&lt;=AnalysisPeriod,IF(SUM($C679:P679)&gt;0,O388+1,0),0)</f>
        <v>0</v>
      </c>
      <c r="Q388" s="169">
        <f>IF(Q$2&lt;=AnalysisPeriod,IF(SUM($C679:Q679)&gt;0,P388+1,0),0)</f>
        <v>0</v>
      </c>
      <c r="R388" s="169">
        <f>IF(R$2&lt;=AnalysisPeriod,IF(SUM($C679:R679)&gt;0,Q388+1,0),0)</f>
        <v>0</v>
      </c>
      <c r="S388" s="169">
        <f>IF(S$2&lt;=AnalysisPeriod,IF(SUM($C679:S679)&gt;0,R388+1,0),0)</f>
        <v>0</v>
      </c>
      <c r="T388" s="169">
        <f>IF(T$2&lt;=AnalysisPeriod,IF(SUM($C679:T679)&gt;0,S388+1,0),0)</f>
        <v>0</v>
      </c>
      <c r="U388" s="169">
        <f>IF(U$2&lt;=AnalysisPeriod,IF(SUM($C679:U679)&gt;0,T388+1,0),0)</f>
        <v>0</v>
      </c>
      <c r="V388" s="169">
        <f>IF(V$2&lt;=AnalysisPeriod,IF(SUM($C679:V679)&gt;0,U388+1,0),0)</f>
        <v>0</v>
      </c>
      <c r="W388" s="169">
        <f>IF(W$2&lt;=AnalysisPeriod,IF(SUM($C679:W679)&gt;0,V388+1,0),0)</f>
        <v>0</v>
      </c>
      <c r="X388" s="169">
        <f>IF(X$2&lt;=AnalysisPeriod,IF(SUM($C679:X679)&gt;0,W388+1,0),0)</f>
        <v>0</v>
      </c>
      <c r="Y388" s="169">
        <f>IF(Y$2&lt;=AnalysisPeriod,IF(SUM($C679:Y679)&gt;0,X388+1,0),0)</f>
        <v>0</v>
      </c>
      <c r="Z388" s="169">
        <f>IF(Z$2&lt;=AnalysisPeriod,IF(SUM($C679:Z679)&gt;0,Y388+1,0),0)</f>
        <v>0</v>
      </c>
      <c r="AA388" s="169">
        <f>IF(AA$2&lt;=AnalysisPeriod,IF(SUM($C679:AA679)&gt;0,Z388+1,0),0)</f>
        <v>0</v>
      </c>
      <c r="AB388" s="169">
        <f>IF(AB$2&lt;=AnalysisPeriod,IF(SUM($C679:AB679)&gt;0,AA388+1,0),0)</f>
        <v>0</v>
      </c>
      <c r="AC388" s="169">
        <f>IF(AC$2&lt;=AnalysisPeriod,IF(SUM($C679:AC679)&gt;0,AB388+1,0),0)</f>
        <v>0</v>
      </c>
      <c r="AD388" s="169">
        <f>IF(AD$2&lt;=AnalysisPeriod,IF(SUM($C679:AD679)&gt;0,AC388+1,0),0)</f>
        <v>0</v>
      </c>
      <c r="AE388" s="169">
        <f>IF(AE$2&lt;=AnalysisPeriod,IF(SUM($C679:AE679)&gt;0,AD388+1,0),0)</f>
        <v>0</v>
      </c>
      <c r="AF388" s="169">
        <f>IF(AF$2&lt;=AnalysisPeriod,IF(SUM($C679:AF679)&gt;0,AE388+1,0),0)</f>
        <v>0</v>
      </c>
      <c r="AG388" s="169">
        <f>IF(AG$2&lt;=AnalysisPeriod,IF(SUM($C679:AG679)&gt;0,AF388+1,0),0)</f>
        <v>0</v>
      </c>
      <c r="AH388" s="169">
        <f>IF(AH$2&lt;=AnalysisPeriod,IF(SUM($C679:AH679)&gt;0,AG388+1,0),0)</f>
        <v>0</v>
      </c>
      <c r="AI388" s="169">
        <f>IF(AI$2&lt;=AnalysisPeriod,IF(SUM($C679:AI679)&gt;0,AH388+1,0),0)</f>
        <v>0</v>
      </c>
      <c r="AJ388" s="169">
        <f>IF(AJ$2&lt;=AnalysisPeriod,IF(SUM($C679:AJ679)&gt;0,AI388+1,0),0)</f>
        <v>0</v>
      </c>
      <c r="AK388" s="169">
        <f>IF(AK$2&lt;=AnalysisPeriod,IF(SUM($C679:AK679)&gt;0,AJ388+1,0),0)</f>
        <v>0</v>
      </c>
      <c r="AL388" s="169">
        <f>IF(AL$2&lt;=AnalysisPeriod,IF(SUM($C679:AL679)&gt;0,AK388+1,0),0)</f>
        <v>0</v>
      </c>
      <c r="AM388" s="169">
        <f>IF(AM$2&lt;=AnalysisPeriod,IF(SUM($C679:AM679)&gt;0,AL388+1,0),0)</f>
        <v>0</v>
      </c>
      <c r="AN388" s="169">
        <f>IF(AN$2&lt;=AnalysisPeriod,IF(SUM($C679:AN679)&gt;0,AM388+1,0),0)</f>
        <v>0</v>
      </c>
      <c r="AO388" s="169">
        <f>IF(AO$2&lt;=AnalysisPeriod,IF(SUM($C679:AO679)&gt;0,AN388+1,0),0)</f>
        <v>0</v>
      </c>
      <c r="AP388" s="169">
        <f>IF(AP$2&lt;=AnalysisPeriod,IF(SUM($C679:AP679)&gt;0,AO388+1,0),0)</f>
        <v>0</v>
      </c>
    </row>
    <row r="389" spans="1:42" x14ac:dyDescent="0.2">
      <c r="A389" s="101">
        <f>A388+1</f>
        <v>2</v>
      </c>
      <c r="C389" s="169">
        <f>IF(C$2&lt;=AnalysisPeriod,IF(SUM($C680:C680)&gt;0,B389+1,0),0)</f>
        <v>0</v>
      </c>
      <c r="D389" s="169">
        <f>IF(D$2&lt;=AnalysisPeriod,IF(SUM($C680:D680)&gt;0,C389+1,0),0)</f>
        <v>0</v>
      </c>
      <c r="E389" s="169">
        <f>IF(E$2&lt;=AnalysisPeriod,IF(SUM($C680:E680)&gt;0,D389+1,0),0)</f>
        <v>0</v>
      </c>
      <c r="F389" s="169">
        <f>IF(F$2&lt;=AnalysisPeriod,IF(SUM($C680:F680)&gt;0,E389+1,0),0)</f>
        <v>0</v>
      </c>
      <c r="G389" s="169">
        <f>IF(G$2&lt;=AnalysisPeriod,IF(SUM($C680:G680)&gt;0,F389+1,0),0)</f>
        <v>0</v>
      </c>
      <c r="H389" s="169">
        <f>IF(H$2&lt;=AnalysisPeriod,IF(SUM($C680:H680)&gt;0,G389+1,0),0)</f>
        <v>0</v>
      </c>
      <c r="I389" s="169">
        <f>IF(I$2&lt;=AnalysisPeriod,IF(SUM($C680:I680)&gt;0,H389+1,0),0)</f>
        <v>0</v>
      </c>
      <c r="J389" s="169">
        <f>IF(J$2&lt;=AnalysisPeriod,IF(SUM($C680:J680)&gt;0,I389+1,0),0)</f>
        <v>0</v>
      </c>
      <c r="K389" s="169">
        <f>IF(K$2&lt;=AnalysisPeriod,IF(SUM($C680:K680)&gt;0,J389+1,0),0)</f>
        <v>0</v>
      </c>
      <c r="L389" s="169">
        <f>IF(L$2&lt;=AnalysisPeriod,IF(SUM($C680:L680)&gt;0,K389+1,0),0)</f>
        <v>0</v>
      </c>
      <c r="M389" s="169">
        <f>IF(M$2&lt;=AnalysisPeriod,IF(SUM($C680:M680)&gt;0,L389+1,0),0)</f>
        <v>0</v>
      </c>
      <c r="N389" s="169">
        <f>IF(N$2&lt;=AnalysisPeriod,IF(SUM($C680:N680)&gt;0,M389+1,0),0)</f>
        <v>0</v>
      </c>
      <c r="O389" s="169">
        <f>IF(O$2&lt;=AnalysisPeriod,IF(SUM($C680:O680)&gt;0,N389+1,0),0)</f>
        <v>0</v>
      </c>
      <c r="P389" s="169">
        <f>IF(P$2&lt;=AnalysisPeriod,IF(SUM($C680:P680)&gt;0,O389+1,0),0)</f>
        <v>0</v>
      </c>
      <c r="Q389" s="169">
        <f>IF(Q$2&lt;=AnalysisPeriod,IF(SUM($C680:Q680)&gt;0,P389+1,0),0)</f>
        <v>0</v>
      </c>
      <c r="R389" s="169">
        <f>IF(R$2&lt;=AnalysisPeriod,IF(SUM($C680:R680)&gt;0,Q389+1,0),0)</f>
        <v>0</v>
      </c>
      <c r="S389" s="169">
        <f>IF(S$2&lt;=AnalysisPeriod,IF(SUM($C680:S680)&gt;0,R389+1,0),0)</f>
        <v>0</v>
      </c>
      <c r="T389" s="169">
        <f>IF(T$2&lt;=AnalysisPeriod,IF(SUM($C680:T680)&gt;0,S389+1,0),0)</f>
        <v>0</v>
      </c>
      <c r="U389" s="169">
        <f>IF(U$2&lt;=AnalysisPeriod,IF(SUM($C680:U680)&gt;0,T389+1,0),0)</f>
        <v>0</v>
      </c>
      <c r="V389" s="169">
        <f>IF(V$2&lt;=AnalysisPeriod,IF(SUM($C680:V680)&gt;0,U389+1,0),0)</f>
        <v>0</v>
      </c>
      <c r="W389" s="169">
        <f>IF(W$2&lt;=AnalysisPeriod,IF(SUM($C680:W680)&gt;0,V389+1,0),0)</f>
        <v>0</v>
      </c>
      <c r="X389" s="169">
        <f>IF(X$2&lt;=AnalysisPeriod,IF(SUM($C680:X680)&gt;0,W389+1,0),0)</f>
        <v>0</v>
      </c>
      <c r="Y389" s="169">
        <f>IF(Y$2&lt;=AnalysisPeriod,IF(SUM($C680:Y680)&gt;0,X389+1,0),0)</f>
        <v>0</v>
      </c>
      <c r="Z389" s="169">
        <f>IF(Z$2&lt;=AnalysisPeriod,IF(SUM($C680:Z680)&gt;0,Y389+1,0),0)</f>
        <v>0</v>
      </c>
      <c r="AA389" s="169">
        <f>IF(AA$2&lt;=AnalysisPeriod,IF(SUM($C680:AA680)&gt;0,Z389+1,0),0)</f>
        <v>0</v>
      </c>
      <c r="AB389" s="169">
        <f>IF(AB$2&lt;=AnalysisPeriod,IF(SUM($C680:AB680)&gt;0,AA389+1,0),0)</f>
        <v>0</v>
      </c>
      <c r="AC389" s="169">
        <f>IF(AC$2&lt;=AnalysisPeriod,IF(SUM($C680:AC680)&gt;0,AB389+1,0),0)</f>
        <v>0</v>
      </c>
      <c r="AD389" s="169">
        <f>IF(AD$2&lt;=AnalysisPeriod,IF(SUM($C680:AD680)&gt;0,AC389+1,0),0)</f>
        <v>0</v>
      </c>
      <c r="AE389" s="169">
        <f>IF(AE$2&lt;=AnalysisPeriod,IF(SUM($C680:AE680)&gt;0,AD389+1,0),0)</f>
        <v>0</v>
      </c>
      <c r="AF389" s="169">
        <f>IF(AF$2&lt;=AnalysisPeriod,IF(SUM($C680:AF680)&gt;0,AE389+1,0),0)</f>
        <v>0</v>
      </c>
      <c r="AG389" s="169">
        <f>IF(AG$2&lt;=AnalysisPeriod,IF(SUM($C680:AG680)&gt;0,AF389+1,0),0)</f>
        <v>0</v>
      </c>
      <c r="AH389" s="169">
        <f>IF(AH$2&lt;=AnalysisPeriod,IF(SUM($C680:AH680)&gt;0,AG389+1,0),0)</f>
        <v>0</v>
      </c>
      <c r="AI389" s="169">
        <f>IF(AI$2&lt;=AnalysisPeriod,IF(SUM($C680:AI680)&gt;0,AH389+1,0),0)</f>
        <v>0</v>
      </c>
      <c r="AJ389" s="169">
        <f>IF(AJ$2&lt;=AnalysisPeriod,IF(SUM($C680:AJ680)&gt;0,AI389+1,0),0)</f>
        <v>0</v>
      </c>
      <c r="AK389" s="169">
        <f>IF(AK$2&lt;=AnalysisPeriod,IF(SUM($C680:AK680)&gt;0,AJ389+1,0),0)</f>
        <v>0</v>
      </c>
      <c r="AL389" s="169">
        <f>IF(AL$2&lt;=AnalysisPeriod,IF(SUM($C680:AL680)&gt;0,AK389+1,0),0)</f>
        <v>0</v>
      </c>
      <c r="AM389" s="169">
        <f>IF(AM$2&lt;=AnalysisPeriod,IF(SUM($C680:AM680)&gt;0,AL389+1,0),0)</f>
        <v>0</v>
      </c>
      <c r="AN389" s="169">
        <f>IF(AN$2&lt;=AnalysisPeriod,IF(SUM($C680:AN680)&gt;0,AM389+1,0),0)</f>
        <v>0</v>
      </c>
      <c r="AO389" s="169">
        <f>IF(AO$2&lt;=AnalysisPeriod,IF(SUM($C680:AO680)&gt;0,AN389+1,0),0)</f>
        <v>0</v>
      </c>
      <c r="AP389" s="169">
        <f>IF(AP$2&lt;=AnalysisPeriod,IF(SUM($C680:AP680)&gt;0,AO389+1,0),0)</f>
        <v>0</v>
      </c>
    </row>
    <row r="390" spans="1:42" x14ac:dyDescent="0.2">
      <c r="A390" s="101">
        <f t="shared" ref="A390:A397" si="195">A389+1</f>
        <v>3</v>
      </c>
      <c r="C390" s="169">
        <f>IF(C$2&lt;=AnalysisPeriod,IF(SUM($C681:C681)&gt;0,B390+1,0),0)</f>
        <v>0</v>
      </c>
      <c r="D390" s="169">
        <f>IF(D$2&lt;=AnalysisPeriod,IF(SUM($C681:D681)&gt;0,C390+1,0),0)</f>
        <v>0</v>
      </c>
      <c r="E390" s="169">
        <f>IF(E$2&lt;=AnalysisPeriod,IF(SUM($C681:E681)&gt;0,D390+1,0),0)</f>
        <v>0</v>
      </c>
      <c r="F390" s="169">
        <f>IF(F$2&lt;=AnalysisPeriod,IF(SUM($C681:F681)&gt;0,E390+1,0),0)</f>
        <v>0</v>
      </c>
      <c r="G390" s="169">
        <f>IF(G$2&lt;=AnalysisPeriod,IF(SUM($C681:G681)&gt;0,F390+1,0),0)</f>
        <v>0</v>
      </c>
      <c r="H390" s="169">
        <f>IF(H$2&lt;=AnalysisPeriod,IF(SUM($C681:H681)&gt;0,G390+1,0),0)</f>
        <v>0</v>
      </c>
      <c r="I390" s="169">
        <f>IF(I$2&lt;=AnalysisPeriod,IF(SUM($C681:I681)&gt;0,H390+1,0),0)</f>
        <v>0</v>
      </c>
      <c r="J390" s="169">
        <f>IF(J$2&lt;=AnalysisPeriod,IF(SUM($C681:J681)&gt;0,I390+1,0),0)</f>
        <v>0</v>
      </c>
      <c r="K390" s="169">
        <f>IF(K$2&lt;=AnalysisPeriod,IF(SUM($C681:K681)&gt;0,J390+1,0),0)</f>
        <v>0</v>
      </c>
      <c r="L390" s="169">
        <f>IF(L$2&lt;=AnalysisPeriod,IF(SUM($C681:L681)&gt;0,K390+1,0),0)</f>
        <v>0</v>
      </c>
      <c r="M390" s="169">
        <f>IF(M$2&lt;=AnalysisPeriod,IF(SUM($C681:M681)&gt;0,L390+1,0),0)</f>
        <v>0</v>
      </c>
      <c r="N390" s="169">
        <f>IF(N$2&lt;=AnalysisPeriod,IF(SUM($C681:N681)&gt;0,M390+1,0),0)</f>
        <v>0</v>
      </c>
      <c r="O390" s="169">
        <f>IF(O$2&lt;=AnalysisPeriod,IF(SUM($C681:O681)&gt;0,N390+1,0),0)</f>
        <v>0</v>
      </c>
      <c r="P390" s="169">
        <f>IF(P$2&lt;=AnalysisPeriod,IF(SUM($C681:P681)&gt;0,O390+1,0),0)</f>
        <v>0</v>
      </c>
      <c r="Q390" s="169">
        <f>IF(Q$2&lt;=AnalysisPeriod,IF(SUM($C681:Q681)&gt;0,P390+1,0),0)</f>
        <v>0</v>
      </c>
      <c r="R390" s="169">
        <f>IF(R$2&lt;=AnalysisPeriod,IF(SUM($C681:R681)&gt;0,Q390+1,0),0)</f>
        <v>0</v>
      </c>
      <c r="S390" s="169">
        <f>IF(S$2&lt;=AnalysisPeriod,IF(SUM($C681:S681)&gt;0,R390+1,0),0)</f>
        <v>0</v>
      </c>
      <c r="T390" s="169">
        <f>IF(T$2&lt;=AnalysisPeriod,IF(SUM($C681:T681)&gt;0,S390+1,0),0)</f>
        <v>0</v>
      </c>
      <c r="U390" s="169">
        <f>IF(U$2&lt;=AnalysisPeriod,IF(SUM($C681:U681)&gt;0,T390+1,0),0)</f>
        <v>0</v>
      </c>
      <c r="V390" s="169">
        <f>IF(V$2&lt;=AnalysisPeriod,IF(SUM($C681:V681)&gt;0,U390+1,0),0)</f>
        <v>0</v>
      </c>
      <c r="W390" s="169">
        <f>IF(W$2&lt;=AnalysisPeriod,IF(SUM($C681:W681)&gt;0,V390+1,0),0)</f>
        <v>0</v>
      </c>
      <c r="X390" s="169">
        <f>IF(X$2&lt;=AnalysisPeriod,IF(SUM($C681:X681)&gt;0,W390+1,0),0)</f>
        <v>0</v>
      </c>
      <c r="Y390" s="169">
        <f>IF(Y$2&lt;=AnalysisPeriod,IF(SUM($C681:Y681)&gt;0,X390+1,0),0)</f>
        <v>0</v>
      </c>
      <c r="Z390" s="169">
        <f>IF(Z$2&lt;=AnalysisPeriod,IF(SUM($C681:Z681)&gt;0,Y390+1,0),0)</f>
        <v>0</v>
      </c>
      <c r="AA390" s="169">
        <f>IF(AA$2&lt;=AnalysisPeriod,IF(SUM($C681:AA681)&gt;0,Z390+1,0),0)</f>
        <v>0</v>
      </c>
      <c r="AB390" s="169">
        <f>IF(AB$2&lt;=AnalysisPeriod,IF(SUM($C681:AB681)&gt;0,AA390+1,0),0)</f>
        <v>0</v>
      </c>
      <c r="AC390" s="169">
        <f>IF(AC$2&lt;=AnalysisPeriod,IF(SUM($C681:AC681)&gt;0,AB390+1,0),0)</f>
        <v>0</v>
      </c>
      <c r="AD390" s="169">
        <f>IF(AD$2&lt;=AnalysisPeriod,IF(SUM($C681:AD681)&gt;0,AC390+1,0),0)</f>
        <v>0</v>
      </c>
      <c r="AE390" s="169">
        <f>IF(AE$2&lt;=AnalysisPeriod,IF(SUM($C681:AE681)&gt;0,AD390+1,0),0)</f>
        <v>0</v>
      </c>
      <c r="AF390" s="169">
        <f>IF(AF$2&lt;=AnalysisPeriod,IF(SUM($C681:AF681)&gt;0,AE390+1,0),0)</f>
        <v>0</v>
      </c>
      <c r="AG390" s="169">
        <f>IF(AG$2&lt;=AnalysisPeriod,IF(SUM($C681:AG681)&gt;0,AF390+1,0),0)</f>
        <v>0</v>
      </c>
      <c r="AH390" s="169">
        <f>IF(AH$2&lt;=AnalysisPeriod,IF(SUM($C681:AH681)&gt;0,AG390+1,0),0)</f>
        <v>0</v>
      </c>
      <c r="AI390" s="169">
        <f>IF(AI$2&lt;=AnalysisPeriod,IF(SUM($C681:AI681)&gt;0,AH390+1,0),0)</f>
        <v>0</v>
      </c>
      <c r="AJ390" s="169">
        <f>IF(AJ$2&lt;=AnalysisPeriod,IF(SUM($C681:AJ681)&gt;0,AI390+1,0),0)</f>
        <v>0</v>
      </c>
      <c r="AK390" s="169">
        <f>IF(AK$2&lt;=AnalysisPeriod,IF(SUM($C681:AK681)&gt;0,AJ390+1,0),0)</f>
        <v>0</v>
      </c>
      <c r="AL390" s="169">
        <f>IF(AL$2&lt;=AnalysisPeriod,IF(SUM($C681:AL681)&gt;0,AK390+1,0),0)</f>
        <v>0</v>
      </c>
      <c r="AM390" s="169">
        <f>IF(AM$2&lt;=AnalysisPeriod,IF(SUM($C681:AM681)&gt;0,AL390+1,0),0)</f>
        <v>0</v>
      </c>
      <c r="AN390" s="169">
        <f>IF(AN$2&lt;=AnalysisPeriod,IF(SUM($C681:AN681)&gt;0,AM390+1,0),0)</f>
        <v>0</v>
      </c>
      <c r="AO390" s="169">
        <f>IF(AO$2&lt;=AnalysisPeriod,IF(SUM($C681:AO681)&gt;0,AN390+1,0),0)</f>
        <v>0</v>
      </c>
      <c r="AP390" s="169">
        <f>IF(AP$2&lt;=AnalysisPeriod,IF(SUM($C681:AP681)&gt;0,AO390+1,0),0)</f>
        <v>0</v>
      </c>
    </row>
    <row r="391" spans="1:42" x14ac:dyDescent="0.2">
      <c r="A391" s="101">
        <f t="shared" si="195"/>
        <v>4</v>
      </c>
      <c r="C391" s="169">
        <f>IF(C$2&lt;=AnalysisPeriod,IF(SUM($C682:C682)&gt;0,B391+1,0),0)</f>
        <v>0</v>
      </c>
      <c r="D391" s="169">
        <f>IF(D$2&lt;=AnalysisPeriod,IF(SUM($C682:D682)&gt;0,C391+1,0),0)</f>
        <v>0</v>
      </c>
      <c r="E391" s="169">
        <f>IF(E$2&lt;=AnalysisPeriod,IF(SUM($C682:E682)&gt;0,D391+1,0),0)</f>
        <v>0</v>
      </c>
      <c r="F391" s="169">
        <f>IF(F$2&lt;=AnalysisPeriod,IF(SUM($C682:F682)&gt;0,E391+1,0),0)</f>
        <v>0</v>
      </c>
      <c r="G391" s="169">
        <f>IF(G$2&lt;=AnalysisPeriod,IF(SUM($C682:G682)&gt;0,F391+1,0),0)</f>
        <v>0</v>
      </c>
      <c r="H391" s="169">
        <f>IF(H$2&lt;=AnalysisPeriod,IF(SUM($C682:H682)&gt;0,G391+1,0),0)</f>
        <v>0</v>
      </c>
      <c r="I391" s="169">
        <f>IF(I$2&lt;=AnalysisPeriod,IF(SUM($C682:I682)&gt;0,H391+1,0),0)</f>
        <v>0</v>
      </c>
      <c r="J391" s="169">
        <f>IF(J$2&lt;=AnalysisPeriod,IF(SUM($C682:J682)&gt;0,I391+1,0),0)</f>
        <v>0</v>
      </c>
      <c r="K391" s="169">
        <f>IF(K$2&lt;=AnalysisPeriod,IF(SUM($C682:K682)&gt;0,J391+1,0),0)</f>
        <v>0</v>
      </c>
      <c r="L391" s="169">
        <f>IF(L$2&lt;=AnalysisPeriod,IF(SUM($C682:L682)&gt;0,K391+1,0),0)</f>
        <v>0</v>
      </c>
      <c r="M391" s="169">
        <f>IF(M$2&lt;=AnalysisPeriod,IF(SUM($C682:M682)&gt;0,L391+1,0),0)</f>
        <v>0</v>
      </c>
      <c r="N391" s="169">
        <f>IF(N$2&lt;=AnalysisPeriod,IF(SUM($C682:N682)&gt;0,M391+1,0),0)</f>
        <v>0</v>
      </c>
      <c r="O391" s="169">
        <f>IF(O$2&lt;=AnalysisPeriod,IF(SUM($C682:O682)&gt;0,N391+1,0),0)</f>
        <v>0</v>
      </c>
      <c r="P391" s="169">
        <f>IF(P$2&lt;=AnalysisPeriod,IF(SUM($C682:P682)&gt;0,O391+1,0),0)</f>
        <v>0</v>
      </c>
      <c r="Q391" s="169">
        <f>IF(Q$2&lt;=AnalysisPeriod,IF(SUM($C682:Q682)&gt;0,P391+1,0),0)</f>
        <v>0</v>
      </c>
      <c r="R391" s="169">
        <f>IF(R$2&lt;=AnalysisPeriod,IF(SUM($C682:R682)&gt;0,Q391+1,0),0)</f>
        <v>0</v>
      </c>
      <c r="S391" s="169">
        <f>IF(S$2&lt;=AnalysisPeriod,IF(SUM($C682:S682)&gt;0,R391+1,0),0)</f>
        <v>0</v>
      </c>
      <c r="T391" s="169">
        <f>IF(T$2&lt;=AnalysisPeriod,IF(SUM($C682:T682)&gt;0,S391+1,0),0)</f>
        <v>0</v>
      </c>
      <c r="U391" s="169">
        <f>IF(U$2&lt;=AnalysisPeriod,IF(SUM($C682:U682)&gt;0,T391+1,0),0)</f>
        <v>0</v>
      </c>
      <c r="V391" s="169">
        <f>IF(V$2&lt;=AnalysisPeriod,IF(SUM($C682:V682)&gt;0,U391+1,0),0)</f>
        <v>0</v>
      </c>
      <c r="W391" s="169">
        <f>IF(W$2&lt;=AnalysisPeriod,IF(SUM($C682:W682)&gt;0,V391+1,0),0)</f>
        <v>0</v>
      </c>
      <c r="X391" s="169">
        <f>IF(X$2&lt;=AnalysisPeriod,IF(SUM($C682:X682)&gt;0,W391+1,0),0)</f>
        <v>0</v>
      </c>
      <c r="Y391" s="169">
        <f>IF(Y$2&lt;=AnalysisPeriod,IF(SUM($C682:Y682)&gt;0,X391+1,0),0)</f>
        <v>0</v>
      </c>
      <c r="Z391" s="169">
        <f>IF(Z$2&lt;=AnalysisPeriod,IF(SUM($C682:Z682)&gt;0,Y391+1,0),0)</f>
        <v>0</v>
      </c>
      <c r="AA391" s="169">
        <f>IF(AA$2&lt;=AnalysisPeriod,IF(SUM($C682:AA682)&gt;0,Z391+1,0),0)</f>
        <v>0</v>
      </c>
      <c r="AB391" s="169">
        <f>IF(AB$2&lt;=AnalysisPeriod,IF(SUM($C682:AB682)&gt;0,AA391+1,0),0)</f>
        <v>0</v>
      </c>
      <c r="AC391" s="169">
        <f>IF(AC$2&lt;=AnalysisPeriod,IF(SUM($C682:AC682)&gt;0,AB391+1,0),0)</f>
        <v>0</v>
      </c>
      <c r="AD391" s="169">
        <f>IF(AD$2&lt;=AnalysisPeriod,IF(SUM($C682:AD682)&gt;0,AC391+1,0),0)</f>
        <v>0</v>
      </c>
      <c r="AE391" s="169">
        <f>IF(AE$2&lt;=AnalysisPeriod,IF(SUM($C682:AE682)&gt;0,AD391+1,0),0)</f>
        <v>0</v>
      </c>
      <c r="AF391" s="169">
        <f>IF(AF$2&lt;=AnalysisPeriod,IF(SUM($C682:AF682)&gt;0,AE391+1,0),0)</f>
        <v>0</v>
      </c>
      <c r="AG391" s="169">
        <f>IF(AG$2&lt;=AnalysisPeriod,IF(SUM($C682:AG682)&gt;0,AF391+1,0),0)</f>
        <v>0</v>
      </c>
      <c r="AH391" s="169">
        <f>IF(AH$2&lt;=AnalysisPeriod,IF(SUM($C682:AH682)&gt;0,AG391+1,0),0)</f>
        <v>0</v>
      </c>
      <c r="AI391" s="169">
        <f>IF(AI$2&lt;=AnalysisPeriod,IF(SUM($C682:AI682)&gt;0,AH391+1,0),0)</f>
        <v>0</v>
      </c>
      <c r="AJ391" s="169">
        <f>IF(AJ$2&lt;=AnalysisPeriod,IF(SUM($C682:AJ682)&gt;0,AI391+1,0),0)</f>
        <v>0</v>
      </c>
      <c r="AK391" s="169">
        <f>IF(AK$2&lt;=AnalysisPeriod,IF(SUM($C682:AK682)&gt;0,AJ391+1,0),0)</f>
        <v>0</v>
      </c>
      <c r="AL391" s="169">
        <f>IF(AL$2&lt;=AnalysisPeriod,IF(SUM($C682:AL682)&gt;0,AK391+1,0),0)</f>
        <v>0</v>
      </c>
      <c r="AM391" s="169">
        <f>IF(AM$2&lt;=AnalysisPeriod,IF(SUM($C682:AM682)&gt;0,AL391+1,0),0)</f>
        <v>0</v>
      </c>
      <c r="AN391" s="169">
        <f>IF(AN$2&lt;=AnalysisPeriod,IF(SUM($C682:AN682)&gt;0,AM391+1,0),0)</f>
        <v>0</v>
      </c>
      <c r="AO391" s="169">
        <f>IF(AO$2&lt;=AnalysisPeriod,IF(SUM($C682:AO682)&gt;0,AN391+1,0),0)</f>
        <v>0</v>
      </c>
      <c r="AP391" s="169">
        <f>IF(AP$2&lt;=AnalysisPeriod,IF(SUM($C682:AP682)&gt;0,AO391+1,0),0)</f>
        <v>0</v>
      </c>
    </row>
    <row r="392" spans="1:42" x14ac:dyDescent="0.2">
      <c r="A392" s="101">
        <f t="shared" si="195"/>
        <v>5</v>
      </c>
      <c r="C392" s="169">
        <f>IF(C$2&lt;=AnalysisPeriod,IF(SUM($C683:C683)&gt;0,B392+1,0),0)</f>
        <v>0</v>
      </c>
      <c r="D392" s="169">
        <f>IF(D$2&lt;=AnalysisPeriod,IF(SUM($C683:D683)&gt;0,C392+1,0),0)</f>
        <v>0</v>
      </c>
      <c r="E392" s="169">
        <f>IF(E$2&lt;=AnalysisPeriod,IF(SUM($C683:E683)&gt;0,D392+1,0),0)</f>
        <v>0</v>
      </c>
      <c r="F392" s="169">
        <f>IF(F$2&lt;=AnalysisPeriod,IF(SUM($C683:F683)&gt;0,E392+1,0),0)</f>
        <v>0</v>
      </c>
      <c r="G392" s="169">
        <f>IF(G$2&lt;=AnalysisPeriod,IF(SUM($C683:G683)&gt;0,F392+1,0),0)</f>
        <v>0</v>
      </c>
      <c r="H392" s="169">
        <f>IF(H$2&lt;=AnalysisPeriod,IF(SUM($C683:H683)&gt;0,G392+1,0),0)</f>
        <v>0</v>
      </c>
      <c r="I392" s="169">
        <f>IF(I$2&lt;=AnalysisPeriod,IF(SUM($C683:I683)&gt;0,H392+1,0),0)</f>
        <v>0</v>
      </c>
      <c r="J392" s="169">
        <f>IF(J$2&lt;=AnalysisPeriod,IF(SUM($C683:J683)&gt;0,I392+1,0),0)</f>
        <v>0</v>
      </c>
      <c r="K392" s="169">
        <f>IF(K$2&lt;=AnalysisPeriod,IF(SUM($C683:K683)&gt;0,J392+1,0),0)</f>
        <v>0</v>
      </c>
      <c r="L392" s="169">
        <f>IF(L$2&lt;=AnalysisPeriod,IF(SUM($C683:L683)&gt;0,K392+1,0),0)</f>
        <v>0</v>
      </c>
      <c r="M392" s="169">
        <f>IF(M$2&lt;=AnalysisPeriod,IF(SUM($C683:M683)&gt;0,L392+1,0),0)</f>
        <v>0</v>
      </c>
      <c r="N392" s="169">
        <f>IF(N$2&lt;=AnalysisPeriod,IF(SUM($C683:N683)&gt;0,M392+1,0),0)</f>
        <v>0</v>
      </c>
      <c r="O392" s="169">
        <f>IF(O$2&lt;=AnalysisPeriod,IF(SUM($C683:O683)&gt;0,N392+1,0),0)</f>
        <v>0</v>
      </c>
      <c r="P392" s="169">
        <f>IF(P$2&lt;=AnalysisPeriod,IF(SUM($C683:P683)&gt;0,O392+1,0),0)</f>
        <v>0</v>
      </c>
      <c r="Q392" s="169">
        <f>IF(Q$2&lt;=AnalysisPeriod,IF(SUM($C683:Q683)&gt;0,P392+1,0),0)</f>
        <v>0</v>
      </c>
      <c r="R392" s="169">
        <f>IF(R$2&lt;=AnalysisPeriod,IF(SUM($C683:R683)&gt;0,Q392+1,0),0)</f>
        <v>0</v>
      </c>
      <c r="S392" s="169">
        <f>IF(S$2&lt;=AnalysisPeriod,IF(SUM($C683:S683)&gt;0,R392+1,0),0)</f>
        <v>0</v>
      </c>
      <c r="T392" s="169">
        <f>IF(T$2&lt;=AnalysisPeriod,IF(SUM($C683:T683)&gt;0,S392+1,0),0)</f>
        <v>0</v>
      </c>
      <c r="U392" s="169">
        <f>IF(U$2&lt;=AnalysisPeriod,IF(SUM($C683:U683)&gt;0,T392+1,0),0)</f>
        <v>0</v>
      </c>
      <c r="V392" s="169">
        <f>IF(V$2&lt;=AnalysisPeriod,IF(SUM($C683:V683)&gt;0,U392+1,0),0)</f>
        <v>0</v>
      </c>
      <c r="W392" s="169">
        <f>IF(W$2&lt;=AnalysisPeriod,IF(SUM($C683:W683)&gt;0,V392+1,0),0)</f>
        <v>0</v>
      </c>
      <c r="X392" s="169">
        <f>IF(X$2&lt;=AnalysisPeriod,IF(SUM($C683:X683)&gt;0,W392+1,0),0)</f>
        <v>0</v>
      </c>
      <c r="Y392" s="169">
        <f>IF(Y$2&lt;=AnalysisPeriod,IF(SUM($C683:Y683)&gt;0,X392+1,0),0)</f>
        <v>0</v>
      </c>
      <c r="Z392" s="169">
        <f>IF(Z$2&lt;=AnalysisPeriod,IF(SUM($C683:Z683)&gt;0,Y392+1,0),0)</f>
        <v>0</v>
      </c>
      <c r="AA392" s="169">
        <f>IF(AA$2&lt;=AnalysisPeriod,IF(SUM($C683:AA683)&gt;0,Z392+1,0),0)</f>
        <v>0</v>
      </c>
      <c r="AB392" s="169">
        <f>IF(AB$2&lt;=AnalysisPeriod,IF(SUM($C683:AB683)&gt;0,AA392+1,0),0)</f>
        <v>0</v>
      </c>
      <c r="AC392" s="169">
        <f>IF(AC$2&lt;=AnalysisPeriod,IF(SUM($C683:AC683)&gt;0,AB392+1,0),0)</f>
        <v>0</v>
      </c>
      <c r="AD392" s="169">
        <f>IF(AD$2&lt;=AnalysisPeriod,IF(SUM($C683:AD683)&gt;0,AC392+1,0),0)</f>
        <v>0</v>
      </c>
      <c r="AE392" s="169">
        <f>IF(AE$2&lt;=AnalysisPeriod,IF(SUM($C683:AE683)&gt;0,AD392+1,0),0)</f>
        <v>0</v>
      </c>
      <c r="AF392" s="169">
        <f>IF(AF$2&lt;=AnalysisPeriod,IF(SUM($C683:AF683)&gt;0,AE392+1,0),0)</f>
        <v>0</v>
      </c>
      <c r="AG392" s="169">
        <f>IF(AG$2&lt;=AnalysisPeriod,IF(SUM($C683:AG683)&gt;0,AF392+1,0),0)</f>
        <v>0</v>
      </c>
      <c r="AH392" s="169">
        <f>IF(AH$2&lt;=AnalysisPeriod,IF(SUM($C683:AH683)&gt;0,AG392+1,0),0)</f>
        <v>0</v>
      </c>
      <c r="AI392" s="169">
        <f>IF(AI$2&lt;=AnalysisPeriod,IF(SUM($C683:AI683)&gt;0,AH392+1,0),0)</f>
        <v>0</v>
      </c>
      <c r="AJ392" s="169">
        <f>IF(AJ$2&lt;=AnalysisPeriod,IF(SUM($C683:AJ683)&gt;0,AI392+1,0),0)</f>
        <v>0</v>
      </c>
      <c r="AK392" s="169">
        <f>IF(AK$2&lt;=AnalysisPeriod,IF(SUM($C683:AK683)&gt;0,AJ392+1,0),0)</f>
        <v>0</v>
      </c>
      <c r="AL392" s="169">
        <f>IF(AL$2&lt;=AnalysisPeriod,IF(SUM($C683:AL683)&gt;0,AK392+1,0),0)</f>
        <v>0</v>
      </c>
      <c r="AM392" s="169">
        <f>IF(AM$2&lt;=AnalysisPeriod,IF(SUM($C683:AM683)&gt;0,AL392+1,0),0)</f>
        <v>0</v>
      </c>
      <c r="AN392" s="169">
        <f>IF(AN$2&lt;=AnalysisPeriod,IF(SUM($C683:AN683)&gt;0,AM392+1,0),0)</f>
        <v>0</v>
      </c>
      <c r="AO392" s="169">
        <f>IF(AO$2&lt;=AnalysisPeriod,IF(SUM($C683:AO683)&gt;0,AN392+1,0),0)</f>
        <v>0</v>
      </c>
      <c r="AP392" s="169">
        <f>IF(AP$2&lt;=AnalysisPeriod,IF(SUM($C683:AP683)&gt;0,AO392+1,0),0)</f>
        <v>0</v>
      </c>
    </row>
    <row r="393" spans="1:42" x14ac:dyDescent="0.2">
      <c r="A393" s="101">
        <f t="shared" si="195"/>
        <v>6</v>
      </c>
      <c r="C393" s="169">
        <f>IF(C$2&lt;=AnalysisPeriod,IF(SUM($C684:C684)&gt;0,B393+1,0),0)</f>
        <v>0</v>
      </c>
      <c r="D393" s="169">
        <f>IF(D$2&lt;=AnalysisPeriod,IF(SUM($C684:D684)&gt;0,C393+1,0),0)</f>
        <v>0</v>
      </c>
      <c r="E393" s="169">
        <f>IF(E$2&lt;=AnalysisPeriod,IF(SUM($C684:E684)&gt;0,D393+1,0),0)</f>
        <v>0</v>
      </c>
      <c r="F393" s="169">
        <f>IF(F$2&lt;=AnalysisPeriod,IF(SUM($C684:F684)&gt;0,E393+1,0),0)</f>
        <v>0</v>
      </c>
      <c r="G393" s="169">
        <f>IF(G$2&lt;=AnalysisPeriod,IF(SUM($C684:G684)&gt;0,F393+1,0),0)</f>
        <v>0</v>
      </c>
      <c r="H393" s="169">
        <f>IF(H$2&lt;=AnalysisPeriod,IF(SUM($C684:H684)&gt;0,G393+1,0),0)</f>
        <v>0</v>
      </c>
      <c r="I393" s="169">
        <f>IF(I$2&lt;=AnalysisPeriod,IF(SUM($C684:I684)&gt;0,H393+1,0),0)</f>
        <v>0</v>
      </c>
      <c r="J393" s="169">
        <f>IF(J$2&lt;=AnalysisPeriod,IF(SUM($C684:J684)&gt;0,I393+1,0),0)</f>
        <v>0</v>
      </c>
      <c r="K393" s="169">
        <f>IF(K$2&lt;=AnalysisPeriod,IF(SUM($C684:K684)&gt;0,J393+1,0),0)</f>
        <v>0</v>
      </c>
      <c r="L393" s="169">
        <f>IF(L$2&lt;=AnalysisPeriod,IF(SUM($C684:L684)&gt;0,K393+1,0),0)</f>
        <v>0</v>
      </c>
      <c r="M393" s="169">
        <f>IF(M$2&lt;=AnalysisPeriod,IF(SUM($C684:M684)&gt;0,L393+1,0),0)</f>
        <v>0</v>
      </c>
      <c r="N393" s="169">
        <f>IF(N$2&lt;=AnalysisPeriod,IF(SUM($C684:N684)&gt;0,M393+1,0),0)</f>
        <v>0</v>
      </c>
      <c r="O393" s="169">
        <f>IF(O$2&lt;=AnalysisPeriod,IF(SUM($C684:O684)&gt;0,N393+1,0),0)</f>
        <v>0</v>
      </c>
      <c r="P393" s="169">
        <f>IF(P$2&lt;=AnalysisPeriod,IF(SUM($C684:P684)&gt;0,O393+1,0),0)</f>
        <v>0</v>
      </c>
      <c r="Q393" s="169">
        <f>IF(Q$2&lt;=AnalysisPeriod,IF(SUM($C684:Q684)&gt;0,P393+1,0),0)</f>
        <v>0</v>
      </c>
      <c r="R393" s="169">
        <f>IF(R$2&lt;=AnalysisPeriod,IF(SUM($C684:R684)&gt;0,Q393+1,0),0)</f>
        <v>0</v>
      </c>
      <c r="S393" s="169">
        <f>IF(S$2&lt;=AnalysisPeriod,IF(SUM($C684:S684)&gt;0,R393+1,0),0)</f>
        <v>0</v>
      </c>
      <c r="T393" s="169">
        <f>IF(T$2&lt;=AnalysisPeriod,IF(SUM($C684:T684)&gt;0,S393+1,0),0)</f>
        <v>0</v>
      </c>
      <c r="U393" s="169">
        <f>IF(U$2&lt;=AnalysisPeriod,IF(SUM($C684:U684)&gt;0,T393+1,0),0)</f>
        <v>0</v>
      </c>
      <c r="V393" s="169">
        <f>IF(V$2&lt;=AnalysisPeriod,IF(SUM($C684:V684)&gt;0,U393+1,0),0)</f>
        <v>0</v>
      </c>
      <c r="W393" s="169">
        <f>IF(W$2&lt;=AnalysisPeriod,IF(SUM($C684:W684)&gt;0,V393+1,0),0)</f>
        <v>0</v>
      </c>
      <c r="X393" s="169">
        <f>IF(X$2&lt;=AnalysisPeriod,IF(SUM($C684:X684)&gt;0,W393+1,0),0)</f>
        <v>0</v>
      </c>
      <c r="Y393" s="169">
        <f>IF(Y$2&lt;=AnalysisPeriod,IF(SUM($C684:Y684)&gt;0,X393+1,0),0)</f>
        <v>0</v>
      </c>
      <c r="Z393" s="169">
        <f>IF(Z$2&lt;=AnalysisPeriod,IF(SUM($C684:Z684)&gt;0,Y393+1,0),0)</f>
        <v>0</v>
      </c>
      <c r="AA393" s="169">
        <f>IF(AA$2&lt;=AnalysisPeriod,IF(SUM($C684:AA684)&gt;0,Z393+1,0),0)</f>
        <v>0</v>
      </c>
      <c r="AB393" s="169">
        <f>IF(AB$2&lt;=AnalysisPeriod,IF(SUM($C684:AB684)&gt;0,AA393+1,0),0)</f>
        <v>0</v>
      </c>
      <c r="AC393" s="169">
        <f>IF(AC$2&lt;=AnalysisPeriod,IF(SUM($C684:AC684)&gt;0,AB393+1,0),0)</f>
        <v>0</v>
      </c>
      <c r="AD393" s="169">
        <f>IF(AD$2&lt;=AnalysisPeriod,IF(SUM($C684:AD684)&gt;0,AC393+1,0),0)</f>
        <v>0</v>
      </c>
      <c r="AE393" s="169">
        <f>IF(AE$2&lt;=AnalysisPeriod,IF(SUM($C684:AE684)&gt;0,AD393+1,0),0)</f>
        <v>0</v>
      </c>
      <c r="AF393" s="169">
        <f>IF(AF$2&lt;=AnalysisPeriod,IF(SUM($C684:AF684)&gt;0,AE393+1,0),0)</f>
        <v>0</v>
      </c>
      <c r="AG393" s="169">
        <f>IF(AG$2&lt;=AnalysisPeriod,IF(SUM($C684:AG684)&gt;0,AF393+1,0),0)</f>
        <v>0</v>
      </c>
      <c r="AH393" s="169">
        <f>IF(AH$2&lt;=AnalysisPeriod,IF(SUM($C684:AH684)&gt;0,AG393+1,0),0)</f>
        <v>0</v>
      </c>
      <c r="AI393" s="169">
        <f>IF(AI$2&lt;=AnalysisPeriod,IF(SUM($C684:AI684)&gt;0,AH393+1,0),0)</f>
        <v>0</v>
      </c>
      <c r="AJ393" s="169">
        <f>IF(AJ$2&lt;=AnalysisPeriod,IF(SUM($C684:AJ684)&gt;0,AI393+1,0),0)</f>
        <v>0</v>
      </c>
      <c r="AK393" s="169">
        <f>IF(AK$2&lt;=AnalysisPeriod,IF(SUM($C684:AK684)&gt;0,AJ393+1,0),0)</f>
        <v>0</v>
      </c>
      <c r="AL393" s="169">
        <f>IF(AL$2&lt;=AnalysisPeriod,IF(SUM($C684:AL684)&gt;0,AK393+1,0),0)</f>
        <v>0</v>
      </c>
      <c r="AM393" s="169">
        <f>IF(AM$2&lt;=AnalysisPeriod,IF(SUM($C684:AM684)&gt;0,AL393+1,0),0)</f>
        <v>0</v>
      </c>
      <c r="AN393" s="169">
        <f>IF(AN$2&lt;=AnalysisPeriod,IF(SUM($C684:AN684)&gt;0,AM393+1,0),0)</f>
        <v>0</v>
      </c>
      <c r="AO393" s="169">
        <f>IF(AO$2&lt;=AnalysisPeriod,IF(SUM($C684:AO684)&gt;0,AN393+1,0),0)</f>
        <v>0</v>
      </c>
      <c r="AP393" s="169">
        <f>IF(AP$2&lt;=AnalysisPeriod,IF(SUM($C684:AP684)&gt;0,AO393+1,0),0)</f>
        <v>0</v>
      </c>
    </row>
    <row r="394" spans="1:42" x14ac:dyDescent="0.2">
      <c r="A394" s="101">
        <f t="shared" si="195"/>
        <v>7</v>
      </c>
      <c r="C394" s="169">
        <f>IF(C$2&lt;=AnalysisPeriod,IF(SUM($C685:C685)&gt;0,B394+1,0),0)</f>
        <v>0</v>
      </c>
      <c r="D394" s="169">
        <f>IF(D$2&lt;=AnalysisPeriod,IF(SUM($C685:D685)&gt;0,C394+1,0),0)</f>
        <v>0</v>
      </c>
      <c r="E394" s="169">
        <f>IF(E$2&lt;=AnalysisPeriod,IF(SUM($C685:E685)&gt;0,D394+1,0),0)</f>
        <v>0</v>
      </c>
      <c r="F394" s="169">
        <f>IF(F$2&lt;=AnalysisPeriod,IF(SUM($C685:F685)&gt;0,E394+1,0),0)</f>
        <v>0</v>
      </c>
      <c r="G394" s="169">
        <f>IF(G$2&lt;=AnalysisPeriod,IF(SUM($C685:G685)&gt;0,F394+1,0),0)</f>
        <v>0</v>
      </c>
      <c r="H394" s="169">
        <f>IF(H$2&lt;=AnalysisPeriod,IF(SUM($C685:H685)&gt;0,G394+1,0),0)</f>
        <v>0</v>
      </c>
      <c r="I394" s="169">
        <f>IF(I$2&lt;=AnalysisPeriod,IF(SUM($C685:I685)&gt;0,H394+1,0),0)</f>
        <v>0</v>
      </c>
      <c r="J394" s="169">
        <f>IF(J$2&lt;=AnalysisPeriod,IF(SUM($C685:J685)&gt;0,I394+1,0),0)</f>
        <v>0</v>
      </c>
      <c r="K394" s="169">
        <f>IF(K$2&lt;=AnalysisPeriod,IF(SUM($C685:K685)&gt;0,J394+1,0),0)</f>
        <v>0</v>
      </c>
      <c r="L394" s="169">
        <f>IF(L$2&lt;=AnalysisPeriod,IF(SUM($C685:L685)&gt;0,K394+1,0),0)</f>
        <v>0</v>
      </c>
      <c r="M394" s="169">
        <f>IF(M$2&lt;=AnalysisPeriod,IF(SUM($C685:M685)&gt;0,L394+1,0),0)</f>
        <v>0</v>
      </c>
      <c r="N394" s="169">
        <f>IF(N$2&lt;=AnalysisPeriod,IF(SUM($C685:N685)&gt;0,M394+1,0),0)</f>
        <v>0</v>
      </c>
      <c r="O394" s="169">
        <f>IF(O$2&lt;=AnalysisPeriod,IF(SUM($C685:O685)&gt;0,N394+1,0),0)</f>
        <v>0</v>
      </c>
      <c r="P394" s="169">
        <f>IF(P$2&lt;=AnalysisPeriod,IF(SUM($C685:P685)&gt;0,O394+1,0),0)</f>
        <v>0</v>
      </c>
      <c r="Q394" s="169">
        <f>IF(Q$2&lt;=AnalysisPeriod,IF(SUM($C685:Q685)&gt;0,P394+1,0),0)</f>
        <v>0</v>
      </c>
      <c r="R394" s="169">
        <f>IF(R$2&lt;=AnalysisPeriod,IF(SUM($C685:R685)&gt;0,Q394+1,0),0)</f>
        <v>0</v>
      </c>
      <c r="S394" s="169">
        <f>IF(S$2&lt;=AnalysisPeriod,IF(SUM($C685:S685)&gt;0,R394+1,0),0)</f>
        <v>0</v>
      </c>
      <c r="T394" s="169">
        <f>IF(T$2&lt;=AnalysisPeriod,IF(SUM($C685:T685)&gt;0,S394+1,0),0)</f>
        <v>0</v>
      </c>
      <c r="U394" s="169">
        <f>IF(U$2&lt;=AnalysisPeriod,IF(SUM($C685:U685)&gt;0,T394+1,0),0)</f>
        <v>0</v>
      </c>
      <c r="V394" s="169">
        <f>IF(V$2&lt;=AnalysisPeriod,IF(SUM($C685:V685)&gt;0,U394+1,0),0)</f>
        <v>0</v>
      </c>
      <c r="W394" s="169">
        <f>IF(W$2&lt;=AnalysisPeriod,IF(SUM($C685:W685)&gt;0,V394+1,0),0)</f>
        <v>0</v>
      </c>
      <c r="X394" s="169">
        <f>IF(X$2&lt;=AnalysisPeriod,IF(SUM($C685:X685)&gt;0,W394+1,0),0)</f>
        <v>0</v>
      </c>
      <c r="Y394" s="169">
        <f>IF(Y$2&lt;=AnalysisPeriod,IF(SUM($C685:Y685)&gt;0,X394+1,0),0)</f>
        <v>0</v>
      </c>
      <c r="Z394" s="169">
        <f>IF(Z$2&lt;=AnalysisPeriod,IF(SUM($C685:Z685)&gt;0,Y394+1,0),0)</f>
        <v>0</v>
      </c>
      <c r="AA394" s="169">
        <f>IF(AA$2&lt;=AnalysisPeriod,IF(SUM($C685:AA685)&gt;0,Z394+1,0),0)</f>
        <v>0</v>
      </c>
      <c r="AB394" s="169">
        <f>IF(AB$2&lt;=AnalysisPeriod,IF(SUM($C685:AB685)&gt;0,AA394+1,0),0)</f>
        <v>0</v>
      </c>
      <c r="AC394" s="169">
        <f>IF(AC$2&lt;=AnalysisPeriod,IF(SUM($C685:AC685)&gt;0,AB394+1,0),0)</f>
        <v>0</v>
      </c>
      <c r="AD394" s="169">
        <f>IF(AD$2&lt;=AnalysisPeriod,IF(SUM($C685:AD685)&gt;0,AC394+1,0),0)</f>
        <v>0</v>
      </c>
      <c r="AE394" s="169">
        <f>IF(AE$2&lt;=AnalysisPeriod,IF(SUM($C685:AE685)&gt;0,AD394+1,0),0)</f>
        <v>0</v>
      </c>
      <c r="AF394" s="169">
        <f>IF(AF$2&lt;=AnalysisPeriod,IF(SUM($C685:AF685)&gt;0,AE394+1,0),0)</f>
        <v>0</v>
      </c>
      <c r="AG394" s="169">
        <f>IF(AG$2&lt;=AnalysisPeriod,IF(SUM($C685:AG685)&gt;0,AF394+1,0),0)</f>
        <v>0</v>
      </c>
      <c r="AH394" s="169">
        <f>IF(AH$2&lt;=AnalysisPeriod,IF(SUM($C685:AH685)&gt;0,AG394+1,0),0)</f>
        <v>0</v>
      </c>
      <c r="AI394" s="169">
        <f>IF(AI$2&lt;=AnalysisPeriod,IF(SUM($C685:AI685)&gt;0,AH394+1,0),0)</f>
        <v>0</v>
      </c>
      <c r="AJ394" s="169">
        <f>IF(AJ$2&lt;=AnalysisPeriod,IF(SUM($C685:AJ685)&gt;0,AI394+1,0),0)</f>
        <v>0</v>
      </c>
      <c r="AK394" s="169">
        <f>IF(AK$2&lt;=AnalysisPeriod,IF(SUM($C685:AK685)&gt;0,AJ394+1,0),0)</f>
        <v>0</v>
      </c>
      <c r="AL394" s="169">
        <f>IF(AL$2&lt;=AnalysisPeriod,IF(SUM($C685:AL685)&gt;0,AK394+1,0),0)</f>
        <v>0</v>
      </c>
      <c r="AM394" s="169">
        <f>IF(AM$2&lt;=AnalysisPeriod,IF(SUM($C685:AM685)&gt;0,AL394+1,0),0)</f>
        <v>0</v>
      </c>
      <c r="AN394" s="169">
        <f>IF(AN$2&lt;=AnalysisPeriod,IF(SUM($C685:AN685)&gt;0,AM394+1,0),0)</f>
        <v>0</v>
      </c>
      <c r="AO394" s="169">
        <f>IF(AO$2&lt;=AnalysisPeriod,IF(SUM($C685:AO685)&gt;0,AN394+1,0),0)</f>
        <v>0</v>
      </c>
      <c r="AP394" s="169">
        <f>IF(AP$2&lt;=AnalysisPeriod,IF(SUM($C685:AP685)&gt;0,AO394+1,0),0)</f>
        <v>0</v>
      </c>
    </row>
    <row r="395" spans="1:42" x14ac:dyDescent="0.2">
      <c r="A395" s="101">
        <f t="shared" si="195"/>
        <v>8</v>
      </c>
      <c r="C395" s="169">
        <f>IF(C$2&lt;=AnalysisPeriod,IF(SUM($C686:C686)&gt;0,B395+1,0),0)</f>
        <v>0</v>
      </c>
      <c r="D395" s="169">
        <f>IF(D$2&lt;=AnalysisPeriod,IF(SUM($C686:D686)&gt;0,C395+1,0),0)</f>
        <v>0</v>
      </c>
      <c r="E395" s="169">
        <f>IF(E$2&lt;=AnalysisPeriod,IF(SUM($C686:E686)&gt;0,D395+1,0),0)</f>
        <v>0</v>
      </c>
      <c r="F395" s="169">
        <f>IF(F$2&lt;=AnalysisPeriod,IF(SUM($C686:F686)&gt;0,E395+1,0),0)</f>
        <v>0</v>
      </c>
      <c r="G395" s="169">
        <f>IF(G$2&lt;=AnalysisPeriod,IF(SUM($C686:G686)&gt;0,F395+1,0),0)</f>
        <v>0</v>
      </c>
      <c r="H395" s="169">
        <f>IF(H$2&lt;=AnalysisPeriod,IF(SUM($C686:H686)&gt;0,G395+1,0),0)</f>
        <v>0</v>
      </c>
      <c r="I395" s="169">
        <f>IF(I$2&lt;=AnalysisPeriod,IF(SUM($C686:I686)&gt;0,H395+1,0),0)</f>
        <v>0</v>
      </c>
      <c r="J395" s="169">
        <f>IF(J$2&lt;=AnalysisPeriod,IF(SUM($C686:J686)&gt;0,I395+1,0),0)</f>
        <v>0</v>
      </c>
      <c r="K395" s="169">
        <f>IF(K$2&lt;=AnalysisPeriod,IF(SUM($C686:K686)&gt;0,J395+1,0),0)</f>
        <v>0</v>
      </c>
      <c r="L395" s="169">
        <f>IF(L$2&lt;=AnalysisPeriod,IF(SUM($C686:L686)&gt;0,K395+1,0),0)</f>
        <v>0</v>
      </c>
      <c r="M395" s="169">
        <f>IF(M$2&lt;=AnalysisPeriod,IF(SUM($C686:M686)&gt;0,L395+1,0),0)</f>
        <v>0</v>
      </c>
      <c r="N395" s="169">
        <f>IF(N$2&lt;=AnalysisPeriod,IF(SUM($C686:N686)&gt;0,M395+1,0),0)</f>
        <v>0</v>
      </c>
      <c r="O395" s="169">
        <f>IF(O$2&lt;=AnalysisPeriod,IF(SUM($C686:O686)&gt;0,N395+1,0),0)</f>
        <v>0</v>
      </c>
      <c r="P395" s="169">
        <f>IF(P$2&lt;=AnalysisPeriod,IF(SUM($C686:P686)&gt;0,O395+1,0),0)</f>
        <v>0</v>
      </c>
      <c r="Q395" s="169">
        <f>IF(Q$2&lt;=AnalysisPeriod,IF(SUM($C686:Q686)&gt;0,P395+1,0),0)</f>
        <v>0</v>
      </c>
      <c r="R395" s="169">
        <f>IF(R$2&lt;=AnalysisPeriod,IF(SUM($C686:R686)&gt;0,Q395+1,0),0)</f>
        <v>0</v>
      </c>
      <c r="S395" s="169">
        <f>IF(S$2&lt;=AnalysisPeriod,IF(SUM($C686:S686)&gt;0,R395+1,0),0)</f>
        <v>0</v>
      </c>
      <c r="T395" s="169">
        <f>IF(T$2&lt;=AnalysisPeriod,IF(SUM($C686:T686)&gt;0,S395+1,0),0)</f>
        <v>0</v>
      </c>
      <c r="U395" s="169">
        <f>IF(U$2&lt;=AnalysisPeriod,IF(SUM($C686:U686)&gt;0,T395+1,0),0)</f>
        <v>0</v>
      </c>
      <c r="V395" s="169">
        <f>IF(V$2&lt;=AnalysisPeriod,IF(SUM($C686:V686)&gt;0,U395+1,0),0)</f>
        <v>0</v>
      </c>
      <c r="W395" s="169">
        <f>IF(W$2&lt;=AnalysisPeriod,IF(SUM($C686:W686)&gt;0,V395+1,0),0)</f>
        <v>0</v>
      </c>
      <c r="X395" s="169">
        <f>IF(X$2&lt;=AnalysisPeriod,IF(SUM($C686:X686)&gt;0,W395+1,0),0)</f>
        <v>0</v>
      </c>
      <c r="Y395" s="169">
        <f>IF(Y$2&lt;=AnalysisPeriod,IF(SUM($C686:Y686)&gt;0,X395+1,0),0)</f>
        <v>0</v>
      </c>
      <c r="Z395" s="169">
        <f>IF(Z$2&lt;=AnalysisPeriod,IF(SUM($C686:Z686)&gt;0,Y395+1,0),0)</f>
        <v>0</v>
      </c>
      <c r="AA395" s="169">
        <f>IF(AA$2&lt;=AnalysisPeriod,IF(SUM($C686:AA686)&gt;0,Z395+1,0),0)</f>
        <v>0</v>
      </c>
      <c r="AB395" s="169">
        <f>IF(AB$2&lt;=AnalysisPeriod,IF(SUM($C686:AB686)&gt;0,AA395+1,0),0)</f>
        <v>0</v>
      </c>
      <c r="AC395" s="169">
        <f>IF(AC$2&lt;=AnalysisPeriod,IF(SUM($C686:AC686)&gt;0,AB395+1,0),0)</f>
        <v>0</v>
      </c>
      <c r="AD395" s="169">
        <f>IF(AD$2&lt;=AnalysisPeriod,IF(SUM($C686:AD686)&gt;0,AC395+1,0),0)</f>
        <v>0</v>
      </c>
      <c r="AE395" s="169">
        <f>IF(AE$2&lt;=AnalysisPeriod,IF(SUM($C686:AE686)&gt;0,AD395+1,0),0)</f>
        <v>0</v>
      </c>
      <c r="AF395" s="169">
        <f>IF(AF$2&lt;=AnalysisPeriod,IF(SUM($C686:AF686)&gt;0,AE395+1,0),0)</f>
        <v>0</v>
      </c>
      <c r="AG395" s="169">
        <f>IF(AG$2&lt;=AnalysisPeriod,IF(SUM($C686:AG686)&gt;0,AF395+1,0),0)</f>
        <v>0</v>
      </c>
      <c r="AH395" s="169">
        <f>IF(AH$2&lt;=AnalysisPeriod,IF(SUM($C686:AH686)&gt;0,AG395+1,0),0)</f>
        <v>0</v>
      </c>
      <c r="AI395" s="169">
        <f>IF(AI$2&lt;=AnalysisPeriod,IF(SUM($C686:AI686)&gt;0,AH395+1,0),0)</f>
        <v>0</v>
      </c>
      <c r="AJ395" s="169">
        <f>IF(AJ$2&lt;=AnalysisPeriod,IF(SUM($C686:AJ686)&gt;0,AI395+1,0),0)</f>
        <v>0</v>
      </c>
      <c r="AK395" s="169">
        <f>IF(AK$2&lt;=AnalysisPeriod,IF(SUM($C686:AK686)&gt;0,AJ395+1,0),0)</f>
        <v>0</v>
      </c>
      <c r="AL395" s="169">
        <f>IF(AL$2&lt;=AnalysisPeriod,IF(SUM($C686:AL686)&gt;0,AK395+1,0),0)</f>
        <v>0</v>
      </c>
      <c r="AM395" s="169">
        <f>IF(AM$2&lt;=AnalysisPeriod,IF(SUM($C686:AM686)&gt;0,AL395+1,0),0)</f>
        <v>0</v>
      </c>
      <c r="AN395" s="169">
        <f>IF(AN$2&lt;=AnalysisPeriod,IF(SUM($C686:AN686)&gt;0,AM395+1,0),0)</f>
        <v>0</v>
      </c>
      <c r="AO395" s="169">
        <f>IF(AO$2&lt;=AnalysisPeriod,IF(SUM($C686:AO686)&gt;0,AN395+1,0),0)</f>
        <v>0</v>
      </c>
      <c r="AP395" s="169">
        <f>IF(AP$2&lt;=AnalysisPeriod,IF(SUM($C686:AP686)&gt;0,AO395+1,0),0)</f>
        <v>0</v>
      </c>
    </row>
    <row r="396" spans="1:42" x14ac:dyDescent="0.2">
      <c r="A396" s="101">
        <f>A395+1</f>
        <v>9</v>
      </c>
      <c r="C396" s="169">
        <f>IF(C$2&lt;=AnalysisPeriod,IF(SUM($C687:C687)&gt;0,B396+1,0),0)</f>
        <v>0</v>
      </c>
      <c r="D396" s="169">
        <f>IF(D$2&lt;=AnalysisPeriod,IF(SUM($C687:D687)&gt;0,C396+1,0),0)</f>
        <v>0</v>
      </c>
      <c r="E396" s="169">
        <f>IF(E$2&lt;=AnalysisPeriod,IF(SUM($C687:E687)&gt;0,D396+1,0),0)</f>
        <v>0</v>
      </c>
      <c r="F396" s="169">
        <f>IF(F$2&lt;=AnalysisPeriod,IF(SUM($C687:F687)&gt;0,E396+1,0),0)</f>
        <v>0</v>
      </c>
      <c r="G396" s="169">
        <f>IF(G$2&lt;=AnalysisPeriod,IF(SUM($C687:G687)&gt;0,F396+1,0),0)</f>
        <v>0</v>
      </c>
      <c r="H396" s="169">
        <f>IF(H$2&lt;=AnalysisPeriod,IF(SUM($C687:H687)&gt;0,G396+1,0),0)</f>
        <v>0</v>
      </c>
      <c r="I396" s="169">
        <f>IF(I$2&lt;=AnalysisPeriod,IF(SUM($C687:I687)&gt;0,H396+1,0),0)</f>
        <v>0</v>
      </c>
      <c r="J396" s="169">
        <f>IF(J$2&lt;=AnalysisPeriod,IF(SUM($C687:J687)&gt;0,I396+1,0),0)</f>
        <v>0</v>
      </c>
      <c r="K396" s="169">
        <f>IF(K$2&lt;=AnalysisPeriod,IF(SUM($C687:K687)&gt;0,J396+1,0),0)</f>
        <v>0</v>
      </c>
      <c r="L396" s="169">
        <f>IF(L$2&lt;=AnalysisPeriod,IF(SUM($C687:L687)&gt;0,K396+1,0),0)</f>
        <v>0</v>
      </c>
      <c r="M396" s="169">
        <f>IF(M$2&lt;=AnalysisPeriod,IF(SUM($C687:M687)&gt;0,L396+1,0),0)</f>
        <v>0</v>
      </c>
      <c r="N396" s="169">
        <f>IF(N$2&lt;=AnalysisPeriod,IF(SUM($C687:N687)&gt;0,M396+1,0),0)</f>
        <v>0</v>
      </c>
      <c r="O396" s="169">
        <f>IF(O$2&lt;=AnalysisPeriod,IF(SUM($C687:O687)&gt;0,N396+1,0),0)</f>
        <v>0</v>
      </c>
      <c r="P396" s="169">
        <f>IF(P$2&lt;=AnalysisPeriod,IF(SUM($C687:P687)&gt;0,O396+1,0),0)</f>
        <v>0</v>
      </c>
      <c r="Q396" s="169">
        <f>IF(Q$2&lt;=AnalysisPeriod,IF(SUM($C687:Q687)&gt;0,P396+1,0),0)</f>
        <v>0</v>
      </c>
      <c r="R396" s="169">
        <f>IF(R$2&lt;=AnalysisPeriod,IF(SUM($C687:R687)&gt;0,Q396+1,0),0)</f>
        <v>0</v>
      </c>
      <c r="S396" s="169">
        <f>IF(S$2&lt;=AnalysisPeriod,IF(SUM($C687:S687)&gt;0,R396+1,0),0)</f>
        <v>0</v>
      </c>
      <c r="T396" s="169">
        <f>IF(T$2&lt;=AnalysisPeriod,IF(SUM($C687:T687)&gt;0,S396+1,0),0)</f>
        <v>0</v>
      </c>
      <c r="U396" s="169">
        <f>IF(U$2&lt;=AnalysisPeriod,IF(SUM($C687:U687)&gt;0,T396+1,0),0)</f>
        <v>0</v>
      </c>
      <c r="V396" s="169">
        <f>IF(V$2&lt;=AnalysisPeriod,IF(SUM($C687:V687)&gt;0,U396+1,0),0)</f>
        <v>0</v>
      </c>
      <c r="W396" s="169">
        <f>IF(W$2&lt;=AnalysisPeriod,IF(SUM($C687:W687)&gt;0,V396+1,0),0)</f>
        <v>0</v>
      </c>
      <c r="X396" s="169">
        <f>IF(X$2&lt;=AnalysisPeriod,IF(SUM($C687:X687)&gt;0,W396+1,0),0)</f>
        <v>0</v>
      </c>
      <c r="Y396" s="169">
        <f>IF(Y$2&lt;=AnalysisPeriod,IF(SUM($C687:Y687)&gt;0,X396+1,0),0)</f>
        <v>0</v>
      </c>
      <c r="Z396" s="169">
        <f>IF(Z$2&lt;=AnalysisPeriod,IF(SUM($C687:Z687)&gt;0,Y396+1,0),0)</f>
        <v>0</v>
      </c>
      <c r="AA396" s="169">
        <f>IF(AA$2&lt;=AnalysisPeriod,IF(SUM($C687:AA687)&gt;0,Z396+1,0),0)</f>
        <v>0</v>
      </c>
      <c r="AB396" s="169">
        <f>IF(AB$2&lt;=AnalysisPeriod,IF(SUM($C687:AB687)&gt;0,AA396+1,0),0)</f>
        <v>0</v>
      </c>
      <c r="AC396" s="169">
        <f>IF(AC$2&lt;=AnalysisPeriod,IF(SUM($C687:AC687)&gt;0,AB396+1,0),0)</f>
        <v>0</v>
      </c>
      <c r="AD396" s="169">
        <f>IF(AD$2&lt;=AnalysisPeriod,IF(SUM($C687:AD687)&gt;0,AC396+1,0),0)</f>
        <v>0</v>
      </c>
      <c r="AE396" s="169">
        <f>IF(AE$2&lt;=AnalysisPeriod,IF(SUM($C687:AE687)&gt;0,AD396+1,0),0)</f>
        <v>0</v>
      </c>
      <c r="AF396" s="169">
        <f>IF(AF$2&lt;=AnalysisPeriod,IF(SUM($C687:AF687)&gt;0,AE396+1,0),0)</f>
        <v>0</v>
      </c>
      <c r="AG396" s="169">
        <f>IF(AG$2&lt;=AnalysisPeriod,IF(SUM($C687:AG687)&gt;0,AF396+1,0),0)</f>
        <v>0</v>
      </c>
      <c r="AH396" s="169">
        <f>IF(AH$2&lt;=AnalysisPeriod,IF(SUM($C687:AH687)&gt;0,AG396+1,0),0)</f>
        <v>0</v>
      </c>
      <c r="AI396" s="169">
        <f>IF(AI$2&lt;=AnalysisPeriod,IF(SUM($C687:AI687)&gt;0,AH396+1,0),0)</f>
        <v>0</v>
      </c>
      <c r="AJ396" s="169">
        <f>IF(AJ$2&lt;=AnalysisPeriod,IF(SUM($C687:AJ687)&gt;0,AI396+1,0),0)</f>
        <v>0</v>
      </c>
      <c r="AK396" s="169">
        <f>IF(AK$2&lt;=AnalysisPeriod,IF(SUM($C687:AK687)&gt;0,AJ396+1,0),0)</f>
        <v>0</v>
      </c>
      <c r="AL396" s="169">
        <f>IF(AL$2&lt;=AnalysisPeriod,IF(SUM($C687:AL687)&gt;0,AK396+1,0),0)</f>
        <v>0</v>
      </c>
      <c r="AM396" s="169">
        <f>IF(AM$2&lt;=AnalysisPeriod,IF(SUM($C687:AM687)&gt;0,AL396+1,0),0)</f>
        <v>0</v>
      </c>
      <c r="AN396" s="169">
        <f>IF(AN$2&lt;=AnalysisPeriod,IF(SUM($C687:AN687)&gt;0,AM396+1,0),0)</f>
        <v>0</v>
      </c>
      <c r="AO396" s="169">
        <f>IF(AO$2&lt;=AnalysisPeriod,IF(SUM($C687:AO687)&gt;0,AN396+1,0),0)</f>
        <v>0</v>
      </c>
      <c r="AP396" s="169">
        <f>IF(AP$2&lt;=AnalysisPeriod,IF(SUM($C687:AP687)&gt;0,AO396+1,0),0)</f>
        <v>0</v>
      </c>
    </row>
    <row r="397" spans="1:42" x14ac:dyDescent="0.2">
      <c r="A397" s="101">
        <f t="shared" si="195"/>
        <v>10</v>
      </c>
      <c r="C397" s="169">
        <f>IF(C$2&lt;=AnalysisPeriod,IF(SUM($C688:C688)&gt;0,B397+1,0),0)</f>
        <v>0</v>
      </c>
      <c r="D397" s="169">
        <f>IF(D$2&lt;=AnalysisPeriod,IF(SUM($C688:D688)&gt;0,C397+1,0),0)</f>
        <v>0</v>
      </c>
      <c r="E397" s="169">
        <f>IF(E$2&lt;=AnalysisPeriod,IF(SUM($C688:E688)&gt;0,D397+1,0),0)</f>
        <v>0</v>
      </c>
      <c r="F397" s="169">
        <f>IF(F$2&lt;=AnalysisPeriod,IF(SUM($C688:F688)&gt;0,E397+1,0),0)</f>
        <v>0</v>
      </c>
      <c r="G397" s="169">
        <f>IF(G$2&lt;=AnalysisPeriod,IF(SUM($C688:G688)&gt;0,F397+1,0),0)</f>
        <v>0</v>
      </c>
      <c r="H397" s="169">
        <f>IF(H$2&lt;=AnalysisPeriod,IF(SUM($C688:H688)&gt;0,G397+1,0),0)</f>
        <v>0</v>
      </c>
      <c r="I397" s="169">
        <f>IF(I$2&lt;=AnalysisPeriod,IF(SUM($C688:I688)&gt;0,H397+1,0),0)</f>
        <v>0</v>
      </c>
      <c r="J397" s="169">
        <f>IF(J$2&lt;=AnalysisPeriod,IF(SUM($C688:J688)&gt;0,I397+1,0),0)</f>
        <v>0</v>
      </c>
      <c r="K397" s="169">
        <f>IF(K$2&lt;=AnalysisPeriod,IF(SUM($C688:K688)&gt;0,J397+1,0),0)</f>
        <v>0</v>
      </c>
      <c r="L397" s="169">
        <f>IF(L$2&lt;=AnalysisPeriod,IF(SUM($C688:L688)&gt;0,K397+1,0),0)</f>
        <v>0</v>
      </c>
      <c r="M397" s="169">
        <f>IF(M$2&lt;=AnalysisPeriod,IF(SUM($C688:M688)&gt;0,L397+1,0),0)</f>
        <v>0</v>
      </c>
      <c r="N397" s="169">
        <f>IF(N$2&lt;=AnalysisPeriod,IF(SUM($C688:N688)&gt;0,M397+1,0),0)</f>
        <v>0</v>
      </c>
      <c r="O397" s="169">
        <f>IF(O$2&lt;=AnalysisPeriod,IF(SUM($C688:O688)&gt;0,N397+1,0),0)</f>
        <v>0</v>
      </c>
      <c r="P397" s="169">
        <f>IF(P$2&lt;=AnalysisPeriod,IF(SUM($C688:P688)&gt;0,O397+1,0),0)</f>
        <v>0</v>
      </c>
      <c r="Q397" s="169">
        <f>IF(Q$2&lt;=AnalysisPeriod,IF(SUM($C688:Q688)&gt;0,P397+1,0),0)</f>
        <v>0</v>
      </c>
      <c r="R397" s="169">
        <f>IF(R$2&lt;=AnalysisPeriod,IF(SUM($C688:R688)&gt;0,Q397+1,0),0)</f>
        <v>0</v>
      </c>
      <c r="S397" s="169">
        <f>IF(S$2&lt;=AnalysisPeriod,IF(SUM($C688:S688)&gt;0,R397+1,0),0)</f>
        <v>0</v>
      </c>
      <c r="T397" s="169">
        <f>IF(T$2&lt;=AnalysisPeriod,IF(SUM($C688:T688)&gt;0,S397+1,0),0)</f>
        <v>0</v>
      </c>
      <c r="U397" s="169">
        <f>IF(U$2&lt;=AnalysisPeriod,IF(SUM($C688:U688)&gt;0,T397+1,0),0)</f>
        <v>0</v>
      </c>
      <c r="V397" s="169">
        <f>IF(V$2&lt;=AnalysisPeriod,IF(SUM($C688:V688)&gt;0,U397+1,0),0)</f>
        <v>0</v>
      </c>
      <c r="W397" s="169">
        <f>IF(W$2&lt;=AnalysisPeriod,IF(SUM($C688:W688)&gt;0,V397+1,0),0)</f>
        <v>0</v>
      </c>
      <c r="X397" s="169">
        <f>IF(X$2&lt;=AnalysisPeriod,IF(SUM($C688:X688)&gt;0,W397+1,0),0)</f>
        <v>0</v>
      </c>
      <c r="Y397" s="169">
        <f>IF(Y$2&lt;=AnalysisPeriod,IF(SUM($C688:Y688)&gt;0,X397+1,0),0)</f>
        <v>0</v>
      </c>
      <c r="Z397" s="169">
        <f>IF(Z$2&lt;=AnalysisPeriod,IF(SUM($C688:Z688)&gt;0,Y397+1,0),0)</f>
        <v>0</v>
      </c>
      <c r="AA397" s="169">
        <f>IF(AA$2&lt;=AnalysisPeriod,IF(SUM($C688:AA688)&gt;0,Z397+1,0),0)</f>
        <v>0</v>
      </c>
      <c r="AB397" s="169">
        <f>IF(AB$2&lt;=AnalysisPeriod,IF(SUM($C688:AB688)&gt;0,AA397+1,0),0)</f>
        <v>0</v>
      </c>
      <c r="AC397" s="169">
        <f>IF(AC$2&lt;=AnalysisPeriod,IF(SUM($C688:AC688)&gt;0,AB397+1,0),0)</f>
        <v>0</v>
      </c>
      <c r="AD397" s="169">
        <f>IF(AD$2&lt;=AnalysisPeriod,IF(SUM($C688:AD688)&gt;0,AC397+1,0),0)</f>
        <v>0</v>
      </c>
      <c r="AE397" s="169">
        <f>IF(AE$2&lt;=AnalysisPeriod,IF(SUM($C688:AE688)&gt;0,AD397+1,0),0)</f>
        <v>0</v>
      </c>
      <c r="AF397" s="169">
        <f>IF(AF$2&lt;=AnalysisPeriod,IF(SUM($C688:AF688)&gt;0,AE397+1,0),0)</f>
        <v>0</v>
      </c>
      <c r="AG397" s="169">
        <f>IF(AG$2&lt;=AnalysisPeriod,IF(SUM($C688:AG688)&gt;0,AF397+1,0),0)</f>
        <v>0</v>
      </c>
      <c r="AH397" s="169">
        <f>IF(AH$2&lt;=AnalysisPeriod,IF(SUM($C688:AH688)&gt;0,AG397+1,0),0)</f>
        <v>0</v>
      </c>
      <c r="AI397" s="169">
        <f>IF(AI$2&lt;=AnalysisPeriod,IF(SUM($C688:AI688)&gt;0,AH397+1,0),0)</f>
        <v>0</v>
      </c>
      <c r="AJ397" s="169">
        <f>IF(AJ$2&lt;=AnalysisPeriod,IF(SUM($C688:AJ688)&gt;0,AI397+1,0),0)</f>
        <v>0</v>
      </c>
      <c r="AK397" s="169">
        <f>IF(AK$2&lt;=AnalysisPeriod,IF(SUM($C688:AK688)&gt;0,AJ397+1,0),0)</f>
        <v>0</v>
      </c>
      <c r="AL397" s="169">
        <f>IF(AL$2&lt;=AnalysisPeriod,IF(SUM($C688:AL688)&gt;0,AK397+1,0),0)</f>
        <v>0</v>
      </c>
      <c r="AM397" s="169">
        <f>IF(AM$2&lt;=AnalysisPeriod,IF(SUM($C688:AM688)&gt;0,AL397+1,0),0)</f>
        <v>0</v>
      </c>
      <c r="AN397" s="169">
        <f>IF(AN$2&lt;=AnalysisPeriod,IF(SUM($C688:AN688)&gt;0,AM397+1,0),0)</f>
        <v>0</v>
      </c>
      <c r="AO397" s="169">
        <f>IF(AO$2&lt;=AnalysisPeriod,IF(SUM($C688:AO688)&gt;0,AN397+1,0),0)</f>
        <v>0</v>
      </c>
      <c r="AP397" s="169">
        <f>IF(AP$2&lt;=AnalysisPeriod,IF(SUM($C688:AP688)&gt;0,AO397+1,0),0)</f>
        <v>0</v>
      </c>
    </row>
    <row r="398" spans="1:42" x14ac:dyDescent="0.2">
      <c r="A398" s="187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</row>
    <row r="399" spans="1:42" x14ac:dyDescent="0.2">
      <c r="A399" s="187" t="s">
        <v>196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</row>
    <row r="400" spans="1:42" x14ac:dyDescent="0.2">
      <c r="A400" s="101">
        <v>1</v>
      </c>
      <c r="B400" s="179">
        <f t="shared" ref="B400:B409" si="196">SUM(C400:AP400)</f>
        <v>0</v>
      </c>
      <c r="C400" s="208">
        <f t="shared" ref="C400:AP400" si="197">LOOKUP(C388,$B$332:$AP$332,$B$333:$AP$333)*$B679</f>
        <v>0</v>
      </c>
      <c r="D400" s="169">
        <f t="shared" si="197"/>
        <v>0</v>
      </c>
      <c r="E400" s="169">
        <f t="shared" si="197"/>
        <v>0</v>
      </c>
      <c r="F400" s="169">
        <f t="shared" si="197"/>
        <v>0</v>
      </c>
      <c r="G400" s="169">
        <f t="shared" si="197"/>
        <v>0</v>
      </c>
      <c r="H400" s="169">
        <f t="shared" si="197"/>
        <v>0</v>
      </c>
      <c r="I400" s="169">
        <f t="shared" si="197"/>
        <v>0</v>
      </c>
      <c r="J400" s="169">
        <f t="shared" si="197"/>
        <v>0</v>
      </c>
      <c r="K400" s="169">
        <f t="shared" si="197"/>
        <v>0</v>
      </c>
      <c r="L400" s="169">
        <f t="shared" si="197"/>
        <v>0</v>
      </c>
      <c r="M400" s="169">
        <f t="shared" si="197"/>
        <v>0</v>
      </c>
      <c r="N400" s="169">
        <f t="shared" si="197"/>
        <v>0</v>
      </c>
      <c r="O400" s="169">
        <f t="shared" si="197"/>
        <v>0</v>
      </c>
      <c r="P400" s="169">
        <f t="shared" si="197"/>
        <v>0</v>
      </c>
      <c r="Q400" s="169">
        <f t="shared" si="197"/>
        <v>0</v>
      </c>
      <c r="R400" s="169">
        <f t="shared" si="197"/>
        <v>0</v>
      </c>
      <c r="S400" s="169">
        <f t="shared" si="197"/>
        <v>0</v>
      </c>
      <c r="T400" s="169">
        <f t="shared" si="197"/>
        <v>0</v>
      </c>
      <c r="U400" s="169">
        <f t="shared" si="197"/>
        <v>0</v>
      </c>
      <c r="V400" s="169">
        <f t="shared" si="197"/>
        <v>0</v>
      </c>
      <c r="W400" s="169">
        <f t="shared" si="197"/>
        <v>0</v>
      </c>
      <c r="X400" s="169">
        <f t="shared" si="197"/>
        <v>0</v>
      </c>
      <c r="Y400" s="169">
        <f t="shared" si="197"/>
        <v>0</v>
      </c>
      <c r="Z400" s="169">
        <f t="shared" si="197"/>
        <v>0</v>
      </c>
      <c r="AA400" s="169">
        <f t="shared" si="197"/>
        <v>0</v>
      </c>
      <c r="AB400" s="169">
        <f t="shared" si="197"/>
        <v>0</v>
      </c>
      <c r="AC400" s="169">
        <f t="shared" si="197"/>
        <v>0</v>
      </c>
      <c r="AD400" s="169">
        <f t="shared" si="197"/>
        <v>0</v>
      </c>
      <c r="AE400" s="169">
        <f t="shared" si="197"/>
        <v>0</v>
      </c>
      <c r="AF400" s="169">
        <f t="shared" si="197"/>
        <v>0</v>
      </c>
      <c r="AG400" s="169">
        <f t="shared" si="197"/>
        <v>0</v>
      </c>
      <c r="AH400" s="169">
        <f t="shared" si="197"/>
        <v>0</v>
      </c>
      <c r="AI400" s="169">
        <f t="shared" si="197"/>
        <v>0</v>
      </c>
      <c r="AJ400" s="169">
        <f t="shared" si="197"/>
        <v>0</v>
      </c>
      <c r="AK400" s="169">
        <f t="shared" si="197"/>
        <v>0</v>
      </c>
      <c r="AL400" s="169">
        <f t="shared" si="197"/>
        <v>0</v>
      </c>
      <c r="AM400" s="169">
        <f t="shared" si="197"/>
        <v>0</v>
      </c>
      <c r="AN400" s="169">
        <f t="shared" si="197"/>
        <v>0</v>
      </c>
      <c r="AO400" s="169">
        <f t="shared" si="197"/>
        <v>0</v>
      </c>
      <c r="AP400" s="169">
        <f t="shared" si="197"/>
        <v>0</v>
      </c>
    </row>
    <row r="401" spans="1:42" x14ac:dyDescent="0.2">
      <c r="A401" s="101">
        <f>A400+1</f>
        <v>2</v>
      </c>
      <c r="B401" s="179">
        <f t="shared" si="196"/>
        <v>0</v>
      </c>
      <c r="C401" s="208">
        <f t="shared" ref="C401:AP401" si="198">LOOKUP(C389,$B$332:$AP$332,$B$333:$AP$333)*$B680</f>
        <v>0</v>
      </c>
      <c r="D401" s="169">
        <f t="shared" si="198"/>
        <v>0</v>
      </c>
      <c r="E401" s="169">
        <f t="shared" si="198"/>
        <v>0</v>
      </c>
      <c r="F401" s="169">
        <f t="shared" si="198"/>
        <v>0</v>
      </c>
      <c r="G401" s="169">
        <f t="shared" si="198"/>
        <v>0</v>
      </c>
      <c r="H401" s="169">
        <f t="shared" si="198"/>
        <v>0</v>
      </c>
      <c r="I401" s="169">
        <f t="shared" si="198"/>
        <v>0</v>
      </c>
      <c r="J401" s="169">
        <f t="shared" si="198"/>
        <v>0</v>
      </c>
      <c r="K401" s="169">
        <f t="shared" si="198"/>
        <v>0</v>
      </c>
      <c r="L401" s="169">
        <f t="shared" si="198"/>
        <v>0</v>
      </c>
      <c r="M401" s="169">
        <f t="shared" si="198"/>
        <v>0</v>
      </c>
      <c r="N401" s="169">
        <f t="shared" si="198"/>
        <v>0</v>
      </c>
      <c r="O401" s="169">
        <f t="shared" si="198"/>
        <v>0</v>
      </c>
      <c r="P401" s="169">
        <f t="shared" si="198"/>
        <v>0</v>
      </c>
      <c r="Q401" s="169">
        <f t="shared" si="198"/>
        <v>0</v>
      </c>
      <c r="R401" s="169">
        <f t="shared" si="198"/>
        <v>0</v>
      </c>
      <c r="S401" s="169">
        <f t="shared" si="198"/>
        <v>0</v>
      </c>
      <c r="T401" s="169">
        <f t="shared" si="198"/>
        <v>0</v>
      </c>
      <c r="U401" s="169">
        <f t="shared" si="198"/>
        <v>0</v>
      </c>
      <c r="V401" s="169">
        <f t="shared" si="198"/>
        <v>0</v>
      </c>
      <c r="W401" s="169">
        <f t="shared" si="198"/>
        <v>0</v>
      </c>
      <c r="X401" s="169">
        <f t="shared" si="198"/>
        <v>0</v>
      </c>
      <c r="Y401" s="169">
        <f t="shared" si="198"/>
        <v>0</v>
      </c>
      <c r="Z401" s="169">
        <f t="shared" si="198"/>
        <v>0</v>
      </c>
      <c r="AA401" s="169">
        <f t="shared" si="198"/>
        <v>0</v>
      </c>
      <c r="AB401" s="169">
        <f t="shared" si="198"/>
        <v>0</v>
      </c>
      <c r="AC401" s="169">
        <f t="shared" si="198"/>
        <v>0</v>
      </c>
      <c r="AD401" s="169">
        <f t="shared" si="198"/>
        <v>0</v>
      </c>
      <c r="AE401" s="169">
        <f t="shared" si="198"/>
        <v>0</v>
      </c>
      <c r="AF401" s="169">
        <f t="shared" si="198"/>
        <v>0</v>
      </c>
      <c r="AG401" s="169">
        <f t="shared" si="198"/>
        <v>0</v>
      </c>
      <c r="AH401" s="169">
        <f t="shared" si="198"/>
        <v>0</v>
      </c>
      <c r="AI401" s="169">
        <f t="shared" si="198"/>
        <v>0</v>
      </c>
      <c r="AJ401" s="169">
        <f t="shared" si="198"/>
        <v>0</v>
      </c>
      <c r="AK401" s="169">
        <f t="shared" si="198"/>
        <v>0</v>
      </c>
      <c r="AL401" s="169">
        <f t="shared" si="198"/>
        <v>0</v>
      </c>
      <c r="AM401" s="169">
        <f t="shared" si="198"/>
        <v>0</v>
      </c>
      <c r="AN401" s="169">
        <f t="shared" si="198"/>
        <v>0</v>
      </c>
      <c r="AO401" s="169">
        <f t="shared" si="198"/>
        <v>0</v>
      </c>
      <c r="AP401" s="169">
        <f t="shared" si="198"/>
        <v>0</v>
      </c>
    </row>
    <row r="402" spans="1:42" x14ac:dyDescent="0.2">
      <c r="A402" s="101">
        <f t="shared" ref="A402:A409" si="199">A401+1</f>
        <v>3</v>
      </c>
      <c r="B402" s="179">
        <f t="shared" si="196"/>
        <v>0</v>
      </c>
      <c r="C402" s="208">
        <f t="shared" ref="C402:AP402" si="200">LOOKUP(C390,$B$332:$AP$332,$B$333:$AP$333)*$B681</f>
        <v>0</v>
      </c>
      <c r="D402" s="169">
        <f t="shared" si="200"/>
        <v>0</v>
      </c>
      <c r="E402" s="169">
        <f t="shared" si="200"/>
        <v>0</v>
      </c>
      <c r="F402" s="169">
        <f t="shared" si="200"/>
        <v>0</v>
      </c>
      <c r="G402" s="169">
        <f t="shared" si="200"/>
        <v>0</v>
      </c>
      <c r="H402" s="169">
        <f t="shared" si="200"/>
        <v>0</v>
      </c>
      <c r="I402" s="169">
        <f t="shared" si="200"/>
        <v>0</v>
      </c>
      <c r="J402" s="169">
        <f t="shared" si="200"/>
        <v>0</v>
      </c>
      <c r="K402" s="169">
        <f t="shared" si="200"/>
        <v>0</v>
      </c>
      <c r="L402" s="169">
        <f t="shared" si="200"/>
        <v>0</v>
      </c>
      <c r="M402" s="169">
        <f t="shared" si="200"/>
        <v>0</v>
      </c>
      <c r="N402" s="169">
        <f t="shared" si="200"/>
        <v>0</v>
      </c>
      <c r="O402" s="169">
        <f t="shared" si="200"/>
        <v>0</v>
      </c>
      <c r="P402" s="169">
        <f t="shared" si="200"/>
        <v>0</v>
      </c>
      <c r="Q402" s="169">
        <f t="shared" si="200"/>
        <v>0</v>
      </c>
      <c r="R402" s="169">
        <f t="shared" si="200"/>
        <v>0</v>
      </c>
      <c r="S402" s="169">
        <f t="shared" si="200"/>
        <v>0</v>
      </c>
      <c r="T402" s="169">
        <f t="shared" si="200"/>
        <v>0</v>
      </c>
      <c r="U402" s="169">
        <f t="shared" si="200"/>
        <v>0</v>
      </c>
      <c r="V402" s="169">
        <f t="shared" si="200"/>
        <v>0</v>
      </c>
      <c r="W402" s="169">
        <f t="shared" si="200"/>
        <v>0</v>
      </c>
      <c r="X402" s="169">
        <f t="shared" si="200"/>
        <v>0</v>
      </c>
      <c r="Y402" s="169">
        <f t="shared" si="200"/>
        <v>0</v>
      </c>
      <c r="Z402" s="169">
        <f t="shared" si="200"/>
        <v>0</v>
      </c>
      <c r="AA402" s="169">
        <f t="shared" si="200"/>
        <v>0</v>
      </c>
      <c r="AB402" s="169">
        <f t="shared" si="200"/>
        <v>0</v>
      </c>
      <c r="AC402" s="169">
        <f t="shared" si="200"/>
        <v>0</v>
      </c>
      <c r="AD402" s="169">
        <f t="shared" si="200"/>
        <v>0</v>
      </c>
      <c r="AE402" s="169">
        <f t="shared" si="200"/>
        <v>0</v>
      </c>
      <c r="AF402" s="169">
        <f t="shared" si="200"/>
        <v>0</v>
      </c>
      <c r="AG402" s="169">
        <f t="shared" si="200"/>
        <v>0</v>
      </c>
      <c r="AH402" s="169">
        <f t="shared" si="200"/>
        <v>0</v>
      </c>
      <c r="AI402" s="169">
        <f t="shared" si="200"/>
        <v>0</v>
      </c>
      <c r="AJ402" s="169">
        <f t="shared" si="200"/>
        <v>0</v>
      </c>
      <c r="AK402" s="169">
        <f t="shared" si="200"/>
        <v>0</v>
      </c>
      <c r="AL402" s="169">
        <f t="shared" si="200"/>
        <v>0</v>
      </c>
      <c r="AM402" s="169">
        <f t="shared" si="200"/>
        <v>0</v>
      </c>
      <c r="AN402" s="169">
        <f t="shared" si="200"/>
        <v>0</v>
      </c>
      <c r="AO402" s="169">
        <f t="shared" si="200"/>
        <v>0</v>
      </c>
      <c r="AP402" s="169">
        <f t="shared" si="200"/>
        <v>0</v>
      </c>
    </row>
    <row r="403" spans="1:42" x14ac:dyDescent="0.2">
      <c r="A403" s="101">
        <f t="shared" si="199"/>
        <v>4</v>
      </c>
      <c r="B403" s="179">
        <f t="shared" si="196"/>
        <v>0</v>
      </c>
      <c r="C403" s="208">
        <f t="shared" ref="C403:AP403" si="201">LOOKUP(C391,$B$332:$AP$332,$B$333:$AP$333)*$B682</f>
        <v>0</v>
      </c>
      <c r="D403" s="169">
        <f t="shared" si="201"/>
        <v>0</v>
      </c>
      <c r="E403" s="169">
        <f t="shared" si="201"/>
        <v>0</v>
      </c>
      <c r="F403" s="169">
        <f t="shared" si="201"/>
        <v>0</v>
      </c>
      <c r="G403" s="169">
        <f t="shared" si="201"/>
        <v>0</v>
      </c>
      <c r="H403" s="169">
        <f t="shared" si="201"/>
        <v>0</v>
      </c>
      <c r="I403" s="169">
        <f t="shared" si="201"/>
        <v>0</v>
      </c>
      <c r="J403" s="169">
        <f t="shared" si="201"/>
        <v>0</v>
      </c>
      <c r="K403" s="169">
        <f t="shared" si="201"/>
        <v>0</v>
      </c>
      <c r="L403" s="169">
        <f t="shared" si="201"/>
        <v>0</v>
      </c>
      <c r="M403" s="169">
        <f t="shared" si="201"/>
        <v>0</v>
      </c>
      <c r="N403" s="169">
        <f t="shared" si="201"/>
        <v>0</v>
      </c>
      <c r="O403" s="169">
        <f t="shared" si="201"/>
        <v>0</v>
      </c>
      <c r="P403" s="169">
        <f t="shared" si="201"/>
        <v>0</v>
      </c>
      <c r="Q403" s="169">
        <f t="shared" si="201"/>
        <v>0</v>
      </c>
      <c r="R403" s="169">
        <f t="shared" si="201"/>
        <v>0</v>
      </c>
      <c r="S403" s="169">
        <f t="shared" si="201"/>
        <v>0</v>
      </c>
      <c r="T403" s="169">
        <f t="shared" si="201"/>
        <v>0</v>
      </c>
      <c r="U403" s="169">
        <f t="shared" si="201"/>
        <v>0</v>
      </c>
      <c r="V403" s="169">
        <f t="shared" si="201"/>
        <v>0</v>
      </c>
      <c r="W403" s="169">
        <f t="shared" si="201"/>
        <v>0</v>
      </c>
      <c r="X403" s="169">
        <f t="shared" si="201"/>
        <v>0</v>
      </c>
      <c r="Y403" s="169">
        <f t="shared" si="201"/>
        <v>0</v>
      </c>
      <c r="Z403" s="169">
        <f t="shared" si="201"/>
        <v>0</v>
      </c>
      <c r="AA403" s="169">
        <f t="shared" si="201"/>
        <v>0</v>
      </c>
      <c r="AB403" s="169">
        <f t="shared" si="201"/>
        <v>0</v>
      </c>
      <c r="AC403" s="169">
        <f t="shared" si="201"/>
        <v>0</v>
      </c>
      <c r="AD403" s="169">
        <f t="shared" si="201"/>
        <v>0</v>
      </c>
      <c r="AE403" s="169">
        <f t="shared" si="201"/>
        <v>0</v>
      </c>
      <c r="AF403" s="169">
        <f t="shared" si="201"/>
        <v>0</v>
      </c>
      <c r="AG403" s="169">
        <f t="shared" si="201"/>
        <v>0</v>
      </c>
      <c r="AH403" s="169">
        <f t="shared" si="201"/>
        <v>0</v>
      </c>
      <c r="AI403" s="169">
        <f t="shared" si="201"/>
        <v>0</v>
      </c>
      <c r="AJ403" s="169">
        <f t="shared" si="201"/>
        <v>0</v>
      </c>
      <c r="AK403" s="169">
        <f t="shared" si="201"/>
        <v>0</v>
      </c>
      <c r="AL403" s="169">
        <f t="shared" si="201"/>
        <v>0</v>
      </c>
      <c r="AM403" s="169">
        <f t="shared" si="201"/>
        <v>0</v>
      </c>
      <c r="AN403" s="169">
        <f t="shared" si="201"/>
        <v>0</v>
      </c>
      <c r="AO403" s="169">
        <f t="shared" si="201"/>
        <v>0</v>
      </c>
      <c r="AP403" s="169">
        <f t="shared" si="201"/>
        <v>0</v>
      </c>
    </row>
    <row r="404" spans="1:42" x14ac:dyDescent="0.2">
      <c r="A404" s="101">
        <f t="shared" si="199"/>
        <v>5</v>
      </c>
      <c r="B404" s="179">
        <f t="shared" si="196"/>
        <v>0</v>
      </c>
      <c r="C404" s="208">
        <f t="shared" ref="C404:AP404" si="202">LOOKUP(C392,$B$332:$AP$332,$B$333:$AP$333)*$B683</f>
        <v>0</v>
      </c>
      <c r="D404" s="169">
        <f t="shared" si="202"/>
        <v>0</v>
      </c>
      <c r="E404" s="169">
        <f t="shared" si="202"/>
        <v>0</v>
      </c>
      <c r="F404" s="169">
        <f t="shared" si="202"/>
        <v>0</v>
      </c>
      <c r="G404" s="169">
        <f t="shared" si="202"/>
        <v>0</v>
      </c>
      <c r="H404" s="169">
        <f t="shared" si="202"/>
        <v>0</v>
      </c>
      <c r="I404" s="169">
        <f t="shared" si="202"/>
        <v>0</v>
      </c>
      <c r="J404" s="169">
        <f t="shared" si="202"/>
        <v>0</v>
      </c>
      <c r="K404" s="169">
        <f t="shared" si="202"/>
        <v>0</v>
      </c>
      <c r="L404" s="169">
        <f t="shared" si="202"/>
        <v>0</v>
      </c>
      <c r="M404" s="169">
        <f t="shared" si="202"/>
        <v>0</v>
      </c>
      <c r="N404" s="169">
        <f t="shared" si="202"/>
        <v>0</v>
      </c>
      <c r="O404" s="169">
        <f t="shared" si="202"/>
        <v>0</v>
      </c>
      <c r="P404" s="169">
        <f t="shared" si="202"/>
        <v>0</v>
      </c>
      <c r="Q404" s="169">
        <f t="shared" si="202"/>
        <v>0</v>
      </c>
      <c r="R404" s="169">
        <f t="shared" si="202"/>
        <v>0</v>
      </c>
      <c r="S404" s="169">
        <f t="shared" si="202"/>
        <v>0</v>
      </c>
      <c r="T404" s="169">
        <f t="shared" si="202"/>
        <v>0</v>
      </c>
      <c r="U404" s="169">
        <f t="shared" si="202"/>
        <v>0</v>
      </c>
      <c r="V404" s="169">
        <f t="shared" si="202"/>
        <v>0</v>
      </c>
      <c r="W404" s="169">
        <f t="shared" si="202"/>
        <v>0</v>
      </c>
      <c r="X404" s="169">
        <f t="shared" si="202"/>
        <v>0</v>
      </c>
      <c r="Y404" s="169">
        <f t="shared" si="202"/>
        <v>0</v>
      </c>
      <c r="Z404" s="169">
        <f t="shared" si="202"/>
        <v>0</v>
      </c>
      <c r="AA404" s="169">
        <f t="shared" si="202"/>
        <v>0</v>
      </c>
      <c r="AB404" s="169">
        <f t="shared" si="202"/>
        <v>0</v>
      </c>
      <c r="AC404" s="169">
        <f t="shared" si="202"/>
        <v>0</v>
      </c>
      <c r="AD404" s="169">
        <f t="shared" si="202"/>
        <v>0</v>
      </c>
      <c r="AE404" s="169">
        <f t="shared" si="202"/>
        <v>0</v>
      </c>
      <c r="AF404" s="169">
        <f t="shared" si="202"/>
        <v>0</v>
      </c>
      <c r="AG404" s="169">
        <f t="shared" si="202"/>
        <v>0</v>
      </c>
      <c r="AH404" s="169">
        <f t="shared" si="202"/>
        <v>0</v>
      </c>
      <c r="AI404" s="169">
        <f t="shared" si="202"/>
        <v>0</v>
      </c>
      <c r="AJ404" s="169">
        <f t="shared" si="202"/>
        <v>0</v>
      </c>
      <c r="AK404" s="169">
        <f t="shared" si="202"/>
        <v>0</v>
      </c>
      <c r="AL404" s="169">
        <f t="shared" si="202"/>
        <v>0</v>
      </c>
      <c r="AM404" s="169">
        <f t="shared" si="202"/>
        <v>0</v>
      </c>
      <c r="AN404" s="169">
        <f t="shared" si="202"/>
        <v>0</v>
      </c>
      <c r="AO404" s="169">
        <f t="shared" si="202"/>
        <v>0</v>
      </c>
      <c r="AP404" s="169">
        <f t="shared" si="202"/>
        <v>0</v>
      </c>
    </row>
    <row r="405" spans="1:42" x14ac:dyDescent="0.2">
      <c r="A405" s="101">
        <f t="shared" si="199"/>
        <v>6</v>
      </c>
      <c r="B405" s="179">
        <f t="shared" si="196"/>
        <v>0</v>
      </c>
      <c r="C405" s="208">
        <f t="shared" ref="C405:AP405" si="203">LOOKUP(C393,$B$332:$AP$332,$B$333:$AP$333)*$B684</f>
        <v>0</v>
      </c>
      <c r="D405" s="169">
        <f t="shared" si="203"/>
        <v>0</v>
      </c>
      <c r="E405" s="169">
        <f t="shared" si="203"/>
        <v>0</v>
      </c>
      <c r="F405" s="169">
        <f t="shared" si="203"/>
        <v>0</v>
      </c>
      <c r="G405" s="169">
        <f t="shared" si="203"/>
        <v>0</v>
      </c>
      <c r="H405" s="169">
        <f t="shared" si="203"/>
        <v>0</v>
      </c>
      <c r="I405" s="169">
        <f t="shared" si="203"/>
        <v>0</v>
      </c>
      <c r="J405" s="169">
        <f t="shared" si="203"/>
        <v>0</v>
      </c>
      <c r="K405" s="169">
        <f t="shared" si="203"/>
        <v>0</v>
      </c>
      <c r="L405" s="169">
        <f t="shared" si="203"/>
        <v>0</v>
      </c>
      <c r="M405" s="169">
        <f t="shared" si="203"/>
        <v>0</v>
      </c>
      <c r="N405" s="169">
        <f t="shared" si="203"/>
        <v>0</v>
      </c>
      <c r="O405" s="169">
        <f t="shared" si="203"/>
        <v>0</v>
      </c>
      <c r="P405" s="169">
        <f t="shared" si="203"/>
        <v>0</v>
      </c>
      <c r="Q405" s="169">
        <f t="shared" si="203"/>
        <v>0</v>
      </c>
      <c r="R405" s="169">
        <f t="shared" si="203"/>
        <v>0</v>
      </c>
      <c r="S405" s="169">
        <f t="shared" si="203"/>
        <v>0</v>
      </c>
      <c r="T405" s="169">
        <f t="shared" si="203"/>
        <v>0</v>
      </c>
      <c r="U405" s="169">
        <f t="shared" si="203"/>
        <v>0</v>
      </c>
      <c r="V405" s="169">
        <f t="shared" si="203"/>
        <v>0</v>
      </c>
      <c r="W405" s="169">
        <f t="shared" si="203"/>
        <v>0</v>
      </c>
      <c r="X405" s="169">
        <f t="shared" si="203"/>
        <v>0</v>
      </c>
      <c r="Y405" s="169">
        <f t="shared" si="203"/>
        <v>0</v>
      </c>
      <c r="Z405" s="169">
        <f t="shared" si="203"/>
        <v>0</v>
      </c>
      <c r="AA405" s="169">
        <f t="shared" si="203"/>
        <v>0</v>
      </c>
      <c r="AB405" s="169">
        <f t="shared" si="203"/>
        <v>0</v>
      </c>
      <c r="AC405" s="169">
        <f t="shared" si="203"/>
        <v>0</v>
      </c>
      <c r="AD405" s="169">
        <f t="shared" si="203"/>
        <v>0</v>
      </c>
      <c r="AE405" s="169">
        <f t="shared" si="203"/>
        <v>0</v>
      </c>
      <c r="AF405" s="169">
        <f t="shared" si="203"/>
        <v>0</v>
      </c>
      <c r="AG405" s="169">
        <f t="shared" si="203"/>
        <v>0</v>
      </c>
      <c r="AH405" s="169">
        <f t="shared" si="203"/>
        <v>0</v>
      </c>
      <c r="AI405" s="169">
        <f t="shared" si="203"/>
        <v>0</v>
      </c>
      <c r="AJ405" s="169">
        <f t="shared" si="203"/>
        <v>0</v>
      </c>
      <c r="AK405" s="169">
        <f t="shared" si="203"/>
        <v>0</v>
      </c>
      <c r="AL405" s="169">
        <f t="shared" si="203"/>
        <v>0</v>
      </c>
      <c r="AM405" s="169">
        <f t="shared" si="203"/>
        <v>0</v>
      </c>
      <c r="AN405" s="169">
        <f t="shared" si="203"/>
        <v>0</v>
      </c>
      <c r="AO405" s="169">
        <f t="shared" si="203"/>
        <v>0</v>
      </c>
      <c r="AP405" s="169">
        <f t="shared" si="203"/>
        <v>0</v>
      </c>
    </row>
    <row r="406" spans="1:42" x14ac:dyDescent="0.2">
      <c r="A406" s="101">
        <f t="shared" si="199"/>
        <v>7</v>
      </c>
      <c r="B406" s="179">
        <f t="shared" si="196"/>
        <v>0</v>
      </c>
      <c r="C406" s="208">
        <f t="shared" ref="C406:AP406" si="204">LOOKUP(C394,$B$332:$AP$332,$B$333:$AP$333)*$B685</f>
        <v>0</v>
      </c>
      <c r="D406" s="169">
        <f t="shared" si="204"/>
        <v>0</v>
      </c>
      <c r="E406" s="169">
        <f t="shared" si="204"/>
        <v>0</v>
      </c>
      <c r="F406" s="169">
        <f t="shared" si="204"/>
        <v>0</v>
      </c>
      <c r="G406" s="169">
        <f t="shared" si="204"/>
        <v>0</v>
      </c>
      <c r="H406" s="169">
        <f t="shared" si="204"/>
        <v>0</v>
      </c>
      <c r="I406" s="169">
        <f t="shared" si="204"/>
        <v>0</v>
      </c>
      <c r="J406" s="169">
        <f t="shared" si="204"/>
        <v>0</v>
      </c>
      <c r="K406" s="169">
        <f t="shared" si="204"/>
        <v>0</v>
      </c>
      <c r="L406" s="169">
        <f t="shared" si="204"/>
        <v>0</v>
      </c>
      <c r="M406" s="169">
        <f t="shared" si="204"/>
        <v>0</v>
      </c>
      <c r="N406" s="169">
        <f t="shared" si="204"/>
        <v>0</v>
      </c>
      <c r="O406" s="169">
        <f t="shared" si="204"/>
        <v>0</v>
      </c>
      <c r="P406" s="169">
        <f t="shared" si="204"/>
        <v>0</v>
      </c>
      <c r="Q406" s="169">
        <f t="shared" si="204"/>
        <v>0</v>
      </c>
      <c r="R406" s="169">
        <f t="shared" si="204"/>
        <v>0</v>
      </c>
      <c r="S406" s="169">
        <f t="shared" si="204"/>
        <v>0</v>
      </c>
      <c r="T406" s="169">
        <f t="shared" si="204"/>
        <v>0</v>
      </c>
      <c r="U406" s="169">
        <f t="shared" si="204"/>
        <v>0</v>
      </c>
      <c r="V406" s="169">
        <f t="shared" si="204"/>
        <v>0</v>
      </c>
      <c r="W406" s="169">
        <f t="shared" si="204"/>
        <v>0</v>
      </c>
      <c r="X406" s="169">
        <f t="shared" si="204"/>
        <v>0</v>
      </c>
      <c r="Y406" s="169">
        <f t="shared" si="204"/>
        <v>0</v>
      </c>
      <c r="Z406" s="169">
        <f t="shared" si="204"/>
        <v>0</v>
      </c>
      <c r="AA406" s="169">
        <f t="shared" si="204"/>
        <v>0</v>
      </c>
      <c r="AB406" s="169">
        <f t="shared" si="204"/>
        <v>0</v>
      </c>
      <c r="AC406" s="169">
        <f t="shared" si="204"/>
        <v>0</v>
      </c>
      <c r="AD406" s="169">
        <f t="shared" si="204"/>
        <v>0</v>
      </c>
      <c r="AE406" s="169">
        <f t="shared" si="204"/>
        <v>0</v>
      </c>
      <c r="AF406" s="169">
        <f t="shared" si="204"/>
        <v>0</v>
      </c>
      <c r="AG406" s="169">
        <f t="shared" si="204"/>
        <v>0</v>
      </c>
      <c r="AH406" s="169">
        <f t="shared" si="204"/>
        <v>0</v>
      </c>
      <c r="AI406" s="169">
        <f t="shared" si="204"/>
        <v>0</v>
      </c>
      <c r="AJ406" s="169">
        <f t="shared" si="204"/>
        <v>0</v>
      </c>
      <c r="AK406" s="169">
        <f t="shared" si="204"/>
        <v>0</v>
      </c>
      <c r="AL406" s="169">
        <f t="shared" si="204"/>
        <v>0</v>
      </c>
      <c r="AM406" s="169">
        <f t="shared" si="204"/>
        <v>0</v>
      </c>
      <c r="AN406" s="169">
        <f t="shared" si="204"/>
        <v>0</v>
      </c>
      <c r="AO406" s="169">
        <f t="shared" si="204"/>
        <v>0</v>
      </c>
      <c r="AP406" s="169">
        <f t="shared" si="204"/>
        <v>0</v>
      </c>
    </row>
    <row r="407" spans="1:42" x14ac:dyDescent="0.2">
      <c r="A407" s="101">
        <f t="shared" si="199"/>
        <v>8</v>
      </c>
      <c r="B407" s="179">
        <f t="shared" si="196"/>
        <v>0</v>
      </c>
      <c r="C407" s="208">
        <f t="shared" ref="C407:AP407" si="205">LOOKUP(C395,$B$332:$AP$332,$B$333:$AP$333)*$B686</f>
        <v>0</v>
      </c>
      <c r="D407" s="169">
        <f t="shared" si="205"/>
        <v>0</v>
      </c>
      <c r="E407" s="169">
        <f t="shared" si="205"/>
        <v>0</v>
      </c>
      <c r="F407" s="169">
        <f t="shared" si="205"/>
        <v>0</v>
      </c>
      <c r="G407" s="169">
        <f t="shared" si="205"/>
        <v>0</v>
      </c>
      <c r="H407" s="169">
        <f t="shared" si="205"/>
        <v>0</v>
      </c>
      <c r="I407" s="169">
        <f t="shared" si="205"/>
        <v>0</v>
      </c>
      <c r="J407" s="169">
        <f t="shared" si="205"/>
        <v>0</v>
      </c>
      <c r="K407" s="169">
        <f t="shared" si="205"/>
        <v>0</v>
      </c>
      <c r="L407" s="169">
        <f t="shared" si="205"/>
        <v>0</v>
      </c>
      <c r="M407" s="169">
        <f t="shared" si="205"/>
        <v>0</v>
      </c>
      <c r="N407" s="169">
        <f t="shared" si="205"/>
        <v>0</v>
      </c>
      <c r="O407" s="169">
        <f t="shared" si="205"/>
        <v>0</v>
      </c>
      <c r="P407" s="169">
        <f t="shared" si="205"/>
        <v>0</v>
      </c>
      <c r="Q407" s="169">
        <f t="shared" si="205"/>
        <v>0</v>
      </c>
      <c r="R407" s="169">
        <f t="shared" si="205"/>
        <v>0</v>
      </c>
      <c r="S407" s="169">
        <f t="shared" si="205"/>
        <v>0</v>
      </c>
      <c r="T407" s="169">
        <f t="shared" si="205"/>
        <v>0</v>
      </c>
      <c r="U407" s="169">
        <f t="shared" si="205"/>
        <v>0</v>
      </c>
      <c r="V407" s="169">
        <f t="shared" si="205"/>
        <v>0</v>
      </c>
      <c r="W407" s="169">
        <f t="shared" si="205"/>
        <v>0</v>
      </c>
      <c r="X407" s="169">
        <f t="shared" si="205"/>
        <v>0</v>
      </c>
      <c r="Y407" s="169">
        <f t="shared" si="205"/>
        <v>0</v>
      </c>
      <c r="Z407" s="169">
        <f t="shared" si="205"/>
        <v>0</v>
      </c>
      <c r="AA407" s="169">
        <f t="shared" si="205"/>
        <v>0</v>
      </c>
      <c r="AB407" s="169">
        <f t="shared" si="205"/>
        <v>0</v>
      </c>
      <c r="AC407" s="169">
        <f t="shared" si="205"/>
        <v>0</v>
      </c>
      <c r="AD407" s="169">
        <f t="shared" si="205"/>
        <v>0</v>
      </c>
      <c r="AE407" s="169">
        <f t="shared" si="205"/>
        <v>0</v>
      </c>
      <c r="AF407" s="169">
        <f t="shared" si="205"/>
        <v>0</v>
      </c>
      <c r="AG407" s="169">
        <f t="shared" si="205"/>
        <v>0</v>
      </c>
      <c r="AH407" s="169">
        <f t="shared" si="205"/>
        <v>0</v>
      </c>
      <c r="AI407" s="169">
        <f t="shared" si="205"/>
        <v>0</v>
      </c>
      <c r="AJ407" s="169">
        <f t="shared" si="205"/>
        <v>0</v>
      </c>
      <c r="AK407" s="169">
        <f t="shared" si="205"/>
        <v>0</v>
      </c>
      <c r="AL407" s="169">
        <f t="shared" si="205"/>
        <v>0</v>
      </c>
      <c r="AM407" s="169">
        <f t="shared" si="205"/>
        <v>0</v>
      </c>
      <c r="AN407" s="169">
        <f t="shared" si="205"/>
        <v>0</v>
      </c>
      <c r="AO407" s="169">
        <f t="shared" si="205"/>
        <v>0</v>
      </c>
      <c r="AP407" s="169">
        <f t="shared" si="205"/>
        <v>0</v>
      </c>
    </row>
    <row r="408" spans="1:42" x14ac:dyDescent="0.2">
      <c r="A408" s="101">
        <f>A407+1</f>
        <v>9</v>
      </c>
      <c r="B408" s="179">
        <f t="shared" si="196"/>
        <v>0</v>
      </c>
      <c r="C408" s="208">
        <f t="shared" ref="C408:AP408" si="206">LOOKUP(C396,$B$332:$AP$332,$B$333:$AP$333)*$B687</f>
        <v>0</v>
      </c>
      <c r="D408" s="169">
        <f t="shared" si="206"/>
        <v>0</v>
      </c>
      <c r="E408" s="169">
        <f t="shared" si="206"/>
        <v>0</v>
      </c>
      <c r="F408" s="169">
        <f t="shared" si="206"/>
        <v>0</v>
      </c>
      <c r="G408" s="169">
        <f t="shared" si="206"/>
        <v>0</v>
      </c>
      <c r="H408" s="169">
        <f t="shared" si="206"/>
        <v>0</v>
      </c>
      <c r="I408" s="169">
        <f t="shared" si="206"/>
        <v>0</v>
      </c>
      <c r="J408" s="169">
        <f t="shared" si="206"/>
        <v>0</v>
      </c>
      <c r="K408" s="169">
        <f t="shared" si="206"/>
        <v>0</v>
      </c>
      <c r="L408" s="169">
        <f t="shared" si="206"/>
        <v>0</v>
      </c>
      <c r="M408" s="169">
        <f t="shared" si="206"/>
        <v>0</v>
      </c>
      <c r="N408" s="169">
        <f t="shared" si="206"/>
        <v>0</v>
      </c>
      <c r="O408" s="169">
        <f t="shared" si="206"/>
        <v>0</v>
      </c>
      <c r="P408" s="169">
        <f t="shared" si="206"/>
        <v>0</v>
      </c>
      <c r="Q408" s="169">
        <f t="shared" si="206"/>
        <v>0</v>
      </c>
      <c r="R408" s="169">
        <f t="shared" si="206"/>
        <v>0</v>
      </c>
      <c r="S408" s="169">
        <f t="shared" si="206"/>
        <v>0</v>
      </c>
      <c r="T408" s="169">
        <f t="shared" si="206"/>
        <v>0</v>
      </c>
      <c r="U408" s="169">
        <f t="shared" si="206"/>
        <v>0</v>
      </c>
      <c r="V408" s="169">
        <f t="shared" si="206"/>
        <v>0</v>
      </c>
      <c r="W408" s="169">
        <f t="shared" si="206"/>
        <v>0</v>
      </c>
      <c r="X408" s="169">
        <f t="shared" si="206"/>
        <v>0</v>
      </c>
      <c r="Y408" s="169">
        <f t="shared" si="206"/>
        <v>0</v>
      </c>
      <c r="Z408" s="169">
        <f t="shared" si="206"/>
        <v>0</v>
      </c>
      <c r="AA408" s="169">
        <f t="shared" si="206"/>
        <v>0</v>
      </c>
      <c r="AB408" s="169">
        <f t="shared" si="206"/>
        <v>0</v>
      </c>
      <c r="AC408" s="169">
        <f t="shared" si="206"/>
        <v>0</v>
      </c>
      <c r="AD408" s="169">
        <f t="shared" si="206"/>
        <v>0</v>
      </c>
      <c r="AE408" s="169">
        <f t="shared" si="206"/>
        <v>0</v>
      </c>
      <c r="AF408" s="169">
        <f t="shared" si="206"/>
        <v>0</v>
      </c>
      <c r="AG408" s="169">
        <f t="shared" si="206"/>
        <v>0</v>
      </c>
      <c r="AH408" s="169">
        <f t="shared" si="206"/>
        <v>0</v>
      </c>
      <c r="AI408" s="169">
        <f t="shared" si="206"/>
        <v>0</v>
      </c>
      <c r="AJ408" s="169">
        <f t="shared" si="206"/>
        <v>0</v>
      </c>
      <c r="AK408" s="169">
        <f t="shared" si="206"/>
        <v>0</v>
      </c>
      <c r="AL408" s="169">
        <f t="shared" si="206"/>
        <v>0</v>
      </c>
      <c r="AM408" s="169">
        <f t="shared" si="206"/>
        <v>0</v>
      </c>
      <c r="AN408" s="169">
        <f t="shared" si="206"/>
        <v>0</v>
      </c>
      <c r="AO408" s="169">
        <f t="shared" si="206"/>
        <v>0</v>
      </c>
      <c r="AP408" s="169">
        <f t="shared" si="206"/>
        <v>0</v>
      </c>
    </row>
    <row r="409" spans="1:42" x14ac:dyDescent="0.2">
      <c r="A409" s="101">
        <f t="shared" si="199"/>
        <v>10</v>
      </c>
      <c r="B409" s="179">
        <f t="shared" si="196"/>
        <v>0</v>
      </c>
      <c r="C409" s="204">
        <f t="shared" ref="C409:AP409" si="207">LOOKUP(C397,$B$332:$AP$332,$B$333:$AP$333)*$B688</f>
        <v>0</v>
      </c>
      <c r="D409" s="170">
        <f t="shared" si="207"/>
        <v>0</v>
      </c>
      <c r="E409" s="170">
        <f t="shared" si="207"/>
        <v>0</v>
      </c>
      <c r="F409" s="170">
        <f t="shared" si="207"/>
        <v>0</v>
      </c>
      <c r="G409" s="170">
        <f t="shared" si="207"/>
        <v>0</v>
      </c>
      <c r="H409" s="170">
        <f t="shared" si="207"/>
        <v>0</v>
      </c>
      <c r="I409" s="170">
        <f t="shared" si="207"/>
        <v>0</v>
      </c>
      <c r="J409" s="170">
        <f t="shared" si="207"/>
        <v>0</v>
      </c>
      <c r="K409" s="170">
        <f t="shared" si="207"/>
        <v>0</v>
      </c>
      <c r="L409" s="170">
        <f t="shared" si="207"/>
        <v>0</v>
      </c>
      <c r="M409" s="170">
        <f t="shared" si="207"/>
        <v>0</v>
      </c>
      <c r="N409" s="170">
        <f t="shared" si="207"/>
        <v>0</v>
      </c>
      <c r="O409" s="170">
        <f t="shared" si="207"/>
        <v>0</v>
      </c>
      <c r="P409" s="170">
        <f t="shared" si="207"/>
        <v>0</v>
      </c>
      <c r="Q409" s="170">
        <f t="shared" si="207"/>
        <v>0</v>
      </c>
      <c r="R409" s="170">
        <f t="shared" si="207"/>
        <v>0</v>
      </c>
      <c r="S409" s="170">
        <f t="shared" si="207"/>
        <v>0</v>
      </c>
      <c r="T409" s="170">
        <f t="shared" si="207"/>
        <v>0</v>
      </c>
      <c r="U409" s="170">
        <f t="shared" si="207"/>
        <v>0</v>
      </c>
      <c r="V409" s="170">
        <f t="shared" si="207"/>
        <v>0</v>
      </c>
      <c r="W409" s="170">
        <f t="shared" si="207"/>
        <v>0</v>
      </c>
      <c r="X409" s="170">
        <f t="shared" si="207"/>
        <v>0</v>
      </c>
      <c r="Y409" s="170">
        <f t="shared" si="207"/>
        <v>0</v>
      </c>
      <c r="Z409" s="170">
        <f t="shared" si="207"/>
        <v>0</v>
      </c>
      <c r="AA409" s="170">
        <f t="shared" si="207"/>
        <v>0</v>
      </c>
      <c r="AB409" s="170">
        <f t="shared" si="207"/>
        <v>0</v>
      </c>
      <c r="AC409" s="170">
        <f t="shared" si="207"/>
        <v>0</v>
      </c>
      <c r="AD409" s="170">
        <f t="shared" si="207"/>
        <v>0</v>
      </c>
      <c r="AE409" s="170">
        <f t="shared" si="207"/>
        <v>0</v>
      </c>
      <c r="AF409" s="170">
        <f t="shared" si="207"/>
        <v>0</v>
      </c>
      <c r="AG409" s="170">
        <f t="shared" si="207"/>
        <v>0</v>
      </c>
      <c r="AH409" s="170">
        <f t="shared" si="207"/>
        <v>0</v>
      </c>
      <c r="AI409" s="170">
        <f t="shared" si="207"/>
        <v>0</v>
      </c>
      <c r="AJ409" s="170">
        <f t="shared" si="207"/>
        <v>0</v>
      </c>
      <c r="AK409" s="170">
        <f t="shared" si="207"/>
        <v>0</v>
      </c>
      <c r="AL409" s="170">
        <f t="shared" si="207"/>
        <v>0</v>
      </c>
      <c r="AM409" s="170">
        <f t="shared" si="207"/>
        <v>0</v>
      </c>
      <c r="AN409" s="170">
        <f t="shared" si="207"/>
        <v>0</v>
      </c>
      <c r="AO409" s="170">
        <f t="shared" si="207"/>
        <v>0</v>
      </c>
      <c r="AP409" s="170">
        <f t="shared" si="207"/>
        <v>0</v>
      </c>
    </row>
    <row r="410" spans="1:42" s="101" customFormat="1" ht="12" customHeight="1" x14ac:dyDescent="0.2">
      <c r="A410" s="205" t="s">
        <v>53</v>
      </c>
      <c r="B410" s="124"/>
      <c r="C410" s="124">
        <f>SUM(C400:C409)</f>
        <v>0</v>
      </c>
      <c r="D410" s="124">
        <f t="shared" ref="D410:AP410" si="208">SUM(D400:D409)</f>
        <v>0</v>
      </c>
      <c r="E410" s="124">
        <f t="shared" si="208"/>
        <v>0</v>
      </c>
      <c r="F410" s="124">
        <f t="shared" si="208"/>
        <v>0</v>
      </c>
      <c r="G410" s="124">
        <f t="shared" si="208"/>
        <v>0</v>
      </c>
      <c r="H410" s="124">
        <f t="shared" si="208"/>
        <v>0</v>
      </c>
      <c r="I410" s="124">
        <f t="shared" si="208"/>
        <v>0</v>
      </c>
      <c r="J410" s="124">
        <f t="shared" si="208"/>
        <v>0</v>
      </c>
      <c r="K410" s="124">
        <f t="shared" si="208"/>
        <v>0</v>
      </c>
      <c r="L410" s="124">
        <f t="shared" si="208"/>
        <v>0</v>
      </c>
      <c r="M410" s="124">
        <f t="shared" si="208"/>
        <v>0</v>
      </c>
      <c r="N410" s="124">
        <f t="shared" si="208"/>
        <v>0</v>
      </c>
      <c r="O410" s="124">
        <f t="shared" si="208"/>
        <v>0</v>
      </c>
      <c r="P410" s="124">
        <f t="shared" si="208"/>
        <v>0</v>
      </c>
      <c r="Q410" s="124">
        <f t="shared" si="208"/>
        <v>0</v>
      </c>
      <c r="R410" s="124">
        <f t="shared" si="208"/>
        <v>0</v>
      </c>
      <c r="S410" s="124">
        <f t="shared" si="208"/>
        <v>0</v>
      </c>
      <c r="T410" s="124">
        <f t="shared" si="208"/>
        <v>0</v>
      </c>
      <c r="U410" s="124">
        <f t="shared" si="208"/>
        <v>0</v>
      </c>
      <c r="V410" s="124">
        <f t="shared" si="208"/>
        <v>0</v>
      </c>
      <c r="W410" s="124">
        <f t="shared" si="208"/>
        <v>0</v>
      </c>
      <c r="X410" s="124">
        <f t="shared" si="208"/>
        <v>0</v>
      </c>
      <c r="Y410" s="124">
        <f t="shared" si="208"/>
        <v>0</v>
      </c>
      <c r="Z410" s="124">
        <f t="shared" si="208"/>
        <v>0</v>
      </c>
      <c r="AA410" s="124">
        <f t="shared" si="208"/>
        <v>0</v>
      </c>
      <c r="AB410" s="124">
        <f t="shared" si="208"/>
        <v>0</v>
      </c>
      <c r="AC410" s="124">
        <f t="shared" si="208"/>
        <v>0</v>
      </c>
      <c r="AD410" s="124">
        <f t="shared" si="208"/>
        <v>0</v>
      </c>
      <c r="AE410" s="124">
        <f t="shared" si="208"/>
        <v>0</v>
      </c>
      <c r="AF410" s="124">
        <f t="shared" si="208"/>
        <v>0</v>
      </c>
      <c r="AG410" s="124">
        <f t="shared" si="208"/>
        <v>0</v>
      </c>
      <c r="AH410" s="124">
        <f t="shared" si="208"/>
        <v>0</v>
      </c>
      <c r="AI410" s="124">
        <f t="shared" si="208"/>
        <v>0</v>
      </c>
      <c r="AJ410" s="124">
        <f t="shared" si="208"/>
        <v>0</v>
      </c>
      <c r="AK410" s="124">
        <f t="shared" si="208"/>
        <v>0</v>
      </c>
      <c r="AL410" s="124">
        <f t="shared" si="208"/>
        <v>0</v>
      </c>
      <c r="AM410" s="124">
        <f t="shared" si="208"/>
        <v>0</v>
      </c>
      <c r="AN410" s="124">
        <f t="shared" si="208"/>
        <v>0</v>
      </c>
      <c r="AO410" s="124">
        <f t="shared" si="208"/>
        <v>0</v>
      </c>
      <c r="AP410" s="124">
        <f t="shared" si="208"/>
        <v>0</v>
      </c>
    </row>
    <row r="411" spans="1:42" x14ac:dyDescent="0.2">
      <c r="A411" s="187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</row>
    <row r="412" spans="1:42" x14ac:dyDescent="0.2">
      <c r="A412" s="178" t="s">
        <v>395</v>
      </c>
    </row>
    <row r="413" spans="1:42" x14ac:dyDescent="0.2">
      <c r="A413" s="101" t="s">
        <v>82</v>
      </c>
      <c r="G413" s="267" t="s">
        <v>153</v>
      </c>
      <c r="H413" s="268"/>
      <c r="I413" s="268"/>
      <c r="J413" s="269"/>
      <c r="K413" s="209" t="s">
        <v>154</v>
      </c>
      <c r="L413" s="210"/>
    </row>
    <row r="414" spans="1:42" ht="51" x14ac:dyDescent="0.2">
      <c r="A414" s="101"/>
      <c r="B414" s="112" t="s">
        <v>143</v>
      </c>
      <c r="C414" s="112" t="s">
        <v>139</v>
      </c>
      <c r="D414" s="112" t="s">
        <v>141</v>
      </c>
      <c r="E414" s="189" t="s">
        <v>142</v>
      </c>
      <c r="F414" s="112" t="s">
        <v>144</v>
      </c>
      <c r="G414" s="112" t="s">
        <v>148</v>
      </c>
      <c r="H414" s="112" t="s">
        <v>150</v>
      </c>
      <c r="I414" s="112" t="s">
        <v>149</v>
      </c>
      <c r="J414" s="112" t="s">
        <v>151</v>
      </c>
      <c r="K414" s="211" t="s">
        <v>34</v>
      </c>
      <c r="L414" s="112" t="s">
        <v>151</v>
      </c>
      <c r="M414" s="190" t="s">
        <v>155</v>
      </c>
      <c r="N414" s="190" t="s">
        <v>156</v>
      </c>
      <c r="O414" s="112" t="s">
        <v>145</v>
      </c>
      <c r="P414" s="191" t="s">
        <v>268</v>
      </c>
      <c r="Q414" s="112" t="s">
        <v>273</v>
      </c>
    </row>
    <row r="415" spans="1:42" s="101" customFormat="1" x14ac:dyDescent="0.2">
      <c r="A415" s="234" t="str">
        <f>A281</f>
        <v>5-yr MACRS</v>
      </c>
      <c r="B415" s="324">
        <f>C415/$C$422</f>
        <v>0.93401015228426398</v>
      </c>
      <c r="C415" s="124">
        <f>'Inputs &amp; Results'!B254</f>
        <v>40109518.471925005</v>
      </c>
      <c r="D415" s="124">
        <f>IF(FedBasisReduction="5-Yr MACRS",D422,$B415*D$422)</f>
        <v>0</v>
      </c>
      <c r="E415" s="124">
        <f>IF(FedBasisReduction="5-Yr MACRS",E422,$B415*E$422)</f>
        <v>0</v>
      </c>
      <c r="F415" s="206">
        <f>C415-D415-E415</f>
        <v>40109518.471925005</v>
      </c>
      <c r="G415" s="325">
        <f>IF('Inputs &amp; Results'!B292="Yes",F415,0)</f>
        <v>40109518.471925005</v>
      </c>
      <c r="H415" s="369">
        <f>IF($G$422=0,0,G415/$G$422)</f>
        <v>1</v>
      </c>
      <c r="I415" s="326">
        <f t="shared" ref="I415:I420" si="209">$I$422*H415</f>
        <v>12032855.541577501</v>
      </c>
      <c r="J415" s="327">
        <f t="shared" ref="J415:J420" si="210">I415*0.5</f>
        <v>6016427.7707887506</v>
      </c>
      <c r="K415" s="328">
        <f t="shared" ref="K415:K420" si="211">H415*$K$422</f>
        <v>0</v>
      </c>
      <c r="L415" s="327">
        <f>K415*0.5</f>
        <v>0</v>
      </c>
      <c r="M415" s="124">
        <f t="shared" ref="M415:M420" si="212">IF(ITCStateFixedFedDeprec="Yes",L281,0)+IF(ITCStatePercentFedDeprec="Yes",J281,0)</f>
        <v>0</v>
      </c>
      <c r="N415" s="124">
        <f t="shared" ref="N415:N420" si="213">IF(ITCFedFixedFedDeprec="Yes",L415,0)+IF(ITCFedPercentFedDeprec="Yes",J415,0)</f>
        <v>6016427.7707887506</v>
      </c>
      <c r="O415" s="329">
        <f t="shared" ref="O415:O420" si="214">F415-M415-N415</f>
        <v>34093090.701136254</v>
      </c>
      <c r="P415" s="124">
        <f>IF('Inputs &amp; Results'!B275="Yes",O415*FedBonusDeprec,0)</f>
        <v>0</v>
      </c>
      <c r="Q415" s="206">
        <f>O415-P415</f>
        <v>34093090.701136254</v>
      </c>
    </row>
    <row r="416" spans="1:42" s="101" customFormat="1" x14ac:dyDescent="0.2">
      <c r="A416" s="234" t="str">
        <f t="shared" ref="A416:A420" si="215">A282</f>
        <v>15-yr MACRS</v>
      </c>
      <c r="B416" s="324">
        <f t="shared" ref="B416:B420" si="216">C416/$C$422</f>
        <v>1.5228426395939082E-2</v>
      </c>
      <c r="C416" s="124">
        <f>'Inputs &amp; Results'!B255</f>
        <v>653959.54030312493</v>
      </c>
      <c r="D416" s="124">
        <f t="shared" ref="D416:E420" si="217">IF(FedBasisReduction="5-Yr MACRS",0,$B416*D$422)</f>
        <v>0</v>
      </c>
      <c r="E416" s="124">
        <f t="shared" si="217"/>
        <v>0</v>
      </c>
      <c r="F416" s="206">
        <f t="shared" ref="F416:F420" si="218">C416-D416-E416</f>
        <v>653959.54030312493</v>
      </c>
      <c r="G416" s="328">
        <f>IF('Inputs &amp; Results'!B293="Yes",F416,0)</f>
        <v>0</v>
      </c>
      <c r="H416" s="370">
        <f t="shared" ref="H416:H420" si="219">IF($G$422=0,0,G416/$G$422)</f>
        <v>0</v>
      </c>
      <c r="I416" s="124">
        <f t="shared" si="209"/>
        <v>0</v>
      </c>
      <c r="J416" s="300">
        <f t="shared" si="210"/>
        <v>0</v>
      </c>
      <c r="K416" s="328">
        <f t="shared" si="211"/>
        <v>0</v>
      </c>
      <c r="L416" s="300">
        <f t="shared" ref="L416:L420" si="220">K416*0.5</f>
        <v>0</v>
      </c>
      <c r="M416" s="124">
        <f t="shared" si="212"/>
        <v>0</v>
      </c>
      <c r="N416" s="124">
        <f t="shared" si="213"/>
        <v>0</v>
      </c>
      <c r="O416" s="206">
        <f t="shared" si="214"/>
        <v>653959.54030312493</v>
      </c>
      <c r="P416" s="124">
        <f>IF('Inputs &amp; Results'!B276="Yes",O416*FedBonusDeprec,0)</f>
        <v>0</v>
      </c>
      <c r="Q416" s="206">
        <f t="shared" ref="Q416:Q420" si="221">O416-P416</f>
        <v>653959.54030312493</v>
      </c>
    </row>
    <row r="417" spans="1:17" s="101" customFormat="1" x14ac:dyDescent="0.2">
      <c r="A417" s="234" t="str">
        <f t="shared" si="215"/>
        <v>5-yr SL</v>
      </c>
      <c r="B417" s="324">
        <f t="shared" si="216"/>
        <v>0</v>
      </c>
      <c r="C417" s="124">
        <f>'Inputs &amp; Results'!B256</f>
        <v>0</v>
      </c>
      <c r="D417" s="124">
        <f t="shared" si="217"/>
        <v>0</v>
      </c>
      <c r="E417" s="124">
        <f t="shared" si="217"/>
        <v>0</v>
      </c>
      <c r="F417" s="206">
        <f t="shared" si="218"/>
        <v>0</v>
      </c>
      <c r="G417" s="328">
        <f>IF('Inputs &amp; Results'!B294="Yes",F417,0)</f>
        <v>0</v>
      </c>
      <c r="H417" s="370">
        <f t="shared" si="219"/>
        <v>0</v>
      </c>
      <c r="I417" s="124">
        <f t="shared" si="209"/>
        <v>0</v>
      </c>
      <c r="J417" s="300">
        <f t="shared" si="210"/>
        <v>0</v>
      </c>
      <c r="K417" s="328">
        <f t="shared" si="211"/>
        <v>0</v>
      </c>
      <c r="L417" s="300">
        <f t="shared" si="220"/>
        <v>0</v>
      </c>
      <c r="M417" s="124">
        <f t="shared" si="212"/>
        <v>0</v>
      </c>
      <c r="N417" s="124">
        <f t="shared" si="213"/>
        <v>0</v>
      </c>
      <c r="O417" s="206">
        <f t="shared" si="214"/>
        <v>0</v>
      </c>
      <c r="P417" s="124">
        <f>IF('Inputs &amp; Results'!B277="Yes",O417*FedBonusDeprec,0)</f>
        <v>0</v>
      </c>
      <c r="Q417" s="206">
        <f t="shared" si="221"/>
        <v>0</v>
      </c>
    </row>
    <row r="418" spans="1:17" s="101" customFormat="1" x14ac:dyDescent="0.2">
      <c r="A418" s="234" t="str">
        <f t="shared" si="215"/>
        <v>15-yr SL</v>
      </c>
      <c r="B418" s="324">
        <f t="shared" si="216"/>
        <v>1.5228426395939082E-2</v>
      </c>
      <c r="C418" s="124">
        <f>'Inputs &amp; Results'!B257</f>
        <v>653959.54030312493</v>
      </c>
      <c r="D418" s="124">
        <f t="shared" si="217"/>
        <v>0</v>
      </c>
      <c r="E418" s="124">
        <f t="shared" si="217"/>
        <v>0</v>
      </c>
      <c r="F418" s="206">
        <f t="shared" si="218"/>
        <v>653959.54030312493</v>
      </c>
      <c r="G418" s="328">
        <f>IF('Inputs &amp; Results'!B295="Yes",F418,0)</f>
        <v>0</v>
      </c>
      <c r="H418" s="370">
        <f t="shared" si="219"/>
        <v>0</v>
      </c>
      <c r="I418" s="124">
        <f t="shared" si="209"/>
        <v>0</v>
      </c>
      <c r="J418" s="300">
        <f t="shared" si="210"/>
        <v>0</v>
      </c>
      <c r="K418" s="328">
        <f t="shared" si="211"/>
        <v>0</v>
      </c>
      <c r="L418" s="300">
        <f t="shared" si="220"/>
        <v>0</v>
      </c>
      <c r="M418" s="124">
        <f t="shared" si="212"/>
        <v>0</v>
      </c>
      <c r="N418" s="124">
        <f t="shared" si="213"/>
        <v>0</v>
      </c>
      <c r="O418" s="206">
        <f t="shared" si="214"/>
        <v>653959.54030312493</v>
      </c>
      <c r="P418" s="124">
        <f>IF('Inputs &amp; Results'!B278="Yes",O418*FedBonusDeprec,0)</f>
        <v>0</v>
      </c>
      <c r="Q418" s="206">
        <f t="shared" si="221"/>
        <v>653959.54030312493</v>
      </c>
    </row>
    <row r="419" spans="1:17" s="101" customFormat="1" x14ac:dyDescent="0.2">
      <c r="A419" s="234" t="str">
        <f t="shared" si="215"/>
        <v>20-yr SL</v>
      </c>
      <c r="B419" s="324">
        <f t="shared" si="216"/>
        <v>3.0456852791878163E-2</v>
      </c>
      <c r="C419" s="124">
        <f>'Inputs &amp; Results'!B258</f>
        <v>1307919.0806062499</v>
      </c>
      <c r="D419" s="124">
        <f t="shared" si="217"/>
        <v>0</v>
      </c>
      <c r="E419" s="124">
        <f t="shared" si="217"/>
        <v>0</v>
      </c>
      <c r="F419" s="206">
        <f t="shared" si="218"/>
        <v>1307919.0806062499</v>
      </c>
      <c r="G419" s="328">
        <f>IF('Inputs &amp; Results'!B296="Yes",F419,0)</f>
        <v>0</v>
      </c>
      <c r="H419" s="370">
        <f t="shared" si="219"/>
        <v>0</v>
      </c>
      <c r="I419" s="124">
        <f t="shared" si="209"/>
        <v>0</v>
      </c>
      <c r="J419" s="300">
        <f t="shared" si="210"/>
        <v>0</v>
      </c>
      <c r="K419" s="328">
        <f t="shared" si="211"/>
        <v>0</v>
      </c>
      <c r="L419" s="300">
        <f t="shared" si="220"/>
        <v>0</v>
      </c>
      <c r="M419" s="124">
        <f t="shared" si="212"/>
        <v>0</v>
      </c>
      <c r="N419" s="124">
        <f t="shared" si="213"/>
        <v>0</v>
      </c>
      <c r="O419" s="206">
        <f t="shared" si="214"/>
        <v>1307919.0806062499</v>
      </c>
      <c r="P419" s="124">
        <f>IF('Inputs &amp; Results'!B279="Yes",O419*FedBonusDeprec,0)</f>
        <v>0</v>
      </c>
      <c r="Q419" s="206">
        <f t="shared" si="221"/>
        <v>1307919.0806062499</v>
      </c>
    </row>
    <row r="420" spans="1:17" s="101" customFormat="1" x14ac:dyDescent="0.2">
      <c r="A420" s="234" t="str">
        <f t="shared" si="215"/>
        <v>39-yr SL</v>
      </c>
      <c r="B420" s="324">
        <f t="shared" si="216"/>
        <v>5.0761421319796942E-3</v>
      </c>
      <c r="C420" s="124">
        <f>'Inputs &amp; Results'!B259</f>
        <v>217986.513434375</v>
      </c>
      <c r="D420" s="124">
        <f t="shared" si="217"/>
        <v>0</v>
      </c>
      <c r="E420" s="124">
        <f t="shared" si="217"/>
        <v>0</v>
      </c>
      <c r="F420" s="206">
        <f t="shared" si="218"/>
        <v>217986.513434375</v>
      </c>
      <c r="G420" s="328">
        <f>IF('Inputs &amp; Results'!B297="Yes",F420,0)</f>
        <v>0</v>
      </c>
      <c r="H420" s="370">
        <f t="shared" si="219"/>
        <v>0</v>
      </c>
      <c r="I420" s="124">
        <f t="shared" si="209"/>
        <v>0</v>
      </c>
      <c r="J420" s="300">
        <f t="shared" si="210"/>
        <v>0</v>
      </c>
      <c r="K420" s="328">
        <f t="shared" si="211"/>
        <v>0</v>
      </c>
      <c r="L420" s="300">
        <f t="shared" si="220"/>
        <v>0</v>
      </c>
      <c r="M420" s="124">
        <f t="shared" si="212"/>
        <v>0</v>
      </c>
      <c r="N420" s="124">
        <f t="shared" si="213"/>
        <v>0</v>
      </c>
      <c r="O420" s="206">
        <f t="shared" si="214"/>
        <v>217986.513434375</v>
      </c>
      <c r="P420" s="124">
        <f>IF('Inputs &amp; Results'!B280="Yes",O420*FedBonusDeprec,0)</f>
        <v>0</v>
      </c>
      <c r="Q420" s="206">
        <f t="shared" si="221"/>
        <v>217986.513434375</v>
      </c>
    </row>
    <row r="421" spans="1:17" x14ac:dyDescent="0.2">
      <c r="A421" s="238" t="s">
        <v>311</v>
      </c>
      <c r="B421" s="192"/>
      <c r="C421" s="193"/>
      <c r="D421" s="194"/>
      <c r="E421" s="194"/>
      <c r="F421" s="86"/>
      <c r="G421" s="192"/>
      <c r="H421" s="213"/>
      <c r="I421" s="213"/>
      <c r="J421" s="270"/>
      <c r="K421" s="192"/>
      <c r="L421" s="270"/>
      <c r="M421" s="194"/>
      <c r="N421" s="194"/>
      <c r="O421" s="86"/>
      <c r="P421" s="194"/>
      <c r="Q421" s="86"/>
    </row>
    <row r="422" spans="1:17" s="101" customFormat="1" x14ac:dyDescent="0.2">
      <c r="B422" s="330">
        <f>SUM(B415:B421)</f>
        <v>1</v>
      </c>
      <c r="C422" s="186">
        <f>SUM(C415:C421)</f>
        <v>42943343.146571882</v>
      </c>
      <c r="D422" s="186">
        <f>B431+B437</f>
        <v>0</v>
      </c>
      <c r="E422" s="186">
        <f>B443</f>
        <v>0</v>
      </c>
      <c r="F422" s="207">
        <f t="shared" ref="F422:Q422" si="222">SUM(F415:F421)</f>
        <v>42943343.146571882</v>
      </c>
      <c r="G422" s="207">
        <f>SUM(G415:G421)</f>
        <v>40109518.471925005</v>
      </c>
      <c r="H422" s="331">
        <f>SUM(H415:H421)</f>
        <v>1</v>
      </c>
      <c r="I422" s="207">
        <f>MIN(ITCFedMax,ITCFedPercent*G422)</f>
        <v>12032855.541577501</v>
      </c>
      <c r="J422" s="207">
        <f>SUM(J415:J421)</f>
        <v>6016427.7707887506</v>
      </c>
      <c r="K422" s="207">
        <f>ITCFedFixed</f>
        <v>0</v>
      </c>
      <c r="L422" s="207">
        <f>SUM(L415:L421)</f>
        <v>0</v>
      </c>
      <c r="M422" s="186">
        <f t="shared" si="222"/>
        <v>0</v>
      </c>
      <c r="N422" s="186">
        <f t="shared" si="222"/>
        <v>6016427.7707887506</v>
      </c>
      <c r="O422" s="207">
        <f t="shared" si="222"/>
        <v>36926915.375783131</v>
      </c>
      <c r="P422" s="207">
        <f t="shared" si="222"/>
        <v>0</v>
      </c>
      <c r="Q422" s="207">
        <f t="shared" si="222"/>
        <v>36926915.375783131</v>
      </c>
    </row>
    <row r="423" spans="1:17" s="101" customFormat="1" x14ac:dyDescent="0.2"/>
    <row r="424" spans="1:17" x14ac:dyDescent="0.2">
      <c r="A424" s="101" t="s">
        <v>152</v>
      </c>
    </row>
    <row r="425" spans="1:17" x14ac:dyDescent="0.2">
      <c r="A425" s="234" t="str">
        <f>A291</f>
        <v>Investment Based Incentive (IBI)</v>
      </c>
    </row>
    <row r="426" spans="1:17" x14ac:dyDescent="0.2">
      <c r="A426" s="235" t="str">
        <f t="shared" ref="A426:A444" si="223">A292</f>
        <v>Fixed Amount ($)</v>
      </c>
    </row>
    <row r="427" spans="1:17" x14ac:dyDescent="0.2">
      <c r="A427" s="236" t="str">
        <f t="shared" si="223"/>
        <v>Federal</v>
      </c>
      <c r="B427" s="135">
        <f>IF(IBIFedFixedFedDeprec="Yes",IBIFedFixed,0)</f>
        <v>0</v>
      </c>
    </row>
    <row r="428" spans="1:17" x14ac:dyDescent="0.2">
      <c r="A428" s="236" t="str">
        <f t="shared" si="223"/>
        <v>State</v>
      </c>
      <c r="B428" s="135">
        <f>IF(IBIStateFixedFedDeprec="Yes",IBIStateFixed,0)</f>
        <v>0</v>
      </c>
    </row>
    <row r="429" spans="1:17" x14ac:dyDescent="0.2">
      <c r="A429" s="236" t="str">
        <f t="shared" si="223"/>
        <v>Utility</v>
      </c>
      <c r="B429" s="135">
        <f>IF(IBIUtilityFixedFedDeprec="Yes",IBIUtilityFixed,0)</f>
        <v>0</v>
      </c>
    </row>
    <row r="430" spans="1:17" x14ac:dyDescent="0.2">
      <c r="A430" s="236" t="str">
        <f t="shared" si="223"/>
        <v>Other</v>
      </c>
      <c r="B430" s="170">
        <f>IF(IBIOtherFixedFedDeprec="Yes",IBIOtherFixed,0)</f>
        <v>0</v>
      </c>
    </row>
    <row r="431" spans="1:17" x14ac:dyDescent="0.2">
      <c r="A431" s="236" t="str">
        <f t="shared" si="223"/>
        <v>Total</v>
      </c>
      <c r="B431" s="135">
        <f>SUM(B427:B430)</f>
        <v>0</v>
      </c>
    </row>
    <row r="432" spans="1:17" x14ac:dyDescent="0.2">
      <c r="A432" s="235" t="str">
        <f t="shared" si="223"/>
        <v>Percentage of Pre-Financing Costs</v>
      </c>
    </row>
    <row r="433" spans="1:42" x14ac:dyDescent="0.2">
      <c r="A433" s="236" t="str">
        <f t="shared" si="223"/>
        <v>Federal</v>
      </c>
      <c r="B433" s="135">
        <f>IF(IBIFedPercentFedDeprec="Yes",IBIFedPercent,0)</f>
        <v>0</v>
      </c>
    </row>
    <row r="434" spans="1:42" x14ac:dyDescent="0.2">
      <c r="A434" s="236" t="str">
        <f t="shared" si="223"/>
        <v>State</v>
      </c>
      <c r="B434" s="135">
        <f>IF(IBIStatePercentFedDeprec="Yes",IBIStatePercent,0)</f>
        <v>0</v>
      </c>
    </row>
    <row r="435" spans="1:42" x14ac:dyDescent="0.2">
      <c r="A435" s="236" t="str">
        <f t="shared" si="223"/>
        <v>Utility</v>
      </c>
      <c r="B435" s="135">
        <f>IF(IBIUtilityPercentFedDeprec="Yes",IBIUtilityPercent,0)</f>
        <v>0</v>
      </c>
    </row>
    <row r="436" spans="1:42" x14ac:dyDescent="0.2">
      <c r="A436" s="236" t="str">
        <f t="shared" si="223"/>
        <v>Other</v>
      </c>
      <c r="B436" s="170">
        <f>IF(IBIOtherPercentFedDeprec="Yes",IBIOtherPercent,0)</f>
        <v>0</v>
      </c>
    </row>
    <row r="437" spans="1:42" x14ac:dyDescent="0.2">
      <c r="A437" s="236" t="str">
        <f t="shared" si="223"/>
        <v>Total</v>
      </c>
      <c r="B437" s="135">
        <f>SUM(B433:B436)</f>
        <v>0</v>
      </c>
    </row>
    <row r="438" spans="1:42" x14ac:dyDescent="0.2">
      <c r="A438" s="234" t="str">
        <f t="shared" si="223"/>
        <v>Capacity Based Incentive (CBI)</v>
      </c>
    </row>
    <row r="439" spans="1:42" x14ac:dyDescent="0.2">
      <c r="A439" s="235" t="str">
        <f t="shared" si="223"/>
        <v>Federal</v>
      </c>
      <c r="B439" s="135">
        <f>IF(CBIFedFedDeprec="Yes",CBIFed,0)</f>
        <v>0</v>
      </c>
    </row>
    <row r="440" spans="1:42" x14ac:dyDescent="0.2">
      <c r="A440" s="235" t="str">
        <f t="shared" si="223"/>
        <v>State</v>
      </c>
      <c r="B440" s="135">
        <f>IF(CBIStateFedDeprec="Yes",CBIState,0)</f>
        <v>0</v>
      </c>
    </row>
    <row r="441" spans="1:42" x14ac:dyDescent="0.2">
      <c r="A441" s="235" t="str">
        <f t="shared" si="223"/>
        <v>Utility</v>
      </c>
      <c r="B441" s="135">
        <f>IF(CBIUtilityFedDeprec="Yes",CBIUtility,0)</f>
        <v>0</v>
      </c>
    </row>
    <row r="442" spans="1:42" x14ac:dyDescent="0.2">
      <c r="A442" s="235" t="str">
        <f t="shared" si="223"/>
        <v>Other</v>
      </c>
      <c r="B442" s="170">
        <f>IF(CBIOtherFedDeprec="Yes",CBIOther,0)</f>
        <v>0</v>
      </c>
    </row>
    <row r="443" spans="1:42" x14ac:dyDescent="0.2">
      <c r="A443" s="235" t="str">
        <f t="shared" si="223"/>
        <v>Total</v>
      </c>
      <c r="B443" s="177">
        <f>SUM(B439:B442)</f>
        <v>0</v>
      </c>
    </row>
    <row r="444" spans="1:42" x14ac:dyDescent="0.2">
      <c r="A444" s="234" t="str">
        <f t="shared" si="223"/>
        <v>Total Basis Reduction</v>
      </c>
      <c r="B444" s="135">
        <f>B431+B437+B443</f>
        <v>0</v>
      </c>
    </row>
    <row r="445" spans="1:42" x14ac:dyDescent="0.2">
      <c r="A445" s="101"/>
    </row>
    <row r="446" spans="1:42" x14ac:dyDescent="0.2">
      <c r="A446" s="101" t="s">
        <v>236</v>
      </c>
    </row>
    <row r="447" spans="1:42" x14ac:dyDescent="0.2">
      <c r="A447" s="234" t="s">
        <v>146</v>
      </c>
    </row>
    <row r="448" spans="1:42" x14ac:dyDescent="0.2">
      <c r="A448" s="188" t="str">
        <f>A415</f>
        <v>5-yr MACRS</v>
      </c>
      <c r="B448" s="197">
        <f>SUM(C448:AP448)</f>
        <v>0.99999999999999989</v>
      </c>
      <c r="C448" s="198">
        <f>LOOKUP(C$2,'Depreciation Schedules'!$A$3:$A$42,'Depreciation Schedules'!$B$3:$B$42)</f>
        <v>0.2</v>
      </c>
      <c r="D448" s="198">
        <f>LOOKUP(D$2,'Depreciation Schedules'!$A$3:$A$42,'Depreciation Schedules'!$B$3:$B$42)</f>
        <v>0.32</v>
      </c>
      <c r="E448" s="198">
        <f>LOOKUP(E$2,'Depreciation Schedules'!$A$3:$A$42,'Depreciation Schedules'!$B$3:$B$42)</f>
        <v>0.192</v>
      </c>
      <c r="F448" s="198">
        <f>LOOKUP(F$2,'Depreciation Schedules'!$A$3:$A$42,'Depreciation Schedules'!$B$3:$B$42)</f>
        <v>0.1152</v>
      </c>
      <c r="G448" s="198">
        <f>LOOKUP(G$2,'Depreciation Schedules'!$A$3:$A$42,'Depreciation Schedules'!$B$3:$B$42)</f>
        <v>0.1152</v>
      </c>
      <c r="H448" s="198">
        <f>LOOKUP(H$2,'Depreciation Schedules'!$A$3:$A$42,'Depreciation Schedules'!$B$3:$B$42)</f>
        <v>5.7599999999999998E-2</v>
      </c>
      <c r="I448" s="198">
        <f>LOOKUP(I$2,'Depreciation Schedules'!$A$3:$A$42,'Depreciation Schedules'!$B$3:$B$42)</f>
        <v>0</v>
      </c>
      <c r="J448" s="198">
        <f>LOOKUP(J$2,'Depreciation Schedules'!$A$3:$A$42,'Depreciation Schedules'!$B$3:$B$42)</f>
        <v>0</v>
      </c>
      <c r="K448" s="198">
        <f>LOOKUP(K$2,'Depreciation Schedules'!$A$3:$A$42,'Depreciation Schedules'!$B$3:$B$42)</f>
        <v>0</v>
      </c>
      <c r="L448" s="198">
        <f>LOOKUP(L$2,'Depreciation Schedules'!$A$3:$A$42,'Depreciation Schedules'!$B$3:$B$42)</f>
        <v>0</v>
      </c>
      <c r="M448" s="198">
        <f>LOOKUP(M$2,'Depreciation Schedules'!$A$3:$A$42,'Depreciation Schedules'!$B$3:$B$42)</f>
        <v>0</v>
      </c>
      <c r="N448" s="198">
        <f>LOOKUP(N$2,'Depreciation Schedules'!$A$3:$A$42,'Depreciation Schedules'!$B$3:$B$42)</f>
        <v>0</v>
      </c>
      <c r="O448" s="198">
        <f>LOOKUP(O$2,'Depreciation Schedules'!$A$3:$A$42,'Depreciation Schedules'!$B$3:$B$42)</f>
        <v>0</v>
      </c>
      <c r="P448" s="198">
        <f>LOOKUP(P$2,'Depreciation Schedules'!$A$3:$A$42,'Depreciation Schedules'!$B$3:$B$42)</f>
        <v>0</v>
      </c>
      <c r="Q448" s="198">
        <f>LOOKUP(Q$2,'Depreciation Schedules'!$A$3:$A$42,'Depreciation Schedules'!$B$3:$B$42)</f>
        <v>0</v>
      </c>
      <c r="R448" s="198">
        <f>LOOKUP(R$2,'Depreciation Schedules'!$A$3:$A$42,'Depreciation Schedules'!$B$3:$B$42)</f>
        <v>0</v>
      </c>
      <c r="S448" s="198">
        <f>LOOKUP(S$2,'Depreciation Schedules'!$A$3:$A$42,'Depreciation Schedules'!$B$3:$B$42)</f>
        <v>0</v>
      </c>
      <c r="T448" s="198">
        <f>LOOKUP(T$2,'Depreciation Schedules'!$A$3:$A$42,'Depreciation Schedules'!$B$3:$B$42)</f>
        <v>0</v>
      </c>
      <c r="U448" s="198">
        <f>LOOKUP(U$2,'Depreciation Schedules'!$A$3:$A$42,'Depreciation Schedules'!$B$3:$B$42)</f>
        <v>0</v>
      </c>
      <c r="V448" s="198">
        <f>LOOKUP(V$2,'Depreciation Schedules'!$A$3:$A$42,'Depreciation Schedules'!$B$3:$B$42)</f>
        <v>0</v>
      </c>
      <c r="W448" s="198">
        <f>LOOKUP(W$2,'Depreciation Schedules'!$A$3:$A$42,'Depreciation Schedules'!$B$3:$B$42)</f>
        <v>0</v>
      </c>
      <c r="X448" s="198">
        <f>LOOKUP(X$2,'Depreciation Schedules'!$A$3:$A$42,'Depreciation Schedules'!$B$3:$B$42)</f>
        <v>0</v>
      </c>
      <c r="Y448" s="198">
        <f>LOOKUP(Y$2,'Depreciation Schedules'!$A$3:$A$42,'Depreciation Schedules'!$B$3:$B$42)</f>
        <v>0</v>
      </c>
      <c r="Z448" s="198">
        <f>LOOKUP(Z$2,'Depreciation Schedules'!$A$3:$A$42,'Depreciation Schedules'!$B$3:$B$42)</f>
        <v>0</v>
      </c>
      <c r="AA448" s="198">
        <f>LOOKUP(AA$2,'Depreciation Schedules'!$A$3:$A$42,'Depreciation Schedules'!$B$3:$B$42)</f>
        <v>0</v>
      </c>
      <c r="AB448" s="198">
        <f>LOOKUP(AB$2,'Depreciation Schedules'!$A$3:$A$42,'Depreciation Schedules'!$B$3:$B$42)</f>
        <v>0</v>
      </c>
      <c r="AC448" s="198">
        <f>LOOKUP(AC$2,'Depreciation Schedules'!$A$3:$A$42,'Depreciation Schedules'!$B$3:$B$42)</f>
        <v>0</v>
      </c>
      <c r="AD448" s="198">
        <f>LOOKUP(AD$2,'Depreciation Schedules'!$A$3:$A$42,'Depreciation Schedules'!$B$3:$B$42)</f>
        <v>0</v>
      </c>
      <c r="AE448" s="198">
        <f>LOOKUP(AE$2,'Depreciation Schedules'!$A$3:$A$42,'Depreciation Schedules'!$B$3:$B$42)</f>
        <v>0</v>
      </c>
      <c r="AF448" s="198">
        <f>LOOKUP(AF$2,'Depreciation Schedules'!$A$3:$A$42,'Depreciation Schedules'!$B$3:$B$42)</f>
        <v>0</v>
      </c>
      <c r="AG448" s="198">
        <f>LOOKUP(AG$2,'Depreciation Schedules'!$A$3:$A$42,'Depreciation Schedules'!$B$3:$B$42)</f>
        <v>0</v>
      </c>
      <c r="AH448" s="198">
        <f>LOOKUP(AH$2,'Depreciation Schedules'!$A$3:$A$42,'Depreciation Schedules'!$B$3:$B$42)</f>
        <v>0</v>
      </c>
      <c r="AI448" s="198">
        <f>LOOKUP(AI$2,'Depreciation Schedules'!$A$3:$A$42,'Depreciation Schedules'!$B$3:$B$42)</f>
        <v>0</v>
      </c>
      <c r="AJ448" s="198">
        <f>LOOKUP(AJ$2,'Depreciation Schedules'!$A$3:$A$42,'Depreciation Schedules'!$B$3:$B$42)</f>
        <v>0</v>
      </c>
      <c r="AK448" s="198">
        <f>LOOKUP(AK$2,'Depreciation Schedules'!$A$3:$A$42,'Depreciation Schedules'!$B$3:$B$42)</f>
        <v>0</v>
      </c>
      <c r="AL448" s="198">
        <f>LOOKUP(AL$2,'Depreciation Schedules'!$A$3:$A$42,'Depreciation Schedules'!$B$3:$B$42)</f>
        <v>0</v>
      </c>
      <c r="AM448" s="198">
        <f>LOOKUP(AM$2,'Depreciation Schedules'!$A$3:$A$42,'Depreciation Schedules'!$B$3:$B$42)</f>
        <v>0</v>
      </c>
      <c r="AN448" s="198">
        <f>LOOKUP(AN$2,'Depreciation Schedules'!$A$3:$A$42,'Depreciation Schedules'!$B$3:$B$42)</f>
        <v>0</v>
      </c>
      <c r="AO448" s="198">
        <f>LOOKUP(AO$2,'Depreciation Schedules'!$A$3:$A$42,'Depreciation Schedules'!$B$3:$B$42)</f>
        <v>0</v>
      </c>
      <c r="AP448" s="198">
        <f>LOOKUP(AP$2,'Depreciation Schedules'!$A$3:$A$42,'Depreciation Schedules'!$B$3:$B$42)</f>
        <v>0</v>
      </c>
    </row>
    <row r="449" spans="1:42" x14ac:dyDescent="0.2">
      <c r="A449" s="188" t="str">
        <f t="shared" ref="A449:A453" si="224">A416</f>
        <v>15-yr MACRS</v>
      </c>
      <c r="B449" s="199">
        <f t="shared" ref="B449:B453" si="225">SUM(C449:AP449)</f>
        <v>1.0000000000000002</v>
      </c>
      <c r="C449" s="198">
        <f>LOOKUP(C$2,'Depreciation Schedules'!$A$3:$A$42,'Depreciation Schedules'!$C$3:$C$42)</f>
        <v>0.05</v>
      </c>
      <c r="D449" s="198">
        <f>LOOKUP(D$2,'Depreciation Schedules'!$A$3:$A$42,'Depreciation Schedules'!$C$3:$C$42)</f>
        <v>9.5000000000000001E-2</v>
      </c>
      <c r="E449" s="198">
        <f>LOOKUP(E$2,'Depreciation Schedules'!$A$3:$A$42,'Depreciation Schedules'!$C$3:$C$42)</f>
        <v>8.5500000000000007E-2</v>
      </c>
      <c r="F449" s="198">
        <f>LOOKUP(F$2,'Depreciation Schedules'!$A$3:$A$42,'Depreciation Schedules'!$C$3:$C$42)</f>
        <v>7.6999999999999999E-2</v>
      </c>
      <c r="G449" s="198">
        <f>LOOKUP(G$2,'Depreciation Schedules'!$A$3:$A$42,'Depreciation Schedules'!$C$3:$C$42)</f>
        <v>6.93E-2</v>
      </c>
      <c r="H449" s="198">
        <f>LOOKUP(H$2,'Depreciation Schedules'!$A$3:$A$42,'Depreciation Schedules'!$C$3:$C$42)</f>
        <v>6.2300000000000001E-2</v>
      </c>
      <c r="I449" s="198">
        <f>LOOKUP(I$2,'Depreciation Schedules'!$A$3:$A$42,'Depreciation Schedules'!$C$3:$C$42)</f>
        <v>5.8999999999999997E-2</v>
      </c>
      <c r="J449" s="198">
        <f>LOOKUP(J$2,'Depreciation Schedules'!$A$3:$A$42,'Depreciation Schedules'!$C$3:$C$42)</f>
        <v>5.8999999999999997E-2</v>
      </c>
      <c r="K449" s="198">
        <f>LOOKUP(K$2,'Depreciation Schedules'!$A$3:$A$42,'Depreciation Schedules'!$C$3:$C$42)</f>
        <v>5.91E-2</v>
      </c>
      <c r="L449" s="198">
        <f>LOOKUP(L$2,'Depreciation Schedules'!$A$3:$A$42,'Depreciation Schedules'!$C$3:$C$42)</f>
        <v>5.8999999999999997E-2</v>
      </c>
      <c r="M449" s="198">
        <f>LOOKUP(M$2,'Depreciation Schedules'!$A$3:$A$42,'Depreciation Schedules'!$C$3:$C$42)</f>
        <v>5.91E-2</v>
      </c>
      <c r="N449" s="198">
        <f>LOOKUP(N$2,'Depreciation Schedules'!$A$3:$A$42,'Depreciation Schedules'!$C$3:$C$42)</f>
        <v>5.8999999999999997E-2</v>
      </c>
      <c r="O449" s="198">
        <f>LOOKUP(O$2,'Depreciation Schedules'!$A$3:$A$42,'Depreciation Schedules'!$C$3:$C$42)</f>
        <v>5.91E-2</v>
      </c>
      <c r="P449" s="198">
        <f>LOOKUP(P$2,'Depreciation Schedules'!$A$3:$A$42,'Depreciation Schedules'!$C$3:$C$42)</f>
        <v>5.8999999999999997E-2</v>
      </c>
      <c r="Q449" s="198">
        <f>LOOKUP(Q$2,'Depreciation Schedules'!$A$3:$A$42,'Depreciation Schedules'!$C$3:$C$42)</f>
        <v>5.91E-2</v>
      </c>
      <c r="R449" s="198">
        <f>LOOKUP(R$2,'Depreciation Schedules'!$A$3:$A$42,'Depreciation Schedules'!$C$3:$C$42)</f>
        <v>2.9499999999999998E-2</v>
      </c>
      <c r="S449" s="198">
        <f>LOOKUP(S$2,'Depreciation Schedules'!$A$3:$A$42,'Depreciation Schedules'!$C$3:$C$42)</f>
        <v>0</v>
      </c>
      <c r="T449" s="198">
        <f>LOOKUP(T$2,'Depreciation Schedules'!$A$3:$A$42,'Depreciation Schedules'!$C$3:$C$42)</f>
        <v>0</v>
      </c>
      <c r="U449" s="198">
        <f>LOOKUP(U$2,'Depreciation Schedules'!$A$3:$A$42,'Depreciation Schedules'!$C$3:$C$42)</f>
        <v>0</v>
      </c>
      <c r="V449" s="198">
        <f>LOOKUP(V$2,'Depreciation Schedules'!$A$3:$A$42,'Depreciation Schedules'!$C$3:$C$42)</f>
        <v>0</v>
      </c>
      <c r="W449" s="198">
        <f>LOOKUP(W$2,'Depreciation Schedules'!$A$3:$A$42,'Depreciation Schedules'!$C$3:$C$42)</f>
        <v>0</v>
      </c>
      <c r="X449" s="198">
        <f>LOOKUP(X$2,'Depreciation Schedules'!$A$3:$A$42,'Depreciation Schedules'!$C$3:$C$42)</f>
        <v>0</v>
      </c>
      <c r="Y449" s="198">
        <f>LOOKUP(Y$2,'Depreciation Schedules'!$A$3:$A$42,'Depreciation Schedules'!$C$3:$C$42)</f>
        <v>0</v>
      </c>
      <c r="Z449" s="198">
        <f>LOOKUP(Z$2,'Depreciation Schedules'!$A$3:$A$42,'Depreciation Schedules'!$C$3:$C$42)</f>
        <v>0</v>
      </c>
      <c r="AA449" s="198">
        <f>LOOKUP(AA$2,'Depreciation Schedules'!$A$3:$A$42,'Depreciation Schedules'!$C$3:$C$42)</f>
        <v>0</v>
      </c>
      <c r="AB449" s="198">
        <f>LOOKUP(AB$2,'Depreciation Schedules'!$A$3:$A$42,'Depreciation Schedules'!$C$3:$C$42)</f>
        <v>0</v>
      </c>
      <c r="AC449" s="198">
        <f>LOOKUP(AC$2,'Depreciation Schedules'!$A$3:$A$42,'Depreciation Schedules'!$C$3:$C$42)</f>
        <v>0</v>
      </c>
      <c r="AD449" s="198">
        <f>LOOKUP(AD$2,'Depreciation Schedules'!$A$3:$A$42,'Depreciation Schedules'!$C$3:$C$42)</f>
        <v>0</v>
      </c>
      <c r="AE449" s="198">
        <f>LOOKUP(AE$2,'Depreciation Schedules'!$A$3:$A$42,'Depreciation Schedules'!$C$3:$C$42)</f>
        <v>0</v>
      </c>
      <c r="AF449" s="198">
        <f>LOOKUP(AF$2,'Depreciation Schedules'!$A$3:$A$42,'Depreciation Schedules'!$C$3:$C$42)</f>
        <v>0</v>
      </c>
      <c r="AG449" s="198">
        <f>LOOKUP(AG$2,'Depreciation Schedules'!$A$3:$A$42,'Depreciation Schedules'!$C$3:$C$42)</f>
        <v>0</v>
      </c>
      <c r="AH449" s="198">
        <f>LOOKUP(AH$2,'Depreciation Schedules'!$A$3:$A$42,'Depreciation Schedules'!$C$3:$C$42)</f>
        <v>0</v>
      </c>
      <c r="AI449" s="198">
        <f>LOOKUP(AI$2,'Depreciation Schedules'!$A$3:$A$42,'Depreciation Schedules'!$C$3:$C$42)</f>
        <v>0</v>
      </c>
      <c r="AJ449" s="198">
        <f>LOOKUP(AJ$2,'Depreciation Schedules'!$A$3:$A$42,'Depreciation Schedules'!$C$3:$C$42)</f>
        <v>0</v>
      </c>
      <c r="AK449" s="198">
        <f>LOOKUP(AK$2,'Depreciation Schedules'!$A$3:$A$42,'Depreciation Schedules'!$C$3:$C$42)</f>
        <v>0</v>
      </c>
      <c r="AL449" s="198">
        <f>LOOKUP(AL$2,'Depreciation Schedules'!$A$3:$A$42,'Depreciation Schedules'!$C$3:$C$42)</f>
        <v>0</v>
      </c>
      <c r="AM449" s="198">
        <f>LOOKUP(AM$2,'Depreciation Schedules'!$A$3:$A$42,'Depreciation Schedules'!$C$3:$C$42)</f>
        <v>0</v>
      </c>
      <c r="AN449" s="198">
        <f>LOOKUP(AN$2,'Depreciation Schedules'!$A$3:$A$42,'Depreciation Schedules'!$C$3:$C$42)</f>
        <v>0</v>
      </c>
      <c r="AO449" s="198">
        <f>LOOKUP(AO$2,'Depreciation Schedules'!$A$3:$A$42,'Depreciation Schedules'!$C$3:$C$42)</f>
        <v>0</v>
      </c>
      <c r="AP449" s="198">
        <f>LOOKUP(AP$2,'Depreciation Schedules'!$A$3:$A$42,'Depreciation Schedules'!$C$3:$C$42)</f>
        <v>0</v>
      </c>
    </row>
    <row r="450" spans="1:42" x14ac:dyDescent="0.2">
      <c r="A450" s="188" t="str">
        <f t="shared" si="224"/>
        <v>5-yr SL</v>
      </c>
      <c r="B450" s="199">
        <f t="shared" si="225"/>
        <v>0.99999999999999989</v>
      </c>
      <c r="C450" s="198">
        <f>LOOKUP(C$2,'Depreciation Schedules'!$A$3:$A$42,'Depreciation Schedules'!$D$3:$D$42)</f>
        <v>0.1</v>
      </c>
      <c r="D450" s="198">
        <f>LOOKUP(D$2,'Depreciation Schedules'!$A$3:$A$42,'Depreciation Schedules'!$D$3:$D$42)</f>
        <v>0.2</v>
      </c>
      <c r="E450" s="198">
        <f>LOOKUP(E$2,'Depreciation Schedules'!$A$3:$A$42,'Depreciation Schedules'!$D$3:$D$42)</f>
        <v>0.2</v>
      </c>
      <c r="F450" s="198">
        <f>LOOKUP(F$2,'Depreciation Schedules'!$A$3:$A$42,'Depreciation Schedules'!$D$3:$D$42)</f>
        <v>0.2</v>
      </c>
      <c r="G450" s="198">
        <f>LOOKUP(G$2,'Depreciation Schedules'!$A$3:$A$42,'Depreciation Schedules'!$D$3:$D$42)</f>
        <v>0.2</v>
      </c>
      <c r="H450" s="198">
        <f>LOOKUP(H$2,'Depreciation Schedules'!$A$3:$A$42,'Depreciation Schedules'!$D$3:$D$42)</f>
        <v>0.1</v>
      </c>
      <c r="I450" s="198">
        <f>LOOKUP(I$2,'Depreciation Schedules'!$A$3:$A$42,'Depreciation Schedules'!$D$3:$D$42)</f>
        <v>0</v>
      </c>
      <c r="J450" s="198">
        <f>LOOKUP(J$2,'Depreciation Schedules'!$A$3:$A$42,'Depreciation Schedules'!$D$3:$D$42)</f>
        <v>0</v>
      </c>
      <c r="K450" s="198">
        <f>LOOKUP(K$2,'Depreciation Schedules'!$A$3:$A$42,'Depreciation Schedules'!$D$3:$D$42)</f>
        <v>0</v>
      </c>
      <c r="L450" s="198">
        <f>LOOKUP(L$2,'Depreciation Schedules'!$A$3:$A$42,'Depreciation Schedules'!$D$3:$D$42)</f>
        <v>0</v>
      </c>
      <c r="M450" s="198">
        <f>LOOKUP(M$2,'Depreciation Schedules'!$A$3:$A$42,'Depreciation Schedules'!$D$3:$D$42)</f>
        <v>0</v>
      </c>
      <c r="N450" s="198">
        <f>LOOKUP(N$2,'Depreciation Schedules'!$A$3:$A$42,'Depreciation Schedules'!$D$3:$D$42)</f>
        <v>0</v>
      </c>
      <c r="O450" s="198">
        <f>LOOKUP(O$2,'Depreciation Schedules'!$A$3:$A$42,'Depreciation Schedules'!$D$3:$D$42)</f>
        <v>0</v>
      </c>
      <c r="P450" s="198">
        <f>LOOKUP(P$2,'Depreciation Schedules'!$A$3:$A$42,'Depreciation Schedules'!$D$3:$D$42)</f>
        <v>0</v>
      </c>
      <c r="Q450" s="198">
        <f>LOOKUP(Q$2,'Depreciation Schedules'!$A$3:$A$42,'Depreciation Schedules'!$D$3:$D$42)</f>
        <v>0</v>
      </c>
      <c r="R450" s="198">
        <f>LOOKUP(R$2,'Depreciation Schedules'!$A$3:$A$42,'Depreciation Schedules'!$D$3:$D$42)</f>
        <v>0</v>
      </c>
      <c r="S450" s="198">
        <f>LOOKUP(S$2,'Depreciation Schedules'!$A$3:$A$42,'Depreciation Schedules'!$D$3:$D$42)</f>
        <v>0</v>
      </c>
      <c r="T450" s="198">
        <f>LOOKUP(T$2,'Depreciation Schedules'!$A$3:$A$42,'Depreciation Schedules'!$D$3:$D$42)</f>
        <v>0</v>
      </c>
      <c r="U450" s="198">
        <f>LOOKUP(U$2,'Depreciation Schedules'!$A$3:$A$42,'Depreciation Schedules'!$D$3:$D$42)</f>
        <v>0</v>
      </c>
      <c r="V450" s="198">
        <f>LOOKUP(V$2,'Depreciation Schedules'!$A$3:$A$42,'Depreciation Schedules'!$D$3:$D$42)</f>
        <v>0</v>
      </c>
      <c r="W450" s="198">
        <f>LOOKUP(W$2,'Depreciation Schedules'!$A$3:$A$42,'Depreciation Schedules'!$D$3:$D$42)</f>
        <v>0</v>
      </c>
      <c r="X450" s="198">
        <f>LOOKUP(X$2,'Depreciation Schedules'!$A$3:$A$42,'Depreciation Schedules'!$D$3:$D$42)</f>
        <v>0</v>
      </c>
      <c r="Y450" s="198">
        <f>LOOKUP(Y$2,'Depreciation Schedules'!$A$3:$A$42,'Depreciation Schedules'!$D$3:$D$42)</f>
        <v>0</v>
      </c>
      <c r="Z450" s="198">
        <f>LOOKUP(Z$2,'Depreciation Schedules'!$A$3:$A$42,'Depreciation Schedules'!$D$3:$D$42)</f>
        <v>0</v>
      </c>
      <c r="AA450" s="198">
        <f>LOOKUP(AA$2,'Depreciation Schedules'!$A$3:$A$42,'Depreciation Schedules'!$D$3:$D$42)</f>
        <v>0</v>
      </c>
      <c r="AB450" s="198">
        <f>LOOKUP(AB$2,'Depreciation Schedules'!$A$3:$A$42,'Depreciation Schedules'!$D$3:$D$42)</f>
        <v>0</v>
      </c>
      <c r="AC450" s="198">
        <f>LOOKUP(AC$2,'Depreciation Schedules'!$A$3:$A$42,'Depreciation Schedules'!$D$3:$D$42)</f>
        <v>0</v>
      </c>
      <c r="AD450" s="198">
        <f>LOOKUP(AD$2,'Depreciation Schedules'!$A$3:$A$42,'Depreciation Schedules'!$D$3:$D$42)</f>
        <v>0</v>
      </c>
      <c r="AE450" s="198">
        <f>LOOKUP(AE$2,'Depreciation Schedules'!$A$3:$A$42,'Depreciation Schedules'!$D$3:$D$42)</f>
        <v>0</v>
      </c>
      <c r="AF450" s="198">
        <f>LOOKUP(AF$2,'Depreciation Schedules'!$A$3:$A$42,'Depreciation Schedules'!$D$3:$D$42)</f>
        <v>0</v>
      </c>
      <c r="AG450" s="198">
        <f>LOOKUP(AG$2,'Depreciation Schedules'!$A$3:$A$42,'Depreciation Schedules'!$D$3:$D$42)</f>
        <v>0</v>
      </c>
      <c r="AH450" s="198">
        <f>LOOKUP(AH$2,'Depreciation Schedules'!$A$3:$A$42,'Depreciation Schedules'!$D$3:$D$42)</f>
        <v>0</v>
      </c>
      <c r="AI450" s="198">
        <f>LOOKUP(AI$2,'Depreciation Schedules'!$A$3:$A$42,'Depreciation Schedules'!$D$3:$D$42)</f>
        <v>0</v>
      </c>
      <c r="AJ450" s="198">
        <f>LOOKUP(AJ$2,'Depreciation Schedules'!$A$3:$A$42,'Depreciation Schedules'!$D$3:$D$42)</f>
        <v>0</v>
      </c>
      <c r="AK450" s="198">
        <f>LOOKUP(AK$2,'Depreciation Schedules'!$A$3:$A$42,'Depreciation Schedules'!$D$3:$D$42)</f>
        <v>0</v>
      </c>
      <c r="AL450" s="198">
        <f>LOOKUP(AL$2,'Depreciation Schedules'!$A$3:$A$42,'Depreciation Schedules'!$D$3:$D$42)</f>
        <v>0</v>
      </c>
      <c r="AM450" s="198">
        <f>LOOKUP(AM$2,'Depreciation Schedules'!$A$3:$A$42,'Depreciation Schedules'!$D$3:$D$42)</f>
        <v>0</v>
      </c>
      <c r="AN450" s="198">
        <f>LOOKUP(AN$2,'Depreciation Schedules'!$A$3:$A$42,'Depreciation Schedules'!$D$3:$D$42)</f>
        <v>0</v>
      </c>
      <c r="AO450" s="198">
        <f>LOOKUP(AO$2,'Depreciation Schedules'!$A$3:$A$42,'Depreciation Schedules'!$D$3:$D$42)</f>
        <v>0</v>
      </c>
      <c r="AP450" s="198">
        <f>LOOKUP(AP$2,'Depreciation Schedules'!$A$3:$A$42,'Depreciation Schedules'!$D$3:$D$42)</f>
        <v>0</v>
      </c>
    </row>
    <row r="451" spans="1:42" x14ac:dyDescent="0.2">
      <c r="A451" s="188" t="str">
        <f t="shared" si="224"/>
        <v>15-yr SL</v>
      </c>
      <c r="B451" s="199">
        <f t="shared" si="225"/>
        <v>0.99999999999999989</v>
      </c>
      <c r="C451" s="198">
        <f>LOOKUP(C$2,'Depreciation Schedules'!$A$3:$A$42,'Depreciation Schedules'!$E$3:$E$42)</f>
        <v>3.3300000000000003E-2</v>
      </c>
      <c r="D451" s="198">
        <f>LOOKUP(D$2,'Depreciation Schedules'!$A$3:$A$42,'Depreciation Schedules'!$E$3:$E$42)</f>
        <v>6.6699999999999995E-2</v>
      </c>
      <c r="E451" s="198">
        <f>LOOKUP(E$2,'Depreciation Schedules'!$A$3:$A$42,'Depreciation Schedules'!$E$3:$E$42)</f>
        <v>6.6699999999999995E-2</v>
      </c>
      <c r="F451" s="198">
        <f>LOOKUP(F$2,'Depreciation Schedules'!$A$3:$A$42,'Depreciation Schedules'!$E$3:$E$42)</f>
        <v>6.6699999999999995E-2</v>
      </c>
      <c r="G451" s="198">
        <f>LOOKUP(G$2,'Depreciation Schedules'!$A$3:$A$42,'Depreciation Schedules'!$E$3:$E$42)</f>
        <v>6.6699999999999995E-2</v>
      </c>
      <c r="H451" s="198">
        <f>LOOKUP(H$2,'Depreciation Schedules'!$A$3:$A$42,'Depreciation Schedules'!$E$3:$E$42)</f>
        <v>6.6699999999999995E-2</v>
      </c>
      <c r="I451" s="198">
        <f>LOOKUP(I$2,'Depreciation Schedules'!$A$3:$A$42,'Depreciation Schedules'!$E$3:$E$42)</f>
        <v>6.6699999999999995E-2</v>
      </c>
      <c r="J451" s="198">
        <f>LOOKUP(J$2,'Depreciation Schedules'!$A$3:$A$42,'Depreciation Schedules'!$E$3:$E$42)</f>
        <v>6.6600000000000006E-2</v>
      </c>
      <c r="K451" s="198">
        <f>LOOKUP(K$2,'Depreciation Schedules'!$A$3:$A$42,'Depreciation Schedules'!$E$3:$E$42)</f>
        <v>6.6699999999999995E-2</v>
      </c>
      <c r="L451" s="198">
        <f>LOOKUP(L$2,'Depreciation Schedules'!$A$3:$A$42,'Depreciation Schedules'!$E$3:$E$42)</f>
        <v>6.6600000000000006E-2</v>
      </c>
      <c r="M451" s="198">
        <f>LOOKUP(M$2,'Depreciation Schedules'!$A$3:$A$42,'Depreciation Schedules'!$E$3:$E$42)</f>
        <v>6.6699999999999995E-2</v>
      </c>
      <c r="N451" s="198">
        <f>LOOKUP(N$2,'Depreciation Schedules'!$A$3:$A$42,'Depreciation Schedules'!$E$3:$E$42)</f>
        <v>6.6600000000000006E-2</v>
      </c>
      <c r="O451" s="198">
        <f>LOOKUP(O$2,'Depreciation Schedules'!$A$3:$A$42,'Depreciation Schedules'!$E$3:$E$42)</f>
        <v>6.6699999999999995E-2</v>
      </c>
      <c r="P451" s="198">
        <f>LOOKUP(P$2,'Depreciation Schedules'!$A$3:$A$42,'Depreciation Schedules'!$E$3:$E$42)</f>
        <v>6.6600000000000006E-2</v>
      </c>
      <c r="Q451" s="198">
        <f>LOOKUP(Q$2,'Depreciation Schedules'!$A$3:$A$42,'Depreciation Schedules'!$E$3:$E$42)</f>
        <v>6.6699999999999995E-2</v>
      </c>
      <c r="R451" s="198">
        <f>LOOKUP(R$2,'Depreciation Schedules'!$A$3:$A$42,'Depreciation Schedules'!$E$3:$E$42)</f>
        <v>3.3300000000000003E-2</v>
      </c>
      <c r="S451" s="198">
        <f>LOOKUP(S$2,'Depreciation Schedules'!$A$3:$A$42,'Depreciation Schedules'!$E$3:$E$42)</f>
        <v>0</v>
      </c>
      <c r="T451" s="198">
        <f>LOOKUP(T$2,'Depreciation Schedules'!$A$3:$A$42,'Depreciation Schedules'!$E$3:$E$42)</f>
        <v>0</v>
      </c>
      <c r="U451" s="198">
        <f>LOOKUP(U$2,'Depreciation Schedules'!$A$3:$A$42,'Depreciation Schedules'!$E$3:$E$42)</f>
        <v>0</v>
      </c>
      <c r="V451" s="198">
        <f>LOOKUP(V$2,'Depreciation Schedules'!$A$3:$A$42,'Depreciation Schedules'!$E$3:$E$42)</f>
        <v>0</v>
      </c>
      <c r="W451" s="198">
        <f>LOOKUP(W$2,'Depreciation Schedules'!$A$3:$A$42,'Depreciation Schedules'!$E$3:$E$42)</f>
        <v>0</v>
      </c>
      <c r="X451" s="198">
        <f>LOOKUP(X$2,'Depreciation Schedules'!$A$3:$A$42,'Depreciation Schedules'!$E$3:$E$42)</f>
        <v>0</v>
      </c>
      <c r="Y451" s="198">
        <f>LOOKUP(Y$2,'Depreciation Schedules'!$A$3:$A$42,'Depreciation Schedules'!$E$3:$E$42)</f>
        <v>0</v>
      </c>
      <c r="Z451" s="198">
        <f>LOOKUP(Z$2,'Depreciation Schedules'!$A$3:$A$42,'Depreciation Schedules'!$E$3:$E$42)</f>
        <v>0</v>
      </c>
      <c r="AA451" s="198">
        <f>LOOKUP(AA$2,'Depreciation Schedules'!$A$3:$A$42,'Depreciation Schedules'!$E$3:$E$42)</f>
        <v>0</v>
      </c>
      <c r="AB451" s="198">
        <f>LOOKUP(AB$2,'Depreciation Schedules'!$A$3:$A$42,'Depreciation Schedules'!$E$3:$E$42)</f>
        <v>0</v>
      </c>
      <c r="AC451" s="198">
        <f>LOOKUP(AC$2,'Depreciation Schedules'!$A$3:$A$42,'Depreciation Schedules'!$E$3:$E$42)</f>
        <v>0</v>
      </c>
      <c r="AD451" s="198">
        <f>LOOKUP(AD$2,'Depreciation Schedules'!$A$3:$A$42,'Depreciation Schedules'!$E$3:$E$42)</f>
        <v>0</v>
      </c>
      <c r="AE451" s="198">
        <f>LOOKUP(AE$2,'Depreciation Schedules'!$A$3:$A$42,'Depreciation Schedules'!$E$3:$E$42)</f>
        <v>0</v>
      </c>
      <c r="AF451" s="198">
        <f>LOOKUP(AF$2,'Depreciation Schedules'!$A$3:$A$42,'Depreciation Schedules'!$E$3:$E$42)</f>
        <v>0</v>
      </c>
      <c r="AG451" s="198">
        <f>LOOKUP(AG$2,'Depreciation Schedules'!$A$3:$A$42,'Depreciation Schedules'!$E$3:$E$42)</f>
        <v>0</v>
      </c>
      <c r="AH451" s="198">
        <f>LOOKUP(AH$2,'Depreciation Schedules'!$A$3:$A$42,'Depreciation Schedules'!$E$3:$E$42)</f>
        <v>0</v>
      </c>
      <c r="AI451" s="198">
        <f>LOOKUP(AI$2,'Depreciation Schedules'!$A$3:$A$42,'Depreciation Schedules'!$E$3:$E$42)</f>
        <v>0</v>
      </c>
      <c r="AJ451" s="198">
        <f>LOOKUP(AJ$2,'Depreciation Schedules'!$A$3:$A$42,'Depreciation Schedules'!$E$3:$E$42)</f>
        <v>0</v>
      </c>
      <c r="AK451" s="198">
        <f>LOOKUP(AK$2,'Depreciation Schedules'!$A$3:$A$42,'Depreciation Schedules'!$E$3:$E$42)</f>
        <v>0</v>
      </c>
      <c r="AL451" s="198">
        <f>LOOKUP(AL$2,'Depreciation Schedules'!$A$3:$A$42,'Depreciation Schedules'!$E$3:$E$42)</f>
        <v>0</v>
      </c>
      <c r="AM451" s="198">
        <f>LOOKUP(AM$2,'Depreciation Schedules'!$A$3:$A$42,'Depreciation Schedules'!$E$3:$E$42)</f>
        <v>0</v>
      </c>
      <c r="AN451" s="198">
        <f>LOOKUP(AN$2,'Depreciation Schedules'!$A$3:$A$42,'Depreciation Schedules'!$E$3:$E$42)</f>
        <v>0</v>
      </c>
      <c r="AO451" s="198">
        <f>LOOKUP(AO$2,'Depreciation Schedules'!$A$3:$A$42,'Depreciation Schedules'!$E$3:$E$42)</f>
        <v>0</v>
      </c>
      <c r="AP451" s="198">
        <f>LOOKUP(AP$2,'Depreciation Schedules'!$A$3:$A$42,'Depreciation Schedules'!$E$3:$E$42)</f>
        <v>0</v>
      </c>
    </row>
    <row r="452" spans="1:42" x14ac:dyDescent="0.2">
      <c r="A452" s="188" t="str">
        <f t="shared" si="224"/>
        <v>20-yr SL</v>
      </c>
      <c r="B452" s="199">
        <f t="shared" si="225"/>
        <v>1.0000000000000002</v>
      </c>
      <c r="C452" s="198">
        <f>LOOKUP(C$2,'Depreciation Schedules'!$A$3:$A$42,'Depreciation Schedules'!$F$3:$F$42)</f>
        <v>2.5000000000000001E-2</v>
      </c>
      <c r="D452" s="198">
        <f>LOOKUP(D$2,'Depreciation Schedules'!$A$3:$A$42,'Depreciation Schedules'!$F$3:$F$42)</f>
        <v>0.05</v>
      </c>
      <c r="E452" s="198">
        <f>LOOKUP(E$2,'Depreciation Schedules'!$A$3:$A$42,'Depreciation Schedules'!$F$3:$F$42)</f>
        <v>0.05</v>
      </c>
      <c r="F452" s="198">
        <f>LOOKUP(F$2,'Depreciation Schedules'!$A$3:$A$42,'Depreciation Schedules'!$F$3:$F$42)</f>
        <v>0.05</v>
      </c>
      <c r="G452" s="198">
        <f>LOOKUP(G$2,'Depreciation Schedules'!$A$3:$A$42,'Depreciation Schedules'!$F$3:$F$42)</f>
        <v>0.05</v>
      </c>
      <c r="H452" s="198">
        <f>LOOKUP(H$2,'Depreciation Schedules'!$A$3:$A$42,'Depreciation Schedules'!$F$3:$F$42)</f>
        <v>0.05</v>
      </c>
      <c r="I452" s="198">
        <f>LOOKUP(I$2,'Depreciation Schedules'!$A$3:$A$42,'Depreciation Schedules'!$F$3:$F$42)</f>
        <v>0.05</v>
      </c>
      <c r="J452" s="198">
        <f>LOOKUP(J$2,'Depreciation Schedules'!$A$3:$A$42,'Depreciation Schedules'!$F$3:$F$42)</f>
        <v>0.05</v>
      </c>
      <c r="K452" s="198">
        <f>LOOKUP(K$2,'Depreciation Schedules'!$A$3:$A$42,'Depreciation Schedules'!$F$3:$F$42)</f>
        <v>0.05</v>
      </c>
      <c r="L452" s="198">
        <f>LOOKUP(L$2,'Depreciation Schedules'!$A$3:$A$42,'Depreciation Schedules'!$F$3:$F$42)</f>
        <v>0.05</v>
      </c>
      <c r="M452" s="198">
        <f>LOOKUP(M$2,'Depreciation Schedules'!$A$3:$A$42,'Depreciation Schedules'!$F$3:$F$42)</f>
        <v>0.05</v>
      </c>
      <c r="N452" s="198">
        <f>LOOKUP(N$2,'Depreciation Schedules'!$A$3:$A$42,'Depreciation Schedules'!$F$3:$F$42)</f>
        <v>0.05</v>
      </c>
      <c r="O452" s="198">
        <f>LOOKUP(O$2,'Depreciation Schedules'!$A$3:$A$42,'Depreciation Schedules'!$F$3:$F$42)</f>
        <v>0.05</v>
      </c>
      <c r="P452" s="198">
        <f>LOOKUP(P$2,'Depreciation Schedules'!$A$3:$A$42,'Depreciation Schedules'!$F$3:$F$42)</f>
        <v>0.05</v>
      </c>
      <c r="Q452" s="198">
        <f>LOOKUP(Q$2,'Depreciation Schedules'!$A$3:$A$42,'Depreciation Schedules'!$F$3:$F$42)</f>
        <v>0.05</v>
      </c>
      <c r="R452" s="198">
        <f>LOOKUP(R$2,'Depreciation Schedules'!$A$3:$A$42,'Depreciation Schedules'!$F$3:$F$42)</f>
        <v>0.05</v>
      </c>
      <c r="S452" s="198">
        <f>LOOKUP(S$2,'Depreciation Schedules'!$A$3:$A$42,'Depreciation Schedules'!$F$3:$F$42)</f>
        <v>0.05</v>
      </c>
      <c r="T452" s="198">
        <f>LOOKUP(T$2,'Depreciation Schedules'!$A$3:$A$42,'Depreciation Schedules'!$F$3:$F$42)</f>
        <v>0.05</v>
      </c>
      <c r="U452" s="198">
        <f>LOOKUP(U$2,'Depreciation Schedules'!$A$3:$A$42,'Depreciation Schedules'!$F$3:$F$42)</f>
        <v>0.05</v>
      </c>
      <c r="V452" s="198">
        <f>LOOKUP(V$2,'Depreciation Schedules'!$A$3:$A$42,'Depreciation Schedules'!$F$3:$F$42)</f>
        <v>0.05</v>
      </c>
      <c r="W452" s="198">
        <f>LOOKUP(W$2,'Depreciation Schedules'!$A$3:$A$42,'Depreciation Schedules'!$F$3:$F$42)</f>
        <v>2.5000000000000001E-2</v>
      </c>
      <c r="X452" s="198">
        <f>LOOKUP(X$2,'Depreciation Schedules'!$A$3:$A$42,'Depreciation Schedules'!$F$3:$F$42)</f>
        <v>0</v>
      </c>
      <c r="Y452" s="198">
        <f>LOOKUP(Y$2,'Depreciation Schedules'!$A$3:$A$42,'Depreciation Schedules'!$F$3:$F$42)</f>
        <v>0</v>
      </c>
      <c r="Z452" s="198">
        <f>LOOKUP(Z$2,'Depreciation Schedules'!$A$3:$A$42,'Depreciation Schedules'!$F$3:$F$42)</f>
        <v>0</v>
      </c>
      <c r="AA452" s="198">
        <f>LOOKUP(AA$2,'Depreciation Schedules'!$A$3:$A$42,'Depreciation Schedules'!$F$3:$F$42)</f>
        <v>0</v>
      </c>
      <c r="AB452" s="198">
        <f>LOOKUP(AB$2,'Depreciation Schedules'!$A$3:$A$42,'Depreciation Schedules'!$F$3:$F$42)</f>
        <v>0</v>
      </c>
      <c r="AC452" s="198">
        <f>LOOKUP(AC$2,'Depreciation Schedules'!$A$3:$A$42,'Depreciation Schedules'!$F$3:$F$42)</f>
        <v>0</v>
      </c>
      <c r="AD452" s="198">
        <f>LOOKUP(AD$2,'Depreciation Schedules'!$A$3:$A$42,'Depreciation Schedules'!$F$3:$F$42)</f>
        <v>0</v>
      </c>
      <c r="AE452" s="198">
        <f>LOOKUP(AE$2,'Depreciation Schedules'!$A$3:$A$42,'Depreciation Schedules'!$F$3:$F$42)</f>
        <v>0</v>
      </c>
      <c r="AF452" s="198">
        <f>LOOKUP(AF$2,'Depreciation Schedules'!$A$3:$A$42,'Depreciation Schedules'!$F$3:$F$42)</f>
        <v>0</v>
      </c>
      <c r="AG452" s="198">
        <f>LOOKUP(AG$2,'Depreciation Schedules'!$A$3:$A$42,'Depreciation Schedules'!$F$3:$F$42)</f>
        <v>0</v>
      </c>
      <c r="AH452" s="198">
        <f>LOOKUP(AH$2,'Depreciation Schedules'!$A$3:$A$42,'Depreciation Schedules'!$F$3:$F$42)</f>
        <v>0</v>
      </c>
      <c r="AI452" s="198">
        <f>LOOKUP(AI$2,'Depreciation Schedules'!$A$3:$A$42,'Depreciation Schedules'!$F$3:$F$42)</f>
        <v>0</v>
      </c>
      <c r="AJ452" s="198">
        <f>LOOKUP(AJ$2,'Depreciation Schedules'!$A$3:$A$42,'Depreciation Schedules'!$F$3:$F$42)</f>
        <v>0</v>
      </c>
      <c r="AK452" s="198">
        <f>LOOKUP(AK$2,'Depreciation Schedules'!$A$3:$A$42,'Depreciation Schedules'!$F$3:$F$42)</f>
        <v>0</v>
      </c>
      <c r="AL452" s="198">
        <f>LOOKUP(AL$2,'Depreciation Schedules'!$A$3:$A$42,'Depreciation Schedules'!$F$3:$F$42)</f>
        <v>0</v>
      </c>
      <c r="AM452" s="198">
        <f>LOOKUP(AM$2,'Depreciation Schedules'!$A$3:$A$42,'Depreciation Schedules'!$F$3:$F$42)</f>
        <v>0</v>
      </c>
      <c r="AN452" s="198">
        <f>LOOKUP(AN$2,'Depreciation Schedules'!$A$3:$A$42,'Depreciation Schedules'!$F$3:$F$42)</f>
        <v>0</v>
      </c>
      <c r="AO452" s="198">
        <f>LOOKUP(AO$2,'Depreciation Schedules'!$A$3:$A$42,'Depreciation Schedules'!$F$3:$F$42)</f>
        <v>0</v>
      </c>
      <c r="AP452" s="198">
        <f>LOOKUP(AP$2,'Depreciation Schedules'!$A$3:$A$42,'Depreciation Schedules'!$F$3:$F$42)</f>
        <v>0</v>
      </c>
    </row>
    <row r="453" spans="1:42" x14ac:dyDescent="0.2">
      <c r="A453" s="188" t="str">
        <f t="shared" si="224"/>
        <v>39-yr SL</v>
      </c>
      <c r="B453" s="200">
        <f t="shared" si="225"/>
        <v>1.0000000000000004</v>
      </c>
      <c r="C453" s="198">
        <f>LOOKUP(C$2,'Depreciation Schedules'!$A$3:$A$42,'Depreciation Schedules'!$G$3:$G$42)</f>
        <v>1.2820512820512799E-2</v>
      </c>
      <c r="D453" s="198">
        <f>LOOKUP(D$2,'Depreciation Schedules'!$A$3:$A$42,'Depreciation Schedules'!$G$3:$G$42)</f>
        <v>2.564102564102564E-2</v>
      </c>
      <c r="E453" s="198">
        <f>LOOKUP(E$2,'Depreciation Schedules'!$A$3:$A$42,'Depreciation Schedules'!$G$3:$G$42)</f>
        <v>2.564102564102564E-2</v>
      </c>
      <c r="F453" s="198">
        <f>LOOKUP(F$2,'Depreciation Schedules'!$A$3:$A$42,'Depreciation Schedules'!$G$3:$G$42)</f>
        <v>2.564102564102564E-2</v>
      </c>
      <c r="G453" s="198">
        <f>LOOKUP(G$2,'Depreciation Schedules'!$A$3:$A$42,'Depreciation Schedules'!$G$3:$G$42)</f>
        <v>2.564102564102564E-2</v>
      </c>
      <c r="H453" s="198">
        <f>LOOKUP(H$2,'Depreciation Schedules'!$A$3:$A$42,'Depreciation Schedules'!$G$3:$G$42)</f>
        <v>2.564102564102564E-2</v>
      </c>
      <c r="I453" s="198">
        <f>LOOKUP(I$2,'Depreciation Schedules'!$A$3:$A$42,'Depreciation Schedules'!$G$3:$G$42)</f>
        <v>2.564102564102564E-2</v>
      </c>
      <c r="J453" s="198">
        <f>LOOKUP(J$2,'Depreciation Schedules'!$A$3:$A$42,'Depreciation Schedules'!$G$3:$G$42)</f>
        <v>2.564102564102564E-2</v>
      </c>
      <c r="K453" s="198">
        <f>LOOKUP(K$2,'Depreciation Schedules'!$A$3:$A$42,'Depreciation Schedules'!$G$3:$G$42)</f>
        <v>2.564102564102564E-2</v>
      </c>
      <c r="L453" s="198">
        <f>LOOKUP(L$2,'Depreciation Schedules'!$A$3:$A$42,'Depreciation Schedules'!$G$3:$G$42)</f>
        <v>2.564102564102564E-2</v>
      </c>
      <c r="M453" s="198">
        <f>LOOKUP(M$2,'Depreciation Schedules'!$A$3:$A$42,'Depreciation Schedules'!$G$3:$G$42)</f>
        <v>2.564102564102564E-2</v>
      </c>
      <c r="N453" s="198">
        <f>LOOKUP(N$2,'Depreciation Schedules'!$A$3:$A$42,'Depreciation Schedules'!$G$3:$G$42)</f>
        <v>2.564102564102564E-2</v>
      </c>
      <c r="O453" s="198">
        <f>LOOKUP(O$2,'Depreciation Schedules'!$A$3:$A$42,'Depreciation Schedules'!$G$3:$G$42)</f>
        <v>2.564102564102564E-2</v>
      </c>
      <c r="P453" s="198">
        <f>LOOKUP(P$2,'Depreciation Schedules'!$A$3:$A$42,'Depreciation Schedules'!$G$3:$G$42)</f>
        <v>2.564102564102564E-2</v>
      </c>
      <c r="Q453" s="198">
        <f>LOOKUP(Q$2,'Depreciation Schedules'!$A$3:$A$42,'Depreciation Schedules'!$G$3:$G$42)</f>
        <v>2.564102564102564E-2</v>
      </c>
      <c r="R453" s="198">
        <f>LOOKUP(R$2,'Depreciation Schedules'!$A$3:$A$42,'Depreciation Schedules'!$G$3:$G$42)</f>
        <v>2.564102564102564E-2</v>
      </c>
      <c r="S453" s="198">
        <f>LOOKUP(S$2,'Depreciation Schedules'!$A$3:$A$42,'Depreciation Schedules'!$G$3:$G$42)</f>
        <v>2.564102564102564E-2</v>
      </c>
      <c r="T453" s="198">
        <f>LOOKUP(T$2,'Depreciation Schedules'!$A$3:$A$42,'Depreciation Schedules'!$G$3:$G$42)</f>
        <v>2.564102564102564E-2</v>
      </c>
      <c r="U453" s="198">
        <f>LOOKUP(U$2,'Depreciation Schedules'!$A$3:$A$42,'Depreciation Schedules'!$G$3:$G$42)</f>
        <v>2.564102564102564E-2</v>
      </c>
      <c r="V453" s="198">
        <f>LOOKUP(V$2,'Depreciation Schedules'!$A$3:$A$42,'Depreciation Schedules'!$G$3:$G$42)</f>
        <v>2.564102564102564E-2</v>
      </c>
      <c r="W453" s="198">
        <f>LOOKUP(W$2,'Depreciation Schedules'!$A$3:$A$42,'Depreciation Schedules'!$G$3:$G$42)</f>
        <v>2.564102564102564E-2</v>
      </c>
      <c r="X453" s="198">
        <f>LOOKUP(X$2,'Depreciation Schedules'!$A$3:$A$42,'Depreciation Schedules'!$G$3:$G$42)</f>
        <v>2.564102564102564E-2</v>
      </c>
      <c r="Y453" s="198">
        <f>LOOKUP(Y$2,'Depreciation Schedules'!$A$3:$A$42,'Depreciation Schedules'!$G$3:$G$42)</f>
        <v>2.564102564102564E-2</v>
      </c>
      <c r="Z453" s="198">
        <f>LOOKUP(Z$2,'Depreciation Schedules'!$A$3:$A$42,'Depreciation Schedules'!$G$3:$G$42)</f>
        <v>2.564102564102564E-2</v>
      </c>
      <c r="AA453" s="198">
        <f>LOOKUP(AA$2,'Depreciation Schedules'!$A$3:$A$42,'Depreciation Schedules'!$G$3:$G$42)</f>
        <v>2.564102564102564E-2</v>
      </c>
      <c r="AB453" s="198">
        <f>LOOKUP(AB$2,'Depreciation Schedules'!$A$3:$A$42,'Depreciation Schedules'!$G$3:$G$42)</f>
        <v>2.564102564102564E-2</v>
      </c>
      <c r="AC453" s="198">
        <f>LOOKUP(AC$2,'Depreciation Schedules'!$A$3:$A$42,'Depreciation Schedules'!$G$3:$G$42)</f>
        <v>2.564102564102564E-2</v>
      </c>
      <c r="AD453" s="198">
        <f>LOOKUP(AD$2,'Depreciation Schedules'!$A$3:$A$42,'Depreciation Schedules'!$G$3:$G$42)</f>
        <v>2.564102564102564E-2</v>
      </c>
      <c r="AE453" s="198">
        <f>LOOKUP(AE$2,'Depreciation Schedules'!$A$3:$A$42,'Depreciation Schedules'!$G$3:$G$42)</f>
        <v>2.564102564102564E-2</v>
      </c>
      <c r="AF453" s="198">
        <f>LOOKUP(AF$2,'Depreciation Schedules'!$A$3:$A$42,'Depreciation Schedules'!$G$3:$G$42)</f>
        <v>2.564102564102564E-2</v>
      </c>
      <c r="AG453" s="198">
        <f>LOOKUP(AG$2,'Depreciation Schedules'!$A$3:$A$42,'Depreciation Schedules'!$G$3:$G$42)</f>
        <v>2.564102564102564E-2</v>
      </c>
      <c r="AH453" s="198">
        <f>LOOKUP(AH$2,'Depreciation Schedules'!$A$3:$A$42,'Depreciation Schedules'!$G$3:$G$42)</f>
        <v>2.564102564102564E-2</v>
      </c>
      <c r="AI453" s="198">
        <f>LOOKUP(AI$2,'Depreciation Schedules'!$A$3:$A$42,'Depreciation Schedules'!$G$3:$G$42)</f>
        <v>2.564102564102564E-2</v>
      </c>
      <c r="AJ453" s="198">
        <f>LOOKUP(AJ$2,'Depreciation Schedules'!$A$3:$A$42,'Depreciation Schedules'!$G$3:$G$42)</f>
        <v>2.564102564102564E-2</v>
      </c>
      <c r="AK453" s="198">
        <f>LOOKUP(AK$2,'Depreciation Schedules'!$A$3:$A$42,'Depreciation Schedules'!$G$3:$G$42)</f>
        <v>2.564102564102564E-2</v>
      </c>
      <c r="AL453" s="198">
        <f>LOOKUP(AL$2,'Depreciation Schedules'!$A$3:$A$42,'Depreciation Schedules'!$G$3:$G$42)</f>
        <v>2.564102564102564E-2</v>
      </c>
      <c r="AM453" s="198">
        <f>LOOKUP(AM$2,'Depreciation Schedules'!$A$3:$A$42,'Depreciation Schedules'!$G$3:$G$42)</f>
        <v>2.564102564102564E-2</v>
      </c>
      <c r="AN453" s="198">
        <f>LOOKUP(AN$2,'Depreciation Schedules'!$A$3:$A$42,'Depreciation Schedules'!$G$3:$G$42)</f>
        <v>2.564102564102564E-2</v>
      </c>
      <c r="AO453" s="198">
        <f>LOOKUP(AO$2,'Depreciation Schedules'!$A$3:$A$42,'Depreciation Schedules'!$G$3:$G$42)</f>
        <v>2.564102564102564E-2</v>
      </c>
      <c r="AP453" s="198">
        <f>LOOKUP(AP$2,'Depreciation Schedules'!$A$3:$A$42,'Depreciation Schedules'!$G$3:$G$42)</f>
        <v>1.2820512820512799E-2</v>
      </c>
    </row>
    <row r="454" spans="1:42" x14ac:dyDescent="0.2">
      <c r="A454" s="234" t="s">
        <v>34</v>
      </c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</row>
    <row r="455" spans="1:42" x14ac:dyDescent="0.2">
      <c r="A455" s="188" t="str">
        <f>A448</f>
        <v>5-yr MACRS</v>
      </c>
      <c r="B455" s="201">
        <f>SUM(C455:AP455)</f>
        <v>34093090.701136254</v>
      </c>
      <c r="C455" s="169">
        <f t="shared" ref="C455:AP455" si="226">C448*$Q415</f>
        <v>6818618.1402272508</v>
      </c>
      <c r="D455" s="169">
        <f t="shared" si="226"/>
        <v>10909789.024363602</v>
      </c>
      <c r="E455" s="169">
        <f t="shared" si="226"/>
        <v>6545873.4146181606</v>
      </c>
      <c r="F455" s="169">
        <f t="shared" si="226"/>
        <v>3927524.0487708962</v>
      </c>
      <c r="G455" s="169">
        <f t="shared" si="226"/>
        <v>3927524.0487708962</v>
      </c>
      <c r="H455" s="169">
        <f t="shared" si="226"/>
        <v>1963762.0243854481</v>
      </c>
      <c r="I455" s="169">
        <f t="shared" si="226"/>
        <v>0</v>
      </c>
      <c r="J455" s="169">
        <f t="shared" si="226"/>
        <v>0</v>
      </c>
      <c r="K455" s="169">
        <f t="shared" si="226"/>
        <v>0</v>
      </c>
      <c r="L455" s="169">
        <f t="shared" si="226"/>
        <v>0</v>
      </c>
      <c r="M455" s="169">
        <f t="shared" si="226"/>
        <v>0</v>
      </c>
      <c r="N455" s="169">
        <f t="shared" si="226"/>
        <v>0</v>
      </c>
      <c r="O455" s="169">
        <f t="shared" si="226"/>
        <v>0</v>
      </c>
      <c r="P455" s="169">
        <f t="shared" si="226"/>
        <v>0</v>
      </c>
      <c r="Q455" s="169">
        <f t="shared" si="226"/>
        <v>0</v>
      </c>
      <c r="R455" s="169">
        <f t="shared" si="226"/>
        <v>0</v>
      </c>
      <c r="S455" s="169">
        <f t="shared" si="226"/>
        <v>0</v>
      </c>
      <c r="T455" s="169">
        <f t="shared" si="226"/>
        <v>0</v>
      </c>
      <c r="U455" s="169">
        <f t="shared" si="226"/>
        <v>0</v>
      </c>
      <c r="V455" s="169">
        <f t="shared" si="226"/>
        <v>0</v>
      </c>
      <c r="W455" s="169">
        <f t="shared" si="226"/>
        <v>0</v>
      </c>
      <c r="X455" s="169">
        <f t="shared" si="226"/>
        <v>0</v>
      </c>
      <c r="Y455" s="169">
        <f t="shared" si="226"/>
        <v>0</v>
      </c>
      <c r="Z455" s="169">
        <f t="shared" si="226"/>
        <v>0</v>
      </c>
      <c r="AA455" s="169">
        <f t="shared" si="226"/>
        <v>0</v>
      </c>
      <c r="AB455" s="169">
        <f t="shared" si="226"/>
        <v>0</v>
      </c>
      <c r="AC455" s="169">
        <f t="shared" si="226"/>
        <v>0</v>
      </c>
      <c r="AD455" s="169">
        <f t="shared" si="226"/>
        <v>0</v>
      </c>
      <c r="AE455" s="169">
        <f t="shared" si="226"/>
        <v>0</v>
      </c>
      <c r="AF455" s="169">
        <f t="shared" si="226"/>
        <v>0</v>
      </c>
      <c r="AG455" s="169">
        <f t="shared" si="226"/>
        <v>0</v>
      </c>
      <c r="AH455" s="169">
        <f t="shared" si="226"/>
        <v>0</v>
      </c>
      <c r="AI455" s="169">
        <f t="shared" si="226"/>
        <v>0</v>
      </c>
      <c r="AJ455" s="169">
        <f t="shared" si="226"/>
        <v>0</v>
      </c>
      <c r="AK455" s="169">
        <f t="shared" si="226"/>
        <v>0</v>
      </c>
      <c r="AL455" s="169">
        <f t="shared" si="226"/>
        <v>0</v>
      </c>
      <c r="AM455" s="169">
        <f t="shared" si="226"/>
        <v>0</v>
      </c>
      <c r="AN455" s="169">
        <f t="shared" si="226"/>
        <v>0</v>
      </c>
      <c r="AO455" s="169">
        <f t="shared" si="226"/>
        <v>0</v>
      </c>
      <c r="AP455" s="169">
        <f t="shared" si="226"/>
        <v>0</v>
      </c>
    </row>
    <row r="456" spans="1:42" x14ac:dyDescent="0.2">
      <c r="A456" s="188" t="str">
        <f t="shared" ref="A456:A460" si="227">A449</f>
        <v>15-yr MACRS</v>
      </c>
      <c r="B456" s="136">
        <f t="shared" ref="B456:B462" si="228">SUM(C456:AP456)</f>
        <v>653959.54030312493</v>
      </c>
      <c r="C456" s="169">
        <f t="shared" ref="C456:AP456" si="229">C449*$Q416</f>
        <v>32697.977015156248</v>
      </c>
      <c r="D456" s="169">
        <f t="shared" si="229"/>
        <v>62126.156328796867</v>
      </c>
      <c r="E456" s="169">
        <f t="shared" si="229"/>
        <v>55913.540695917189</v>
      </c>
      <c r="F456" s="169">
        <f t="shared" si="229"/>
        <v>50354.884603340623</v>
      </c>
      <c r="G456" s="169">
        <f t="shared" si="229"/>
        <v>45319.396143006561</v>
      </c>
      <c r="H456" s="169">
        <f t="shared" si="229"/>
        <v>40741.679360884686</v>
      </c>
      <c r="I456" s="169">
        <f t="shared" si="229"/>
        <v>38583.61287788437</v>
      </c>
      <c r="J456" s="169">
        <f t="shared" si="229"/>
        <v>38583.61287788437</v>
      </c>
      <c r="K456" s="169">
        <f t="shared" si="229"/>
        <v>38649.008831914682</v>
      </c>
      <c r="L456" s="169">
        <f t="shared" si="229"/>
        <v>38583.61287788437</v>
      </c>
      <c r="M456" s="169">
        <f t="shared" si="229"/>
        <v>38649.008831914682</v>
      </c>
      <c r="N456" s="169">
        <f t="shared" si="229"/>
        <v>38583.61287788437</v>
      </c>
      <c r="O456" s="169">
        <f t="shared" si="229"/>
        <v>38649.008831914682</v>
      </c>
      <c r="P456" s="169">
        <f t="shared" si="229"/>
        <v>38583.61287788437</v>
      </c>
      <c r="Q456" s="169">
        <f t="shared" si="229"/>
        <v>38649.008831914682</v>
      </c>
      <c r="R456" s="169">
        <f t="shared" si="229"/>
        <v>19291.806438942185</v>
      </c>
      <c r="S456" s="169">
        <f t="shared" si="229"/>
        <v>0</v>
      </c>
      <c r="T456" s="169">
        <f t="shared" si="229"/>
        <v>0</v>
      </c>
      <c r="U456" s="169">
        <f t="shared" si="229"/>
        <v>0</v>
      </c>
      <c r="V456" s="169">
        <f t="shared" si="229"/>
        <v>0</v>
      </c>
      <c r="W456" s="169">
        <f t="shared" si="229"/>
        <v>0</v>
      </c>
      <c r="X456" s="169">
        <f t="shared" si="229"/>
        <v>0</v>
      </c>
      <c r="Y456" s="169">
        <f t="shared" si="229"/>
        <v>0</v>
      </c>
      <c r="Z456" s="169">
        <f t="shared" si="229"/>
        <v>0</v>
      </c>
      <c r="AA456" s="169">
        <f t="shared" si="229"/>
        <v>0</v>
      </c>
      <c r="AB456" s="169">
        <f t="shared" si="229"/>
        <v>0</v>
      </c>
      <c r="AC456" s="169">
        <f t="shared" si="229"/>
        <v>0</v>
      </c>
      <c r="AD456" s="169">
        <f t="shared" si="229"/>
        <v>0</v>
      </c>
      <c r="AE456" s="169">
        <f t="shared" si="229"/>
        <v>0</v>
      </c>
      <c r="AF456" s="169">
        <f t="shared" si="229"/>
        <v>0</v>
      </c>
      <c r="AG456" s="169">
        <f t="shared" si="229"/>
        <v>0</v>
      </c>
      <c r="AH456" s="169">
        <f t="shared" si="229"/>
        <v>0</v>
      </c>
      <c r="AI456" s="169">
        <f t="shared" si="229"/>
        <v>0</v>
      </c>
      <c r="AJ456" s="169">
        <f t="shared" si="229"/>
        <v>0</v>
      </c>
      <c r="AK456" s="169">
        <f t="shared" si="229"/>
        <v>0</v>
      </c>
      <c r="AL456" s="169">
        <f t="shared" si="229"/>
        <v>0</v>
      </c>
      <c r="AM456" s="169">
        <f t="shared" si="229"/>
        <v>0</v>
      </c>
      <c r="AN456" s="169">
        <f t="shared" si="229"/>
        <v>0</v>
      </c>
      <c r="AO456" s="169">
        <f t="shared" si="229"/>
        <v>0</v>
      </c>
      <c r="AP456" s="169">
        <f t="shared" si="229"/>
        <v>0</v>
      </c>
    </row>
    <row r="457" spans="1:42" x14ac:dyDescent="0.2">
      <c r="A457" s="188" t="str">
        <f t="shared" si="227"/>
        <v>5-yr SL</v>
      </c>
      <c r="B457" s="136">
        <f t="shared" si="228"/>
        <v>0</v>
      </c>
      <c r="C457" s="169">
        <f t="shared" ref="C457:AP457" si="230">C450*$Q417</f>
        <v>0</v>
      </c>
      <c r="D457" s="169">
        <f t="shared" si="230"/>
        <v>0</v>
      </c>
      <c r="E457" s="169">
        <f t="shared" si="230"/>
        <v>0</v>
      </c>
      <c r="F457" s="169">
        <f t="shared" si="230"/>
        <v>0</v>
      </c>
      <c r="G457" s="169">
        <f t="shared" si="230"/>
        <v>0</v>
      </c>
      <c r="H457" s="169">
        <f t="shared" si="230"/>
        <v>0</v>
      </c>
      <c r="I457" s="169">
        <f t="shared" si="230"/>
        <v>0</v>
      </c>
      <c r="J457" s="169">
        <f t="shared" si="230"/>
        <v>0</v>
      </c>
      <c r="K457" s="169">
        <f t="shared" si="230"/>
        <v>0</v>
      </c>
      <c r="L457" s="169">
        <f t="shared" si="230"/>
        <v>0</v>
      </c>
      <c r="M457" s="169">
        <f t="shared" si="230"/>
        <v>0</v>
      </c>
      <c r="N457" s="169">
        <f t="shared" si="230"/>
        <v>0</v>
      </c>
      <c r="O457" s="169">
        <f t="shared" si="230"/>
        <v>0</v>
      </c>
      <c r="P457" s="169">
        <f t="shared" si="230"/>
        <v>0</v>
      </c>
      <c r="Q457" s="169">
        <f t="shared" si="230"/>
        <v>0</v>
      </c>
      <c r="R457" s="169">
        <f t="shared" si="230"/>
        <v>0</v>
      </c>
      <c r="S457" s="169">
        <f t="shared" si="230"/>
        <v>0</v>
      </c>
      <c r="T457" s="169">
        <f t="shared" si="230"/>
        <v>0</v>
      </c>
      <c r="U457" s="169">
        <f t="shared" si="230"/>
        <v>0</v>
      </c>
      <c r="V457" s="169">
        <f t="shared" si="230"/>
        <v>0</v>
      </c>
      <c r="W457" s="169">
        <f t="shared" si="230"/>
        <v>0</v>
      </c>
      <c r="X457" s="169">
        <f t="shared" si="230"/>
        <v>0</v>
      </c>
      <c r="Y457" s="169">
        <f t="shared" si="230"/>
        <v>0</v>
      </c>
      <c r="Z457" s="169">
        <f t="shared" si="230"/>
        <v>0</v>
      </c>
      <c r="AA457" s="169">
        <f t="shared" si="230"/>
        <v>0</v>
      </c>
      <c r="AB457" s="169">
        <f t="shared" si="230"/>
        <v>0</v>
      </c>
      <c r="AC457" s="169">
        <f t="shared" si="230"/>
        <v>0</v>
      </c>
      <c r="AD457" s="169">
        <f t="shared" si="230"/>
        <v>0</v>
      </c>
      <c r="AE457" s="169">
        <f t="shared" si="230"/>
        <v>0</v>
      </c>
      <c r="AF457" s="169">
        <f t="shared" si="230"/>
        <v>0</v>
      </c>
      <c r="AG457" s="169">
        <f t="shared" si="230"/>
        <v>0</v>
      </c>
      <c r="AH457" s="169">
        <f t="shared" si="230"/>
        <v>0</v>
      </c>
      <c r="AI457" s="169">
        <f t="shared" si="230"/>
        <v>0</v>
      </c>
      <c r="AJ457" s="169">
        <f t="shared" si="230"/>
        <v>0</v>
      </c>
      <c r="AK457" s="169">
        <f t="shared" si="230"/>
        <v>0</v>
      </c>
      <c r="AL457" s="169">
        <f t="shared" si="230"/>
        <v>0</v>
      </c>
      <c r="AM457" s="169">
        <f t="shared" si="230"/>
        <v>0</v>
      </c>
      <c r="AN457" s="169">
        <f t="shared" si="230"/>
        <v>0</v>
      </c>
      <c r="AO457" s="169">
        <f t="shared" si="230"/>
        <v>0</v>
      </c>
      <c r="AP457" s="169">
        <f t="shared" si="230"/>
        <v>0</v>
      </c>
    </row>
    <row r="458" spans="1:42" x14ac:dyDescent="0.2">
      <c r="A458" s="188" t="str">
        <f t="shared" si="227"/>
        <v>15-yr SL</v>
      </c>
      <c r="B458" s="136">
        <f t="shared" si="228"/>
        <v>653959.54030312481</v>
      </c>
      <c r="C458" s="169">
        <f t="shared" ref="C458:AP458" si="231">C451*$Q418</f>
        <v>21776.852692094064</v>
      </c>
      <c r="D458" s="169">
        <f t="shared" si="231"/>
        <v>43619.101338218432</v>
      </c>
      <c r="E458" s="169">
        <f t="shared" si="231"/>
        <v>43619.101338218432</v>
      </c>
      <c r="F458" s="169">
        <f t="shared" si="231"/>
        <v>43619.101338218432</v>
      </c>
      <c r="G458" s="169">
        <f t="shared" si="231"/>
        <v>43619.101338218432</v>
      </c>
      <c r="H458" s="169">
        <f t="shared" si="231"/>
        <v>43619.101338218432</v>
      </c>
      <c r="I458" s="169">
        <f t="shared" si="231"/>
        <v>43619.101338218432</v>
      </c>
      <c r="J458" s="169">
        <f t="shared" si="231"/>
        <v>43553.705384188128</v>
      </c>
      <c r="K458" s="169">
        <f t="shared" si="231"/>
        <v>43619.101338218432</v>
      </c>
      <c r="L458" s="169">
        <f t="shared" si="231"/>
        <v>43553.705384188128</v>
      </c>
      <c r="M458" s="169">
        <f t="shared" si="231"/>
        <v>43619.101338218432</v>
      </c>
      <c r="N458" s="169">
        <f t="shared" si="231"/>
        <v>43553.705384188128</v>
      </c>
      <c r="O458" s="169">
        <f t="shared" si="231"/>
        <v>43619.101338218432</v>
      </c>
      <c r="P458" s="169">
        <f t="shared" si="231"/>
        <v>43553.705384188128</v>
      </c>
      <c r="Q458" s="169">
        <f t="shared" si="231"/>
        <v>43619.101338218432</v>
      </c>
      <c r="R458" s="169">
        <f t="shared" si="231"/>
        <v>21776.852692094064</v>
      </c>
      <c r="S458" s="169">
        <f t="shared" si="231"/>
        <v>0</v>
      </c>
      <c r="T458" s="169">
        <f t="shared" si="231"/>
        <v>0</v>
      </c>
      <c r="U458" s="169">
        <f t="shared" si="231"/>
        <v>0</v>
      </c>
      <c r="V458" s="169">
        <f t="shared" si="231"/>
        <v>0</v>
      </c>
      <c r="W458" s="169">
        <f t="shared" si="231"/>
        <v>0</v>
      </c>
      <c r="X458" s="169">
        <f t="shared" si="231"/>
        <v>0</v>
      </c>
      <c r="Y458" s="169">
        <f t="shared" si="231"/>
        <v>0</v>
      </c>
      <c r="Z458" s="169">
        <f t="shared" si="231"/>
        <v>0</v>
      </c>
      <c r="AA458" s="169">
        <f t="shared" si="231"/>
        <v>0</v>
      </c>
      <c r="AB458" s="169">
        <f t="shared" si="231"/>
        <v>0</v>
      </c>
      <c r="AC458" s="169">
        <f t="shared" si="231"/>
        <v>0</v>
      </c>
      <c r="AD458" s="169">
        <f t="shared" si="231"/>
        <v>0</v>
      </c>
      <c r="AE458" s="169">
        <f t="shared" si="231"/>
        <v>0</v>
      </c>
      <c r="AF458" s="169">
        <f t="shared" si="231"/>
        <v>0</v>
      </c>
      <c r="AG458" s="169">
        <f t="shared" si="231"/>
        <v>0</v>
      </c>
      <c r="AH458" s="169">
        <f t="shared" si="231"/>
        <v>0</v>
      </c>
      <c r="AI458" s="169">
        <f t="shared" si="231"/>
        <v>0</v>
      </c>
      <c r="AJ458" s="169">
        <f t="shared" si="231"/>
        <v>0</v>
      </c>
      <c r="AK458" s="169">
        <f t="shared" si="231"/>
        <v>0</v>
      </c>
      <c r="AL458" s="169">
        <f t="shared" si="231"/>
        <v>0</v>
      </c>
      <c r="AM458" s="169">
        <f t="shared" si="231"/>
        <v>0</v>
      </c>
      <c r="AN458" s="169">
        <f t="shared" si="231"/>
        <v>0</v>
      </c>
      <c r="AO458" s="169">
        <f t="shared" si="231"/>
        <v>0</v>
      </c>
      <c r="AP458" s="169">
        <f t="shared" si="231"/>
        <v>0</v>
      </c>
    </row>
    <row r="459" spans="1:42" x14ac:dyDescent="0.2">
      <c r="A459" s="188" t="str">
        <f t="shared" si="227"/>
        <v>20-yr SL</v>
      </c>
      <c r="B459" s="136">
        <f t="shared" si="228"/>
        <v>1307919.0806062501</v>
      </c>
      <c r="C459" s="169">
        <f t="shared" ref="C459:AP459" si="232">C452*$Q419</f>
        <v>32697.977015156248</v>
      </c>
      <c r="D459" s="169">
        <f t="shared" si="232"/>
        <v>65395.954030312496</v>
      </c>
      <c r="E459" s="169">
        <f t="shared" si="232"/>
        <v>65395.954030312496</v>
      </c>
      <c r="F459" s="169">
        <f t="shared" si="232"/>
        <v>65395.954030312496</v>
      </c>
      <c r="G459" s="169">
        <f t="shared" si="232"/>
        <v>65395.954030312496</v>
      </c>
      <c r="H459" s="169">
        <f t="shared" si="232"/>
        <v>65395.954030312496</v>
      </c>
      <c r="I459" s="169">
        <f t="shared" si="232"/>
        <v>65395.954030312496</v>
      </c>
      <c r="J459" s="169">
        <f t="shared" si="232"/>
        <v>65395.954030312496</v>
      </c>
      <c r="K459" s="169">
        <f t="shared" si="232"/>
        <v>65395.954030312496</v>
      </c>
      <c r="L459" s="169">
        <f t="shared" si="232"/>
        <v>65395.954030312496</v>
      </c>
      <c r="M459" s="169">
        <f t="shared" si="232"/>
        <v>65395.954030312496</v>
      </c>
      <c r="N459" s="169">
        <f t="shared" si="232"/>
        <v>65395.954030312496</v>
      </c>
      <c r="O459" s="169">
        <f t="shared" si="232"/>
        <v>65395.954030312496</v>
      </c>
      <c r="P459" s="169">
        <f t="shared" si="232"/>
        <v>65395.954030312496</v>
      </c>
      <c r="Q459" s="169">
        <f t="shared" si="232"/>
        <v>65395.954030312496</v>
      </c>
      <c r="R459" s="169">
        <f t="shared" si="232"/>
        <v>65395.954030312496</v>
      </c>
      <c r="S459" s="169">
        <f t="shared" si="232"/>
        <v>65395.954030312496</v>
      </c>
      <c r="T459" s="169">
        <f t="shared" si="232"/>
        <v>65395.954030312496</v>
      </c>
      <c r="U459" s="169">
        <f t="shared" si="232"/>
        <v>65395.954030312496</v>
      </c>
      <c r="V459" s="169">
        <f t="shared" si="232"/>
        <v>65395.954030312496</v>
      </c>
      <c r="W459" s="169">
        <f t="shared" si="232"/>
        <v>32697.977015156248</v>
      </c>
      <c r="X459" s="169">
        <f t="shared" si="232"/>
        <v>0</v>
      </c>
      <c r="Y459" s="169">
        <f t="shared" si="232"/>
        <v>0</v>
      </c>
      <c r="Z459" s="169">
        <f t="shared" si="232"/>
        <v>0</v>
      </c>
      <c r="AA459" s="169">
        <f t="shared" si="232"/>
        <v>0</v>
      </c>
      <c r="AB459" s="169">
        <f t="shared" si="232"/>
        <v>0</v>
      </c>
      <c r="AC459" s="169">
        <f t="shared" si="232"/>
        <v>0</v>
      </c>
      <c r="AD459" s="169">
        <f t="shared" si="232"/>
        <v>0</v>
      </c>
      <c r="AE459" s="169">
        <f t="shared" si="232"/>
        <v>0</v>
      </c>
      <c r="AF459" s="169">
        <f t="shared" si="232"/>
        <v>0</v>
      </c>
      <c r="AG459" s="169">
        <f t="shared" si="232"/>
        <v>0</v>
      </c>
      <c r="AH459" s="169">
        <f t="shared" si="232"/>
        <v>0</v>
      </c>
      <c r="AI459" s="169">
        <f t="shared" si="232"/>
        <v>0</v>
      </c>
      <c r="AJ459" s="169">
        <f t="shared" si="232"/>
        <v>0</v>
      </c>
      <c r="AK459" s="169">
        <f t="shared" si="232"/>
        <v>0</v>
      </c>
      <c r="AL459" s="169">
        <f t="shared" si="232"/>
        <v>0</v>
      </c>
      <c r="AM459" s="169">
        <f t="shared" si="232"/>
        <v>0</v>
      </c>
      <c r="AN459" s="169">
        <f t="shared" si="232"/>
        <v>0</v>
      </c>
      <c r="AO459" s="169">
        <f t="shared" si="232"/>
        <v>0</v>
      </c>
      <c r="AP459" s="169">
        <f t="shared" si="232"/>
        <v>0</v>
      </c>
    </row>
    <row r="460" spans="1:42" x14ac:dyDescent="0.2">
      <c r="A460" s="188" t="str">
        <f t="shared" si="227"/>
        <v>39-yr SL</v>
      </c>
      <c r="B460" s="136">
        <f t="shared" si="228"/>
        <v>217986.51343437508</v>
      </c>
      <c r="C460" s="169">
        <f t="shared" ref="C460:AP460" si="233">C453*$Q420</f>
        <v>2794.6988901842901</v>
      </c>
      <c r="D460" s="169">
        <f t="shared" si="233"/>
        <v>5589.3977803685893</v>
      </c>
      <c r="E460" s="169">
        <f t="shared" si="233"/>
        <v>5589.3977803685893</v>
      </c>
      <c r="F460" s="169">
        <f t="shared" si="233"/>
        <v>5589.3977803685893</v>
      </c>
      <c r="G460" s="169">
        <f t="shared" si="233"/>
        <v>5589.3977803685893</v>
      </c>
      <c r="H460" s="169">
        <f t="shared" si="233"/>
        <v>5589.3977803685893</v>
      </c>
      <c r="I460" s="169">
        <f t="shared" si="233"/>
        <v>5589.3977803685893</v>
      </c>
      <c r="J460" s="169">
        <f t="shared" si="233"/>
        <v>5589.3977803685893</v>
      </c>
      <c r="K460" s="169">
        <f t="shared" si="233"/>
        <v>5589.3977803685893</v>
      </c>
      <c r="L460" s="169">
        <f t="shared" si="233"/>
        <v>5589.3977803685893</v>
      </c>
      <c r="M460" s="169">
        <f t="shared" si="233"/>
        <v>5589.3977803685893</v>
      </c>
      <c r="N460" s="169">
        <f t="shared" si="233"/>
        <v>5589.3977803685893</v>
      </c>
      <c r="O460" s="169">
        <f t="shared" si="233"/>
        <v>5589.3977803685893</v>
      </c>
      <c r="P460" s="169">
        <f t="shared" si="233"/>
        <v>5589.3977803685893</v>
      </c>
      <c r="Q460" s="169">
        <f t="shared" si="233"/>
        <v>5589.3977803685893</v>
      </c>
      <c r="R460" s="169">
        <f t="shared" si="233"/>
        <v>5589.3977803685893</v>
      </c>
      <c r="S460" s="169">
        <f t="shared" si="233"/>
        <v>5589.3977803685893</v>
      </c>
      <c r="T460" s="169">
        <f t="shared" si="233"/>
        <v>5589.3977803685893</v>
      </c>
      <c r="U460" s="169">
        <f t="shared" si="233"/>
        <v>5589.3977803685893</v>
      </c>
      <c r="V460" s="169">
        <f t="shared" si="233"/>
        <v>5589.3977803685893</v>
      </c>
      <c r="W460" s="169">
        <f t="shared" si="233"/>
        <v>5589.3977803685893</v>
      </c>
      <c r="X460" s="169">
        <f t="shared" si="233"/>
        <v>5589.3977803685893</v>
      </c>
      <c r="Y460" s="169">
        <f t="shared" si="233"/>
        <v>5589.3977803685893</v>
      </c>
      <c r="Z460" s="169">
        <f t="shared" si="233"/>
        <v>5589.3977803685893</v>
      </c>
      <c r="AA460" s="169">
        <f t="shared" si="233"/>
        <v>5589.3977803685893</v>
      </c>
      <c r="AB460" s="169">
        <f t="shared" si="233"/>
        <v>5589.3977803685893</v>
      </c>
      <c r="AC460" s="169">
        <f t="shared" si="233"/>
        <v>5589.3977803685893</v>
      </c>
      <c r="AD460" s="169">
        <f t="shared" si="233"/>
        <v>5589.3977803685893</v>
      </c>
      <c r="AE460" s="169">
        <f t="shared" si="233"/>
        <v>5589.3977803685893</v>
      </c>
      <c r="AF460" s="169">
        <f t="shared" si="233"/>
        <v>5589.3977803685893</v>
      </c>
      <c r="AG460" s="169">
        <f t="shared" si="233"/>
        <v>5589.3977803685893</v>
      </c>
      <c r="AH460" s="169">
        <f t="shared" si="233"/>
        <v>5589.3977803685893</v>
      </c>
      <c r="AI460" s="169">
        <f t="shared" si="233"/>
        <v>5589.3977803685893</v>
      </c>
      <c r="AJ460" s="169">
        <f t="shared" si="233"/>
        <v>5589.3977803685893</v>
      </c>
      <c r="AK460" s="169">
        <f t="shared" si="233"/>
        <v>5589.3977803685893</v>
      </c>
      <c r="AL460" s="169">
        <f t="shared" si="233"/>
        <v>5589.3977803685893</v>
      </c>
      <c r="AM460" s="169">
        <f t="shared" si="233"/>
        <v>5589.3977803685893</v>
      </c>
      <c r="AN460" s="169">
        <f t="shared" si="233"/>
        <v>5589.3977803685893</v>
      </c>
      <c r="AO460" s="169">
        <f t="shared" si="233"/>
        <v>5589.3977803685893</v>
      </c>
      <c r="AP460" s="169">
        <f t="shared" si="233"/>
        <v>2794.6988901842901</v>
      </c>
    </row>
    <row r="461" spans="1:42" x14ac:dyDescent="0.2">
      <c r="A461" s="188" t="s">
        <v>268</v>
      </c>
      <c r="B461" s="195">
        <f t="shared" si="228"/>
        <v>0</v>
      </c>
      <c r="C461" s="170">
        <f>P422</f>
        <v>0</v>
      </c>
      <c r="D461" s="170">
        <v>0</v>
      </c>
      <c r="E461" s="170">
        <v>0</v>
      </c>
      <c r="F461" s="170">
        <v>0</v>
      </c>
      <c r="G461" s="170">
        <v>0</v>
      </c>
      <c r="H461" s="170">
        <v>0</v>
      </c>
      <c r="I461" s="170">
        <v>0</v>
      </c>
      <c r="J461" s="170">
        <v>0</v>
      </c>
      <c r="K461" s="170">
        <v>0</v>
      </c>
      <c r="L461" s="170">
        <v>0</v>
      </c>
      <c r="M461" s="170">
        <v>0</v>
      </c>
      <c r="N461" s="170">
        <v>0</v>
      </c>
      <c r="O461" s="170">
        <v>0</v>
      </c>
      <c r="P461" s="170">
        <v>0</v>
      </c>
      <c r="Q461" s="170">
        <v>0</v>
      </c>
      <c r="R461" s="170">
        <v>0</v>
      </c>
      <c r="S461" s="170">
        <v>0</v>
      </c>
      <c r="T461" s="170">
        <v>0</v>
      </c>
      <c r="U461" s="170">
        <v>0</v>
      </c>
      <c r="V461" s="170">
        <v>0</v>
      </c>
      <c r="W461" s="170">
        <v>0</v>
      </c>
      <c r="X461" s="170">
        <v>0</v>
      </c>
      <c r="Y461" s="170">
        <v>0</v>
      </c>
      <c r="Z461" s="170">
        <v>0</v>
      </c>
      <c r="AA461" s="170">
        <v>0</v>
      </c>
      <c r="AB461" s="170">
        <v>0</v>
      </c>
      <c r="AC461" s="170">
        <v>0</v>
      </c>
      <c r="AD461" s="170">
        <v>0</v>
      </c>
      <c r="AE461" s="170">
        <v>0</v>
      </c>
      <c r="AF461" s="170">
        <v>0</v>
      </c>
      <c r="AG461" s="170">
        <v>0</v>
      </c>
      <c r="AH461" s="170">
        <v>0</v>
      </c>
      <c r="AI461" s="170">
        <v>0</v>
      </c>
      <c r="AJ461" s="170">
        <v>0</v>
      </c>
      <c r="AK461" s="170">
        <v>0</v>
      </c>
      <c r="AL461" s="170">
        <v>0</v>
      </c>
      <c r="AM461" s="170">
        <v>0</v>
      </c>
      <c r="AN461" s="170">
        <v>0</v>
      </c>
      <c r="AO461" s="170">
        <v>0</v>
      </c>
      <c r="AP461" s="170">
        <v>0</v>
      </c>
    </row>
    <row r="462" spans="1:42" x14ac:dyDescent="0.2">
      <c r="A462" s="187"/>
      <c r="B462" s="195">
        <f t="shared" si="228"/>
        <v>36926915.375783086</v>
      </c>
      <c r="C462" s="169">
        <f>SUM(C455:C461)</f>
        <v>6908585.6458398411</v>
      </c>
      <c r="D462" s="169">
        <f t="shared" ref="D462:AP462" si="234">SUM(D455:D461)</f>
        <v>11086519.633841299</v>
      </c>
      <c r="E462" s="169">
        <f t="shared" si="234"/>
        <v>6716391.408462978</v>
      </c>
      <c r="F462" s="169">
        <f t="shared" si="234"/>
        <v>4092483.3865231364</v>
      </c>
      <c r="G462" s="169">
        <f t="shared" si="234"/>
        <v>4087447.8980628024</v>
      </c>
      <c r="H462" s="169">
        <f t="shared" si="234"/>
        <v>2119108.1568952324</v>
      </c>
      <c r="I462" s="169">
        <f t="shared" si="234"/>
        <v>153188.0660267839</v>
      </c>
      <c r="J462" s="169">
        <f t="shared" si="234"/>
        <v>153122.67007275359</v>
      </c>
      <c r="K462" s="169">
        <f t="shared" si="234"/>
        <v>153253.4619808142</v>
      </c>
      <c r="L462" s="169">
        <f t="shared" si="234"/>
        <v>153122.67007275359</v>
      </c>
      <c r="M462" s="169">
        <f t="shared" si="234"/>
        <v>153253.4619808142</v>
      </c>
      <c r="N462" s="169">
        <f t="shared" si="234"/>
        <v>153122.67007275359</v>
      </c>
      <c r="O462" s="169">
        <f t="shared" si="234"/>
        <v>153253.4619808142</v>
      </c>
      <c r="P462" s="169">
        <f t="shared" si="234"/>
        <v>153122.67007275359</v>
      </c>
      <c r="Q462" s="169">
        <f t="shared" si="234"/>
        <v>153253.4619808142</v>
      </c>
      <c r="R462" s="169">
        <f t="shared" si="234"/>
        <v>112054.01094171732</v>
      </c>
      <c r="S462" s="169">
        <f t="shared" si="234"/>
        <v>70985.351810681081</v>
      </c>
      <c r="T462" s="169">
        <f t="shared" si="234"/>
        <v>70985.351810681081</v>
      </c>
      <c r="U462" s="169">
        <f t="shared" si="234"/>
        <v>70985.351810681081</v>
      </c>
      <c r="V462" s="169">
        <f t="shared" si="234"/>
        <v>70985.351810681081</v>
      </c>
      <c r="W462" s="169">
        <f t="shared" si="234"/>
        <v>38287.37479552484</v>
      </c>
      <c r="X462" s="169">
        <f t="shared" si="234"/>
        <v>5589.3977803685893</v>
      </c>
      <c r="Y462" s="169">
        <f t="shared" si="234"/>
        <v>5589.3977803685893</v>
      </c>
      <c r="Z462" s="169">
        <f t="shared" si="234"/>
        <v>5589.3977803685893</v>
      </c>
      <c r="AA462" s="169">
        <f t="shared" si="234"/>
        <v>5589.3977803685893</v>
      </c>
      <c r="AB462" s="169">
        <f t="shared" si="234"/>
        <v>5589.3977803685893</v>
      </c>
      <c r="AC462" s="169">
        <f t="shared" si="234"/>
        <v>5589.3977803685893</v>
      </c>
      <c r="AD462" s="169">
        <f t="shared" si="234"/>
        <v>5589.3977803685893</v>
      </c>
      <c r="AE462" s="169">
        <f t="shared" si="234"/>
        <v>5589.3977803685893</v>
      </c>
      <c r="AF462" s="169">
        <f t="shared" si="234"/>
        <v>5589.3977803685893</v>
      </c>
      <c r="AG462" s="169">
        <f t="shared" si="234"/>
        <v>5589.3977803685893</v>
      </c>
      <c r="AH462" s="169">
        <f t="shared" si="234"/>
        <v>5589.3977803685893</v>
      </c>
      <c r="AI462" s="169">
        <f t="shared" si="234"/>
        <v>5589.3977803685893</v>
      </c>
      <c r="AJ462" s="169">
        <f t="shared" si="234"/>
        <v>5589.3977803685893</v>
      </c>
      <c r="AK462" s="169">
        <f t="shared" si="234"/>
        <v>5589.3977803685893</v>
      </c>
      <c r="AL462" s="169">
        <f t="shared" si="234"/>
        <v>5589.3977803685893</v>
      </c>
      <c r="AM462" s="169">
        <f t="shared" si="234"/>
        <v>5589.3977803685893</v>
      </c>
      <c r="AN462" s="169">
        <f t="shared" si="234"/>
        <v>5589.3977803685893</v>
      </c>
      <c r="AO462" s="169">
        <f t="shared" si="234"/>
        <v>5589.3977803685893</v>
      </c>
      <c r="AP462" s="169">
        <f t="shared" si="234"/>
        <v>2794.6988901842901</v>
      </c>
    </row>
    <row r="463" spans="1:42" x14ac:dyDescent="0.2">
      <c r="A463" s="187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</row>
    <row r="464" spans="1:42" x14ac:dyDescent="0.2">
      <c r="A464" s="180" t="s">
        <v>191</v>
      </c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</row>
    <row r="465" spans="1:42" x14ac:dyDescent="0.2">
      <c r="A465" s="187" t="s">
        <v>193</v>
      </c>
      <c r="B465" s="202" t="str">
        <f>MMFedTaxTreatment</f>
        <v>5-yr MACRS</v>
      </c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</row>
    <row r="466" spans="1:42" x14ac:dyDescent="0.2">
      <c r="A466" s="187" t="s">
        <v>194</v>
      </c>
      <c r="B466" s="169">
        <f t="shared" ref="B466:AP466" si="235">B2</f>
        <v>0</v>
      </c>
      <c r="C466" s="169">
        <f t="shared" si="235"/>
        <v>1</v>
      </c>
      <c r="D466" s="169">
        <f t="shared" si="235"/>
        <v>2</v>
      </c>
      <c r="E466" s="169">
        <f t="shared" si="235"/>
        <v>3</v>
      </c>
      <c r="F466" s="169">
        <f t="shared" si="235"/>
        <v>4</v>
      </c>
      <c r="G466" s="169">
        <f t="shared" si="235"/>
        <v>5</v>
      </c>
      <c r="H466" s="169">
        <f t="shared" si="235"/>
        <v>6</v>
      </c>
      <c r="I466" s="169">
        <f t="shared" si="235"/>
        <v>7</v>
      </c>
      <c r="J466" s="169">
        <f t="shared" si="235"/>
        <v>8</v>
      </c>
      <c r="K466" s="169">
        <f t="shared" si="235"/>
        <v>9</v>
      </c>
      <c r="L466" s="169">
        <f t="shared" si="235"/>
        <v>10</v>
      </c>
      <c r="M466" s="169">
        <f t="shared" si="235"/>
        <v>11</v>
      </c>
      <c r="N466" s="169">
        <f t="shared" si="235"/>
        <v>12</v>
      </c>
      <c r="O466" s="169">
        <f t="shared" si="235"/>
        <v>13</v>
      </c>
      <c r="P466" s="169">
        <f t="shared" si="235"/>
        <v>14</v>
      </c>
      <c r="Q466" s="169">
        <f t="shared" si="235"/>
        <v>15</v>
      </c>
      <c r="R466" s="169">
        <f t="shared" si="235"/>
        <v>16</v>
      </c>
      <c r="S466" s="169">
        <f t="shared" si="235"/>
        <v>17</v>
      </c>
      <c r="T466" s="169">
        <f t="shared" si="235"/>
        <v>18</v>
      </c>
      <c r="U466" s="169">
        <f t="shared" si="235"/>
        <v>19</v>
      </c>
      <c r="V466" s="169">
        <f t="shared" si="235"/>
        <v>20</v>
      </c>
      <c r="W466" s="169">
        <f t="shared" si="235"/>
        <v>21</v>
      </c>
      <c r="X466" s="169">
        <f t="shared" si="235"/>
        <v>22</v>
      </c>
      <c r="Y466" s="169">
        <f t="shared" si="235"/>
        <v>23</v>
      </c>
      <c r="Z466" s="169">
        <f t="shared" si="235"/>
        <v>24</v>
      </c>
      <c r="AA466" s="169">
        <f t="shared" si="235"/>
        <v>25</v>
      </c>
      <c r="AB466" s="169">
        <f t="shared" si="235"/>
        <v>26</v>
      </c>
      <c r="AC466" s="169">
        <f t="shared" si="235"/>
        <v>27</v>
      </c>
      <c r="AD466" s="169">
        <f t="shared" si="235"/>
        <v>28</v>
      </c>
      <c r="AE466" s="169">
        <f t="shared" si="235"/>
        <v>29</v>
      </c>
      <c r="AF466" s="169">
        <f t="shared" si="235"/>
        <v>30</v>
      </c>
      <c r="AG466" s="169">
        <f t="shared" si="235"/>
        <v>31</v>
      </c>
      <c r="AH466" s="169">
        <f t="shared" si="235"/>
        <v>32</v>
      </c>
      <c r="AI466" s="169">
        <f t="shared" si="235"/>
        <v>33</v>
      </c>
      <c r="AJ466" s="169">
        <f t="shared" si="235"/>
        <v>34</v>
      </c>
      <c r="AK466" s="169">
        <f t="shared" si="235"/>
        <v>35</v>
      </c>
      <c r="AL466" s="169">
        <f t="shared" si="235"/>
        <v>36</v>
      </c>
      <c r="AM466" s="169">
        <f t="shared" si="235"/>
        <v>37</v>
      </c>
      <c r="AN466" s="169">
        <f t="shared" si="235"/>
        <v>38</v>
      </c>
      <c r="AO466" s="169">
        <f t="shared" si="235"/>
        <v>39</v>
      </c>
      <c r="AP466" s="169">
        <f t="shared" si="235"/>
        <v>40</v>
      </c>
    </row>
    <row r="467" spans="1:42" x14ac:dyDescent="0.2">
      <c r="A467" s="187" t="s">
        <v>195</v>
      </c>
      <c r="B467" s="203">
        <v>0</v>
      </c>
      <c r="C467" s="198">
        <f t="shared" ref="C467:AP467" si="236">IF($B$465=$A448,C448,0)+IF($B$465=$A449,C449,0)+IF($B$465=$A450,C450,0)+IF($B$465=$A451,C451,0)+IF($B$465=$A452,C452,0)+IF($B$465=$A453,C453,0)</f>
        <v>0.2</v>
      </c>
      <c r="D467" s="198">
        <f t="shared" si="236"/>
        <v>0.32</v>
      </c>
      <c r="E467" s="198">
        <f t="shared" si="236"/>
        <v>0.192</v>
      </c>
      <c r="F467" s="198">
        <f t="shared" si="236"/>
        <v>0.1152</v>
      </c>
      <c r="G467" s="198">
        <f t="shared" si="236"/>
        <v>0.1152</v>
      </c>
      <c r="H467" s="198">
        <f t="shared" si="236"/>
        <v>5.7599999999999998E-2</v>
      </c>
      <c r="I467" s="198">
        <f t="shared" si="236"/>
        <v>0</v>
      </c>
      <c r="J467" s="198">
        <f t="shared" si="236"/>
        <v>0</v>
      </c>
      <c r="K467" s="198">
        <f t="shared" si="236"/>
        <v>0</v>
      </c>
      <c r="L467" s="198">
        <f t="shared" si="236"/>
        <v>0</v>
      </c>
      <c r="M467" s="198">
        <f t="shared" si="236"/>
        <v>0</v>
      </c>
      <c r="N467" s="198">
        <f t="shared" si="236"/>
        <v>0</v>
      </c>
      <c r="O467" s="198">
        <f t="shared" si="236"/>
        <v>0</v>
      </c>
      <c r="P467" s="198">
        <f t="shared" si="236"/>
        <v>0</v>
      </c>
      <c r="Q467" s="198">
        <f t="shared" si="236"/>
        <v>0</v>
      </c>
      <c r="R467" s="198">
        <f t="shared" si="236"/>
        <v>0</v>
      </c>
      <c r="S467" s="198">
        <f t="shared" si="236"/>
        <v>0</v>
      </c>
      <c r="T467" s="198">
        <f t="shared" si="236"/>
        <v>0</v>
      </c>
      <c r="U467" s="198">
        <f t="shared" si="236"/>
        <v>0</v>
      </c>
      <c r="V467" s="198">
        <f t="shared" si="236"/>
        <v>0</v>
      </c>
      <c r="W467" s="198">
        <f t="shared" si="236"/>
        <v>0</v>
      </c>
      <c r="X467" s="198">
        <f t="shared" si="236"/>
        <v>0</v>
      </c>
      <c r="Y467" s="198">
        <f t="shared" si="236"/>
        <v>0</v>
      </c>
      <c r="Z467" s="198">
        <f t="shared" si="236"/>
        <v>0</v>
      </c>
      <c r="AA467" s="198">
        <f t="shared" si="236"/>
        <v>0</v>
      </c>
      <c r="AB467" s="198">
        <f t="shared" si="236"/>
        <v>0</v>
      </c>
      <c r="AC467" s="198">
        <f t="shared" si="236"/>
        <v>0</v>
      </c>
      <c r="AD467" s="198">
        <f t="shared" si="236"/>
        <v>0</v>
      </c>
      <c r="AE467" s="198">
        <f t="shared" si="236"/>
        <v>0</v>
      </c>
      <c r="AF467" s="198">
        <f t="shared" si="236"/>
        <v>0</v>
      </c>
      <c r="AG467" s="198">
        <f t="shared" si="236"/>
        <v>0</v>
      </c>
      <c r="AH467" s="198">
        <f t="shared" si="236"/>
        <v>0</v>
      </c>
      <c r="AI467" s="198">
        <f t="shared" si="236"/>
        <v>0</v>
      </c>
      <c r="AJ467" s="198">
        <f t="shared" si="236"/>
        <v>0</v>
      </c>
      <c r="AK467" s="198">
        <f t="shared" si="236"/>
        <v>0</v>
      </c>
      <c r="AL467" s="198">
        <f t="shared" si="236"/>
        <v>0</v>
      </c>
      <c r="AM467" s="198">
        <f t="shared" si="236"/>
        <v>0</v>
      </c>
      <c r="AN467" s="198">
        <f t="shared" si="236"/>
        <v>0</v>
      </c>
      <c r="AO467" s="198">
        <f t="shared" si="236"/>
        <v>0</v>
      </c>
      <c r="AP467" s="198">
        <f t="shared" si="236"/>
        <v>0</v>
      </c>
    </row>
    <row r="468" spans="1:42" x14ac:dyDescent="0.2">
      <c r="A468" s="180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</row>
    <row r="469" spans="1:42" x14ac:dyDescent="0.2">
      <c r="A469" s="180" t="s">
        <v>303</v>
      </c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</row>
    <row r="470" spans="1:42" x14ac:dyDescent="0.2">
      <c r="A470" s="187" t="s">
        <v>192</v>
      </c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</row>
    <row r="471" spans="1:42" x14ac:dyDescent="0.2">
      <c r="A471" s="101">
        <v>1</v>
      </c>
      <c r="C471" s="169">
        <f>C337</f>
        <v>0</v>
      </c>
      <c r="D471" s="169">
        <f t="shared" ref="D471:AP477" si="237">D337</f>
        <v>0</v>
      </c>
      <c r="E471" s="169">
        <f t="shared" si="237"/>
        <v>0</v>
      </c>
      <c r="F471" s="169">
        <f t="shared" si="237"/>
        <v>0</v>
      </c>
      <c r="G471" s="169">
        <f t="shared" si="237"/>
        <v>0</v>
      </c>
      <c r="H471" s="169">
        <f t="shared" si="237"/>
        <v>0</v>
      </c>
      <c r="I471" s="169">
        <f t="shared" si="237"/>
        <v>0</v>
      </c>
      <c r="J471" s="169">
        <f t="shared" si="237"/>
        <v>0</v>
      </c>
      <c r="K471" s="169">
        <f t="shared" si="237"/>
        <v>0</v>
      </c>
      <c r="L471" s="169">
        <f t="shared" si="237"/>
        <v>0</v>
      </c>
      <c r="M471" s="169">
        <f t="shared" si="237"/>
        <v>0</v>
      </c>
      <c r="N471" s="169">
        <f t="shared" si="237"/>
        <v>1</v>
      </c>
      <c r="O471" s="169">
        <f t="shared" si="237"/>
        <v>2</v>
      </c>
      <c r="P471" s="169">
        <f t="shared" si="237"/>
        <v>3</v>
      </c>
      <c r="Q471" s="169">
        <f t="shared" si="237"/>
        <v>4</v>
      </c>
      <c r="R471" s="169">
        <f t="shared" si="237"/>
        <v>5</v>
      </c>
      <c r="S471" s="169">
        <f t="shared" si="237"/>
        <v>6</v>
      </c>
      <c r="T471" s="169">
        <f t="shared" si="237"/>
        <v>7</v>
      </c>
      <c r="U471" s="169">
        <f t="shared" si="237"/>
        <v>8</v>
      </c>
      <c r="V471" s="169">
        <f t="shared" si="237"/>
        <v>9</v>
      </c>
      <c r="W471" s="169">
        <f t="shared" si="237"/>
        <v>10</v>
      </c>
      <c r="X471" s="169">
        <f t="shared" si="237"/>
        <v>11</v>
      </c>
      <c r="Y471" s="169">
        <f t="shared" si="237"/>
        <v>12</v>
      </c>
      <c r="Z471" s="169">
        <f t="shared" si="237"/>
        <v>13</v>
      </c>
      <c r="AA471" s="169">
        <f t="shared" si="237"/>
        <v>14</v>
      </c>
      <c r="AB471" s="169">
        <f t="shared" si="237"/>
        <v>15</v>
      </c>
      <c r="AC471" s="169">
        <f t="shared" si="237"/>
        <v>16</v>
      </c>
      <c r="AD471" s="169">
        <f t="shared" si="237"/>
        <v>17</v>
      </c>
      <c r="AE471" s="169">
        <f t="shared" si="237"/>
        <v>18</v>
      </c>
      <c r="AF471" s="169">
        <f t="shared" si="237"/>
        <v>19</v>
      </c>
      <c r="AG471" s="169">
        <f t="shared" si="237"/>
        <v>20</v>
      </c>
      <c r="AH471" s="169">
        <f t="shared" si="237"/>
        <v>21</v>
      </c>
      <c r="AI471" s="169">
        <f t="shared" si="237"/>
        <v>22</v>
      </c>
      <c r="AJ471" s="169">
        <f t="shared" si="237"/>
        <v>23</v>
      </c>
      <c r="AK471" s="169">
        <f t="shared" si="237"/>
        <v>24</v>
      </c>
      <c r="AL471" s="169">
        <f t="shared" si="237"/>
        <v>25</v>
      </c>
      <c r="AM471" s="169">
        <f t="shared" si="237"/>
        <v>26</v>
      </c>
      <c r="AN471" s="169">
        <f t="shared" si="237"/>
        <v>27</v>
      </c>
      <c r="AO471" s="169">
        <f t="shared" si="237"/>
        <v>28</v>
      </c>
      <c r="AP471" s="169">
        <f t="shared" si="237"/>
        <v>29</v>
      </c>
    </row>
    <row r="472" spans="1:42" x14ac:dyDescent="0.2">
      <c r="A472" s="101">
        <f>A471+1</f>
        <v>2</v>
      </c>
      <c r="C472" s="169">
        <f t="shared" ref="C472:R480" si="238">C338</f>
        <v>0</v>
      </c>
      <c r="D472" s="169">
        <f t="shared" si="237"/>
        <v>0</v>
      </c>
      <c r="E472" s="169">
        <f t="shared" si="237"/>
        <v>0</v>
      </c>
      <c r="F472" s="169">
        <f t="shared" si="237"/>
        <v>0</v>
      </c>
      <c r="G472" s="169">
        <f t="shared" si="237"/>
        <v>0</v>
      </c>
      <c r="H472" s="169">
        <f t="shared" si="237"/>
        <v>0</v>
      </c>
      <c r="I472" s="169">
        <f t="shared" si="237"/>
        <v>0</v>
      </c>
      <c r="J472" s="169">
        <f t="shared" si="237"/>
        <v>0</v>
      </c>
      <c r="K472" s="169">
        <f t="shared" si="237"/>
        <v>0</v>
      </c>
      <c r="L472" s="169">
        <f t="shared" si="237"/>
        <v>0</v>
      </c>
      <c r="M472" s="169">
        <f t="shared" si="237"/>
        <v>0</v>
      </c>
      <c r="N472" s="169">
        <f t="shared" si="237"/>
        <v>0</v>
      </c>
      <c r="O472" s="169">
        <f t="shared" si="237"/>
        <v>0</v>
      </c>
      <c r="P472" s="169">
        <f t="shared" si="237"/>
        <v>0</v>
      </c>
      <c r="Q472" s="169">
        <f t="shared" si="237"/>
        <v>0</v>
      </c>
      <c r="R472" s="169">
        <f t="shared" si="237"/>
        <v>0</v>
      </c>
      <c r="S472" s="169">
        <f t="shared" si="237"/>
        <v>0</v>
      </c>
      <c r="T472" s="169">
        <f t="shared" si="237"/>
        <v>0</v>
      </c>
      <c r="U472" s="169">
        <f t="shared" si="237"/>
        <v>0</v>
      </c>
      <c r="V472" s="169">
        <f t="shared" si="237"/>
        <v>0</v>
      </c>
      <c r="W472" s="169">
        <f t="shared" si="237"/>
        <v>0</v>
      </c>
      <c r="X472" s="169">
        <f t="shared" si="237"/>
        <v>0</v>
      </c>
      <c r="Y472" s="169">
        <f t="shared" si="237"/>
        <v>0</v>
      </c>
      <c r="Z472" s="169">
        <f t="shared" si="237"/>
        <v>1</v>
      </c>
      <c r="AA472" s="169">
        <f t="shared" si="237"/>
        <v>2</v>
      </c>
      <c r="AB472" s="169">
        <f t="shared" si="237"/>
        <v>3</v>
      </c>
      <c r="AC472" s="169">
        <f t="shared" si="237"/>
        <v>4</v>
      </c>
      <c r="AD472" s="169">
        <f t="shared" si="237"/>
        <v>5</v>
      </c>
      <c r="AE472" s="169">
        <f t="shared" si="237"/>
        <v>6</v>
      </c>
      <c r="AF472" s="169">
        <f t="shared" si="237"/>
        <v>7</v>
      </c>
      <c r="AG472" s="169">
        <f t="shared" si="237"/>
        <v>8</v>
      </c>
      <c r="AH472" s="169">
        <f t="shared" si="237"/>
        <v>9</v>
      </c>
      <c r="AI472" s="169">
        <f t="shared" si="237"/>
        <v>10</v>
      </c>
      <c r="AJ472" s="169">
        <f t="shared" si="237"/>
        <v>11</v>
      </c>
      <c r="AK472" s="169">
        <f t="shared" si="237"/>
        <v>12</v>
      </c>
      <c r="AL472" s="169">
        <f t="shared" si="237"/>
        <v>13</v>
      </c>
      <c r="AM472" s="169">
        <f t="shared" si="237"/>
        <v>14</v>
      </c>
      <c r="AN472" s="169">
        <f t="shared" si="237"/>
        <v>15</v>
      </c>
      <c r="AO472" s="169">
        <f t="shared" si="237"/>
        <v>16</v>
      </c>
      <c r="AP472" s="169">
        <f t="shared" si="237"/>
        <v>17</v>
      </c>
    </row>
    <row r="473" spans="1:42" x14ac:dyDescent="0.2">
      <c r="A473" s="101">
        <f t="shared" ref="A473:A478" si="239">A472+1</f>
        <v>3</v>
      </c>
      <c r="C473" s="169">
        <f t="shared" si="238"/>
        <v>0</v>
      </c>
      <c r="D473" s="169">
        <f t="shared" si="237"/>
        <v>0</v>
      </c>
      <c r="E473" s="169">
        <f t="shared" si="237"/>
        <v>0</v>
      </c>
      <c r="F473" s="169">
        <f t="shared" si="237"/>
        <v>0</v>
      </c>
      <c r="G473" s="169">
        <f t="shared" si="237"/>
        <v>0</v>
      </c>
      <c r="H473" s="169">
        <f t="shared" si="237"/>
        <v>0</v>
      </c>
      <c r="I473" s="169">
        <f t="shared" si="237"/>
        <v>0</v>
      </c>
      <c r="J473" s="169">
        <f t="shared" si="237"/>
        <v>0</v>
      </c>
      <c r="K473" s="169">
        <f t="shared" si="237"/>
        <v>0</v>
      </c>
      <c r="L473" s="169">
        <f t="shared" si="237"/>
        <v>0</v>
      </c>
      <c r="M473" s="169">
        <f t="shared" si="237"/>
        <v>0</v>
      </c>
      <c r="N473" s="169">
        <f t="shared" si="237"/>
        <v>0</v>
      </c>
      <c r="O473" s="169">
        <f t="shared" si="237"/>
        <v>0</v>
      </c>
      <c r="P473" s="169">
        <f t="shared" si="237"/>
        <v>0</v>
      </c>
      <c r="Q473" s="169">
        <f t="shared" si="237"/>
        <v>0</v>
      </c>
      <c r="R473" s="169">
        <f t="shared" si="237"/>
        <v>0</v>
      </c>
      <c r="S473" s="169">
        <f t="shared" si="237"/>
        <v>0</v>
      </c>
      <c r="T473" s="169">
        <f t="shared" si="237"/>
        <v>0</v>
      </c>
      <c r="U473" s="169">
        <f t="shared" si="237"/>
        <v>0</v>
      </c>
      <c r="V473" s="169">
        <f t="shared" si="237"/>
        <v>0</v>
      </c>
      <c r="W473" s="169">
        <f t="shared" si="237"/>
        <v>0</v>
      </c>
      <c r="X473" s="169">
        <f t="shared" si="237"/>
        <v>0</v>
      </c>
      <c r="Y473" s="169">
        <f t="shared" si="237"/>
        <v>0</v>
      </c>
      <c r="Z473" s="169">
        <f t="shared" si="237"/>
        <v>0</v>
      </c>
      <c r="AA473" s="169">
        <f t="shared" si="237"/>
        <v>0</v>
      </c>
      <c r="AB473" s="169">
        <f t="shared" si="237"/>
        <v>0</v>
      </c>
      <c r="AC473" s="169">
        <f t="shared" si="237"/>
        <v>0</v>
      </c>
      <c r="AD473" s="169">
        <f t="shared" si="237"/>
        <v>0</v>
      </c>
      <c r="AE473" s="169">
        <f t="shared" si="237"/>
        <v>0</v>
      </c>
      <c r="AF473" s="169">
        <f t="shared" si="237"/>
        <v>0</v>
      </c>
      <c r="AG473" s="169">
        <f t="shared" si="237"/>
        <v>0</v>
      </c>
      <c r="AH473" s="169">
        <f t="shared" si="237"/>
        <v>0</v>
      </c>
      <c r="AI473" s="169">
        <f t="shared" si="237"/>
        <v>0</v>
      </c>
      <c r="AJ473" s="169">
        <f t="shared" si="237"/>
        <v>0</v>
      </c>
      <c r="AK473" s="169">
        <f t="shared" si="237"/>
        <v>0</v>
      </c>
      <c r="AL473" s="169">
        <f t="shared" si="237"/>
        <v>1</v>
      </c>
      <c r="AM473" s="169">
        <f t="shared" si="237"/>
        <v>2</v>
      </c>
      <c r="AN473" s="169">
        <f t="shared" si="237"/>
        <v>3</v>
      </c>
      <c r="AO473" s="169">
        <f t="shared" si="237"/>
        <v>4</v>
      </c>
      <c r="AP473" s="169">
        <f t="shared" si="237"/>
        <v>5</v>
      </c>
    </row>
    <row r="474" spans="1:42" x14ac:dyDescent="0.2">
      <c r="A474" s="101">
        <f t="shared" si="239"/>
        <v>4</v>
      </c>
      <c r="C474" s="169">
        <f t="shared" si="238"/>
        <v>0</v>
      </c>
      <c r="D474" s="169">
        <f t="shared" si="237"/>
        <v>0</v>
      </c>
      <c r="E474" s="169">
        <f t="shared" si="237"/>
        <v>0</v>
      </c>
      <c r="F474" s="169">
        <f t="shared" si="237"/>
        <v>0</v>
      </c>
      <c r="G474" s="169">
        <f t="shared" si="237"/>
        <v>0</v>
      </c>
      <c r="H474" s="169">
        <f t="shared" si="237"/>
        <v>0</v>
      </c>
      <c r="I474" s="169">
        <f t="shared" si="237"/>
        <v>0</v>
      </c>
      <c r="J474" s="169">
        <f t="shared" si="237"/>
        <v>0</v>
      </c>
      <c r="K474" s="169">
        <f t="shared" si="237"/>
        <v>0</v>
      </c>
      <c r="L474" s="169">
        <f t="shared" si="237"/>
        <v>0</v>
      </c>
      <c r="M474" s="169">
        <f t="shared" si="237"/>
        <v>0</v>
      </c>
      <c r="N474" s="169">
        <f t="shared" si="237"/>
        <v>0</v>
      </c>
      <c r="O474" s="169">
        <f t="shared" si="237"/>
        <v>0</v>
      </c>
      <c r="P474" s="169">
        <f t="shared" si="237"/>
        <v>0</v>
      </c>
      <c r="Q474" s="169">
        <f t="shared" si="237"/>
        <v>0</v>
      </c>
      <c r="R474" s="169">
        <f t="shared" si="237"/>
        <v>0</v>
      </c>
      <c r="S474" s="169">
        <f t="shared" si="237"/>
        <v>0</v>
      </c>
      <c r="T474" s="169">
        <f t="shared" si="237"/>
        <v>0</v>
      </c>
      <c r="U474" s="169">
        <f t="shared" si="237"/>
        <v>0</v>
      </c>
      <c r="V474" s="169">
        <f t="shared" si="237"/>
        <v>0</v>
      </c>
      <c r="W474" s="169">
        <f t="shared" si="237"/>
        <v>0</v>
      </c>
      <c r="X474" s="169">
        <f t="shared" si="237"/>
        <v>0</v>
      </c>
      <c r="Y474" s="169">
        <f t="shared" si="237"/>
        <v>0</v>
      </c>
      <c r="Z474" s="169">
        <f t="shared" si="237"/>
        <v>0</v>
      </c>
      <c r="AA474" s="169">
        <f t="shared" si="237"/>
        <v>0</v>
      </c>
      <c r="AB474" s="169">
        <f t="shared" si="237"/>
        <v>0</v>
      </c>
      <c r="AC474" s="169">
        <f t="shared" si="237"/>
        <v>0</v>
      </c>
      <c r="AD474" s="169">
        <f t="shared" si="237"/>
        <v>0</v>
      </c>
      <c r="AE474" s="169">
        <f t="shared" si="237"/>
        <v>0</v>
      </c>
      <c r="AF474" s="169">
        <f t="shared" si="237"/>
        <v>0</v>
      </c>
      <c r="AG474" s="169">
        <f t="shared" si="237"/>
        <v>0</v>
      </c>
      <c r="AH474" s="169">
        <f t="shared" si="237"/>
        <v>0</v>
      </c>
      <c r="AI474" s="169">
        <f t="shared" si="237"/>
        <v>0</v>
      </c>
      <c r="AJ474" s="169">
        <f t="shared" si="237"/>
        <v>0</v>
      </c>
      <c r="AK474" s="169">
        <f t="shared" si="237"/>
        <v>0</v>
      </c>
      <c r="AL474" s="169">
        <f t="shared" si="237"/>
        <v>0</v>
      </c>
      <c r="AM474" s="169">
        <f t="shared" si="237"/>
        <v>0</v>
      </c>
      <c r="AN474" s="169">
        <f t="shared" si="237"/>
        <v>0</v>
      </c>
      <c r="AO474" s="169">
        <f t="shared" si="237"/>
        <v>0</v>
      </c>
      <c r="AP474" s="169">
        <f t="shared" si="237"/>
        <v>0</v>
      </c>
    </row>
    <row r="475" spans="1:42" x14ac:dyDescent="0.2">
      <c r="A475" s="101">
        <f t="shared" si="239"/>
        <v>5</v>
      </c>
      <c r="C475" s="169">
        <f t="shared" si="238"/>
        <v>0</v>
      </c>
      <c r="D475" s="169">
        <f t="shared" si="237"/>
        <v>0</v>
      </c>
      <c r="E475" s="169">
        <f t="shared" si="237"/>
        <v>0</v>
      </c>
      <c r="F475" s="169">
        <f t="shared" si="237"/>
        <v>0</v>
      </c>
      <c r="G475" s="169">
        <f t="shared" si="237"/>
        <v>0</v>
      </c>
      <c r="H475" s="169">
        <f t="shared" si="237"/>
        <v>0</v>
      </c>
      <c r="I475" s="169">
        <f t="shared" si="237"/>
        <v>0</v>
      </c>
      <c r="J475" s="169">
        <f t="shared" si="237"/>
        <v>0</v>
      </c>
      <c r="K475" s="169">
        <f t="shared" si="237"/>
        <v>0</v>
      </c>
      <c r="L475" s="169">
        <f t="shared" si="237"/>
        <v>0</v>
      </c>
      <c r="M475" s="169">
        <f t="shared" si="237"/>
        <v>0</v>
      </c>
      <c r="N475" s="169">
        <f t="shared" si="237"/>
        <v>0</v>
      </c>
      <c r="O475" s="169">
        <f t="shared" si="237"/>
        <v>0</v>
      </c>
      <c r="P475" s="169">
        <f t="shared" si="237"/>
        <v>0</v>
      </c>
      <c r="Q475" s="169">
        <f t="shared" si="237"/>
        <v>0</v>
      </c>
      <c r="R475" s="169">
        <f t="shared" si="237"/>
        <v>0</v>
      </c>
      <c r="S475" s="169">
        <f t="shared" si="237"/>
        <v>0</v>
      </c>
      <c r="T475" s="169">
        <f t="shared" si="237"/>
        <v>0</v>
      </c>
      <c r="U475" s="169">
        <f t="shared" si="237"/>
        <v>0</v>
      </c>
      <c r="V475" s="169">
        <f t="shared" si="237"/>
        <v>0</v>
      </c>
      <c r="W475" s="169">
        <f t="shared" si="237"/>
        <v>0</v>
      </c>
      <c r="X475" s="169">
        <f t="shared" si="237"/>
        <v>0</v>
      </c>
      <c r="Y475" s="169">
        <f t="shared" si="237"/>
        <v>0</v>
      </c>
      <c r="Z475" s="169">
        <f t="shared" si="237"/>
        <v>0</v>
      </c>
      <c r="AA475" s="169">
        <f t="shared" si="237"/>
        <v>0</v>
      </c>
      <c r="AB475" s="169">
        <f t="shared" si="237"/>
        <v>0</v>
      </c>
      <c r="AC475" s="169">
        <f t="shared" si="237"/>
        <v>0</v>
      </c>
      <c r="AD475" s="169">
        <f t="shared" si="237"/>
        <v>0</v>
      </c>
      <c r="AE475" s="169">
        <f t="shared" si="237"/>
        <v>0</v>
      </c>
      <c r="AF475" s="169">
        <f t="shared" si="237"/>
        <v>0</v>
      </c>
      <c r="AG475" s="169">
        <f t="shared" si="237"/>
        <v>0</v>
      </c>
      <c r="AH475" s="169">
        <f t="shared" si="237"/>
        <v>0</v>
      </c>
      <c r="AI475" s="169">
        <f t="shared" si="237"/>
        <v>0</v>
      </c>
      <c r="AJ475" s="169">
        <f t="shared" si="237"/>
        <v>0</v>
      </c>
      <c r="AK475" s="169">
        <f t="shared" si="237"/>
        <v>0</v>
      </c>
      <c r="AL475" s="169">
        <f t="shared" si="237"/>
        <v>0</v>
      </c>
      <c r="AM475" s="169">
        <f t="shared" si="237"/>
        <v>0</v>
      </c>
      <c r="AN475" s="169">
        <f t="shared" si="237"/>
        <v>0</v>
      </c>
      <c r="AO475" s="169">
        <f t="shared" si="237"/>
        <v>0</v>
      </c>
      <c r="AP475" s="169">
        <f t="shared" si="237"/>
        <v>0</v>
      </c>
    </row>
    <row r="476" spans="1:42" x14ac:dyDescent="0.2">
      <c r="A476" s="101">
        <f t="shared" si="239"/>
        <v>6</v>
      </c>
      <c r="C476" s="169">
        <f t="shared" si="238"/>
        <v>0</v>
      </c>
      <c r="D476" s="169">
        <f t="shared" si="237"/>
        <v>0</v>
      </c>
      <c r="E476" s="169">
        <f t="shared" si="237"/>
        <v>0</v>
      </c>
      <c r="F476" s="169">
        <f t="shared" si="237"/>
        <v>0</v>
      </c>
      <c r="G476" s="169">
        <f t="shared" si="237"/>
        <v>0</v>
      </c>
      <c r="H476" s="169">
        <f t="shared" si="237"/>
        <v>0</v>
      </c>
      <c r="I476" s="169">
        <f t="shared" si="237"/>
        <v>0</v>
      </c>
      <c r="J476" s="169">
        <f t="shared" si="237"/>
        <v>0</v>
      </c>
      <c r="K476" s="169">
        <f t="shared" si="237"/>
        <v>0</v>
      </c>
      <c r="L476" s="169">
        <f t="shared" si="237"/>
        <v>0</v>
      </c>
      <c r="M476" s="169">
        <f t="shared" si="237"/>
        <v>0</v>
      </c>
      <c r="N476" s="169">
        <f t="shared" si="237"/>
        <v>0</v>
      </c>
      <c r="O476" s="169">
        <f t="shared" si="237"/>
        <v>0</v>
      </c>
      <c r="P476" s="169">
        <f t="shared" si="237"/>
        <v>0</v>
      </c>
      <c r="Q476" s="169">
        <f t="shared" si="237"/>
        <v>0</v>
      </c>
      <c r="R476" s="169">
        <f t="shared" si="237"/>
        <v>0</v>
      </c>
      <c r="S476" s="169">
        <f t="shared" si="237"/>
        <v>0</v>
      </c>
      <c r="T476" s="169">
        <f t="shared" si="237"/>
        <v>0</v>
      </c>
      <c r="U476" s="169">
        <f t="shared" si="237"/>
        <v>0</v>
      </c>
      <c r="V476" s="169">
        <f t="shared" si="237"/>
        <v>0</v>
      </c>
      <c r="W476" s="169">
        <f t="shared" si="237"/>
        <v>0</v>
      </c>
      <c r="X476" s="169">
        <f t="shared" si="237"/>
        <v>0</v>
      </c>
      <c r="Y476" s="169">
        <f t="shared" si="237"/>
        <v>0</v>
      </c>
      <c r="Z476" s="169">
        <f t="shared" si="237"/>
        <v>0</v>
      </c>
      <c r="AA476" s="169">
        <f t="shared" si="237"/>
        <v>0</v>
      </c>
      <c r="AB476" s="169">
        <f t="shared" si="237"/>
        <v>0</v>
      </c>
      <c r="AC476" s="169">
        <f t="shared" si="237"/>
        <v>0</v>
      </c>
      <c r="AD476" s="169">
        <f t="shared" si="237"/>
        <v>0</v>
      </c>
      <c r="AE476" s="169">
        <f t="shared" si="237"/>
        <v>0</v>
      </c>
      <c r="AF476" s="169">
        <f t="shared" si="237"/>
        <v>0</v>
      </c>
      <c r="AG476" s="169">
        <f t="shared" si="237"/>
        <v>0</v>
      </c>
      <c r="AH476" s="169">
        <f t="shared" si="237"/>
        <v>0</v>
      </c>
      <c r="AI476" s="169">
        <f t="shared" si="237"/>
        <v>0</v>
      </c>
      <c r="AJ476" s="169">
        <f t="shared" si="237"/>
        <v>0</v>
      </c>
      <c r="AK476" s="169">
        <f t="shared" si="237"/>
        <v>0</v>
      </c>
      <c r="AL476" s="169">
        <f t="shared" si="237"/>
        <v>0</v>
      </c>
      <c r="AM476" s="169">
        <f t="shared" si="237"/>
        <v>0</v>
      </c>
      <c r="AN476" s="169">
        <f t="shared" si="237"/>
        <v>0</v>
      </c>
      <c r="AO476" s="169">
        <f t="shared" si="237"/>
        <v>0</v>
      </c>
      <c r="AP476" s="169">
        <f t="shared" si="237"/>
        <v>0</v>
      </c>
    </row>
    <row r="477" spans="1:42" x14ac:dyDescent="0.2">
      <c r="A477" s="101">
        <f t="shared" si="239"/>
        <v>7</v>
      </c>
      <c r="C477" s="169">
        <f t="shared" si="238"/>
        <v>0</v>
      </c>
      <c r="D477" s="169">
        <f t="shared" si="237"/>
        <v>0</v>
      </c>
      <c r="E477" s="169">
        <f t="shared" si="237"/>
        <v>0</v>
      </c>
      <c r="F477" s="169">
        <f t="shared" si="237"/>
        <v>0</v>
      </c>
      <c r="G477" s="169">
        <f t="shared" si="237"/>
        <v>0</v>
      </c>
      <c r="H477" s="169">
        <f t="shared" si="237"/>
        <v>0</v>
      </c>
      <c r="I477" s="169">
        <f t="shared" si="237"/>
        <v>0</v>
      </c>
      <c r="J477" s="169">
        <f t="shared" si="237"/>
        <v>0</v>
      </c>
      <c r="K477" s="169">
        <f t="shared" si="237"/>
        <v>0</v>
      </c>
      <c r="L477" s="169">
        <f t="shared" si="237"/>
        <v>0</v>
      </c>
      <c r="M477" s="169">
        <f t="shared" si="237"/>
        <v>0</v>
      </c>
      <c r="N477" s="169">
        <f t="shared" si="237"/>
        <v>0</v>
      </c>
      <c r="O477" s="169">
        <f t="shared" si="237"/>
        <v>0</v>
      </c>
      <c r="P477" s="169">
        <f t="shared" si="237"/>
        <v>0</v>
      </c>
      <c r="Q477" s="169">
        <f t="shared" si="237"/>
        <v>0</v>
      </c>
      <c r="R477" s="169">
        <f t="shared" si="237"/>
        <v>0</v>
      </c>
      <c r="S477" s="169">
        <f t="shared" si="237"/>
        <v>0</v>
      </c>
      <c r="T477" s="169">
        <f t="shared" si="237"/>
        <v>0</v>
      </c>
      <c r="U477" s="169">
        <f t="shared" si="237"/>
        <v>0</v>
      </c>
      <c r="V477" s="169">
        <f t="shared" si="237"/>
        <v>0</v>
      </c>
      <c r="W477" s="169">
        <f t="shared" si="237"/>
        <v>0</v>
      </c>
      <c r="X477" s="169">
        <f t="shared" si="237"/>
        <v>0</v>
      </c>
      <c r="Y477" s="169">
        <f t="shared" ref="Y477:AP477" si="240">Y343</f>
        <v>0</v>
      </c>
      <c r="Z477" s="169">
        <f t="shared" si="240"/>
        <v>0</v>
      </c>
      <c r="AA477" s="169">
        <f t="shared" si="240"/>
        <v>0</v>
      </c>
      <c r="AB477" s="169">
        <f t="shared" si="240"/>
        <v>0</v>
      </c>
      <c r="AC477" s="169">
        <f t="shared" si="240"/>
        <v>0</v>
      </c>
      <c r="AD477" s="169">
        <f t="shared" si="240"/>
        <v>0</v>
      </c>
      <c r="AE477" s="169">
        <f t="shared" si="240"/>
        <v>0</v>
      </c>
      <c r="AF477" s="169">
        <f t="shared" si="240"/>
        <v>0</v>
      </c>
      <c r="AG477" s="169">
        <f t="shared" si="240"/>
        <v>0</v>
      </c>
      <c r="AH477" s="169">
        <f t="shared" si="240"/>
        <v>0</v>
      </c>
      <c r="AI477" s="169">
        <f t="shared" si="240"/>
        <v>0</v>
      </c>
      <c r="AJ477" s="169">
        <f t="shared" si="240"/>
        <v>0</v>
      </c>
      <c r="AK477" s="169">
        <f t="shared" si="240"/>
        <v>0</v>
      </c>
      <c r="AL477" s="169">
        <f t="shared" si="240"/>
        <v>0</v>
      </c>
      <c r="AM477" s="169">
        <f t="shared" si="240"/>
        <v>0</v>
      </c>
      <c r="AN477" s="169">
        <f t="shared" si="240"/>
        <v>0</v>
      </c>
      <c r="AO477" s="169">
        <f t="shared" si="240"/>
        <v>0</v>
      </c>
      <c r="AP477" s="169">
        <f t="shared" si="240"/>
        <v>0</v>
      </c>
    </row>
    <row r="478" spans="1:42" x14ac:dyDescent="0.2">
      <c r="A478" s="101">
        <f t="shared" si="239"/>
        <v>8</v>
      </c>
      <c r="C478" s="169">
        <f t="shared" si="238"/>
        <v>0</v>
      </c>
      <c r="D478" s="169">
        <f t="shared" si="238"/>
        <v>0</v>
      </c>
      <c r="E478" s="169">
        <f t="shared" si="238"/>
        <v>0</v>
      </c>
      <c r="F478" s="169">
        <f t="shared" si="238"/>
        <v>0</v>
      </c>
      <c r="G478" s="169">
        <f t="shared" si="238"/>
        <v>0</v>
      </c>
      <c r="H478" s="169">
        <f t="shared" si="238"/>
        <v>0</v>
      </c>
      <c r="I478" s="169">
        <f t="shared" si="238"/>
        <v>0</v>
      </c>
      <c r="J478" s="169">
        <f t="shared" si="238"/>
        <v>0</v>
      </c>
      <c r="K478" s="169">
        <f t="shared" si="238"/>
        <v>0</v>
      </c>
      <c r="L478" s="169">
        <f t="shared" si="238"/>
        <v>0</v>
      </c>
      <c r="M478" s="169">
        <f t="shared" si="238"/>
        <v>0</v>
      </c>
      <c r="N478" s="169">
        <f t="shared" si="238"/>
        <v>0</v>
      </c>
      <c r="O478" s="169">
        <f t="shared" si="238"/>
        <v>0</v>
      </c>
      <c r="P478" s="169">
        <f t="shared" si="238"/>
        <v>0</v>
      </c>
      <c r="Q478" s="169">
        <f t="shared" si="238"/>
        <v>0</v>
      </c>
      <c r="R478" s="169">
        <f t="shared" si="238"/>
        <v>0</v>
      </c>
      <c r="S478" s="169">
        <f t="shared" ref="S478:AP480" si="241">S344</f>
        <v>0</v>
      </c>
      <c r="T478" s="169">
        <f t="shared" si="241"/>
        <v>0</v>
      </c>
      <c r="U478" s="169">
        <f t="shared" si="241"/>
        <v>0</v>
      </c>
      <c r="V478" s="169">
        <f t="shared" si="241"/>
        <v>0</v>
      </c>
      <c r="W478" s="169">
        <f t="shared" si="241"/>
        <v>0</v>
      </c>
      <c r="X478" s="169">
        <f t="shared" si="241"/>
        <v>0</v>
      </c>
      <c r="Y478" s="169">
        <f t="shared" si="241"/>
        <v>0</v>
      </c>
      <c r="Z478" s="169">
        <f t="shared" si="241"/>
        <v>0</v>
      </c>
      <c r="AA478" s="169">
        <f t="shared" si="241"/>
        <v>0</v>
      </c>
      <c r="AB478" s="169">
        <f t="shared" si="241"/>
        <v>0</v>
      </c>
      <c r="AC478" s="169">
        <f t="shared" si="241"/>
        <v>0</v>
      </c>
      <c r="AD478" s="169">
        <f t="shared" si="241"/>
        <v>0</v>
      </c>
      <c r="AE478" s="169">
        <f t="shared" si="241"/>
        <v>0</v>
      </c>
      <c r="AF478" s="169">
        <f t="shared" si="241"/>
        <v>0</v>
      </c>
      <c r="AG478" s="169">
        <f t="shared" si="241"/>
        <v>0</v>
      </c>
      <c r="AH478" s="169">
        <f t="shared" si="241"/>
        <v>0</v>
      </c>
      <c r="AI478" s="169">
        <f t="shared" si="241"/>
        <v>0</v>
      </c>
      <c r="AJ478" s="169">
        <f t="shared" si="241"/>
        <v>0</v>
      </c>
      <c r="AK478" s="169">
        <f t="shared" si="241"/>
        <v>0</v>
      </c>
      <c r="AL478" s="169">
        <f t="shared" si="241"/>
        <v>0</v>
      </c>
      <c r="AM478" s="169">
        <f t="shared" si="241"/>
        <v>0</v>
      </c>
      <c r="AN478" s="169">
        <f t="shared" si="241"/>
        <v>0</v>
      </c>
      <c r="AO478" s="169">
        <f t="shared" si="241"/>
        <v>0</v>
      </c>
      <c r="AP478" s="169">
        <f t="shared" si="241"/>
        <v>0</v>
      </c>
    </row>
    <row r="479" spans="1:42" x14ac:dyDescent="0.2">
      <c r="A479" s="101">
        <f>A478+1</f>
        <v>9</v>
      </c>
      <c r="C479" s="169">
        <f t="shared" si="238"/>
        <v>0</v>
      </c>
      <c r="D479" s="169">
        <f t="shared" si="238"/>
        <v>0</v>
      </c>
      <c r="E479" s="169">
        <f t="shared" si="238"/>
        <v>0</v>
      </c>
      <c r="F479" s="169">
        <f t="shared" si="238"/>
        <v>0</v>
      </c>
      <c r="G479" s="169">
        <f t="shared" si="238"/>
        <v>0</v>
      </c>
      <c r="H479" s="169">
        <f t="shared" si="238"/>
        <v>0</v>
      </c>
      <c r="I479" s="169">
        <f t="shared" si="238"/>
        <v>0</v>
      </c>
      <c r="J479" s="169">
        <f t="shared" si="238"/>
        <v>0</v>
      </c>
      <c r="K479" s="169">
        <f t="shared" si="238"/>
        <v>0</v>
      </c>
      <c r="L479" s="169">
        <f t="shared" si="238"/>
        <v>0</v>
      </c>
      <c r="M479" s="169">
        <f t="shared" si="238"/>
        <v>0</v>
      </c>
      <c r="N479" s="169">
        <f t="shared" si="238"/>
        <v>0</v>
      </c>
      <c r="O479" s="169">
        <f t="shared" si="238"/>
        <v>0</v>
      </c>
      <c r="P479" s="169">
        <f t="shared" si="238"/>
        <v>0</v>
      </c>
      <c r="Q479" s="169">
        <f t="shared" si="238"/>
        <v>0</v>
      </c>
      <c r="R479" s="169">
        <f t="shared" si="238"/>
        <v>0</v>
      </c>
      <c r="S479" s="169">
        <f t="shared" si="241"/>
        <v>0</v>
      </c>
      <c r="T479" s="169">
        <f t="shared" si="241"/>
        <v>0</v>
      </c>
      <c r="U479" s="169">
        <f t="shared" si="241"/>
        <v>0</v>
      </c>
      <c r="V479" s="169">
        <f t="shared" si="241"/>
        <v>0</v>
      </c>
      <c r="W479" s="169">
        <f t="shared" si="241"/>
        <v>0</v>
      </c>
      <c r="X479" s="169">
        <f t="shared" si="241"/>
        <v>0</v>
      </c>
      <c r="Y479" s="169">
        <f t="shared" si="241"/>
        <v>0</v>
      </c>
      <c r="Z479" s="169">
        <f t="shared" si="241"/>
        <v>0</v>
      </c>
      <c r="AA479" s="169">
        <f t="shared" si="241"/>
        <v>0</v>
      </c>
      <c r="AB479" s="169">
        <f t="shared" si="241"/>
        <v>0</v>
      </c>
      <c r="AC479" s="169">
        <f t="shared" si="241"/>
        <v>0</v>
      </c>
      <c r="AD479" s="169">
        <f t="shared" si="241"/>
        <v>0</v>
      </c>
      <c r="AE479" s="169">
        <f t="shared" si="241"/>
        <v>0</v>
      </c>
      <c r="AF479" s="169">
        <f t="shared" si="241"/>
        <v>0</v>
      </c>
      <c r="AG479" s="169">
        <f t="shared" si="241"/>
        <v>0</v>
      </c>
      <c r="AH479" s="169">
        <f t="shared" si="241"/>
        <v>0</v>
      </c>
      <c r="AI479" s="169">
        <f t="shared" si="241"/>
        <v>0</v>
      </c>
      <c r="AJ479" s="169">
        <f t="shared" si="241"/>
        <v>0</v>
      </c>
      <c r="AK479" s="169">
        <f t="shared" si="241"/>
        <v>0</v>
      </c>
      <c r="AL479" s="169">
        <f t="shared" si="241"/>
        <v>0</v>
      </c>
      <c r="AM479" s="169">
        <f t="shared" si="241"/>
        <v>0</v>
      </c>
      <c r="AN479" s="169">
        <f t="shared" si="241"/>
        <v>0</v>
      </c>
      <c r="AO479" s="169">
        <f t="shared" si="241"/>
        <v>0</v>
      </c>
      <c r="AP479" s="169">
        <f t="shared" si="241"/>
        <v>0</v>
      </c>
    </row>
    <row r="480" spans="1:42" x14ac:dyDescent="0.2">
      <c r="A480" s="101">
        <f t="shared" ref="A480" si="242">A479+1</f>
        <v>10</v>
      </c>
      <c r="C480" s="169">
        <f t="shared" si="238"/>
        <v>0</v>
      </c>
      <c r="D480" s="169">
        <f t="shared" si="238"/>
        <v>0</v>
      </c>
      <c r="E480" s="169">
        <f t="shared" si="238"/>
        <v>0</v>
      </c>
      <c r="F480" s="169">
        <f t="shared" si="238"/>
        <v>0</v>
      </c>
      <c r="G480" s="169">
        <f t="shared" si="238"/>
        <v>0</v>
      </c>
      <c r="H480" s="169">
        <f t="shared" si="238"/>
        <v>0</v>
      </c>
      <c r="I480" s="169">
        <f t="shared" si="238"/>
        <v>0</v>
      </c>
      <c r="J480" s="169">
        <f t="shared" si="238"/>
        <v>0</v>
      </c>
      <c r="K480" s="169">
        <f t="shared" si="238"/>
        <v>0</v>
      </c>
      <c r="L480" s="169">
        <f t="shared" si="238"/>
        <v>0</v>
      </c>
      <c r="M480" s="169">
        <f t="shared" si="238"/>
        <v>0</v>
      </c>
      <c r="N480" s="169">
        <f t="shared" si="238"/>
        <v>0</v>
      </c>
      <c r="O480" s="169">
        <f t="shared" si="238"/>
        <v>0</v>
      </c>
      <c r="P480" s="169">
        <f t="shared" si="238"/>
        <v>0</v>
      </c>
      <c r="Q480" s="169">
        <f t="shared" si="238"/>
        <v>0</v>
      </c>
      <c r="R480" s="169">
        <f t="shared" si="238"/>
        <v>0</v>
      </c>
      <c r="S480" s="169">
        <f t="shared" si="241"/>
        <v>0</v>
      </c>
      <c r="T480" s="169">
        <f t="shared" si="241"/>
        <v>0</v>
      </c>
      <c r="U480" s="169">
        <f t="shared" si="241"/>
        <v>0</v>
      </c>
      <c r="V480" s="169">
        <f t="shared" si="241"/>
        <v>0</v>
      </c>
      <c r="W480" s="169">
        <f t="shared" si="241"/>
        <v>0</v>
      </c>
      <c r="X480" s="169">
        <f t="shared" si="241"/>
        <v>0</v>
      </c>
      <c r="Y480" s="169">
        <f t="shared" si="241"/>
        <v>0</v>
      </c>
      <c r="Z480" s="169">
        <f t="shared" si="241"/>
        <v>0</v>
      </c>
      <c r="AA480" s="169">
        <f t="shared" si="241"/>
        <v>0</v>
      </c>
      <c r="AB480" s="169">
        <f t="shared" si="241"/>
        <v>0</v>
      </c>
      <c r="AC480" s="169">
        <f t="shared" si="241"/>
        <v>0</v>
      </c>
      <c r="AD480" s="169">
        <f t="shared" si="241"/>
        <v>0</v>
      </c>
      <c r="AE480" s="169">
        <f t="shared" si="241"/>
        <v>0</v>
      </c>
      <c r="AF480" s="169">
        <f t="shared" si="241"/>
        <v>0</v>
      </c>
      <c r="AG480" s="169">
        <f t="shared" si="241"/>
        <v>0</v>
      </c>
      <c r="AH480" s="169">
        <f t="shared" si="241"/>
        <v>0</v>
      </c>
      <c r="AI480" s="169">
        <f t="shared" si="241"/>
        <v>0</v>
      </c>
      <c r="AJ480" s="169">
        <f t="shared" si="241"/>
        <v>0</v>
      </c>
      <c r="AK480" s="169">
        <f t="shared" si="241"/>
        <v>0</v>
      </c>
      <c r="AL480" s="169">
        <f t="shared" si="241"/>
        <v>0</v>
      </c>
      <c r="AM480" s="169">
        <f t="shared" si="241"/>
        <v>0</v>
      </c>
      <c r="AN480" s="169">
        <f t="shared" si="241"/>
        <v>0</v>
      </c>
      <c r="AO480" s="169">
        <f t="shared" si="241"/>
        <v>0</v>
      </c>
      <c r="AP480" s="169">
        <f t="shared" si="241"/>
        <v>0</v>
      </c>
    </row>
    <row r="481" spans="1:42" x14ac:dyDescent="0.2">
      <c r="A481" s="187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</row>
    <row r="482" spans="1:42" x14ac:dyDescent="0.2">
      <c r="A482" s="187" t="s">
        <v>196</v>
      </c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</row>
    <row r="483" spans="1:42" x14ac:dyDescent="0.2">
      <c r="A483" s="101">
        <v>1</v>
      </c>
      <c r="B483" s="179">
        <f t="shared" ref="B483:B492" si="243">SUM(C483:AP483)</f>
        <v>2944872.3435013141</v>
      </c>
      <c r="C483" s="208">
        <f t="shared" ref="C483:AP483" si="244">LOOKUP(C471,$B$466:$AP$466,$B$467:$AP$467)*$B615</f>
        <v>0</v>
      </c>
      <c r="D483" s="169">
        <f t="shared" si="244"/>
        <v>0</v>
      </c>
      <c r="E483" s="169">
        <f t="shared" si="244"/>
        <v>0</v>
      </c>
      <c r="F483" s="169">
        <f t="shared" si="244"/>
        <v>0</v>
      </c>
      <c r="G483" s="169">
        <f t="shared" si="244"/>
        <v>0</v>
      </c>
      <c r="H483" s="169">
        <f t="shared" si="244"/>
        <v>0</v>
      </c>
      <c r="I483" s="169">
        <f t="shared" si="244"/>
        <v>0</v>
      </c>
      <c r="J483" s="169">
        <f t="shared" si="244"/>
        <v>0</v>
      </c>
      <c r="K483" s="169">
        <f t="shared" si="244"/>
        <v>0</v>
      </c>
      <c r="L483" s="169">
        <f t="shared" si="244"/>
        <v>0</v>
      </c>
      <c r="M483" s="169">
        <f t="shared" si="244"/>
        <v>0</v>
      </c>
      <c r="N483" s="169">
        <f t="shared" si="244"/>
        <v>588974.46870026283</v>
      </c>
      <c r="O483" s="169">
        <f t="shared" si="244"/>
        <v>942359.14992042049</v>
      </c>
      <c r="P483" s="169">
        <f t="shared" si="244"/>
        <v>565415.48995225236</v>
      </c>
      <c r="Q483" s="169">
        <f t="shared" si="244"/>
        <v>339249.29397135135</v>
      </c>
      <c r="R483" s="169">
        <f t="shared" si="244"/>
        <v>339249.29397135135</v>
      </c>
      <c r="S483" s="169">
        <f t="shared" si="244"/>
        <v>169624.64698567567</v>
      </c>
      <c r="T483" s="169">
        <f t="shared" si="244"/>
        <v>0</v>
      </c>
      <c r="U483" s="169">
        <f t="shared" si="244"/>
        <v>0</v>
      </c>
      <c r="V483" s="169">
        <f t="shared" si="244"/>
        <v>0</v>
      </c>
      <c r="W483" s="169">
        <f t="shared" si="244"/>
        <v>0</v>
      </c>
      <c r="X483" s="169">
        <f t="shared" si="244"/>
        <v>0</v>
      </c>
      <c r="Y483" s="169">
        <f t="shared" si="244"/>
        <v>0</v>
      </c>
      <c r="Z483" s="169">
        <f t="shared" si="244"/>
        <v>0</v>
      </c>
      <c r="AA483" s="169">
        <f t="shared" si="244"/>
        <v>0</v>
      </c>
      <c r="AB483" s="169">
        <f t="shared" si="244"/>
        <v>0</v>
      </c>
      <c r="AC483" s="169">
        <f t="shared" si="244"/>
        <v>0</v>
      </c>
      <c r="AD483" s="169">
        <f t="shared" si="244"/>
        <v>0</v>
      </c>
      <c r="AE483" s="169">
        <f t="shared" si="244"/>
        <v>0</v>
      </c>
      <c r="AF483" s="169">
        <f t="shared" si="244"/>
        <v>0</v>
      </c>
      <c r="AG483" s="169">
        <f t="shared" si="244"/>
        <v>0</v>
      </c>
      <c r="AH483" s="169">
        <f t="shared" si="244"/>
        <v>0</v>
      </c>
      <c r="AI483" s="169">
        <f t="shared" si="244"/>
        <v>0</v>
      </c>
      <c r="AJ483" s="169">
        <f t="shared" si="244"/>
        <v>0</v>
      </c>
      <c r="AK483" s="169">
        <f t="shared" si="244"/>
        <v>0</v>
      </c>
      <c r="AL483" s="169">
        <f t="shared" si="244"/>
        <v>0</v>
      </c>
      <c r="AM483" s="169">
        <f t="shared" si="244"/>
        <v>0</v>
      </c>
      <c r="AN483" s="169">
        <f t="shared" si="244"/>
        <v>0</v>
      </c>
      <c r="AO483" s="169">
        <f t="shared" si="244"/>
        <v>0</v>
      </c>
      <c r="AP483" s="169">
        <f t="shared" si="244"/>
        <v>0</v>
      </c>
    </row>
    <row r="484" spans="1:42" x14ac:dyDescent="0.2">
      <c r="A484" s="101">
        <f>A483+1</f>
        <v>2</v>
      </c>
      <c r="B484" s="179">
        <f t="shared" si="243"/>
        <v>3520942.886524681</v>
      </c>
      <c r="C484" s="208">
        <f t="shared" ref="C484:AP484" si="245">LOOKUP(C472,$B$466:$AP$466,$B$467:$AP$467)*$B616</f>
        <v>0</v>
      </c>
      <c r="D484" s="169">
        <f t="shared" si="245"/>
        <v>0</v>
      </c>
      <c r="E484" s="169">
        <f t="shared" si="245"/>
        <v>0</v>
      </c>
      <c r="F484" s="169">
        <f t="shared" si="245"/>
        <v>0</v>
      </c>
      <c r="G484" s="169">
        <f t="shared" si="245"/>
        <v>0</v>
      </c>
      <c r="H484" s="169">
        <f t="shared" si="245"/>
        <v>0</v>
      </c>
      <c r="I484" s="169">
        <f t="shared" si="245"/>
        <v>0</v>
      </c>
      <c r="J484" s="169">
        <f t="shared" si="245"/>
        <v>0</v>
      </c>
      <c r="K484" s="169">
        <f t="shared" si="245"/>
        <v>0</v>
      </c>
      <c r="L484" s="169">
        <f t="shared" si="245"/>
        <v>0</v>
      </c>
      <c r="M484" s="169">
        <f t="shared" si="245"/>
        <v>0</v>
      </c>
      <c r="N484" s="169">
        <f t="shared" si="245"/>
        <v>0</v>
      </c>
      <c r="O484" s="169">
        <f t="shared" si="245"/>
        <v>0</v>
      </c>
      <c r="P484" s="169">
        <f t="shared" si="245"/>
        <v>0</v>
      </c>
      <c r="Q484" s="169">
        <f t="shared" si="245"/>
        <v>0</v>
      </c>
      <c r="R484" s="169">
        <f t="shared" si="245"/>
        <v>0</v>
      </c>
      <c r="S484" s="169">
        <f t="shared" si="245"/>
        <v>0</v>
      </c>
      <c r="T484" s="169">
        <f t="shared" si="245"/>
        <v>0</v>
      </c>
      <c r="U484" s="169">
        <f t="shared" si="245"/>
        <v>0</v>
      </c>
      <c r="V484" s="169">
        <f t="shared" si="245"/>
        <v>0</v>
      </c>
      <c r="W484" s="169">
        <f t="shared" si="245"/>
        <v>0</v>
      </c>
      <c r="X484" s="169">
        <f t="shared" si="245"/>
        <v>0</v>
      </c>
      <c r="Y484" s="169">
        <f t="shared" si="245"/>
        <v>0</v>
      </c>
      <c r="Z484" s="169">
        <f t="shared" si="245"/>
        <v>704188.57730493625</v>
      </c>
      <c r="AA484" s="169">
        <f t="shared" si="245"/>
        <v>1126701.7236878979</v>
      </c>
      <c r="AB484" s="169">
        <f t="shared" si="245"/>
        <v>676021.03421273874</v>
      </c>
      <c r="AC484" s="169">
        <f t="shared" si="245"/>
        <v>405612.62052764324</v>
      </c>
      <c r="AD484" s="169">
        <f t="shared" si="245"/>
        <v>405612.62052764324</v>
      </c>
      <c r="AE484" s="169">
        <f t="shared" si="245"/>
        <v>202806.31026382162</v>
      </c>
      <c r="AF484" s="169">
        <f t="shared" si="245"/>
        <v>0</v>
      </c>
      <c r="AG484" s="169">
        <f t="shared" si="245"/>
        <v>0</v>
      </c>
      <c r="AH484" s="169">
        <f t="shared" si="245"/>
        <v>0</v>
      </c>
      <c r="AI484" s="169">
        <f t="shared" si="245"/>
        <v>0</v>
      </c>
      <c r="AJ484" s="169">
        <f t="shared" si="245"/>
        <v>0</v>
      </c>
      <c r="AK484" s="169">
        <f t="shared" si="245"/>
        <v>0</v>
      </c>
      <c r="AL484" s="169">
        <f t="shared" si="245"/>
        <v>0</v>
      </c>
      <c r="AM484" s="169">
        <f t="shared" si="245"/>
        <v>0</v>
      </c>
      <c r="AN484" s="169">
        <f t="shared" si="245"/>
        <v>0</v>
      </c>
      <c r="AO484" s="169">
        <f t="shared" si="245"/>
        <v>0</v>
      </c>
      <c r="AP484" s="169">
        <f t="shared" si="245"/>
        <v>0</v>
      </c>
    </row>
    <row r="485" spans="1:42" x14ac:dyDescent="0.2">
      <c r="A485" s="101">
        <f t="shared" ref="A485:A490" si="246">A484+1</f>
        <v>3</v>
      </c>
      <c r="B485" s="179">
        <f t="shared" si="243"/>
        <v>3967224.3859686418</v>
      </c>
      <c r="C485" s="208">
        <f t="shared" ref="C485:AP485" si="247">LOOKUP(C473,$B$466:$AP$466,$B$467:$AP$467)*$B617</f>
        <v>0</v>
      </c>
      <c r="D485" s="169">
        <f t="shared" si="247"/>
        <v>0</v>
      </c>
      <c r="E485" s="169">
        <f t="shared" si="247"/>
        <v>0</v>
      </c>
      <c r="F485" s="169">
        <f t="shared" si="247"/>
        <v>0</v>
      </c>
      <c r="G485" s="169">
        <f t="shared" si="247"/>
        <v>0</v>
      </c>
      <c r="H485" s="169">
        <f t="shared" si="247"/>
        <v>0</v>
      </c>
      <c r="I485" s="169">
        <f t="shared" si="247"/>
        <v>0</v>
      </c>
      <c r="J485" s="169">
        <f t="shared" si="247"/>
        <v>0</v>
      </c>
      <c r="K485" s="169">
        <f t="shared" si="247"/>
        <v>0</v>
      </c>
      <c r="L485" s="169">
        <f t="shared" si="247"/>
        <v>0</v>
      </c>
      <c r="M485" s="169">
        <f t="shared" si="247"/>
        <v>0</v>
      </c>
      <c r="N485" s="169">
        <f t="shared" si="247"/>
        <v>0</v>
      </c>
      <c r="O485" s="169">
        <f t="shared" si="247"/>
        <v>0</v>
      </c>
      <c r="P485" s="169">
        <f t="shared" si="247"/>
        <v>0</v>
      </c>
      <c r="Q485" s="169">
        <f t="shared" si="247"/>
        <v>0</v>
      </c>
      <c r="R485" s="169">
        <f t="shared" si="247"/>
        <v>0</v>
      </c>
      <c r="S485" s="169">
        <f t="shared" si="247"/>
        <v>0</v>
      </c>
      <c r="T485" s="169">
        <f t="shared" si="247"/>
        <v>0</v>
      </c>
      <c r="U485" s="169">
        <f t="shared" si="247"/>
        <v>0</v>
      </c>
      <c r="V485" s="169">
        <f t="shared" si="247"/>
        <v>0</v>
      </c>
      <c r="W485" s="169">
        <f t="shared" si="247"/>
        <v>0</v>
      </c>
      <c r="X485" s="169">
        <f t="shared" si="247"/>
        <v>0</v>
      </c>
      <c r="Y485" s="169">
        <f t="shared" si="247"/>
        <v>0</v>
      </c>
      <c r="Z485" s="169">
        <f t="shared" si="247"/>
        <v>0</v>
      </c>
      <c r="AA485" s="169">
        <f t="shared" si="247"/>
        <v>0</v>
      </c>
      <c r="AB485" s="169">
        <f t="shared" si="247"/>
        <v>0</v>
      </c>
      <c r="AC485" s="169">
        <f t="shared" si="247"/>
        <v>0</v>
      </c>
      <c r="AD485" s="169">
        <f t="shared" si="247"/>
        <v>0</v>
      </c>
      <c r="AE485" s="169">
        <f t="shared" si="247"/>
        <v>0</v>
      </c>
      <c r="AF485" s="169">
        <f t="shared" si="247"/>
        <v>0</v>
      </c>
      <c r="AG485" s="169">
        <f t="shared" si="247"/>
        <v>0</v>
      </c>
      <c r="AH485" s="169">
        <f t="shared" si="247"/>
        <v>0</v>
      </c>
      <c r="AI485" s="169">
        <f t="shared" si="247"/>
        <v>0</v>
      </c>
      <c r="AJ485" s="169">
        <f t="shared" si="247"/>
        <v>0</v>
      </c>
      <c r="AK485" s="169">
        <f t="shared" si="247"/>
        <v>0</v>
      </c>
      <c r="AL485" s="169">
        <f t="shared" si="247"/>
        <v>841940.65916142659</v>
      </c>
      <c r="AM485" s="169">
        <f t="shared" si="247"/>
        <v>1347105.0546582823</v>
      </c>
      <c r="AN485" s="169">
        <f t="shared" si="247"/>
        <v>808263.03279496951</v>
      </c>
      <c r="AO485" s="169">
        <f t="shared" si="247"/>
        <v>484957.81967698166</v>
      </c>
      <c r="AP485" s="169">
        <f t="shared" si="247"/>
        <v>484957.81967698166</v>
      </c>
    </row>
    <row r="486" spans="1:42" x14ac:dyDescent="0.2">
      <c r="A486" s="101">
        <f t="shared" si="246"/>
        <v>4</v>
      </c>
      <c r="B486" s="179">
        <f t="shared" si="243"/>
        <v>0</v>
      </c>
      <c r="C486" s="208">
        <f t="shared" ref="C486:AP486" si="248">LOOKUP(C474,$B$466:$AP$466,$B$467:$AP$467)*$B618</f>
        <v>0</v>
      </c>
      <c r="D486" s="169">
        <f t="shared" si="248"/>
        <v>0</v>
      </c>
      <c r="E486" s="169">
        <f t="shared" si="248"/>
        <v>0</v>
      </c>
      <c r="F486" s="169">
        <f t="shared" si="248"/>
        <v>0</v>
      </c>
      <c r="G486" s="169">
        <f t="shared" si="248"/>
        <v>0</v>
      </c>
      <c r="H486" s="169">
        <f t="shared" si="248"/>
        <v>0</v>
      </c>
      <c r="I486" s="169">
        <f t="shared" si="248"/>
        <v>0</v>
      </c>
      <c r="J486" s="169">
        <f t="shared" si="248"/>
        <v>0</v>
      </c>
      <c r="K486" s="169">
        <f t="shared" si="248"/>
        <v>0</v>
      </c>
      <c r="L486" s="169">
        <f t="shared" si="248"/>
        <v>0</v>
      </c>
      <c r="M486" s="169">
        <f t="shared" si="248"/>
        <v>0</v>
      </c>
      <c r="N486" s="169">
        <f t="shared" si="248"/>
        <v>0</v>
      </c>
      <c r="O486" s="169">
        <f t="shared" si="248"/>
        <v>0</v>
      </c>
      <c r="P486" s="169">
        <f t="shared" si="248"/>
        <v>0</v>
      </c>
      <c r="Q486" s="169">
        <f t="shared" si="248"/>
        <v>0</v>
      </c>
      <c r="R486" s="169">
        <f t="shared" si="248"/>
        <v>0</v>
      </c>
      <c r="S486" s="169">
        <f t="shared" si="248"/>
        <v>0</v>
      </c>
      <c r="T486" s="169">
        <f t="shared" si="248"/>
        <v>0</v>
      </c>
      <c r="U486" s="169">
        <f t="shared" si="248"/>
        <v>0</v>
      </c>
      <c r="V486" s="169">
        <f t="shared" si="248"/>
        <v>0</v>
      </c>
      <c r="W486" s="169">
        <f t="shared" si="248"/>
        <v>0</v>
      </c>
      <c r="X486" s="169">
        <f t="shared" si="248"/>
        <v>0</v>
      </c>
      <c r="Y486" s="169">
        <f t="shared" si="248"/>
        <v>0</v>
      </c>
      <c r="Z486" s="169">
        <f t="shared" si="248"/>
        <v>0</v>
      </c>
      <c r="AA486" s="169">
        <f t="shared" si="248"/>
        <v>0</v>
      </c>
      <c r="AB486" s="169">
        <f t="shared" si="248"/>
        <v>0</v>
      </c>
      <c r="AC486" s="169">
        <f t="shared" si="248"/>
        <v>0</v>
      </c>
      <c r="AD486" s="169">
        <f t="shared" si="248"/>
        <v>0</v>
      </c>
      <c r="AE486" s="169">
        <f t="shared" si="248"/>
        <v>0</v>
      </c>
      <c r="AF486" s="169">
        <f t="shared" si="248"/>
        <v>0</v>
      </c>
      <c r="AG486" s="169">
        <f t="shared" si="248"/>
        <v>0</v>
      </c>
      <c r="AH486" s="169">
        <f t="shared" si="248"/>
        <v>0</v>
      </c>
      <c r="AI486" s="169">
        <f t="shared" si="248"/>
        <v>0</v>
      </c>
      <c r="AJ486" s="169">
        <f t="shared" si="248"/>
        <v>0</v>
      </c>
      <c r="AK486" s="169">
        <f t="shared" si="248"/>
        <v>0</v>
      </c>
      <c r="AL486" s="169">
        <f t="shared" si="248"/>
        <v>0</v>
      </c>
      <c r="AM486" s="169">
        <f t="shared" si="248"/>
        <v>0</v>
      </c>
      <c r="AN486" s="169">
        <f t="shared" si="248"/>
        <v>0</v>
      </c>
      <c r="AO486" s="169">
        <f t="shared" si="248"/>
        <v>0</v>
      </c>
      <c r="AP486" s="169">
        <f t="shared" si="248"/>
        <v>0</v>
      </c>
    </row>
    <row r="487" spans="1:42" x14ac:dyDescent="0.2">
      <c r="A487" s="101">
        <f t="shared" si="246"/>
        <v>5</v>
      </c>
      <c r="B487" s="179">
        <f t="shared" si="243"/>
        <v>0</v>
      </c>
      <c r="C487" s="208">
        <f t="shared" ref="C487:AP487" si="249">LOOKUP(C475,$B$466:$AP$466,$B$467:$AP$467)*$B619</f>
        <v>0</v>
      </c>
      <c r="D487" s="169">
        <f t="shared" si="249"/>
        <v>0</v>
      </c>
      <c r="E487" s="169">
        <f t="shared" si="249"/>
        <v>0</v>
      </c>
      <c r="F487" s="169">
        <f t="shared" si="249"/>
        <v>0</v>
      </c>
      <c r="G487" s="169">
        <f t="shared" si="249"/>
        <v>0</v>
      </c>
      <c r="H487" s="169">
        <f t="shared" si="249"/>
        <v>0</v>
      </c>
      <c r="I487" s="169">
        <f t="shared" si="249"/>
        <v>0</v>
      </c>
      <c r="J487" s="169">
        <f t="shared" si="249"/>
        <v>0</v>
      </c>
      <c r="K487" s="169">
        <f t="shared" si="249"/>
        <v>0</v>
      </c>
      <c r="L487" s="169">
        <f t="shared" si="249"/>
        <v>0</v>
      </c>
      <c r="M487" s="169">
        <f t="shared" si="249"/>
        <v>0</v>
      </c>
      <c r="N487" s="169">
        <f t="shared" si="249"/>
        <v>0</v>
      </c>
      <c r="O487" s="169">
        <f t="shared" si="249"/>
        <v>0</v>
      </c>
      <c r="P487" s="169">
        <f t="shared" si="249"/>
        <v>0</v>
      </c>
      <c r="Q487" s="169">
        <f t="shared" si="249"/>
        <v>0</v>
      </c>
      <c r="R487" s="169">
        <f t="shared" si="249"/>
        <v>0</v>
      </c>
      <c r="S487" s="169">
        <f t="shared" si="249"/>
        <v>0</v>
      </c>
      <c r="T487" s="169">
        <f t="shared" si="249"/>
        <v>0</v>
      </c>
      <c r="U487" s="169">
        <f t="shared" si="249"/>
        <v>0</v>
      </c>
      <c r="V487" s="169">
        <f t="shared" si="249"/>
        <v>0</v>
      </c>
      <c r="W487" s="169">
        <f t="shared" si="249"/>
        <v>0</v>
      </c>
      <c r="X487" s="169">
        <f t="shared" si="249"/>
        <v>0</v>
      </c>
      <c r="Y487" s="169">
        <f t="shared" si="249"/>
        <v>0</v>
      </c>
      <c r="Z487" s="169">
        <f t="shared" si="249"/>
        <v>0</v>
      </c>
      <c r="AA487" s="169">
        <f t="shared" si="249"/>
        <v>0</v>
      </c>
      <c r="AB487" s="169">
        <f t="shared" si="249"/>
        <v>0</v>
      </c>
      <c r="AC487" s="169">
        <f t="shared" si="249"/>
        <v>0</v>
      </c>
      <c r="AD487" s="169">
        <f t="shared" si="249"/>
        <v>0</v>
      </c>
      <c r="AE487" s="169">
        <f t="shared" si="249"/>
        <v>0</v>
      </c>
      <c r="AF487" s="169">
        <f t="shared" si="249"/>
        <v>0</v>
      </c>
      <c r="AG487" s="169">
        <f t="shared" si="249"/>
        <v>0</v>
      </c>
      <c r="AH487" s="169">
        <f t="shared" si="249"/>
        <v>0</v>
      </c>
      <c r="AI487" s="169">
        <f t="shared" si="249"/>
        <v>0</v>
      </c>
      <c r="AJ487" s="169">
        <f t="shared" si="249"/>
        <v>0</v>
      </c>
      <c r="AK487" s="169">
        <f t="shared" si="249"/>
        <v>0</v>
      </c>
      <c r="AL487" s="169">
        <f t="shared" si="249"/>
        <v>0</v>
      </c>
      <c r="AM487" s="169">
        <f t="shared" si="249"/>
        <v>0</v>
      </c>
      <c r="AN487" s="169">
        <f t="shared" si="249"/>
        <v>0</v>
      </c>
      <c r="AO487" s="169">
        <f t="shared" si="249"/>
        <v>0</v>
      </c>
      <c r="AP487" s="169">
        <f t="shared" si="249"/>
        <v>0</v>
      </c>
    </row>
    <row r="488" spans="1:42" x14ac:dyDescent="0.2">
      <c r="A488" s="101">
        <f t="shared" si="246"/>
        <v>6</v>
      </c>
      <c r="B488" s="179">
        <f t="shared" si="243"/>
        <v>0</v>
      </c>
      <c r="C488" s="208">
        <f t="shared" ref="C488:AP488" si="250">LOOKUP(C476,$B$466:$AP$466,$B$467:$AP$467)*$B620</f>
        <v>0</v>
      </c>
      <c r="D488" s="169">
        <f t="shared" si="250"/>
        <v>0</v>
      </c>
      <c r="E488" s="169">
        <f t="shared" si="250"/>
        <v>0</v>
      </c>
      <c r="F488" s="169">
        <f t="shared" si="250"/>
        <v>0</v>
      </c>
      <c r="G488" s="169">
        <f t="shared" si="250"/>
        <v>0</v>
      </c>
      <c r="H488" s="169">
        <f t="shared" si="250"/>
        <v>0</v>
      </c>
      <c r="I488" s="169">
        <f t="shared" si="250"/>
        <v>0</v>
      </c>
      <c r="J488" s="169">
        <f t="shared" si="250"/>
        <v>0</v>
      </c>
      <c r="K488" s="169">
        <f t="shared" si="250"/>
        <v>0</v>
      </c>
      <c r="L488" s="169">
        <f t="shared" si="250"/>
        <v>0</v>
      </c>
      <c r="M488" s="169">
        <f t="shared" si="250"/>
        <v>0</v>
      </c>
      <c r="N488" s="169">
        <f t="shared" si="250"/>
        <v>0</v>
      </c>
      <c r="O488" s="169">
        <f t="shared" si="250"/>
        <v>0</v>
      </c>
      <c r="P488" s="169">
        <f t="shared" si="250"/>
        <v>0</v>
      </c>
      <c r="Q488" s="169">
        <f t="shared" si="250"/>
        <v>0</v>
      </c>
      <c r="R488" s="169">
        <f t="shared" si="250"/>
        <v>0</v>
      </c>
      <c r="S488" s="169">
        <f t="shared" si="250"/>
        <v>0</v>
      </c>
      <c r="T488" s="169">
        <f t="shared" si="250"/>
        <v>0</v>
      </c>
      <c r="U488" s="169">
        <f t="shared" si="250"/>
        <v>0</v>
      </c>
      <c r="V488" s="169">
        <f t="shared" si="250"/>
        <v>0</v>
      </c>
      <c r="W488" s="169">
        <f t="shared" si="250"/>
        <v>0</v>
      </c>
      <c r="X488" s="169">
        <f t="shared" si="250"/>
        <v>0</v>
      </c>
      <c r="Y488" s="169">
        <f t="shared" si="250"/>
        <v>0</v>
      </c>
      <c r="Z488" s="169">
        <f t="shared" si="250"/>
        <v>0</v>
      </c>
      <c r="AA488" s="169">
        <f t="shared" si="250"/>
        <v>0</v>
      </c>
      <c r="AB488" s="169">
        <f t="shared" si="250"/>
        <v>0</v>
      </c>
      <c r="AC488" s="169">
        <f t="shared" si="250"/>
        <v>0</v>
      </c>
      <c r="AD488" s="169">
        <f t="shared" si="250"/>
        <v>0</v>
      </c>
      <c r="AE488" s="169">
        <f t="shared" si="250"/>
        <v>0</v>
      </c>
      <c r="AF488" s="169">
        <f t="shared" si="250"/>
        <v>0</v>
      </c>
      <c r="AG488" s="169">
        <f t="shared" si="250"/>
        <v>0</v>
      </c>
      <c r="AH488" s="169">
        <f t="shared" si="250"/>
        <v>0</v>
      </c>
      <c r="AI488" s="169">
        <f t="shared" si="250"/>
        <v>0</v>
      </c>
      <c r="AJ488" s="169">
        <f t="shared" si="250"/>
        <v>0</v>
      </c>
      <c r="AK488" s="169">
        <f t="shared" si="250"/>
        <v>0</v>
      </c>
      <c r="AL488" s="169">
        <f t="shared" si="250"/>
        <v>0</v>
      </c>
      <c r="AM488" s="169">
        <f t="shared" si="250"/>
        <v>0</v>
      </c>
      <c r="AN488" s="169">
        <f t="shared" si="250"/>
        <v>0</v>
      </c>
      <c r="AO488" s="169">
        <f t="shared" si="250"/>
        <v>0</v>
      </c>
      <c r="AP488" s="169">
        <f t="shared" si="250"/>
        <v>0</v>
      </c>
    </row>
    <row r="489" spans="1:42" x14ac:dyDescent="0.2">
      <c r="A489" s="101">
        <f t="shared" si="246"/>
        <v>7</v>
      </c>
      <c r="B489" s="179">
        <f t="shared" si="243"/>
        <v>0</v>
      </c>
      <c r="C489" s="208">
        <f t="shared" ref="C489:AP489" si="251">LOOKUP(C477,$B$466:$AP$466,$B$467:$AP$467)*$B621</f>
        <v>0</v>
      </c>
      <c r="D489" s="169">
        <f t="shared" si="251"/>
        <v>0</v>
      </c>
      <c r="E489" s="169">
        <f t="shared" si="251"/>
        <v>0</v>
      </c>
      <c r="F489" s="169">
        <f t="shared" si="251"/>
        <v>0</v>
      </c>
      <c r="G489" s="169">
        <f t="shared" si="251"/>
        <v>0</v>
      </c>
      <c r="H489" s="169">
        <f t="shared" si="251"/>
        <v>0</v>
      </c>
      <c r="I489" s="169">
        <f t="shared" si="251"/>
        <v>0</v>
      </c>
      <c r="J489" s="169">
        <f t="shared" si="251"/>
        <v>0</v>
      </c>
      <c r="K489" s="169">
        <f t="shared" si="251"/>
        <v>0</v>
      </c>
      <c r="L489" s="169">
        <f t="shared" si="251"/>
        <v>0</v>
      </c>
      <c r="M489" s="169">
        <f t="shared" si="251"/>
        <v>0</v>
      </c>
      <c r="N489" s="169">
        <f t="shared" si="251"/>
        <v>0</v>
      </c>
      <c r="O489" s="169">
        <f t="shared" si="251"/>
        <v>0</v>
      </c>
      <c r="P489" s="169">
        <f t="shared" si="251"/>
        <v>0</v>
      </c>
      <c r="Q489" s="169">
        <f t="shared" si="251"/>
        <v>0</v>
      </c>
      <c r="R489" s="169">
        <f t="shared" si="251"/>
        <v>0</v>
      </c>
      <c r="S489" s="169">
        <f t="shared" si="251"/>
        <v>0</v>
      </c>
      <c r="T489" s="169">
        <f t="shared" si="251"/>
        <v>0</v>
      </c>
      <c r="U489" s="169">
        <f t="shared" si="251"/>
        <v>0</v>
      </c>
      <c r="V489" s="169">
        <f t="shared" si="251"/>
        <v>0</v>
      </c>
      <c r="W489" s="169">
        <f t="shared" si="251"/>
        <v>0</v>
      </c>
      <c r="X489" s="169">
        <f t="shared" si="251"/>
        <v>0</v>
      </c>
      <c r="Y489" s="169">
        <f t="shared" si="251"/>
        <v>0</v>
      </c>
      <c r="Z489" s="169">
        <f t="shared" si="251"/>
        <v>0</v>
      </c>
      <c r="AA489" s="169">
        <f t="shared" si="251"/>
        <v>0</v>
      </c>
      <c r="AB489" s="169">
        <f t="shared" si="251"/>
        <v>0</v>
      </c>
      <c r="AC489" s="169">
        <f t="shared" si="251"/>
        <v>0</v>
      </c>
      <c r="AD489" s="169">
        <f t="shared" si="251"/>
        <v>0</v>
      </c>
      <c r="AE489" s="169">
        <f t="shared" si="251"/>
        <v>0</v>
      </c>
      <c r="AF489" s="169">
        <f t="shared" si="251"/>
        <v>0</v>
      </c>
      <c r="AG489" s="169">
        <f t="shared" si="251"/>
        <v>0</v>
      </c>
      <c r="AH489" s="169">
        <f t="shared" si="251"/>
        <v>0</v>
      </c>
      <c r="AI489" s="169">
        <f t="shared" si="251"/>
        <v>0</v>
      </c>
      <c r="AJ489" s="169">
        <f t="shared" si="251"/>
        <v>0</v>
      </c>
      <c r="AK489" s="169">
        <f t="shared" si="251"/>
        <v>0</v>
      </c>
      <c r="AL489" s="169">
        <f t="shared" si="251"/>
        <v>0</v>
      </c>
      <c r="AM489" s="169">
        <f t="shared" si="251"/>
        <v>0</v>
      </c>
      <c r="AN489" s="169">
        <f t="shared" si="251"/>
        <v>0</v>
      </c>
      <c r="AO489" s="169">
        <f t="shared" si="251"/>
        <v>0</v>
      </c>
      <c r="AP489" s="169">
        <f t="shared" si="251"/>
        <v>0</v>
      </c>
    </row>
    <row r="490" spans="1:42" x14ac:dyDescent="0.2">
      <c r="A490" s="101">
        <f t="shared" si="246"/>
        <v>8</v>
      </c>
      <c r="B490" s="179">
        <f t="shared" si="243"/>
        <v>0</v>
      </c>
      <c r="C490" s="208">
        <f t="shared" ref="C490:AP490" si="252">LOOKUP(C478,$B$466:$AP$466,$B$467:$AP$467)*$B622</f>
        <v>0</v>
      </c>
      <c r="D490" s="169">
        <f t="shared" si="252"/>
        <v>0</v>
      </c>
      <c r="E490" s="169">
        <f t="shared" si="252"/>
        <v>0</v>
      </c>
      <c r="F490" s="169">
        <f t="shared" si="252"/>
        <v>0</v>
      </c>
      <c r="G490" s="169">
        <f t="shared" si="252"/>
        <v>0</v>
      </c>
      <c r="H490" s="169">
        <f t="shared" si="252"/>
        <v>0</v>
      </c>
      <c r="I490" s="169">
        <f t="shared" si="252"/>
        <v>0</v>
      </c>
      <c r="J490" s="169">
        <f t="shared" si="252"/>
        <v>0</v>
      </c>
      <c r="K490" s="169">
        <f t="shared" si="252"/>
        <v>0</v>
      </c>
      <c r="L490" s="169">
        <f t="shared" si="252"/>
        <v>0</v>
      </c>
      <c r="M490" s="169">
        <f t="shared" si="252"/>
        <v>0</v>
      </c>
      <c r="N490" s="169">
        <f t="shared" si="252"/>
        <v>0</v>
      </c>
      <c r="O490" s="169">
        <f t="shared" si="252"/>
        <v>0</v>
      </c>
      <c r="P490" s="169">
        <f t="shared" si="252"/>
        <v>0</v>
      </c>
      <c r="Q490" s="169">
        <f t="shared" si="252"/>
        <v>0</v>
      </c>
      <c r="R490" s="169">
        <f t="shared" si="252"/>
        <v>0</v>
      </c>
      <c r="S490" s="169">
        <f t="shared" si="252"/>
        <v>0</v>
      </c>
      <c r="T490" s="169">
        <f t="shared" si="252"/>
        <v>0</v>
      </c>
      <c r="U490" s="169">
        <f t="shared" si="252"/>
        <v>0</v>
      </c>
      <c r="V490" s="169">
        <f t="shared" si="252"/>
        <v>0</v>
      </c>
      <c r="W490" s="169">
        <f t="shared" si="252"/>
        <v>0</v>
      </c>
      <c r="X490" s="169">
        <f t="shared" si="252"/>
        <v>0</v>
      </c>
      <c r="Y490" s="169">
        <f t="shared" si="252"/>
        <v>0</v>
      </c>
      <c r="Z490" s="169">
        <f t="shared" si="252"/>
        <v>0</v>
      </c>
      <c r="AA490" s="169">
        <f t="shared" si="252"/>
        <v>0</v>
      </c>
      <c r="AB490" s="169">
        <f t="shared" si="252"/>
        <v>0</v>
      </c>
      <c r="AC490" s="169">
        <f t="shared" si="252"/>
        <v>0</v>
      </c>
      <c r="AD490" s="169">
        <f t="shared" si="252"/>
        <v>0</v>
      </c>
      <c r="AE490" s="169">
        <f t="shared" si="252"/>
        <v>0</v>
      </c>
      <c r="AF490" s="169">
        <f t="shared" si="252"/>
        <v>0</v>
      </c>
      <c r="AG490" s="169">
        <f t="shared" si="252"/>
        <v>0</v>
      </c>
      <c r="AH490" s="169">
        <f t="shared" si="252"/>
        <v>0</v>
      </c>
      <c r="AI490" s="169">
        <f t="shared" si="252"/>
        <v>0</v>
      </c>
      <c r="AJ490" s="169">
        <f t="shared" si="252"/>
        <v>0</v>
      </c>
      <c r="AK490" s="169">
        <f t="shared" si="252"/>
        <v>0</v>
      </c>
      <c r="AL490" s="169">
        <f t="shared" si="252"/>
        <v>0</v>
      </c>
      <c r="AM490" s="169">
        <f t="shared" si="252"/>
        <v>0</v>
      </c>
      <c r="AN490" s="169">
        <f t="shared" si="252"/>
        <v>0</v>
      </c>
      <c r="AO490" s="169">
        <f t="shared" si="252"/>
        <v>0</v>
      </c>
      <c r="AP490" s="169">
        <f t="shared" si="252"/>
        <v>0</v>
      </c>
    </row>
    <row r="491" spans="1:42" x14ac:dyDescent="0.2">
      <c r="A491" s="101">
        <f>A490+1</f>
        <v>9</v>
      </c>
      <c r="B491" s="179">
        <f t="shared" si="243"/>
        <v>0</v>
      </c>
      <c r="C491" s="208">
        <f t="shared" ref="C491:AP491" si="253">LOOKUP(C479,$B$466:$AP$466,$B$467:$AP$467)*$B623</f>
        <v>0</v>
      </c>
      <c r="D491" s="169">
        <f t="shared" si="253"/>
        <v>0</v>
      </c>
      <c r="E491" s="169">
        <f t="shared" si="253"/>
        <v>0</v>
      </c>
      <c r="F491" s="169">
        <f t="shared" si="253"/>
        <v>0</v>
      </c>
      <c r="G491" s="169">
        <f t="shared" si="253"/>
        <v>0</v>
      </c>
      <c r="H491" s="169">
        <f t="shared" si="253"/>
        <v>0</v>
      </c>
      <c r="I491" s="169">
        <f t="shared" si="253"/>
        <v>0</v>
      </c>
      <c r="J491" s="169">
        <f t="shared" si="253"/>
        <v>0</v>
      </c>
      <c r="K491" s="169">
        <f t="shared" si="253"/>
        <v>0</v>
      </c>
      <c r="L491" s="169">
        <f t="shared" si="253"/>
        <v>0</v>
      </c>
      <c r="M491" s="169">
        <f t="shared" si="253"/>
        <v>0</v>
      </c>
      <c r="N491" s="169">
        <f t="shared" si="253"/>
        <v>0</v>
      </c>
      <c r="O491" s="169">
        <f t="shared" si="253"/>
        <v>0</v>
      </c>
      <c r="P491" s="169">
        <f t="shared" si="253"/>
        <v>0</v>
      </c>
      <c r="Q491" s="169">
        <f t="shared" si="253"/>
        <v>0</v>
      </c>
      <c r="R491" s="169">
        <f t="shared" si="253"/>
        <v>0</v>
      </c>
      <c r="S491" s="169">
        <f t="shared" si="253"/>
        <v>0</v>
      </c>
      <c r="T491" s="169">
        <f t="shared" si="253"/>
        <v>0</v>
      </c>
      <c r="U491" s="169">
        <f t="shared" si="253"/>
        <v>0</v>
      </c>
      <c r="V491" s="169">
        <f t="shared" si="253"/>
        <v>0</v>
      </c>
      <c r="W491" s="169">
        <f t="shared" si="253"/>
        <v>0</v>
      </c>
      <c r="X491" s="169">
        <f t="shared" si="253"/>
        <v>0</v>
      </c>
      <c r="Y491" s="169">
        <f t="shared" si="253"/>
        <v>0</v>
      </c>
      <c r="Z491" s="169">
        <f t="shared" si="253"/>
        <v>0</v>
      </c>
      <c r="AA491" s="169">
        <f t="shared" si="253"/>
        <v>0</v>
      </c>
      <c r="AB491" s="169">
        <f t="shared" si="253"/>
        <v>0</v>
      </c>
      <c r="AC491" s="169">
        <f t="shared" si="253"/>
        <v>0</v>
      </c>
      <c r="AD491" s="169">
        <f t="shared" si="253"/>
        <v>0</v>
      </c>
      <c r="AE491" s="169">
        <f t="shared" si="253"/>
        <v>0</v>
      </c>
      <c r="AF491" s="169">
        <f t="shared" si="253"/>
        <v>0</v>
      </c>
      <c r="AG491" s="169">
        <f t="shared" si="253"/>
        <v>0</v>
      </c>
      <c r="AH491" s="169">
        <f t="shared" si="253"/>
        <v>0</v>
      </c>
      <c r="AI491" s="169">
        <f t="shared" si="253"/>
        <v>0</v>
      </c>
      <c r="AJ491" s="169">
        <f t="shared" si="253"/>
        <v>0</v>
      </c>
      <c r="AK491" s="169">
        <f t="shared" si="253"/>
        <v>0</v>
      </c>
      <c r="AL491" s="169">
        <f t="shared" si="253"/>
        <v>0</v>
      </c>
      <c r="AM491" s="169">
        <f t="shared" si="253"/>
        <v>0</v>
      </c>
      <c r="AN491" s="169">
        <f t="shared" si="253"/>
        <v>0</v>
      </c>
      <c r="AO491" s="169">
        <f t="shared" si="253"/>
        <v>0</v>
      </c>
      <c r="AP491" s="169">
        <f t="shared" si="253"/>
        <v>0</v>
      </c>
    </row>
    <row r="492" spans="1:42" x14ac:dyDescent="0.2">
      <c r="A492" s="101">
        <f t="shared" ref="A492" si="254">A491+1</f>
        <v>10</v>
      </c>
      <c r="B492" s="179">
        <f t="shared" si="243"/>
        <v>0</v>
      </c>
      <c r="C492" s="204">
        <f t="shared" ref="C492:AP492" si="255">LOOKUP(C480,$B$466:$AP$466,$B$467:$AP$467)*$B624</f>
        <v>0</v>
      </c>
      <c r="D492" s="170">
        <f t="shared" si="255"/>
        <v>0</v>
      </c>
      <c r="E492" s="170">
        <f t="shared" si="255"/>
        <v>0</v>
      </c>
      <c r="F492" s="170">
        <f t="shared" si="255"/>
        <v>0</v>
      </c>
      <c r="G492" s="170">
        <f t="shared" si="255"/>
        <v>0</v>
      </c>
      <c r="H492" s="170">
        <f t="shared" si="255"/>
        <v>0</v>
      </c>
      <c r="I492" s="170">
        <f t="shared" si="255"/>
        <v>0</v>
      </c>
      <c r="J492" s="170">
        <f t="shared" si="255"/>
        <v>0</v>
      </c>
      <c r="K492" s="170">
        <f t="shared" si="255"/>
        <v>0</v>
      </c>
      <c r="L492" s="170">
        <f t="shared" si="255"/>
        <v>0</v>
      </c>
      <c r="M492" s="170">
        <f t="shared" si="255"/>
        <v>0</v>
      </c>
      <c r="N492" s="170">
        <f t="shared" si="255"/>
        <v>0</v>
      </c>
      <c r="O492" s="170">
        <f t="shared" si="255"/>
        <v>0</v>
      </c>
      <c r="P492" s="170">
        <f t="shared" si="255"/>
        <v>0</v>
      </c>
      <c r="Q492" s="170">
        <f t="shared" si="255"/>
        <v>0</v>
      </c>
      <c r="R492" s="170">
        <f t="shared" si="255"/>
        <v>0</v>
      </c>
      <c r="S492" s="170">
        <f t="shared" si="255"/>
        <v>0</v>
      </c>
      <c r="T492" s="170">
        <f t="shared" si="255"/>
        <v>0</v>
      </c>
      <c r="U492" s="170">
        <f t="shared" si="255"/>
        <v>0</v>
      </c>
      <c r="V492" s="170">
        <f t="shared" si="255"/>
        <v>0</v>
      </c>
      <c r="W492" s="170">
        <f t="shared" si="255"/>
        <v>0</v>
      </c>
      <c r="X492" s="170">
        <f t="shared" si="255"/>
        <v>0</v>
      </c>
      <c r="Y492" s="170">
        <f t="shared" si="255"/>
        <v>0</v>
      </c>
      <c r="Z492" s="170">
        <f t="shared" si="255"/>
        <v>0</v>
      </c>
      <c r="AA492" s="170">
        <f t="shared" si="255"/>
        <v>0</v>
      </c>
      <c r="AB492" s="170">
        <f t="shared" si="255"/>
        <v>0</v>
      </c>
      <c r="AC492" s="170">
        <f t="shared" si="255"/>
        <v>0</v>
      </c>
      <c r="AD492" s="170">
        <f t="shared" si="255"/>
        <v>0</v>
      </c>
      <c r="AE492" s="170">
        <f t="shared" si="255"/>
        <v>0</v>
      </c>
      <c r="AF492" s="170">
        <f t="shared" si="255"/>
        <v>0</v>
      </c>
      <c r="AG492" s="170">
        <f t="shared" si="255"/>
        <v>0</v>
      </c>
      <c r="AH492" s="170">
        <f t="shared" si="255"/>
        <v>0</v>
      </c>
      <c r="AI492" s="170">
        <f t="shared" si="255"/>
        <v>0</v>
      </c>
      <c r="AJ492" s="170">
        <f t="shared" si="255"/>
        <v>0</v>
      </c>
      <c r="AK492" s="170">
        <f t="shared" si="255"/>
        <v>0</v>
      </c>
      <c r="AL492" s="170">
        <f t="shared" si="255"/>
        <v>0</v>
      </c>
      <c r="AM492" s="170">
        <f t="shared" si="255"/>
        <v>0</v>
      </c>
      <c r="AN492" s="170">
        <f t="shared" si="255"/>
        <v>0</v>
      </c>
      <c r="AO492" s="170">
        <f t="shared" si="255"/>
        <v>0</v>
      </c>
      <c r="AP492" s="170">
        <f t="shared" si="255"/>
        <v>0</v>
      </c>
    </row>
    <row r="493" spans="1:42" s="101" customFormat="1" x14ac:dyDescent="0.2">
      <c r="A493" s="205" t="s">
        <v>53</v>
      </c>
      <c r="B493" s="124"/>
      <c r="C493" s="124">
        <f>SUM(C483:C492)</f>
        <v>0</v>
      </c>
      <c r="D493" s="124">
        <f t="shared" ref="D493:AP493" si="256">SUM(D483:D492)</f>
        <v>0</v>
      </c>
      <c r="E493" s="124">
        <f t="shared" si="256"/>
        <v>0</v>
      </c>
      <c r="F493" s="124">
        <f t="shared" si="256"/>
        <v>0</v>
      </c>
      <c r="G493" s="124">
        <f t="shared" si="256"/>
        <v>0</v>
      </c>
      <c r="H493" s="124">
        <f t="shared" si="256"/>
        <v>0</v>
      </c>
      <c r="I493" s="124">
        <f t="shared" si="256"/>
        <v>0</v>
      </c>
      <c r="J493" s="124">
        <f t="shared" si="256"/>
        <v>0</v>
      </c>
      <c r="K493" s="124">
        <f t="shared" si="256"/>
        <v>0</v>
      </c>
      <c r="L493" s="124">
        <f t="shared" si="256"/>
        <v>0</v>
      </c>
      <c r="M493" s="124">
        <f t="shared" si="256"/>
        <v>0</v>
      </c>
      <c r="N493" s="124">
        <f t="shared" si="256"/>
        <v>588974.46870026283</v>
      </c>
      <c r="O493" s="124">
        <f t="shared" si="256"/>
        <v>942359.14992042049</v>
      </c>
      <c r="P493" s="124">
        <f t="shared" si="256"/>
        <v>565415.48995225236</v>
      </c>
      <c r="Q493" s="124">
        <f t="shared" si="256"/>
        <v>339249.29397135135</v>
      </c>
      <c r="R493" s="124">
        <f t="shared" si="256"/>
        <v>339249.29397135135</v>
      </c>
      <c r="S493" s="124">
        <f t="shared" si="256"/>
        <v>169624.64698567567</v>
      </c>
      <c r="T493" s="124">
        <f t="shared" si="256"/>
        <v>0</v>
      </c>
      <c r="U493" s="124">
        <f t="shared" si="256"/>
        <v>0</v>
      </c>
      <c r="V493" s="124">
        <f t="shared" si="256"/>
        <v>0</v>
      </c>
      <c r="W493" s="124">
        <f t="shared" si="256"/>
        <v>0</v>
      </c>
      <c r="X493" s="124">
        <f t="shared" si="256"/>
        <v>0</v>
      </c>
      <c r="Y493" s="124">
        <f t="shared" si="256"/>
        <v>0</v>
      </c>
      <c r="Z493" s="124">
        <f t="shared" si="256"/>
        <v>704188.57730493625</v>
      </c>
      <c r="AA493" s="124">
        <f t="shared" si="256"/>
        <v>1126701.7236878979</v>
      </c>
      <c r="AB493" s="124">
        <f t="shared" si="256"/>
        <v>676021.03421273874</v>
      </c>
      <c r="AC493" s="124">
        <f t="shared" si="256"/>
        <v>405612.62052764324</v>
      </c>
      <c r="AD493" s="124">
        <f t="shared" si="256"/>
        <v>405612.62052764324</v>
      </c>
      <c r="AE493" s="124">
        <f t="shared" si="256"/>
        <v>202806.31026382162</v>
      </c>
      <c r="AF493" s="124">
        <f t="shared" si="256"/>
        <v>0</v>
      </c>
      <c r="AG493" s="124">
        <f t="shared" si="256"/>
        <v>0</v>
      </c>
      <c r="AH493" s="124">
        <f t="shared" si="256"/>
        <v>0</v>
      </c>
      <c r="AI493" s="124">
        <f t="shared" si="256"/>
        <v>0</v>
      </c>
      <c r="AJ493" s="124">
        <f t="shared" si="256"/>
        <v>0</v>
      </c>
      <c r="AK493" s="124">
        <f t="shared" si="256"/>
        <v>0</v>
      </c>
      <c r="AL493" s="124">
        <f t="shared" si="256"/>
        <v>841940.65916142659</v>
      </c>
      <c r="AM493" s="124">
        <f t="shared" si="256"/>
        <v>1347105.0546582823</v>
      </c>
      <c r="AN493" s="124">
        <f t="shared" si="256"/>
        <v>808263.03279496951</v>
      </c>
      <c r="AO493" s="124">
        <f t="shared" si="256"/>
        <v>484957.81967698166</v>
      </c>
      <c r="AP493" s="124">
        <f t="shared" si="256"/>
        <v>484957.81967698166</v>
      </c>
    </row>
    <row r="494" spans="1:42" s="101" customFormat="1" x14ac:dyDescent="0.2">
      <c r="A494" s="205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</row>
    <row r="495" spans="1:42" x14ac:dyDescent="0.2">
      <c r="A495" s="180" t="s">
        <v>306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</row>
    <row r="496" spans="1:42" x14ac:dyDescent="0.2">
      <c r="A496" s="187" t="s">
        <v>192</v>
      </c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</row>
    <row r="497" spans="1:42" x14ac:dyDescent="0.2">
      <c r="A497" s="101">
        <v>1</v>
      </c>
      <c r="C497" s="169">
        <f>C362</f>
        <v>0</v>
      </c>
      <c r="D497" s="169">
        <f t="shared" ref="D497:AP503" si="257">D362</f>
        <v>0</v>
      </c>
      <c r="E497" s="169">
        <f t="shared" si="257"/>
        <v>0</v>
      </c>
      <c r="F497" s="169">
        <f t="shared" si="257"/>
        <v>0</v>
      </c>
      <c r="G497" s="169">
        <f t="shared" si="257"/>
        <v>0</v>
      </c>
      <c r="H497" s="169">
        <f t="shared" si="257"/>
        <v>0</v>
      </c>
      <c r="I497" s="169">
        <f t="shared" si="257"/>
        <v>0</v>
      </c>
      <c r="J497" s="169">
        <f t="shared" si="257"/>
        <v>0</v>
      </c>
      <c r="K497" s="169">
        <f t="shared" si="257"/>
        <v>0</v>
      </c>
      <c r="L497" s="169">
        <f t="shared" si="257"/>
        <v>0</v>
      </c>
      <c r="M497" s="169">
        <f t="shared" si="257"/>
        <v>0</v>
      </c>
      <c r="N497" s="169">
        <f t="shared" si="257"/>
        <v>0</v>
      </c>
      <c r="O497" s="169">
        <f t="shared" si="257"/>
        <v>0</v>
      </c>
      <c r="P497" s="169">
        <f t="shared" si="257"/>
        <v>0</v>
      </c>
      <c r="Q497" s="169">
        <f t="shared" si="257"/>
        <v>0</v>
      </c>
      <c r="R497" s="169">
        <f t="shared" si="257"/>
        <v>0</v>
      </c>
      <c r="S497" s="169">
        <f t="shared" si="257"/>
        <v>0</v>
      </c>
      <c r="T497" s="169">
        <f t="shared" si="257"/>
        <v>0</v>
      </c>
      <c r="U497" s="169">
        <f t="shared" si="257"/>
        <v>0</v>
      </c>
      <c r="V497" s="169">
        <f t="shared" si="257"/>
        <v>0</v>
      </c>
      <c r="W497" s="169">
        <f t="shared" si="257"/>
        <v>0</v>
      </c>
      <c r="X497" s="169">
        <f t="shared" si="257"/>
        <v>0</v>
      </c>
      <c r="Y497" s="169">
        <f t="shared" si="257"/>
        <v>0</v>
      </c>
      <c r="Z497" s="169">
        <f t="shared" si="257"/>
        <v>0</v>
      </c>
      <c r="AA497" s="169">
        <f t="shared" si="257"/>
        <v>0</v>
      </c>
      <c r="AB497" s="169">
        <f t="shared" si="257"/>
        <v>0</v>
      </c>
      <c r="AC497" s="169">
        <f t="shared" si="257"/>
        <v>0</v>
      </c>
      <c r="AD497" s="169">
        <f t="shared" si="257"/>
        <v>0</v>
      </c>
      <c r="AE497" s="169">
        <f t="shared" si="257"/>
        <v>0</v>
      </c>
      <c r="AF497" s="169">
        <f t="shared" si="257"/>
        <v>0</v>
      </c>
      <c r="AG497" s="169">
        <f t="shared" si="257"/>
        <v>0</v>
      </c>
      <c r="AH497" s="169">
        <f t="shared" si="257"/>
        <v>0</v>
      </c>
      <c r="AI497" s="169">
        <f t="shared" si="257"/>
        <v>0</v>
      </c>
      <c r="AJ497" s="169">
        <f t="shared" si="257"/>
        <v>0</v>
      </c>
      <c r="AK497" s="169">
        <f t="shared" si="257"/>
        <v>0</v>
      </c>
      <c r="AL497" s="169">
        <f t="shared" si="257"/>
        <v>0</v>
      </c>
      <c r="AM497" s="169">
        <f t="shared" si="257"/>
        <v>0</v>
      </c>
      <c r="AN497" s="169">
        <f t="shared" si="257"/>
        <v>0</v>
      </c>
      <c r="AO497" s="169">
        <f t="shared" si="257"/>
        <v>0</v>
      </c>
      <c r="AP497" s="169">
        <f t="shared" si="257"/>
        <v>0</v>
      </c>
    </row>
    <row r="498" spans="1:42" x14ac:dyDescent="0.2">
      <c r="A498" s="101">
        <f>A497+1</f>
        <v>2</v>
      </c>
      <c r="C498" s="169">
        <f t="shared" ref="C498:R506" si="258">C363</f>
        <v>0</v>
      </c>
      <c r="D498" s="169">
        <f t="shared" si="258"/>
        <v>0</v>
      </c>
      <c r="E498" s="169">
        <f t="shared" si="258"/>
        <v>0</v>
      </c>
      <c r="F498" s="169">
        <f t="shared" si="258"/>
        <v>0</v>
      </c>
      <c r="G498" s="169">
        <f t="shared" si="258"/>
        <v>0</v>
      </c>
      <c r="H498" s="169">
        <f t="shared" si="258"/>
        <v>0</v>
      </c>
      <c r="I498" s="169">
        <f t="shared" si="258"/>
        <v>0</v>
      </c>
      <c r="J498" s="169">
        <f t="shared" si="258"/>
        <v>0</v>
      </c>
      <c r="K498" s="169">
        <f t="shared" si="258"/>
        <v>0</v>
      </c>
      <c r="L498" s="169">
        <f t="shared" si="258"/>
        <v>0</v>
      </c>
      <c r="M498" s="169">
        <f t="shared" si="258"/>
        <v>0</v>
      </c>
      <c r="N498" s="169">
        <f t="shared" si="258"/>
        <v>0</v>
      </c>
      <c r="O498" s="169">
        <f t="shared" si="258"/>
        <v>0</v>
      </c>
      <c r="P498" s="169">
        <f t="shared" si="258"/>
        <v>0</v>
      </c>
      <c r="Q498" s="169">
        <f t="shared" si="258"/>
        <v>0</v>
      </c>
      <c r="R498" s="169">
        <f t="shared" si="258"/>
        <v>0</v>
      </c>
      <c r="S498" s="169">
        <f t="shared" si="257"/>
        <v>0</v>
      </c>
      <c r="T498" s="169">
        <f t="shared" si="257"/>
        <v>0</v>
      </c>
      <c r="U498" s="169">
        <f t="shared" si="257"/>
        <v>0</v>
      </c>
      <c r="V498" s="169">
        <f t="shared" si="257"/>
        <v>0</v>
      </c>
      <c r="W498" s="169">
        <f t="shared" si="257"/>
        <v>0</v>
      </c>
      <c r="X498" s="169">
        <f t="shared" si="257"/>
        <v>0</v>
      </c>
      <c r="Y498" s="169">
        <f t="shared" si="257"/>
        <v>0</v>
      </c>
      <c r="Z498" s="169">
        <f t="shared" si="257"/>
        <v>0</v>
      </c>
      <c r="AA498" s="169">
        <f t="shared" si="257"/>
        <v>0</v>
      </c>
      <c r="AB498" s="169">
        <f t="shared" si="257"/>
        <v>0</v>
      </c>
      <c r="AC498" s="169">
        <f t="shared" si="257"/>
        <v>0</v>
      </c>
      <c r="AD498" s="169">
        <f t="shared" si="257"/>
        <v>0</v>
      </c>
      <c r="AE498" s="169">
        <f t="shared" si="257"/>
        <v>0</v>
      </c>
      <c r="AF498" s="169">
        <f t="shared" si="257"/>
        <v>0</v>
      </c>
      <c r="AG498" s="169">
        <f t="shared" si="257"/>
        <v>0</v>
      </c>
      <c r="AH498" s="169">
        <f t="shared" si="257"/>
        <v>0</v>
      </c>
      <c r="AI498" s="169">
        <f t="shared" si="257"/>
        <v>0</v>
      </c>
      <c r="AJ498" s="169">
        <f t="shared" si="257"/>
        <v>0</v>
      </c>
      <c r="AK498" s="169">
        <f t="shared" si="257"/>
        <v>0</v>
      </c>
      <c r="AL498" s="169">
        <f t="shared" si="257"/>
        <v>0</v>
      </c>
      <c r="AM498" s="169">
        <f t="shared" si="257"/>
        <v>0</v>
      </c>
      <c r="AN498" s="169">
        <f t="shared" si="257"/>
        <v>0</v>
      </c>
      <c r="AO498" s="169">
        <f t="shared" si="257"/>
        <v>0</v>
      </c>
      <c r="AP498" s="169">
        <f t="shared" si="257"/>
        <v>0</v>
      </c>
    </row>
    <row r="499" spans="1:42" x14ac:dyDescent="0.2">
      <c r="A499" s="101">
        <f t="shared" ref="A499:A504" si="259">A498+1</f>
        <v>3</v>
      </c>
      <c r="C499" s="169">
        <f t="shared" si="258"/>
        <v>0</v>
      </c>
      <c r="D499" s="169">
        <f t="shared" si="257"/>
        <v>0</v>
      </c>
      <c r="E499" s="169">
        <f t="shared" si="257"/>
        <v>0</v>
      </c>
      <c r="F499" s="169">
        <f t="shared" si="257"/>
        <v>0</v>
      </c>
      <c r="G499" s="169">
        <f t="shared" si="257"/>
        <v>0</v>
      </c>
      <c r="H499" s="169">
        <f t="shared" si="257"/>
        <v>0</v>
      </c>
      <c r="I499" s="169">
        <f t="shared" si="257"/>
        <v>0</v>
      </c>
      <c r="J499" s="169">
        <f t="shared" si="257"/>
        <v>0</v>
      </c>
      <c r="K499" s="169">
        <f t="shared" si="257"/>
        <v>0</v>
      </c>
      <c r="L499" s="169">
        <f t="shared" si="257"/>
        <v>0</v>
      </c>
      <c r="M499" s="169">
        <f t="shared" si="257"/>
        <v>0</v>
      </c>
      <c r="N499" s="169">
        <f t="shared" si="257"/>
        <v>0</v>
      </c>
      <c r="O499" s="169">
        <f t="shared" si="257"/>
        <v>0</v>
      </c>
      <c r="P499" s="169">
        <f t="shared" si="257"/>
        <v>0</v>
      </c>
      <c r="Q499" s="169">
        <f t="shared" si="257"/>
        <v>0</v>
      </c>
      <c r="R499" s="169">
        <f t="shared" si="257"/>
        <v>0</v>
      </c>
      <c r="S499" s="169">
        <f t="shared" si="257"/>
        <v>0</v>
      </c>
      <c r="T499" s="169">
        <f t="shared" si="257"/>
        <v>0</v>
      </c>
      <c r="U499" s="169">
        <f t="shared" si="257"/>
        <v>0</v>
      </c>
      <c r="V499" s="169">
        <f t="shared" si="257"/>
        <v>0</v>
      </c>
      <c r="W499" s="169">
        <f t="shared" si="257"/>
        <v>0</v>
      </c>
      <c r="X499" s="169">
        <f t="shared" si="257"/>
        <v>0</v>
      </c>
      <c r="Y499" s="169">
        <f t="shared" si="257"/>
        <v>0</v>
      </c>
      <c r="Z499" s="169">
        <f t="shared" si="257"/>
        <v>0</v>
      </c>
      <c r="AA499" s="169">
        <f t="shared" si="257"/>
        <v>0</v>
      </c>
      <c r="AB499" s="169">
        <f t="shared" si="257"/>
        <v>0</v>
      </c>
      <c r="AC499" s="169">
        <f t="shared" si="257"/>
        <v>0</v>
      </c>
      <c r="AD499" s="169">
        <f t="shared" si="257"/>
        <v>0</v>
      </c>
      <c r="AE499" s="169">
        <f t="shared" si="257"/>
        <v>0</v>
      </c>
      <c r="AF499" s="169">
        <f t="shared" si="257"/>
        <v>0</v>
      </c>
      <c r="AG499" s="169">
        <f t="shared" si="257"/>
        <v>0</v>
      </c>
      <c r="AH499" s="169">
        <f t="shared" si="257"/>
        <v>0</v>
      </c>
      <c r="AI499" s="169">
        <f t="shared" si="257"/>
        <v>0</v>
      </c>
      <c r="AJ499" s="169">
        <f t="shared" si="257"/>
        <v>0</v>
      </c>
      <c r="AK499" s="169">
        <f t="shared" si="257"/>
        <v>0</v>
      </c>
      <c r="AL499" s="169">
        <f t="shared" si="257"/>
        <v>0</v>
      </c>
      <c r="AM499" s="169">
        <f t="shared" si="257"/>
        <v>0</v>
      </c>
      <c r="AN499" s="169">
        <f t="shared" si="257"/>
        <v>0</v>
      </c>
      <c r="AO499" s="169">
        <f t="shared" si="257"/>
        <v>0</v>
      </c>
      <c r="AP499" s="169">
        <f t="shared" si="257"/>
        <v>0</v>
      </c>
    </row>
    <row r="500" spans="1:42" x14ac:dyDescent="0.2">
      <c r="A500" s="101">
        <f t="shared" si="259"/>
        <v>4</v>
      </c>
      <c r="C500" s="169">
        <f t="shared" si="258"/>
        <v>0</v>
      </c>
      <c r="D500" s="169">
        <f t="shared" si="257"/>
        <v>0</v>
      </c>
      <c r="E500" s="169">
        <f t="shared" si="257"/>
        <v>0</v>
      </c>
      <c r="F500" s="169">
        <f t="shared" si="257"/>
        <v>0</v>
      </c>
      <c r="G500" s="169">
        <f t="shared" si="257"/>
        <v>0</v>
      </c>
      <c r="H500" s="169">
        <f t="shared" si="257"/>
        <v>0</v>
      </c>
      <c r="I500" s="169">
        <f t="shared" si="257"/>
        <v>0</v>
      </c>
      <c r="J500" s="169">
        <f t="shared" si="257"/>
        <v>0</v>
      </c>
      <c r="K500" s="169">
        <f t="shared" si="257"/>
        <v>0</v>
      </c>
      <c r="L500" s="169">
        <f t="shared" si="257"/>
        <v>0</v>
      </c>
      <c r="M500" s="169">
        <f t="shared" si="257"/>
        <v>0</v>
      </c>
      <c r="N500" s="169">
        <f t="shared" si="257"/>
        <v>0</v>
      </c>
      <c r="O500" s="169">
        <f t="shared" si="257"/>
        <v>0</v>
      </c>
      <c r="P500" s="169">
        <f t="shared" si="257"/>
        <v>0</v>
      </c>
      <c r="Q500" s="169">
        <f t="shared" si="257"/>
        <v>0</v>
      </c>
      <c r="R500" s="169">
        <f t="shared" si="257"/>
        <v>0</v>
      </c>
      <c r="S500" s="169">
        <f t="shared" si="257"/>
        <v>0</v>
      </c>
      <c r="T500" s="169">
        <f t="shared" si="257"/>
        <v>0</v>
      </c>
      <c r="U500" s="169">
        <f t="shared" si="257"/>
        <v>0</v>
      </c>
      <c r="V500" s="169">
        <f t="shared" si="257"/>
        <v>0</v>
      </c>
      <c r="W500" s="169">
        <f t="shared" si="257"/>
        <v>0</v>
      </c>
      <c r="X500" s="169">
        <f t="shared" si="257"/>
        <v>0</v>
      </c>
      <c r="Y500" s="169">
        <f t="shared" si="257"/>
        <v>0</v>
      </c>
      <c r="Z500" s="169">
        <f t="shared" si="257"/>
        <v>0</v>
      </c>
      <c r="AA500" s="169">
        <f t="shared" si="257"/>
        <v>0</v>
      </c>
      <c r="AB500" s="169">
        <f t="shared" si="257"/>
        <v>0</v>
      </c>
      <c r="AC500" s="169">
        <f t="shared" si="257"/>
        <v>0</v>
      </c>
      <c r="AD500" s="169">
        <f t="shared" si="257"/>
        <v>0</v>
      </c>
      <c r="AE500" s="169">
        <f t="shared" si="257"/>
        <v>0</v>
      </c>
      <c r="AF500" s="169">
        <f t="shared" si="257"/>
        <v>0</v>
      </c>
      <c r="AG500" s="169">
        <f t="shared" si="257"/>
        <v>0</v>
      </c>
      <c r="AH500" s="169">
        <f t="shared" si="257"/>
        <v>0</v>
      </c>
      <c r="AI500" s="169">
        <f t="shared" si="257"/>
        <v>0</v>
      </c>
      <c r="AJ500" s="169">
        <f t="shared" si="257"/>
        <v>0</v>
      </c>
      <c r="AK500" s="169">
        <f t="shared" si="257"/>
        <v>0</v>
      </c>
      <c r="AL500" s="169">
        <f t="shared" si="257"/>
        <v>0</v>
      </c>
      <c r="AM500" s="169">
        <f t="shared" si="257"/>
        <v>0</v>
      </c>
      <c r="AN500" s="169">
        <f t="shared" si="257"/>
        <v>0</v>
      </c>
      <c r="AO500" s="169">
        <f t="shared" si="257"/>
        <v>0</v>
      </c>
      <c r="AP500" s="169">
        <f t="shared" si="257"/>
        <v>0</v>
      </c>
    </row>
    <row r="501" spans="1:42" x14ac:dyDescent="0.2">
      <c r="A501" s="101">
        <f t="shared" si="259"/>
        <v>5</v>
      </c>
      <c r="C501" s="169">
        <f t="shared" si="258"/>
        <v>0</v>
      </c>
      <c r="D501" s="169">
        <f t="shared" si="257"/>
        <v>0</v>
      </c>
      <c r="E501" s="169">
        <f t="shared" si="257"/>
        <v>0</v>
      </c>
      <c r="F501" s="169">
        <f t="shared" si="257"/>
        <v>0</v>
      </c>
      <c r="G501" s="169">
        <f t="shared" si="257"/>
        <v>0</v>
      </c>
      <c r="H501" s="169">
        <f t="shared" si="257"/>
        <v>0</v>
      </c>
      <c r="I501" s="169">
        <f t="shared" si="257"/>
        <v>0</v>
      </c>
      <c r="J501" s="169">
        <f t="shared" si="257"/>
        <v>0</v>
      </c>
      <c r="K501" s="169">
        <f t="shared" si="257"/>
        <v>0</v>
      </c>
      <c r="L501" s="169">
        <f t="shared" si="257"/>
        <v>0</v>
      </c>
      <c r="M501" s="169">
        <f t="shared" si="257"/>
        <v>0</v>
      </c>
      <c r="N501" s="169">
        <f t="shared" si="257"/>
        <v>0</v>
      </c>
      <c r="O501" s="169">
        <f t="shared" si="257"/>
        <v>0</v>
      </c>
      <c r="P501" s="169">
        <f t="shared" si="257"/>
        <v>0</v>
      </c>
      <c r="Q501" s="169">
        <f t="shared" si="257"/>
        <v>0</v>
      </c>
      <c r="R501" s="169">
        <f t="shared" si="257"/>
        <v>0</v>
      </c>
      <c r="S501" s="169">
        <f t="shared" si="257"/>
        <v>0</v>
      </c>
      <c r="T501" s="169">
        <f t="shared" si="257"/>
        <v>0</v>
      </c>
      <c r="U501" s="169">
        <f t="shared" si="257"/>
        <v>0</v>
      </c>
      <c r="V501" s="169">
        <f t="shared" si="257"/>
        <v>0</v>
      </c>
      <c r="W501" s="169">
        <f t="shared" si="257"/>
        <v>0</v>
      </c>
      <c r="X501" s="169">
        <f t="shared" si="257"/>
        <v>0</v>
      </c>
      <c r="Y501" s="169">
        <f t="shared" si="257"/>
        <v>0</v>
      </c>
      <c r="Z501" s="169">
        <f t="shared" si="257"/>
        <v>0</v>
      </c>
      <c r="AA501" s="169">
        <f t="shared" si="257"/>
        <v>0</v>
      </c>
      <c r="AB501" s="169">
        <f t="shared" si="257"/>
        <v>0</v>
      </c>
      <c r="AC501" s="169">
        <f t="shared" si="257"/>
        <v>0</v>
      </c>
      <c r="AD501" s="169">
        <f t="shared" si="257"/>
        <v>0</v>
      </c>
      <c r="AE501" s="169">
        <f t="shared" si="257"/>
        <v>0</v>
      </c>
      <c r="AF501" s="169">
        <f t="shared" si="257"/>
        <v>0</v>
      </c>
      <c r="AG501" s="169">
        <f t="shared" si="257"/>
        <v>0</v>
      </c>
      <c r="AH501" s="169">
        <f t="shared" si="257"/>
        <v>0</v>
      </c>
      <c r="AI501" s="169">
        <f t="shared" si="257"/>
        <v>0</v>
      </c>
      <c r="AJ501" s="169">
        <f t="shared" si="257"/>
        <v>0</v>
      </c>
      <c r="AK501" s="169">
        <f t="shared" si="257"/>
        <v>0</v>
      </c>
      <c r="AL501" s="169">
        <f t="shared" si="257"/>
        <v>0</v>
      </c>
      <c r="AM501" s="169">
        <f t="shared" si="257"/>
        <v>0</v>
      </c>
      <c r="AN501" s="169">
        <f t="shared" si="257"/>
        <v>0</v>
      </c>
      <c r="AO501" s="169">
        <f t="shared" si="257"/>
        <v>0</v>
      </c>
      <c r="AP501" s="169">
        <f t="shared" si="257"/>
        <v>0</v>
      </c>
    </row>
    <row r="502" spans="1:42" x14ac:dyDescent="0.2">
      <c r="A502" s="101">
        <f t="shared" si="259"/>
        <v>6</v>
      </c>
      <c r="C502" s="169">
        <f t="shared" si="258"/>
        <v>0</v>
      </c>
      <c r="D502" s="169">
        <f t="shared" si="257"/>
        <v>0</v>
      </c>
      <c r="E502" s="169">
        <f t="shared" si="257"/>
        <v>0</v>
      </c>
      <c r="F502" s="169">
        <f t="shared" si="257"/>
        <v>0</v>
      </c>
      <c r="G502" s="169">
        <f t="shared" si="257"/>
        <v>0</v>
      </c>
      <c r="H502" s="169">
        <f t="shared" si="257"/>
        <v>0</v>
      </c>
      <c r="I502" s="169">
        <f t="shared" si="257"/>
        <v>0</v>
      </c>
      <c r="J502" s="169">
        <f t="shared" si="257"/>
        <v>0</v>
      </c>
      <c r="K502" s="169">
        <f t="shared" si="257"/>
        <v>0</v>
      </c>
      <c r="L502" s="169">
        <f t="shared" si="257"/>
        <v>0</v>
      </c>
      <c r="M502" s="169">
        <f t="shared" si="257"/>
        <v>0</v>
      </c>
      <c r="N502" s="169">
        <f t="shared" si="257"/>
        <v>0</v>
      </c>
      <c r="O502" s="169">
        <f t="shared" si="257"/>
        <v>0</v>
      </c>
      <c r="P502" s="169">
        <f t="shared" si="257"/>
        <v>0</v>
      </c>
      <c r="Q502" s="169">
        <f t="shared" si="257"/>
        <v>0</v>
      </c>
      <c r="R502" s="169">
        <f t="shared" si="257"/>
        <v>0</v>
      </c>
      <c r="S502" s="169">
        <f t="shared" si="257"/>
        <v>0</v>
      </c>
      <c r="T502" s="169">
        <f t="shared" si="257"/>
        <v>0</v>
      </c>
      <c r="U502" s="169">
        <f t="shared" si="257"/>
        <v>0</v>
      </c>
      <c r="V502" s="169">
        <f t="shared" si="257"/>
        <v>0</v>
      </c>
      <c r="W502" s="169">
        <f t="shared" si="257"/>
        <v>0</v>
      </c>
      <c r="X502" s="169">
        <f t="shared" si="257"/>
        <v>0</v>
      </c>
      <c r="Y502" s="169">
        <f t="shared" si="257"/>
        <v>0</v>
      </c>
      <c r="Z502" s="169">
        <f t="shared" si="257"/>
        <v>0</v>
      </c>
      <c r="AA502" s="169">
        <f t="shared" si="257"/>
        <v>0</v>
      </c>
      <c r="AB502" s="169">
        <f t="shared" si="257"/>
        <v>0</v>
      </c>
      <c r="AC502" s="169">
        <f t="shared" si="257"/>
        <v>0</v>
      </c>
      <c r="AD502" s="169">
        <f t="shared" si="257"/>
        <v>0</v>
      </c>
      <c r="AE502" s="169">
        <f t="shared" si="257"/>
        <v>0</v>
      </c>
      <c r="AF502" s="169">
        <f t="shared" si="257"/>
        <v>0</v>
      </c>
      <c r="AG502" s="169">
        <f t="shared" si="257"/>
        <v>0</v>
      </c>
      <c r="AH502" s="169">
        <f t="shared" si="257"/>
        <v>0</v>
      </c>
      <c r="AI502" s="169">
        <f t="shared" si="257"/>
        <v>0</v>
      </c>
      <c r="AJ502" s="169">
        <f t="shared" si="257"/>
        <v>0</v>
      </c>
      <c r="AK502" s="169">
        <f t="shared" si="257"/>
        <v>0</v>
      </c>
      <c r="AL502" s="169">
        <f t="shared" si="257"/>
        <v>0</v>
      </c>
      <c r="AM502" s="169">
        <f t="shared" si="257"/>
        <v>0</v>
      </c>
      <c r="AN502" s="169">
        <f t="shared" si="257"/>
        <v>0</v>
      </c>
      <c r="AO502" s="169">
        <f t="shared" si="257"/>
        <v>0</v>
      </c>
      <c r="AP502" s="169">
        <f t="shared" si="257"/>
        <v>0</v>
      </c>
    </row>
    <row r="503" spans="1:42" x14ac:dyDescent="0.2">
      <c r="A503" s="101">
        <f t="shared" si="259"/>
        <v>7</v>
      </c>
      <c r="C503" s="169">
        <f t="shared" si="258"/>
        <v>0</v>
      </c>
      <c r="D503" s="169">
        <f t="shared" si="257"/>
        <v>0</v>
      </c>
      <c r="E503" s="169">
        <f t="shared" si="257"/>
        <v>0</v>
      </c>
      <c r="F503" s="169">
        <f t="shared" si="257"/>
        <v>0</v>
      </c>
      <c r="G503" s="169">
        <f t="shared" si="257"/>
        <v>0</v>
      </c>
      <c r="H503" s="169">
        <f t="shared" si="257"/>
        <v>0</v>
      </c>
      <c r="I503" s="169">
        <f t="shared" si="257"/>
        <v>0</v>
      </c>
      <c r="J503" s="169">
        <f t="shared" si="257"/>
        <v>0</v>
      </c>
      <c r="K503" s="169">
        <f t="shared" si="257"/>
        <v>0</v>
      </c>
      <c r="L503" s="169">
        <f t="shared" si="257"/>
        <v>0</v>
      </c>
      <c r="M503" s="169">
        <f t="shared" si="257"/>
        <v>0</v>
      </c>
      <c r="N503" s="169">
        <f t="shared" si="257"/>
        <v>0</v>
      </c>
      <c r="O503" s="169">
        <f t="shared" si="257"/>
        <v>0</v>
      </c>
      <c r="P503" s="169">
        <f t="shared" si="257"/>
        <v>0</v>
      </c>
      <c r="Q503" s="169">
        <f t="shared" si="257"/>
        <v>0</v>
      </c>
      <c r="R503" s="169">
        <f t="shared" si="257"/>
        <v>0</v>
      </c>
      <c r="S503" s="169">
        <f t="shared" si="257"/>
        <v>0</v>
      </c>
      <c r="T503" s="169">
        <f t="shared" si="257"/>
        <v>0</v>
      </c>
      <c r="U503" s="169">
        <f t="shared" si="257"/>
        <v>0</v>
      </c>
      <c r="V503" s="169">
        <f t="shared" si="257"/>
        <v>0</v>
      </c>
      <c r="W503" s="169">
        <f t="shared" si="257"/>
        <v>0</v>
      </c>
      <c r="X503" s="169">
        <f t="shared" si="257"/>
        <v>0</v>
      </c>
      <c r="Y503" s="169">
        <f t="shared" si="257"/>
        <v>0</v>
      </c>
      <c r="Z503" s="169">
        <f t="shared" si="257"/>
        <v>0</v>
      </c>
      <c r="AA503" s="169">
        <f t="shared" si="257"/>
        <v>0</v>
      </c>
      <c r="AB503" s="169">
        <f t="shared" si="257"/>
        <v>0</v>
      </c>
      <c r="AC503" s="169">
        <f t="shared" si="257"/>
        <v>0</v>
      </c>
      <c r="AD503" s="169">
        <f t="shared" si="257"/>
        <v>0</v>
      </c>
      <c r="AE503" s="169">
        <f t="shared" si="257"/>
        <v>0</v>
      </c>
      <c r="AF503" s="169">
        <f t="shared" si="257"/>
        <v>0</v>
      </c>
      <c r="AG503" s="169">
        <f t="shared" si="257"/>
        <v>0</v>
      </c>
      <c r="AH503" s="169">
        <f t="shared" si="257"/>
        <v>0</v>
      </c>
      <c r="AI503" s="169">
        <f t="shared" si="257"/>
        <v>0</v>
      </c>
      <c r="AJ503" s="169">
        <f t="shared" si="257"/>
        <v>0</v>
      </c>
      <c r="AK503" s="169">
        <f t="shared" si="257"/>
        <v>0</v>
      </c>
      <c r="AL503" s="169">
        <f t="shared" si="257"/>
        <v>0</v>
      </c>
      <c r="AM503" s="169">
        <f t="shared" si="257"/>
        <v>0</v>
      </c>
      <c r="AN503" s="169">
        <f t="shared" ref="AN503:AP503" si="260">AN368</f>
        <v>0</v>
      </c>
      <c r="AO503" s="169">
        <f t="shared" si="260"/>
        <v>0</v>
      </c>
      <c r="AP503" s="169">
        <f t="shared" si="260"/>
        <v>0</v>
      </c>
    </row>
    <row r="504" spans="1:42" x14ac:dyDescent="0.2">
      <c r="A504" s="101">
        <f t="shared" si="259"/>
        <v>8</v>
      </c>
      <c r="C504" s="169">
        <f t="shared" si="258"/>
        <v>0</v>
      </c>
      <c r="D504" s="169">
        <f t="shared" si="258"/>
        <v>0</v>
      </c>
      <c r="E504" s="169">
        <f t="shared" si="258"/>
        <v>0</v>
      </c>
      <c r="F504" s="169">
        <f t="shared" si="258"/>
        <v>0</v>
      </c>
      <c r="G504" s="169">
        <f t="shared" si="258"/>
        <v>0</v>
      </c>
      <c r="H504" s="169">
        <f t="shared" si="258"/>
        <v>0</v>
      </c>
      <c r="I504" s="169">
        <f t="shared" si="258"/>
        <v>0</v>
      </c>
      <c r="J504" s="169">
        <f t="shared" si="258"/>
        <v>0</v>
      </c>
      <c r="K504" s="169">
        <f t="shared" si="258"/>
        <v>0</v>
      </c>
      <c r="L504" s="169">
        <f t="shared" si="258"/>
        <v>0</v>
      </c>
      <c r="M504" s="169">
        <f t="shared" si="258"/>
        <v>0</v>
      </c>
      <c r="N504" s="169">
        <f t="shared" si="258"/>
        <v>0</v>
      </c>
      <c r="O504" s="169">
        <f t="shared" si="258"/>
        <v>0</v>
      </c>
      <c r="P504" s="169">
        <f t="shared" si="258"/>
        <v>0</v>
      </c>
      <c r="Q504" s="169">
        <f t="shared" si="258"/>
        <v>0</v>
      </c>
      <c r="R504" s="169">
        <f t="shared" si="258"/>
        <v>0</v>
      </c>
      <c r="S504" s="169">
        <f t="shared" ref="D504:AP506" si="261">S369</f>
        <v>0</v>
      </c>
      <c r="T504" s="169">
        <f t="shared" si="261"/>
        <v>0</v>
      </c>
      <c r="U504" s="169">
        <f t="shared" si="261"/>
        <v>0</v>
      </c>
      <c r="V504" s="169">
        <f t="shared" si="261"/>
        <v>0</v>
      </c>
      <c r="W504" s="169">
        <f t="shared" si="261"/>
        <v>0</v>
      </c>
      <c r="X504" s="169">
        <f t="shared" si="261"/>
        <v>0</v>
      </c>
      <c r="Y504" s="169">
        <f t="shared" si="261"/>
        <v>0</v>
      </c>
      <c r="Z504" s="169">
        <f t="shared" si="261"/>
        <v>0</v>
      </c>
      <c r="AA504" s="169">
        <f t="shared" si="261"/>
        <v>0</v>
      </c>
      <c r="AB504" s="169">
        <f t="shared" si="261"/>
        <v>0</v>
      </c>
      <c r="AC504" s="169">
        <f t="shared" si="261"/>
        <v>0</v>
      </c>
      <c r="AD504" s="169">
        <f t="shared" si="261"/>
        <v>0</v>
      </c>
      <c r="AE504" s="169">
        <f t="shared" si="261"/>
        <v>0</v>
      </c>
      <c r="AF504" s="169">
        <f t="shared" si="261"/>
        <v>0</v>
      </c>
      <c r="AG504" s="169">
        <f t="shared" si="261"/>
        <v>0</v>
      </c>
      <c r="AH504" s="169">
        <f t="shared" si="261"/>
        <v>0</v>
      </c>
      <c r="AI504" s="169">
        <f t="shared" si="261"/>
        <v>0</v>
      </c>
      <c r="AJ504" s="169">
        <f t="shared" si="261"/>
        <v>0</v>
      </c>
      <c r="AK504" s="169">
        <f t="shared" si="261"/>
        <v>0</v>
      </c>
      <c r="AL504" s="169">
        <f t="shared" si="261"/>
        <v>0</v>
      </c>
      <c r="AM504" s="169">
        <f t="shared" si="261"/>
        <v>0</v>
      </c>
      <c r="AN504" s="169">
        <f t="shared" si="261"/>
        <v>0</v>
      </c>
      <c r="AO504" s="169">
        <f t="shared" si="261"/>
        <v>0</v>
      </c>
      <c r="AP504" s="169">
        <f t="shared" si="261"/>
        <v>0</v>
      </c>
    </row>
    <row r="505" spans="1:42" x14ac:dyDescent="0.2">
      <c r="A505" s="101">
        <f>A504+1</f>
        <v>9</v>
      </c>
      <c r="C505" s="169">
        <f t="shared" si="258"/>
        <v>0</v>
      </c>
      <c r="D505" s="169">
        <f t="shared" si="261"/>
        <v>0</v>
      </c>
      <c r="E505" s="169">
        <f t="shared" si="261"/>
        <v>0</v>
      </c>
      <c r="F505" s="169">
        <f t="shared" si="261"/>
        <v>0</v>
      </c>
      <c r="G505" s="169">
        <f t="shared" si="261"/>
        <v>0</v>
      </c>
      <c r="H505" s="169">
        <f t="shared" si="261"/>
        <v>0</v>
      </c>
      <c r="I505" s="169">
        <f t="shared" si="261"/>
        <v>0</v>
      </c>
      <c r="J505" s="169">
        <f t="shared" si="261"/>
        <v>0</v>
      </c>
      <c r="K505" s="169">
        <f t="shared" si="261"/>
        <v>0</v>
      </c>
      <c r="L505" s="169">
        <f t="shared" si="261"/>
        <v>0</v>
      </c>
      <c r="M505" s="169">
        <f t="shared" si="261"/>
        <v>0</v>
      </c>
      <c r="N505" s="169">
        <f t="shared" si="261"/>
        <v>0</v>
      </c>
      <c r="O505" s="169">
        <f t="shared" si="261"/>
        <v>0</v>
      </c>
      <c r="P505" s="169">
        <f t="shared" si="261"/>
        <v>0</v>
      </c>
      <c r="Q505" s="169">
        <f t="shared" si="261"/>
        <v>0</v>
      </c>
      <c r="R505" s="169">
        <f t="shared" si="261"/>
        <v>0</v>
      </c>
      <c r="S505" s="169">
        <f t="shared" si="261"/>
        <v>0</v>
      </c>
      <c r="T505" s="169">
        <f t="shared" si="261"/>
        <v>0</v>
      </c>
      <c r="U505" s="169">
        <f t="shared" si="261"/>
        <v>0</v>
      </c>
      <c r="V505" s="169">
        <f t="shared" si="261"/>
        <v>0</v>
      </c>
      <c r="W505" s="169">
        <f t="shared" si="261"/>
        <v>0</v>
      </c>
      <c r="X505" s="169">
        <f t="shared" si="261"/>
        <v>0</v>
      </c>
      <c r="Y505" s="169">
        <f t="shared" si="261"/>
        <v>0</v>
      </c>
      <c r="Z505" s="169">
        <f t="shared" si="261"/>
        <v>0</v>
      </c>
      <c r="AA505" s="169">
        <f t="shared" si="261"/>
        <v>0</v>
      </c>
      <c r="AB505" s="169">
        <f t="shared" si="261"/>
        <v>0</v>
      </c>
      <c r="AC505" s="169">
        <f t="shared" si="261"/>
        <v>0</v>
      </c>
      <c r="AD505" s="169">
        <f t="shared" si="261"/>
        <v>0</v>
      </c>
      <c r="AE505" s="169">
        <f t="shared" si="261"/>
        <v>0</v>
      </c>
      <c r="AF505" s="169">
        <f t="shared" si="261"/>
        <v>0</v>
      </c>
      <c r="AG505" s="169">
        <f t="shared" si="261"/>
        <v>0</v>
      </c>
      <c r="AH505" s="169">
        <f t="shared" si="261"/>
        <v>0</v>
      </c>
      <c r="AI505" s="169">
        <f t="shared" si="261"/>
        <v>0</v>
      </c>
      <c r="AJ505" s="169">
        <f t="shared" si="261"/>
        <v>0</v>
      </c>
      <c r="AK505" s="169">
        <f t="shared" si="261"/>
        <v>0</v>
      </c>
      <c r="AL505" s="169">
        <f t="shared" si="261"/>
        <v>0</v>
      </c>
      <c r="AM505" s="169">
        <f t="shared" si="261"/>
        <v>0</v>
      </c>
      <c r="AN505" s="169">
        <f t="shared" si="261"/>
        <v>0</v>
      </c>
      <c r="AO505" s="169">
        <f t="shared" si="261"/>
        <v>0</v>
      </c>
      <c r="AP505" s="169">
        <f t="shared" si="261"/>
        <v>0</v>
      </c>
    </row>
    <row r="506" spans="1:42" x14ac:dyDescent="0.2">
      <c r="A506" s="101">
        <f t="shared" ref="A506" si="262">A505+1</f>
        <v>10</v>
      </c>
      <c r="C506" s="169">
        <f t="shared" si="258"/>
        <v>0</v>
      </c>
      <c r="D506" s="169">
        <f t="shared" si="261"/>
        <v>0</v>
      </c>
      <c r="E506" s="169">
        <f t="shared" si="261"/>
        <v>0</v>
      </c>
      <c r="F506" s="169">
        <f t="shared" si="261"/>
        <v>0</v>
      </c>
      <c r="G506" s="169">
        <f t="shared" si="261"/>
        <v>0</v>
      </c>
      <c r="H506" s="169">
        <f t="shared" si="261"/>
        <v>0</v>
      </c>
      <c r="I506" s="169">
        <f t="shared" si="261"/>
        <v>0</v>
      </c>
      <c r="J506" s="169">
        <f t="shared" si="261"/>
        <v>0</v>
      </c>
      <c r="K506" s="169">
        <f t="shared" si="261"/>
        <v>0</v>
      </c>
      <c r="L506" s="169">
        <f t="shared" si="261"/>
        <v>0</v>
      </c>
      <c r="M506" s="169">
        <f t="shared" si="261"/>
        <v>0</v>
      </c>
      <c r="N506" s="169">
        <f t="shared" si="261"/>
        <v>0</v>
      </c>
      <c r="O506" s="169">
        <f t="shared" si="261"/>
        <v>0</v>
      </c>
      <c r="P506" s="169">
        <f t="shared" si="261"/>
        <v>0</v>
      </c>
      <c r="Q506" s="169">
        <f t="shared" si="261"/>
        <v>0</v>
      </c>
      <c r="R506" s="169">
        <f t="shared" si="261"/>
        <v>0</v>
      </c>
      <c r="S506" s="169">
        <f t="shared" si="261"/>
        <v>0</v>
      </c>
      <c r="T506" s="169">
        <f t="shared" si="261"/>
        <v>0</v>
      </c>
      <c r="U506" s="169">
        <f t="shared" si="261"/>
        <v>0</v>
      </c>
      <c r="V506" s="169">
        <f t="shared" si="261"/>
        <v>0</v>
      </c>
      <c r="W506" s="169">
        <f t="shared" si="261"/>
        <v>0</v>
      </c>
      <c r="X506" s="169">
        <f t="shared" si="261"/>
        <v>0</v>
      </c>
      <c r="Y506" s="169">
        <f t="shared" si="261"/>
        <v>0</v>
      </c>
      <c r="Z506" s="169">
        <f t="shared" si="261"/>
        <v>0</v>
      </c>
      <c r="AA506" s="169">
        <f t="shared" si="261"/>
        <v>0</v>
      </c>
      <c r="AB506" s="169">
        <f t="shared" si="261"/>
        <v>0</v>
      </c>
      <c r="AC506" s="169">
        <f t="shared" si="261"/>
        <v>0</v>
      </c>
      <c r="AD506" s="169">
        <f t="shared" si="261"/>
        <v>0</v>
      </c>
      <c r="AE506" s="169">
        <f t="shared" si="261"/>
        <v>0</v>
      </c>
      <c r="AF506" s="169">
        <f t="shared" si="261"/>
        <v>0</v>
      </c>
      <c r="AG506" s="169">
        <f t="shared" si="261"/>
        <v>0</v>
      </c>
      <c r="AH506" s="169">
        <f t="shared" si="261"/>
        <v>0</v>
      </c>
      <c r="AI506" s="169">
        <f t="shared" si="261"/>
        <v>0</v>
      </c>
      <c r="AJ506" s="169">
        <f t="shared" si="261"/>
        <v>0</v>
      </c>
      <c r="AK506" s="169">
        <f t="shared" si="261"/>
        <v>0</v>
      </c>
      <c r="AL506" s="169">
        <f t="shared" si="261"/>
        <v>0</v>
      </c>
      <c r="AM506" s="169">
        <f t="shared" si="261"/>
        <v>0</v>
      </c>
      <c r="AN506" s="169">
        <f t="shared" si="261"/>
        <v>0</v>
      </c>
      <c r="AO506" s="169">
        <f t="shared" si="261"/>
        <v>0</v>
      </c>
      <c r="AP506" s="169">
        <f t="shared" si="261"/>
        <v>0</v>
      </c>
    </row>
    <row r="507" spans="1:42" x14ac:dyDescent="0.2">
      <c r="A507" s="187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</row>
    <row r="508" spans="1:42" x14ac:dyDescent="0.2">
      <c r="A508" s="187" t="s">
        <v>196</v>
      </c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</row>
    <row r="509" spans="1:42" x14ac:dyDescent="0.2">
      <c r="A509" s="101">
        <v>1</v>
      </c>
      <c r="B509" s="179">
        <f t="shared" ref="B509:B518" si="263">SUM(C509:AP509)</f>
        <v>0</v>
      </c>
      <c r="C509" s="208">
        <f t="shared" ref="C509:AP509" si="264">LOOKUP(C497,$B$466:$AP$466,$B$467:$AP$467)*$B647</f>
        <v>0</v>
      </c>
      <c r="D509" s="169">
        <f t="shared" si="264"/>
        <v>0</v>
      </c>
      <c r="E509" s="169">
        <f t="shared" si="264"/>
        <v>0</v>
      </c>
      <c r="F509" s="169">
        <f t="shared" si="264"/>
        <v>0</v>
      </c>
      <c r="G509" s="169">
        <f t="shared" si="264"/>
        <v>0</v>
      </c>
      <c r="H509" s="169">
        <f t="shared" si="264"/>
        <v>0</v>
      </c>
      <c r="I509" s="169">
        <f t="shared" si="264"/>
        <v>0</v>
      </c>
      <c r="J509" s="169">
        <f t="shared" si="264"/>
        <v>0</v>
      </c>
      <c r="K509" s="169">
        <f t="shared" si="264"/>
        <v>0</v>
      </c>
      <c r="L509" s="169">
        <f t="shared" si="264"/>
        <v>0</v>
      </c>
      <c r="M509" s="169">
        <f t="shared" si="264"/>
        <v>0</v>
      </c>
      <c r="N509" s="169">
        <f t="shared" si="264"/>
        <v>0</v>
      </c>
      <c r="O509" s="169">
        <f t="shared" si="264"/>
        <v>0</v>
      </c>
      <c r="P509" s="169">
        <f t="shared" si="264"/>
        <v>0</v>
      </c>
      <c r="Q509" s="169">
        <f t="shared" si="264"/>
        <v>0</v>
      </c>
      <c r="R509" s="169">
        <f t="shared" si="264"/>
        <v>0</v>
      </c>
      <c r="S509" s="169">
        <f t="shared" si="264"/>
        <v>0</v>
      </c>
      <c r="T509" s="169">
        <f t="shared" si="264"/>
        <v>0</v>
      </c>
      <c r="U509" s="169">
        <f t="shared" si="264"/>
        <v>0</v>
      </c>
      <c r="V509" s="169">
        <f t="shared" si="264"/>
        <v>0</v>
      </c>
      <c r="W509" s="169">
        <f t="shared" si="264"/>
        <v>0</v>
      </c>
      <c r="X509" s="169">
        <f t="shared" si="264"/>
        <v>0</v>
      </c>
      <c r="Y509" s="169">
        <f t="shared" si="264"/>
        <v>0</v>
      </c>
      <c r="Z509" s="169">
        <f t="shared" si="264"/>
        <v>0</v>
      </c>
      <c r="AA509" s="169">
        <f t="shared" si="264"/>
        <v>0</v>
      </c>
      <c r="AB509" s="169">
        <f t="shared" si="264"/>
        <v>0</v>
      </c>
      <c r="AC509" s="169">
        <f t="shared" si="264"/>
        <v>0</v>
      </c>
      <c r="AD509" s="169">
        <f t="shared" si="264"/>
        <v>0</v>
      </c>
      <c r="AE509" s="169">
        <f t="shared" si="264"/>
        <v>0</v>
      </c>
      <c r="AF509" s="169">
        <f t="shared" si="264"/>
        <v>0</v>
      </c>
      <c r="AG509" s="169">
        <f t="shared" si="264"/>
        <v>0</v>
      </c>
      <c r="AH509" s="169">
        <f t="shared" si="264"/>
        <v>0</v>
      </c>
      <c r="AI509" s="169">
        <f t="shared" si="264"/>
        <v>0</v>
      </c>
      <c r="AJ509" s="169">
        <f t="shared" si="264"/>
        <v>0</v>
      </c>
      <c r="AK509" s="169">
        <f t="shared" si="264"/>
        <v>0</v>
      </c>
      <c r="AL509" s="169">
        <f t="shared" si="264"/>
        <v>0</v>
      </c>
      <c r="AM509" s="169">
        <f t="shared" si="264"/>
        <v>0</v>
      </c>
      <c r="AN509" s="169">
        <f t="shared" si="264"/>
        <v>0</v>
      </c>
      <c r="AO509" s="169">
        <f t="shared" si="264"/>
        <v>0</v>
      </c>
      <c r="AP509" s="169">
        <f t="shared" si="264"/>
        <v>0</v>
      </c>
    </row>
    <row r="510" spans="1:42" x14ac:dyDescent="0.2">
      <c r="A510" s="101">
        <f>A509+1</f>
        <v>2</v>
      </c>
      <c r="B510" s="179">
        <f t="shared" si="263"/>
        <v>0</v>
      </c>
      <c r="C510" s="208">
        <f t="shared" ref="C510:AP510" si="265">LOOKUP(C498,$B$466:$AP$466,$B$467:$AP$467)*$B648</f>
        <v>0</v>
      </c>
      <c r="D510" s="169">
        <f t="shared" si="265"/>
        <v>0</v>
      </c>
      <c r="E510" s="169">
        <f t="shared" si="265"/>
        <v>0</v>
      </c>
      <c r="F510" s="169">
        <f t="shared" si="265"/>
        <v>0</v>
      </c>
      <c r="G510" s="169">
        <f t="shared" si="265"/>
        <v>0</v>
      </c>
      <c r="H510" s="169">
        <f t="shared" si="265"/>
        <v>0</v>
      </c>
      <c r="I510" s="169">
        <f t="shared" si="265"/>
        <v>0</v>
      </c>
      <c r="J510" s="169">
        <f t="shared" si="265"/>
        <v>0</v>
      </c>
      <c r="K510" s="169">
        <f t="shared" si="265"/>
        <v>0</v>
      </c>
      <c r="L510" s="169">
        <f t="shared" si="265"/>
        <v>0</v>
      </c>
      <c r="M510" s="169">
        <f t="shared" si="265"/>
        <v>0</v>
      </c>
      <c r="N510" s="169">
        <f t="shared" si="265"/>
        <v>0</v>
      </c>
      <c r="O510" s="169">
        <f t="shared" si="265"/>
        <v>0</v>
      </c>
      <c r="P510" s="169">
        <f t="shared" si="265"/>
        <v>0</v>
      </c>
      <c r="Q510" s="169">
        <f t="shared" si="265"/>
        <v>0</v>
      </c>
      <c r="R510" s="169">
        <f t="shared" si="265"/>
        <v>0</v>
      </c>
      <c r="S510" s="169">
        <f t="shared" si="265"/>
        <v>0</v>
      </c>
      <c r="T510" s="169">
        <f t="shared" si="265"/>
        <v>0</v>
      </c>
      <c r="U510" s="169">
        <f t="shared" si="265"/>
        <v>0</v>
      </c>
      <c r="V510" s="169">
        <f t="shared" si="265"/>
        <v>0</v>
      </c>
      <c r="W510" s="169">
        <f t="shared" si="265"/>
        <v>0</v>
      </c>
      <c r="X510" s="169">
        <f t="shared" si="265"/>
        <v>0</v>
      </c>
      <c r="Y510" s="169">
        <f t="shared" si="265"/>
        <v>0</v>
      </c>
      <c r="Z510" s="169">
        <f t="shared" si="265"/>
        <v>0</v>
      </c>
      <c r="AA510" s="169">
        <f t="shared" si="265"/>
        <v>0</v>
      </c>
      <c r="AB510" s="169">
        <f t="shared" si="265"/>
        <v>0</v>
      </c>
      <c r="AC510" s="169">
        <f t="shared" si="265"/>
        <v>0</v>
      </c>
      <c r="AD510" s="169">
        <f t="shared" si="265"/>
        <v>0</v>
      </c>
      <c r="AE510" s="169">
        <f t="shared" si="265"/>
        <v>0</v>
      </c>
      <c r="AF510" s="169">
        <f t="shared" si="265"/>
        <v>0</v>
      </c>
      <c r="AG510" s="169">
        <f t="shared" si="265"/>
        <v>0</v>
      </c>
      <c r="AH510" s="169">
        <f t="shared" si="265"/>
        <v>0</v>
      </c>
      <c r="AI510" s="169">
        <f t="shared" si="265"/>
        <v>0</v>
      </c>
      <c r="AJ510" s="169">
        <f t="shared" si="265"/>
        <v>0</v>
      </c>
      <c r="AK510" s="169">
        <f t="shared" si="265"/>
        <v>0</v>
      </c>
      <c r="AL510" s="169">
        <f t="shared" si="265"/>
        <v>0</v>
      </c>
      <c r="AM510" s="169">
        <f t="shared" si="265"/>
        <v>0</v>
      </c>
      <c r="AN510" s="169">
        <f t="shared" si="265"/>
        <v>0</v>
      </c>
      <c r="AO510" s="169">
        <f t="shared" si="265"/>
        <v>0</v>
      </c>
      <c r="AP510" s="169">
        <f t="shared" si="265"/>
        <v>0</v>
      </c>
    </row>
    <row r="511" spans="1:42" x14ac:dyDescent="0.2">
      <c r="A511" s="101">
        <f t="shared" ref="A511:A516" si="266">A510+1</f>
        <v>3</v>
      </c>
      <c r="B511" s="179">
        <f t="shared" si="263"/>
        <v>0</v>
      </c>
      <c r="C511" s="208">
        <f t="shared" ref="C511:AP511" si="267">LOOKUP(C499,$B$466:$AP$466,$B$467:$AP$467)*$B649</f>
        <v>0</v>
      </c>
      <c r="D511" s="169">
        <f t="shared" si="267"/>
        <v>0</v>
      </c>
      <c r="E511" s="169">
        <f t="shared" si="267"/>
        <v>0</v>
      </c>
      <c r="F511" s="169">
        <f t="shared" si="267"/>
        <v>0</v>
      </c>
      <c r="G511" s="169">
        <f t="shared" si="267"/>
        <v>0</v>
      </c>
      <c r="H511" s="169">
        <f t="shared" si="267"/>
        <v>0</v>
      </c>
      <c r="I511" s="169">
        <f t="shared" si="267"/>
        <v>0</v>
      </c>
      <c r="J511" s="169">
        <f t="shared" si="267"/>
        <v>0</v>
      </c>
      <c r="K511" s="169">
        <f t="shared" si="267"/>
        <v>0</v>
      </c>
      <c r="L511" s="169">
        <f t="shared" si="267"/>
        <v>0</v>
      </c>
      <c r="M511" s="169">
        <f t="shared" si="267"/>
        <v>0</v>
      </c>
      <c r="N511" s="169">
        <f t="shared" si="267"/>
        <v>0</v>
      </c>
      <c r="O511" s="169">
        <f t="shared" si="267"/>
        <v>0</v>
      </c>
      <c r="P511" s="169">
        <f t="shared" si="267"/>
        <v>0</v>
      </c>
      <c r="Q511" s="169">
        <f t="shared" si="267"/>
        <v>0</v>
      </c>
      <c r="R511" s="169">
        <f t="shared" si="267"/>
        <v>0</v>
      </c>
      <c r="S511" s="169">
        <f t="shared" si="267"/>
        <v>0</v>
      </c>
      <c r="T511" s="169">
        <f t="shared" si="267"/>
        <v>0</v>
      </c>
      <c r="U511" s="169">
        <f t="shared" si="267"/>
        <v>0</v>
      </c>
      <c r="V511" s="169">
        <f t="shared" si="267"/>
        <v>0</v>
      </c>
      <c r="W511" s="169">
        <f t="shared" si="267"/>
        <v>0</v>
      </c>
      <c r="X511" s="169">
        <f t="shared" si="267"/>
        <v>0</v>
      </c>
      <c r="Y511" s="169">
        <f t="shared" si="267"/>
        <v>0</v>
      </c>
      <c r="Z511" s="169">
        <f t="shared" si="267"/>
        <v>0</v>
      </c>
      <c r="AA511" s="169">
        <f t="shared" si="267"/>
        <v>0</v>
      </c>
      <c r="AB511" s="169">
        <f t="shared" si="267"/>
        <v>0</v>
      </c>
      <c r="AC511" s="169">
        <f t="shared" si="267"/>
        <v>0</v>
      </c>
      <c r="AD511" s="169">
        <f t="shared" si="267"/>
        <v>0</v>
      </c>
      <c r="AE511" s="169">
        <f t="shared" si="267"/>
        <v>0</v>
      </c>
      <c r="AF511" s="169">
        <f t="shared" si="267"/>
        <v>0</v>
      </c>
      <c r="AG511" s="169">
        <f t="shared" si="267"/>
        <v>0</v>
      </c>
      <c r="AH511" s="169">
        <f t="shared" si="267"/>
        <v>0</v>
      </c>
      <c r="AI511" s="169">
        <f t="shared" si="267"/>
        <v>0</v>
      </c>
      <c r="AJ511" s="169">
        <f t="shared" si="267"/>
        <v>0</v>
      </c>
      <c r="AK511" s="169">
        <f t="shared" si="267"/>
        <v>0</v>
      </c>
      <c r="AL511" s="169">
        <f t="shared" si="267"/>
        <v>0</v>
      </c>
      <c r="AM511" s="169">
        <f t="shared" si="267"/>
        <v>0</v>
      </c>
      <c r="AN511" s="169">
        <f t="shared" si="267"/>
        <v>0</v>
      </c>
      <c r="AO511" s="169">
        <f t="shared" si="267"/>
        <v>0</v>
      </c>
      <c r="AP511" s="169">
        <f t="shared" si="267"/>
        <v>0</v>
      </c>
    </row>
    <row r="512" spans="1:42" x14ac:dyDescent="0.2">
      <c r="A512" s="101">
        <f t="shared" si="266"/>
        <v>4</v>
      </c>
      <c r="B512" s="179">
        <f t="shared" si="263"/>
        <v>0</v>
      </c>
      <c r="C512" s="208">
        <f t="shared" ref="C512:AP512" si="268">LOOKUP(C500,$B$466:$AP$466,$B$467:$AP$467)*$B650</f>
        <v>0</v>
      </c>
      <c r="D512" s="169">
        <f t="shared" si="268"/>
        <v>0</v>
      </c>
      <c r="E512" s="169">
        <f t="shared" si="268"/>
        <v>0</v>
      </c>
      <c r="F512" s="169">
        <f t="shared" si="268"/>
        <v>0</v>
      </c>
      <c r="G512" s="169">
        <f t="shared" si="268"/>
        <v>0</v>
      </c>
      <c r="H512" s="169">
        <f t="shared" si="268"/>
        <v>0</v>
      </c>
      <c r="I512" s="169">
        <f t="shared" si="268"/>
        <v>0</v>
      </c>
      <c r="J512" s="169">
        <f t="shared" si="268"/>
        <v>0</v>
      </c>
      <c r="K512" s="169">
        <f t="shared" si="268"/>
        <v>0</v>
      </c>
      <c r="L512" s="169">
        <f t="shared" si="268"/>
        <v>0</v>
      </c>
      <c r="M512" s="169">
        <f t="shared" si="268"/>
        <v>0</v>
      </c>
      <c r="N512" s="169">
        <f t="shared" si="268"/>
        <v>0</v>
      </c>
      <c r="O512" s="169">
        <f t="shared" si="268"/>
        <v>0</v>
      </c>
      <c r="P512" s="169">
        <f t="shared" si="268"/>
        <v>0</v>
      </c>
      <c r="Q512" s="169">
        <f t="shared" si="268"/>
        <v>0</v>
      </c>
      <c r="R512" s="169">
        <f t="shared" si="268"/>
        <v>0</v>
      </c>
      <c r="S512" s="169">
        <f t="shared" si="268"/>
        <v>0</v>
      </c>
      <c r="T512" s="169">
        <f t="shared" si="268"/>
        <v>0</v>
      </c>
      <c r="U512" s="169">
        <f t="shared" si="268"/>
        <v>0</v>
      </c>
      <c r="V512" s="169">
        <f t="shared" si="268"/>
        <v>0</v>
      </c>
      <c r="W512" s="169">
        <f t="shared" si="268"/>
        <v>0</v>
      </c>
      <c r="X512" s="169">
        <f t="shared" si="268"/>
        <v>0</v>
      </c>
      <c r="Y512" s="169">
        <f t="shared" si="268"/>
        <v>0</v>
      </c>
      <c r="Z512" s="169">
        <f t="shared" si="268"/>
        <v>0</v>
      </c>
      <c r="AA512" s="169">
        <f t="shared" si="268"/>
        <v>0</v>
      </c>
      <c r="AB512" s="169">
        <f t="shared" si="268"/>
        <v>0</v>
      </c>
      <c r="AC512" s="169">
        <f t="shared" si="268"/>
        <v>0</v>
      </c>
      <c r="AD512" s="169">
        <f t="shared" si="268"/>
        <v>0</v>
      </c>
      <c r="AE512" s="169">
        <f t="shared" si="268"/>
        <v>0</v>
      </c>
      <c r="AF512" s="169">
        <f t="shared" si="268"/>
        <v>0</v>
      </c>
      <c r="AG512" s="169">
        <f t="shared" si="268"/>
        <v>0</v>
      </c>
      <c r="AH512" s="169">
        <f t="shared" si="268"/>
        <v>0</v>
      </c>
      <c r="AI512" s="169">
        <f t="shared" si="268"/>
        <v>0</v>
      </c>
      <c r="AJ512" s="169">
        <f t="shared" si="268"/>
        <v>0</v>
      </c>
      <c r="AK512" s="169">
        <f t="shared" si="268"/>
        <v>0</v>
      </c>
      <c r="AL512" s="169">
        <f t="shared" si="268"/>
        <v>0</v>
      </c>
      <c r="AM512" s="169">
        <f t="shared" si="268"/>
        <v>0</v>
      </c>
      <c r="AN512" s="169">
        <f t="shared" si="268"/>
        <v>0</v>
      </c>
      <c r="AO512" s="169">
        <f t="shared" si="268"/>
        <v>0</v>
      </c>
      <c r="AP512" s="169">
        <f t="shared" si="268"/>
        <v>0</v>
      </c>
    </row>
    <row r="513" spans="1:42" x14ac:dyDescent="0.2">
      <c r="A513" s="101">
        <f t="shared" si="266"/>
        <v>5</v>
      </c>
      <c r="B513" s="179">
        <f t="shared" si="263"/>
        <v>0</v>
      </c>
      <c r="C513" s="208">
        <f t="shared" ref="C513:AP513" si="269">LOOKUP(C501,$B$466:$AP$466,$B$467:$AP$467)*$B651</f>
        <v>0</v>
      </c>
      <c r="D513" s="169">
        <f t="shared" si="269"/>
        <v>0</v>
      </c>
      <c r="E513" s="169">
        <f t="shared" si="269"/>
        <v>0</v>
      </c>
      <c r="F513" s="169">
        <f t="shared" si="269"/>
        <v>0</v>
      </c>
      <c r="G513" s="169">
        <f t="shared" si="269"/>
        <v>0</v>
      </c>
      <c r="H513" s="169">
        <f t="shared" si="269"/>
        <v>0</v>
      </c>
      <c r="I513" s="169">
        <f t="shared" si="269"/>
        <v>0</v>
      </c>
      <c r="J513" s="169">
        <f t="shared" si="269"/>
        <v>0</v>
      </c>
      <c r="K513" s="169">
        <f t="shared" si="269"/>
        <v>0</v>
      </c>
      <c r="L513" s="169">
        <f t="shared" si="269"/>
        <v>0</v>
      </c>
      <c r="M513" s="169">
        <f t="shared" si="269"/>
        <v>0</v>
      </c>
      <c r="N513" s="169">
        <f t="shared" si="269"/>
        <v>0</v>
      </c>
      <c r="O513" s="169">
        <f t="shared" si="269"/>
        <v>0</v>
      </c>
      <c r="P513" s="169">
        <f t="shared" si="269"/>
        <v>0</v>
      </c>
      <c r="Q513" s="169">
        <f t="shared" si="269"/>
        <v>0</v>
      </c>
      <c r="R513" s="169">
        <f t="shared" si="269"/>
        <v>0</v>
      </c>
      <c r="S513" s="169">
        <f t="shared" si="269"/>
        <v>0</v>
      </c>
      <c r="T513" s="169">
        <f t="shared" si="269"/>
        <v>0</v>
      </c>
      <c r="U513" s="169">
        <f t="shared" si="269"/>
        <v>0</v>
      </c>
      <c r="V513" s="169">
        <f t="shared" si="269"/>
        <v>0</v>
      </c>
      <c r="W513" s="169">
        <f t="shared" si="269"/>
        <v>0</v>
      </c>
      <c r="X513" s="169">
        <f t="shared" si="269"/>
        <v>0</v>
      </c>
      <c r="Y513" s="169">
        <f t="shared" si="269"/>
        <v>0</v>
      </c>
      <c r="Z513" s="169">
        <f t="shared" si="269"/>
        <v>0</v>
      </c>
      <c r="AA513" s="169">
        <f t="shared" si="269"/>
        <v>0</v>
      </c>
      <c r="AB513" s="169">
        <f t="shared" si="269"/>
        <v>0</v>
      </c>
      <c r="AC513" s="169">
        <f t="shared" si="269"/>
        <v>0</v>
      </c>
      <c r="AD513" s="169">
        <f t="shared" si="269"/>
        <v>0</v>
      </c>
      <c r="AE513" s="169">
        <f t="shared" si="269"/>
        <v>0</v>
      </c>
      <c r="AF513" s="169">
        <f t="shared" si="269"/>
        <v>0</v>
      </c>
      <c r="AG513" s="169">
        <f t="shared" si="269"/>
        <v>0</v>
      </c>
      <c r="AH513" s="169">
        <f t="shared" si="269"/>
        <v>0</v>
      </c>
      <c r="AI513" s="169">
        <f t="shared" si="269"/>
        <v>0</v>
      </c>
      <c r="AJ513" s="169">
        <f t="shared" si="269"/>
        <v>0</v>
      </c>
      <c r="AK513" s="169">
        <f t="shared" si="269"/>
        <v>0</v>
      </c>
      <c r="AL513" s="169">
        <f t="shared" si="269"/>
        <v>0</v>
      </c>
      <c r="AM513" s="169">
        <f t="shared" si="269"/>
        <v>0</v>
      </c>
      <c r="AN513" s="169">
        <f t="shared" si="269"/>
        <v>0</v>
      </c>
      <c r="AO513" s="169">
        <f t="shared" si="269"/>
        <v>0</v>
      </c>
      <c r="AP513" s="169">
        <f t="shared" si="269"/>
        <v>0</v>
      </c>
    </row>
    <row r="514" spans="1:42" x14ac:dyDescent="0.2">
      <c r="A514" s="101">
        <f t="shared" si="266"/>
        <v>6</v>
      </c>
      <c r="B514" s="179">
        <f t="shared" si="263"/>
        <v>0</v>
      </c>
      <c r="C514" s="208">
        <f t="shared" ref="C514:AP514" si="270">LOOKUP(C502,$B$466:$AP$466,$B$467:$AP$467)*$B652</f>
        <v>0</v>
      </c>
      <c r="D514" s="169">
        <f t="shared" si="270"/>
        <v>0</v>
      </c>
      <c r="E514" s="169">
        <f t="shared" si="270"/>
        <v>0</v>
      </c>
      <c r="F514" s="169">
        <f t="shared" si="270"/>
        <v>0</v>
      </c>
      <c r="G514" s="169">
        <f t="shared" si="270"/>
        <v>0</v>
      </c>
      <c r="H514" s="169">
        <f t="shared" si="270"/>
        <v>0</v>
      </c>
      <c r="I514" s="169">
        <f t="shared" si="270"/>
        <v>0</v>
      </c>
      <c r="J514" s="169">
        <f t="shared" si="270"/>
        <v>0</v>
      </c>
      <c r="K514" s="169">
        <f t="shared" si="270"/>
        <v>0</v>
      </c>
      <c r="L514" s="169">
        <f t="shared" si="270"/>
        <v>0</v>
      </c>
      <c r="M514" s="169">
        <f t="shared" si="270"/>
        <v>0</v>
      </c>
      <c r="N514" s="169">
        <f t="shared" si="270"/>
        <v>0</v>
      </c>
      <c r="O514" s="169">
        <f t="shared" si="270"/>
        <v>0</v>
      </c>
      <c r="P514" s="169">
        <f t="shared" si="270"/>
        <v>0</v>
      </c>
      <c r="Q514" s="169">
        <f t="shared" si="270"/>
        <v>0</v>
      </c>
      <c r="R514" s="169">
        <f t="shared" si="270"/>
        <v>0</v>
      </c>
      <c r="S514" s="169">
        <f t="shared" si="270"/>
        <v>0</v>
      </c>
      <c r="T514" s="169">
        <f t="shared" si="270"/>
        <v>0</v>
      </c>
      <c r="U514" s="169">
        <f t="shared" si="270"/>
        <v>0</v>
      </c>
      <c r="V514" s="169">
        <f t="shared" si="270"/>
        <v>0</v>
      </c>
      <c r="W514" s="169">
        <f t="shared" si="270"/>
        <v>0</v>
      </c>
      <c r="X514" s="169">
        <f t="shared" si="270"/>
        <v>0</v>
      </c>
      <c r="Y514" s="169">
        <f t="shared" si="270"/>
        <v>0</v>
      </c>
      <c r="Z514" s="169">
        <f t="shared" si="270"/>
        <v>0</v>
      </c>
      <c r="AA514" s="169">
        <f t="shared" si="270"/>
        <v>0</v>
      </c>
      <c r="AB514" s="169">
        <f t="shared" si="270"/>
        <v>0</v>
      </c>
      <c r="AC514" s="169">
        <f t="shared" si="270"/>
        <v>0</v>
      </c>
      <c r="AD514" s="169">
        <f t="shared" si="270"/>
        <v>0</v>
      </c>
      <c r="AE514" s="169">
        <f t="shared" si="270"/>
        <v>0</v>
      </c>
      <c r="AF514" s="169">
        <f t="shared" si="270"/>
        <v>0</v>
      </c>
      <c r="AG514" s="169">
        <f t="shared" si="270"/>
        <v>0</v>
      </c>
      <c r="AH514" s="169">
        <f t="shared" si="270"/>
        <v>0</v>
      </c>
      <c r="AI514" s="169">
        <f t="shared" si="270"/>
        <v>0</v>
      </c>
      <c r="AJ514" s="169">
        <f t="shared" si="270"/>
        <v>0</v>
      </c>
      <c r="AK514" s="169">
        <f t="shared" si="270"/>
        <v>0</v>
      </c>
      <c r="AL514" s="169">
        <f t="shared" si="270"/>
        <v>0</v>
      </c>
      <c r="AM514" s="169">
        <f t="shared" si="270"/>
        <v>0</v>
      </c>
      <c r="AN514" s="169">
        <f t="shared" si="270"/>
        <v>0</v>
      </c>
      <c r="AO514" s="169">
        <f t="shared" si="270"/>
        <v>0</v>
      </c>
      <c r="AP514" s="169">
        <f t="shared" si="270"/>
        <v>0</v>
      </c>
    </row>
    <row r="515" spans="1:42" x14ac:dyDescent="0.2">
      <c r="A515" s="101">
        <f t="shared" si="266"/>
        <v>7</v>
      </c>
      <c r="B515" s="179">
        <f t="shared" si="263"/>
        <v>0</v>
      </c>
      <c r="C515" s="208">
        <f t="shared" ref="C515:AP515" si="271">LOOKUP(C503,$B$466:$AP$466,$B$467:$AP$467)*$B653</f>
        <v>0</v>
      </c>
      <c r="D515" s="169">
        <f t="shared" si="271"/>
        <v>0</v>
      </c>
      <c r="E515" s="169">
        <f t="shared" si="271"/>
        <v>0</v>
      </c>
      <c r="F515" s="169">
        <f t="shared" si="271"/>
        <v>0</v>
      </c>
      <c r="G515" s="169">
        <f t="shared" si="271"/>
        <v>0</v>
      </c>
      <c r="H515" s="169">
        <f t="shared" si="271"/>
        <v>0</v>
      </c>
      <c r="I515" s="169">
        <f t="shared" si="271"/>
        <v>0</v>
      </c>
      <c r="J515" s="169">
        <f t="shared" si="271"/>
        <v>0</v>
      </c>
      <c r="K515" s="169">
        <f t="shared" si="271"/>
        <v>0</v>
      </c>
      <c r="L515" s="169">
        <f t="shared" si="271"/>
        <v>0</v>
      </c>
      <c r="M515" s="169">
        <f t="shared" si="271"/>
        <v>0</v>
      </c>
      <c r="N515" s="169">
        <f t="shared" si="271"/>
        <v>0</v>
      </c>
      <c r="O515" s="169">
        <f t="shared" si="271"/>
        <v>0</v>
      </c>
      <c r="P515" s="169">
        <f t="shared" si="271"/>
        <v>0</v>
      </c>
      <c r="Q515" s="169">
        <f t="shared" si="271"/>
        <v>0</v>
      </c>
      <c r="R515" s="169">
        <f t="shared" si="271"/>
        <v>0</v>
      </c>
      <c r="S515" s="169">
        <f t="shared" si="271"/>
        <v>0</v>
      </c>
      <c r="T515" s="169">
        <f t="shared" si="271"/>
        <v>0</v>
      </c>
      <c r="U515" s="169">
        <f t="shared" si="271"/>
        <v>0</v>
      </c>
      <c r="V515" s="169">
        <f t="shared" si="271"/>
        <v>0</v>
      </c>
      <c r="W515" s="169">
        <f t="shared" si="271"/>
        <v>0</v>
      </c>
      <c r="X515" s="169">
        <f t="shared" si="271"/>
        <v>0</v>
      </c>
      <c r="Y515" s="169">
        <f t="shared" si="271"/>
        <v>0</v>
      </c>
      <c r="Z515" s="169">
        <f t="shared" si="271"/>
        <v>0</v>
      </c>
      <c r="AA515" s="169">
        <f t="shared" si="271"/>
        <v>0</v>
      </c>
      <c r="AB515" s="169">
        <f t="shared" si="271"/>
        <v>0</v>
      </c>
      <c r="AC515" s="169">
        <f t="shared" si="271"/>
        <v>0</v>
      </c>
      <c r="AD515" s="169">
        <f t="shared" si="271"/>
        <v>0</v>
      </c>
      <c r="AE515" s="169">
        <f t="shared" si="271"/>
        <v>0</v>
      </c>
      <c r="AF515" s="169">
        <f t="shared" si="271"/>
        <v>0</v>
      </c>
      <c r="AG515" s="169">
        <f t="shared" si="271"/>
        <v>0</v>
      </c>
      <c r="AH515" s="169">
        <f t="shared" si="271"/>
        <v>0</v>
      </c>
      <c r="AI515" s="169">
        <f t="shared" si="271"/>
        <v>0</v>
      </c>
      <c r="AJ515" s="169">
        <f t="shared" si="271"/>
        <v>0</v>
      </c>
      <c r="AK515" s="169">
        <f t="shared" si="271"/>
        <v>0</v>
      </c>
      <c r="AL515" s="169">
        <f t="shared" si="271"/>
        <v>0</v>
      </c>
      <c r="AM515" s="169">
        <f t="shared" si="271"/>
        <v>0</v>
      </c>
      <c r="AN515" s="169">
        <f t="shared" si="271"/>
        <v>0</v>
      </c>
      <c r="AO515" s="169">
        <f t="shared" si="271"/>
        <v>0</v>
      </c>
      <c r="AP515" s="169">
        <f t="shared" si="271"/>
        <v>0</v>
      </c>
    </row>
    <row r="516" spans="1:42" x14ac:dyDescent="0.2">
      <c r="A516" s="101">
        <f t="shared" si="266"/>
        <v>8</v>
      </c>
      <c r="B516" s="179">
        <f t="shared" si="263"/>
        <v>0</v>
      </c>
      <c r="C516" s="208">
        <f t="shared" ref="C516:AP516" si="272">LOOKUP(C504,$B$466:$AP$466,$B$467:$AP$467)*$B654</f>
        <v>0</v>
      </c>
      <c r="D516" s="169">
        <f t="shared" si="272"/>
        <v>0</v>
      </c>
      <c r="E516" s="169">
        <f t="shared" si="272"/>
        <v>0</v>
      </c>
      <c r="F516" s="169">
        <f t="shared" si="272"/>
        <v>0</v>
      </c>
      <c r="G516" s="169">
        <f t="shared" si="272"/>
        <v>0</v>
      </c>
      <c r="H516" s="169">
        <f t="shared" si="272"/>
        <v>0</v>
      </c>
      <c r="I516" s="169">
        <f t="shared" si="272"/>
        <v>0</v>
      </c>
      <c r="J516" s="169">
        <f t="shared" si="272"/>
        <v>0</v>
      </c>
      <c r="K516" s="169">
        <f t="shared" si="272"/>
        <v>0</v>
      </c>
      <c r="L516" s="169">
        <f t="shared" si="272"/>
        <v>0</v>
      </c>
      <c r="M516" s="169">
        <f t="shared" si="272"/>
        <v>0</v>
      </c>
      <c r="N516" s="169">
        <f t="shared" si="272"/>
        <v>0</v>
      </c>
      <c r="O516" s="169">
        <f t="shared" si="272"/>
        <v>0</v>
      </c>
      <c r="P516" s="169">
        <f t="shared" si="272"/>
        <v>0</v>
      </c>
      <c r="Q516" s="169">
        <f t="shared" si="272"/>
        <v>0</v>
      </c>
      <c r="R516" s="169">
        <f t="shared" si="272"/>
        <v>0</v>
      </c>
      <c r="S516" s="169">
        <f t="shared" si="272"/>
        <v>0</v>
      </c>
      <c r="T516" s="169">
        <f t="shared" si="272"/>
        <v>0</v>
      </c>
      <c r="U516" s="169">
        <f t="shared" si="272"/>
        <v>0</v>
      </c>
      <c r="V516" s="169">
        <f t="shared" si="272"/>
        <v>0</v>
      </c>
      <c r="W516" s="169">
        <f t="shared" si="272"/>
        <v>0</v>
      </c>
      <c r="X516" s="169">
        <f t="shared" si="272"/>
        <v>0</v>
      </c>
      <c r="Y516" s="169">
        <f t="shared" si="272"/>
        <v>0</v>
      </c>
      <c r="Z516" s="169">
        <f t="shared" si="272"/>
        <v>0</v>
      </c>
      <c r="AA516" s="169">
        <f t="shared" si="272"/>
        <v>0</v>
      </c>
      <c r="AB516" s="169">
        <f t="shared" si="272"/>
        <v>0</v>
      </c>
      <c r="AC516" s="169">
        <f t="shared" si="272"/>
        <v>0</v>
      </c>
      <c r="AD516" s="169">
        <f t="shared" si="272"/>
        <v>0</v>
      </c>
      <c r="AE516" s="169">
        <f t="shared" si="272"/>
        <v>0</v>
      </c>
      <c r="AF516" s="169">
        <f t="shared" si="272"/>
        <v>0</v>
      </c>
      <c r="AG516" s="169">
        <f t="shared" si="272"/>
        <v>0</v>
      </c>
      <c r="AH516" s="169">
        <f t="shared" si="272"/>
        <v>0</v>
      </c>
      <c r="AI516" s="169">
        <f t="shared" si="272"/>
        <v>0</v>
      </c>
      <c r="AJ516" s="169">
        <f t="shared" si="272"/>
        <v>0</v>
      </c>
      <c r="AK516" s="169">
        <f t="shared" si="272"/>
        <v>0</v>
      </c>
      <c r="AL516" s="169">
        <f t="shared" si="272"/>
        <v>0</v>
      </c>
      <c r="AM516" s="169">
        <f t="shared" si="272"/>
        <v>0</v>
      </c>
      <c r="AN516" s="169">
        <f t="shared" si="272"/>
        <v>0</v>
      </c>
      <c r="AO516" s="169">
        <f t="shared" si="272"/>
        <v>0</v>
      </c>
      <c r="AP516" s="169">
        <f t="shared" si="272"/>
        <v>0</v>
      </c>
    </row>
    <row r="517" spans="1:42" x14ac:dyDescent="0.2">
      <c r="A517" s="101">
        <f>A516+1</f>
        <v>9</v>
      </c>
      <c r="B517" s="179">
        <f t="shared" si="263"/>
        <v>0</v>
      </c>
      <c r="C517" s="208">
        <f t="shared" ref="C517:AP517" si="273">LOOKUP(C505,$B$466:$AP$466,$B$467:$AP$467)*$B655</f>
        <v>0</v>
      </c>
      <c r="D517" s="169">
        <f t="shared" si="273"/>
        <v>0</v>
      </c>
      <c r="E517" s="169">
        <f t="shared" si="273"/>
        <v>0</v>
      </c>
      <c r="F517" s="169">
        <f t="shared" si="273"/>
        <v>0</v>
      </c>
      <c r="G517" s="169">
        <f t="shared" si="273"/>
        <v>0</v>
      </c>
      <c r="H517" s="169">
        <f t="shared" si="273"/>
        <v>0</v>
      </c>
      <c r="I517" s="169">
        <f t="shared" si="273"/>
        <v>0</v>
      </c>
      <c r="J517" s="169">
        <f t="shared" si="273"/>
        <v>0</v>
      </c>
      <c r="K517" s="169">
        <f t="shared" si="273"/>
        <v>0</v>
      </c>
      <c r="L517" s="169">
        <f t="shared" si="273"/>
        <v>0</v>
      </c>
      <c r="M517" s="169">
        <f t="shared" si="273"/>
        <v>0</v>
      </c>
      <c r="N517" s="169">
        <f t="shared" si="273"/>
        <v>0</v>
      </c>
      <c r="O517" s="169">
        <f t="shared" si="273"/>
        <v>0</v>
      </c>
      <c r="P517" s="169">
        <f t="shared" si="273"/>
        <v>0</v>
      </c>
      <c r="Q517" s="169">
        <f t="shared" si="273"/>
        <v>0</v>
      </c>
      <c r="R517" s="169">
        <f t="shared" si="273"/>
        <v>0</v>
      </c>
      <c r="S517" s="169">
        <f t="shared" si="273"/>
        <v>0</v>
      </c>
      <c r="T517" s="169">
        <f t="shared" si="273"/>
        <v>0</v>
      </c>
      <c r="U517" s="169">
        <f t="shared" si="273"/>
        <v>0</v>
      </c>
      <c r="V517" s="169">
        <f t="shared" si="273"/>
        <v>0</v>
      </c>
      <c r="W517" s="169">
        <f t="shared" si="273"/>
        <v>0</v>
      </c>
      <c r="X517" s="169">
        <f t="shared" si="273"/>
        <v>0</v>
      </c>
      <c r="Y517" s="169">
        <f t="shared" si="273"/>
        <v>0</v>
      </c>
      <c r="Z517" s="169">
        <f t="shared" si="273"/>
        <v>0</v>
      </c>
      <c r="AA517" s="169">
        <f t="shared" si="273"/>
        <v>0</v>
      </c>
      <c r="AB517" s="169">
        <f t="shared" si="273"/>
        <v>0</v>
      </c>
      <c r="AC517" s="169">
        <f t="shared" si="273"/>
        <v>0</v>
      </c>
      <c r="AD517" s="169">
        <f t="shared" si="273"/>
        <v>0</v>
      </c>
      <c r="AE517" s="169">
        <f t="shared" si="273"/>
        <v>0</v>
      </c>
      <c r="AF517" s="169">
        <f t="shared" si="273"/>
        <v>0</v>
      </c>
      <c r="AG517" s="169">
        <f t="shared" si="273"/>
        <v>0</v>
      </c>
      <c r="AH517" s="169">
        <f t="shared" si="273"/>
        <v>0</v>
      </c>
      <c r="AI517" s="169">
        <f t="shared" si="273"/>
        <v>0</v>
      </c>
      <c r="AJ517" s="169">
        <f t="shared" si="273"/>
        <v>0</v>
      </c>
      <c r="AK517" s="169">
        <f t="shared" si="273"/>
        <v>0</v>
      </c>
      <c r="AL517" s="169">
        <f t="shared" si="273"/>
        <v>0</v>
      </c>
      <c r="AM517" s="169">
        <f t="shared" si="273"/>
        <v>0</v>
      </c>
      <c r="AN517" s="169">
        <f t="shared" si="273"/>
        <v>0</v>
      </c>
      <c r="AO517" s="169">
        <f t="shared" si="273"/>
        <v>0</v>
      </c>
      <c r="AP517" s="169">
        <f t="shared" si="273"/>
        <v>0</v>
      </c>
    </row>
    <row r="518" spans="1:42" x14ac:dyDescent="0.2">
      <c r="A518" s="101">
        <f t="shared" ref="A518" si="274">A517+1</f>
        <v>10</v>
      </c>
      <c r="B518" s="179">
        <f t="shared" si="263"/>
        <v>0</v>
      </c>
      <c r="C518" s="204">
        <f t="shared" ref="C518:AP518" si="275">LOOKUP(C506,$B$466:$AP$466,$B$467:$AP$467)*$B656</f>
        <v>0</v>
      </c>
      <c r="D518" s="170">
        <f t="shared" si="275"/>
        <v>0</v>
      </c>
      <c r="E518" s="170">
        <f t="shared" si="275"/>
        <v>0</v>
      </c>
      <c r="F518" s="170">
        <f t="shared" si="275"/>
        <v>0</v>
      </c>
      <c r="G518" s="170">
        <f t="shared" si="275"/>
        <v>0</v>
      </c>
      <c r="H518" s="170">
        <f t="shared" si="275"/>
        <v>0</v>
      </c>
      <c r="I518" s="170">
        <f t="shared" si="275"/>
        <v>0</v>
      </c>
      <c r="J518" s="170">
        <f t="shared" si="275"/>
        <v>0</v>
      </c>
      <c r="K518" s="170">
        <f t="shared" si="275"/>
        <v>0</v>
      </c>
      <c r="L518" s="170">
        <f t="shared" si="275"/>
        <v>0</v>
      </c>
      <c r="M518" s="170">
        <f t="shared" si="275"/>
        <v>0</v>
      </c>
      <c r="N518" s="170">
        <f t="shared" si="275"/>
        <v>0</v>
      </c>
      <c r="O518" s="170">
        <f t="shared" si="275"/>
        <v>0</v>
      </c>
      <c r="P518" s="170">
        <f t="shared" si="275"/>
        <v>0</v>
      </c>
      <c r="Q518" s="170">
        <f t="shared" si="275"/>
        <v>0</v>
      </c>
      <c r="R518" s="170">
        <f t="shared" si="275"/>
        <v>0</v>
      </c>
      <c r="S518" s="170">
        <f t="shared" si="275"/>
        <v>0</v>
      </c>
      <c r="T518" s="170">
        <f t="shared" si="275"/>
        <v>0</v>
      </c>
      <c r="U518" s="170">
        <f t="shared" si="275"/>
        <v>0</v>
      </c>
      <c r="V518" s="170">
        <f t="shared" si="275"/>
        <v>0</v>
      </c>
      <c r="W518" s="170">
        <f t="shared" si="275"/>
        <v>0</v>
      </c>
      <c r="X518" s="170">
        <f t="shared" si="275"/>
        <v>0</v>
      </c>
      <c r="Y518" s="170">
        <f t="shared" si="275"/>
        <v>0</v>
      </c>
      <c r="Z518" s="170">
        <f t="shared" si="275"/>
        <v>0</v>
      </c>
      <c r="AA518" s="170">
        <f t="shared" si="275"/>
        <v>0</v>
      </c>
      <c r="AB518" s="170">
        <f t="shared" si="275"/>
        <v>0</v>
      </c>
      <c r="AC518" s="170">
        <f t="shared" si="275"/>
        <v>0</v>
      </c>
      <c r="AD518" s="170">
        <f t="shared" si="275"/>
        <v>0</v>
      </c>
      <c r="AE518" s="170">
        <f t="shared" si="275"/>
        <v>0</v>
      </c>
      <c r="AF518" s="170">
        <f t="shared" si="275"/>
        <v>0</v>
      </c>
      <c r="AG518" s="170">
        <f t="shared" si="275"/>
        <v>0</v>
      </c>
      <c r="AH518" s="170">
        <f t="shared" si="275"/>
        <v>0</v>
      </c>
      <c r="AI518" s="170">
        <f t="shared" si="275"/>
        <v>0</v>
      </c>
      <c r="AJ518" s="170">
        <f t="shared" si="275"/>
        <v>0</v>
      </c>
      <c r="AK518" s="170">
        <f t="shared" si="275"/>
        <v>0</v>
      </c>
      <c r="AL518" s="170">
        <f t="shared" si="275"/>
        <v>0</v>
      </c>
      <c r="AM518" s="170">
        <f t="shared" si="275"/>
        <v>0</v>
      </c>
      <c r="AN518" s="170">
        <f t="shared" si="275"/>
        <v>0</v>
      </c>
      <c r="AO518" s="170">
        <f t="shared" si="275"/>
        <v>0</v>
      </c>
      <c r="AP518" s="170">
        <f t="shared" si="275"/>
        <v>0</v>
      </c>
    </row>
    <row r="519" spans="1:42" s="101" customFormat="1" x14ac:dyDescent="0.2">
      <c r="A519" s="205" t="s">
        <v>53</v>
      </c>
      <c r="B519" s="124"/>
      <c r="C519" s="124">
        <f>SUM(C509:C518)</f>
        <v>0</v>
      </c>
      <c r="D519" s="124">
        <f t="shared" ref="D519:AP519" si="276">SUM(D509:D518)</f>
        <v>0</v>
      </c>
      <c r="E519" s="124">
        <f t="shared" si="276"/>
        <v>0</v>
      </c>
      <c r="F519" s="124">
        <f t="shared" si="276"/>
        <v>0</v>
      </c>
      <c r="G519" s="124">
        <f t="shared" si="276"/>
        <v>0</v>
      </c>
      <c r="H519" s="124">
        <f t="shared" si="276"/>
        <v>0</v>
      </c>
      <c r="I519" s="124">
        <f t="shared" si="276"/>
        <v>0</v>
      </c>
      <c r="J519" s="124">
        <f t="shared" si="276"/>
        <v>0</v>
      </c>
      <c r="K519" s="124">
        <f t="shared" si="276"/>
        <v>0</v>
      </c>
      <c r="L519" s="124">
        <f t="shared" si="276"/>
        <v>0</v>
      </c>
      <c r="M519" s="124">
        <f t="shared" si="276"/>
        <v>0</v>
      </c>
      <c r="N519" s="124">
        <f t="shared" si="276"/>
        <v>0</v>
      </c>
      <c r="O519" s="124">
        <f t="shared" si="276"/>
        <v>0</v>
      </c>
      <c r="P519" s="124">
        <f t="shared" si="276"/>
        <v>0</v>
      </c>
      <c r="Q519" s="124">
        <f t="shared" si="276"/>
        <v>0</v>
      </c>
      <c r="R519" s="124">
        <f t="shared" si="276"/>
        <v>0</v>
      </c>
      <c r="S519" s="124">
        <f t="shared" si="276"/>
        <v>0</v>
      </c>
      <c r="T519" s="124">
        <f t="shared" si="276"/>
        <v>0</v>
      </c>
      <c r="U519" s="124">
        <f t="shared" si="276"/>
        <v>0</v>
      </c>
      <c r="V519" s="124">
        <f t="shared" si="276"/>
        <v>0</v>
      </c>
      <c r="W519" s="124">
        <f t="shared" si="276"/>
        <v>0</v>
      </c>
      <c r="X519" s="124">
        <f t="shared" si="276"/>
        <v>0</v>
      </c>
      <c r="Y519" s="124">
        <f t="shared" si="276"/>
        <v>0</v>
      </c>
      <c r="Z519" s="124">
        <f t="shared" si="276"/>
        <v>0</v>
      </c>
      <c r="AA519" s="124">
        <f t="shared" si="276"/>
        <v>0</v>
      </c>
      <c r="AB519" s="124">
        <f t="shared" si="276"/>
        <v>0</v>
      </c>
      <c r="AC519" s="124">
        <f t="shared" si="276"/>
        <v>0</v>
      </c>
      <c r="AD519" s="124">
        <f t="shared" si="276"/>
        <v>0</v>
      </c>
      <c r="AE519" s="124">
        <f t="shared" si="276"/>
        <v>0</v>
      </c>
      <c r="AF519" s="124">
        <f t="shared" si="276"/>
        <v>0</v>
      </c>
      <c r="AG519" s="124">
        <f t="shared" si="276"/>
        <v>0</v>
      </c>
      <c r="AH519" s="124">
        <f t="shared" si="276"/>
        <v>0</v>
      </c>
      <c r="AI519" s="124">
        <f t="shared" si="276"/>
        <v>0</v>
      </c>
      <c r="AJ519" s="124">
        <f t="shared" si="276"/>
        <v>0</v>
      </c>
      <c r="AK519" s="124">
        <f t="shared" si="276"/>
        <v>0</v>
      </c>
      <c r="AL519" s="124">
        <f t="shared" si="276"/>
        <v>0</v>
      </c>
      <c r="AM519" s="124">
        <f t="shared" si="276"/>
        <v>0</v>
      </c>
      <c r="AN519" s="124">
        <f t="shared" si="276"/>
        <v>0</v>
      </c>
      <c r="AO519" s="124">
        <f t="shared" si="276"/>
        <v>0</v>
      </c>
      <c r="AP519" s="124">
        <f t="shared" si="276"/>
        <v>0</v>
      </c>
    </row>
    <row r="520" spans="1:42" s="101" customFormat="1" x14ac:dyDescent="0.2">
      <c r="A520" s="205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</row>
    <row r="521" spans="1:42" x14ac:dyDescent="0.2">
      <c r="A521" s="180" t="s">
        <v>307</v>
      </c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</row>
    <row r="522" spans="1:42" x14ac:dyDescent="0.2">
      <c r="A522" s="187" t="s">
        <v>192</v>
      </c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</row>
    <row r="523" spans="1:42" x14ac:dyDescent="0.2">
      <c r="A523" s="20">
        <v>1</v>
      </c>
      <c r="C523" s="169">
        <f>C388</f>
        <v>0</v>
      </c>
      <c r="D523" s="169">
        <f t="shared" ref="D523:AP529" si="277">D388</f>
        <v>0</v>
      </c>
      <c r="E523" s="169">
        <f t="shared" si="277"/>
        <v>0</v>
      </c>
      <c r="F523" s="169">
        <f t="shared" si="277"/>
        <v>0</v>
      </c>
      <c r="G523" s="169">
        <f t="shared" si="277"/>
        <v>0</v>
      </c>
      <c r="H523" s="169">
        <f t="shared" si="277"/>
        <v>0</v>
      </c>
      <c r="I523" s="169">
        <f t="shared" si="277"/>
        <v>0</v>
      </c>
      <c r="J523" s="169">
        <f t="shared" si="277"/>
        <v>0</v>
      </c>
      <c r="K523" s="169">
        <f t="shared" si="277"/>
        <v>0</v>
      </c>
      <c r="L523" s="169">
        <f t="shared" si="277"/>
        <v>0</v>
      </c>
      <c r="M523" s="169">
        <f t="shared" si="277"/>
        <v>0</v>
      </c>
      <c r="N523" s="169">
        <f t="shared" si="277"/>
        <v>0</v>
      </c>
      <c r="O523" s="169">
        <f t="shared" si="277"/>
        <v>0</v>
      </c>
      <c r="P523" s="169">
        <f t="shared" si="277"/>
        <v>0</v>
      </c>
      <c r="Q523" s="169">
        <f t="shared" si="277"/>
        <v>0</v>
      </c>
      <c r="R523" s="169">
        <f t="shared" si="277"/>
        <v>0</v>
      </c>
      <c r="S523" s="169">
        <f t="shared" si="277"/>
        <v>0</v>
      </c>
      <c r="T523" s="169">
        <f t="shared" si="277"/>
        <v>0</v>
      </c>
      <c r="U523" s="169">
        <f t="shared" si="277"/>
        <v>0</v>
      </c>
      <c r="V523" s="169">
        <f t="shared" si="277"/>
        <v>0</v>
      </c>
      <c r="W523" s="169">
        <f t="shared" si="277"/>
        <v>0</v>
      </c>
      <c r="X523" s="169">
        <f t="shared" si="277"/>
        <v>0</v>
      </c>
      <c r="Y523" s="169">
        <f t="shared" si="277"/>
        <v>0</v>
      </c>
      <c r="Z523" s="169">
        <f t="shared" si="277"/>
        <v>0</v>
      </c>
      <c r="AA523" s="169">
        <f t="shared" si="277"/>
        <v>0</v>
      </c>
      <c r="AB523" s="169">
        <f t="shared" si="277"/>
        <v>0</v>
      </c>
      <c r="AC523" s="169">
        <f t="shared" si="277"/>
        <v>0</v>
      </c>
      <c r="AD523" s="169">
        <f t="shared" si="277"/>
        <v>0</v>
      </c>
      <c r="AE523" s="169">
        <f t="shared" si="277"/>
        <v>0</v>
      </c>
      <c r="AF523" s="169">
        <f t="shared" si="277"/>
        <v>0</v>
      </c>
      <c r="AG523" s="169">
        <f t="shared" si="277"/>
        <v>0</v>
      </c>
      <c r="AH523" s="169">
        <f t="shared" si="277"/>
        <v>0</v>
      </c>
      <c r="AI523" s="169">
        <f t="shared" si="277"/>
        <v>0</v>
      </c>
      <c r="AJ523" s="169">
        <f t="shared" si="277"/>
        <v>0</v>
      </c>
      <c r="AK523" s="169">
        <f t="shared" si="277"/>
        <v>0</v>
      </c>
      <c r="AL523" s="169">
        <f t="shared" si="277"/>
        <v>0</v>
      </c>
      <c r="AM523" s="169">
        <f t="shared" si="277"/>
        <v>0</v>
      </c>
      <c r="AN523" s="169">
        <f t="shared" si="277"/>
        <v>0</v>
      </c>
      <c r="AO523" s="169">
        <f t="shared" si="277"/>
        <v>0</v>
      </c>
      <c r="AP523" s="169">
        <f t="shared" si="277"/>
        <v>0</v>
      </c>
    </row>
    <row r="524" spans="1:42" x14ac:dyDescent="0.2">
      <c r="A524" s="20">
        <f>A523+1</f>
        <v>2</v>
      </c>
      <c r="C524" s="169">
        <f t="shared" ref="C524:R532" si="278">C389</f>
        <v>0</v>
      </c>
      <c r="D524" s="169">
        <f t="shared" si="278"/>
        <v>0</v>
      </c>
      <c r="E524" s="169">
        <f t="shared" si="278"/>
        <v>0</v>
      </c>
      <c r="F524" s="169">
        <f t="shared" si="278"/>
        <v>0</v>
      </c>
      <c r="G524" s="169">
        <f t="shared" si="278"/>
        <v>0</v>
      </c>
      <c r="H524" s="169">
        <f t="shared" si="278"/>
        <v>0</v>
      </c>
      <c r="I524" s="169">
        <f t="shared" si="278"/>
        <v>0</v>
      </c>
      <c r="J524" s="169">
        <f t="shared" si="278"/>
        <v>0</v>
      </c>
      <c r="K524" s="169">
        <f t="shared" si="278"/>
        <v>0</v>
      </c>
      <c r="L524" s="169">
        <f t="shared" si="278"/>
        <v>0</v>
      </c>
      <c r="M524" s="169">
        <f t="shared" si="278"/>
        <v>0</v>
      </c>
      <c r="N524" s="169">
        <f t="shared" si="278"/>
        <v>0</v>
      </c>
      <c r="O524" s="169">
        <f t="shared" si="278"/>
        <v>0</v>
      </c>
      <c r="P524" s="169">
        <f t="shared" si="278"/>
        <v>0</v>
      </c>
      <c r="Q524" s="169">
        <f t="shared" si="278"/>
        <v>0</v>
      </c>
      <c r="R524" s="169">
        <f t="shared" si="278"/>
        <v>0</v>
      </c>
      <c r="S524" s="169">
        <f t="shared" si="277"/>
        <v>0</v>
      </c>
      <c r="T524" s="169">
        <f t="shared" si="277"/>
        <v>0</v>
      </c>
      <c r="U524" s="169">
        <f t="shared" si="277"/>
        <v>0</v>
      </c>
      <c r="V524" s="169">
        <f t="shared" si="277"/>
        <v>0</v>
      </c>
      <c r="W524" s="169">
        <f t="shared" si="277"/>
        <v>0</v>
      </c>
      <c r="X524" s="169">
        <f t="shared" si="277"/>
        <v>0</v>
      </c>
      <c r="Y524" s="169">
        <f t="shared" si="277"/>
        <v>0</v>
      </c>
      <c r="Z524" s="169">
        <f t="shared" si="277"/>
        <v>0</v>
      </c>
      <c r="AA524" s="169">
        <f t="shared" si="277"/>
        <v>0</v>
      </c>
      <c r="AB524" s="169">
        <f t="shared" si="277"/>
        <v>0</v>
      </c>
      <c r="AC524" s="169">
        <f t="shared" si="277"/>
        <v>0</v>
      </c>
      <c r="AD524" s="169">
        <f t="shared" si="277"/>
        <v>0</v>
      </c>
      <c r="AE524" s="169">
        <f t="shared" si="277"/>
        <v>0</v>
      </c>
      <c r="AF524" s="169">
        <f t="shared" si="277"/>
        <v>0</v>
      </c>
      <c r="AG524" s="169">
        <f t="shared" si="277"/>
        <v>0</v>
      </c>
      <c r="AH524" s="169">
        <f t="shared" si="277"/>
        <v>0</v>
      </c>
      <c r="AI524" s="169">
        <f t="shared" si="277"/>
        <v>0</v>
      </c>
      <c r="AJ524" s="169">
        <f t="shared" si="277"/>
        <v>0</v>
      </c>
      <c r="AK524" s="169">
        <f t="shared" si="277"/>
        <v>0</v>
      </c>
      <c r="AL524" s="169">
        <f t="shared" si="277"/>
        <v>0</v>
      </c>
      <c r="AM524" s="169">
        <f t="shared" si="277"/>
        <v>0</v>
      </c>
      <c r="AN524" s="169">
        <f t="shared" si="277"/>
        <v>0</v>
      </c>
      <c r="AO524" s="169">
        <f t="shared" si="277"/>
        <v>0</v>
      </c>
      <c r="AP524" s="169">
        <f t="shared" si="277"/>
        <v>0</v>
      </c>
    </row>
    <row r="525" spans="1:42" x14ac:dyDescent="0.2">
      <c r="A525" s="20">
        <f t="shared" ref="A525:A530" si="279">A524+1</f>
        <v>3</v>
      </c>
      <c r="C525" s="169">
        <f t="shared" si="278"/>
        <v>0</v>
      </c>
      <c r="D525" s="169">
        <f t="shared" si="277"/>
        <v>0</v>
      </c>
      <c r="E525" s="169">
        <f t="shared" si="277"/>
        <v>0</v>
      </c>
      <c r="F525" s="169">
        <f t="shared" si="277"/>
        <v>0</v>
      </c>
      <c r="G525" s="169">
        <f t="shared" si="277"/>
        <v>0</v>
      </c>
      <c r="H525" s="169">
        <f t="shared" si="277"/>
        <v>0</v>
      </c>
      <c r="I525" s="169">
        <f t="shared" si="277"/>
        <v>0</v>
      </c>
      <c r="J525" s="169">
        <f t="shared" si="277"/>
        <v>0</v>
      </c>
      <c r="K525" s="169">
        <f t="shared" si="277"/>
        <v>0</v>
      </c>
      <c r="L525" s="169">
        <f t="shared" si="277"/>
        <v>0</v>
      </c>
      <c r="M525" s="169">
        <f t="shared" si="277"/>
        <v>0</v>
      </c>
      <c r="N525" s="169">
        <f t="shared" si="277"/>
        <v>0</v>
      </c>
      <c r="O525" s="169">
        <f t="shared" si="277"/>
        <v>0</v>
      </c>
      <c r="P525" s="169">
        <f t="shared" si="277"/>
        <v>0</v>
      </c>
      <c r="Q525" s="169">
        <f t="shared" si="277"/>
        <v>0</v>
      </c>
      <c r="R525" s="169">
        <f t="shared" si="277"/>
        <v>0</v>
      </c>
      <c r="S525" s="169">
        <f t="shared" si="277"/>
        <v>0</v>
      </c>
      <c r="T525" s="169">
        <f t="shared" si="277"/>
        <v>0</v>
      </c>
      <c r="U525" s="169">
        <f t="shared" si="277"/>
        <v>0</v>
      </c>
      <c r="V525" s="169">
        <f t="shared" si="277"/>
        <v>0</v>
      </c>
      <c r="W525" s="169">
        <f t="shared" si="277"/>
        <v>0</v>
      </c>
      <c r="X525" s="169">
        <f t="shared" si="277"/>
        <v>0</v>
      </c>
      <c r="Y525" s="169">
        <f t="shared" si="277"/>
        <v>0</v>
      </c>
      <c r="Z525" s="169">
        <f t="shared" si="277"/>
        <v>0</v>
      </c>
      <c r="AA525" s="169">
        <f t="shared" si="277"/>
        <v>0</v>
      </c>
      <c r="AB525" s="169">
        <f t="shared" si="277"/>
        <v>0</v>
      </c>
      <c r="AC525" s="169">
        <f t="shared" si="277"/>
        <v>0</v>
      </c>
      <c r="AD525" s="169">
        <f t="shared" si="277"/>
        <v>0</v>
      </c>
      <c r="AE525" s="169">
        <f t="shared" si="277"/>
        <v>0</v>
      </c>
      <c r="AF525" s="169">
        <f t="shared" si="277"/>
        <v>0</v>
      </c>
      <c r="AG525" s="169">
        <f t="shared" si="277"/>
        <v>0</v>
      </c>
      <c r="AH525" s="169">
        <f t="shared" si="277"/>
        <v>0</v>
      </c>
      <c r="AI525" s="169">
        <f t="shared" si="277"/>
        <v>0</v>
      </c>
      <c r="AJ525" s="169">
        <f t="shared" si="277"/>
        <v>0</v>
      </c>
      <c r="AK525" s="169">
        <f t="shared" si="277"/>
        <v>0</v>
      </c>
      <c r="AL525" s="169">
        <f t="shared" si="277"/>
        <v>0</v>
      </c>
      <c r="AM525" s="169">
        <f t="shared" si="277"/>
        <v>0</v>
      </c>
      <c r="AN525" s="169">
        <f t="shared" si="277"/>
        <v>0</v>
      </c>
      <c r="AO525" s="169">
        <f t="shared" si="277"/>
        <v>0</v>
      </c>
      <c r="AP525" s="169">
        <f t="shared" si="277"/>
        <v>0</v>
      </c>
    </row>
    <row r="526" spans="1:42" x14ac:dyDescent="0.2">
      <c r="A526" s="20">
        <f t="shared" si="279"/>
        <v>4</v>
      </c>
      <c r="C526" s="169">
        <f t="shared" si="278"/>
        <v>0</v>
      </c>
      <c r="D526" s="169">
        <f t="shared" si="277"/>
        <v>0</v>
      </c>
      <c r="E526" s="169">
        <f t="shared" si="277"/>
        <v>0</v>
      </c>
      <c r="F526" s="169">
        <f t="shared" si="277"/>
        <v>0</v>
      </c>
      <c r="G526" s="169">
        <f t="shared" si="277"/>
        <v>0</v>
      </c>
      <c r="H526" s="169">
        <f t="shared" si="277"/>
        <v>0</v>
      </c>
      <c r="I526" s="169">
        <f t="shared" si="277"/>
        <v>0</v>
      </c>
      <c r="J526" s="169">
        <f t="shared" si="277"/>
        <v>0</v>
      </c>
      <c r="K526" s="169">
        <f t="shared" si="277"/>
        <v>0</v>
      </c>
      <c r="L526" s="169">
        <f t="shared" si="277"/>
        <v>0</v>
      </c>
      <c r="M526" s="169">
        <f t="shared" si="277"/>
        <v>0</v>
      </c>
      <c r="N526" s="169">
        <f t="shared" si="277"/>
        <v>0</v>
      </c>
      <c r="O526" s="169">
        <f t="shared" si="277"/>
        <v>0</v>
      </c>
      <c r="P526" s="169">
        <f t="shared" si="277"/>
        <v>0</v>
      </c>
      <c r="Q526" s="169">
        <f t="shared" si="277"/>
        <v>0</v>
      </c>
      <c r="R526" s="169">
        <f t="shared" si="277"/>
        <v>0</v>
      </c>
      <c r="S526" s="169">
        <f t="shared" si="277"/>
        <v>0</v>
      </c>
      <c r="T526" s="169">
        <f t="shared" si="277"/>
        <v>0</v>
      </c>
      <c r="U526" s="169">
        <f t="shared" si="277"/>
        <v>0</v>
      </c>
      <c r="V526" s="169">
        <f t="shared" si="277"/>
        <v>0</v>
      </c>
      <c r="W526" s="169">
        <f t="shared" si="277"/>
        <v>0</v>
      </c>
      <c r="X526" s="169">
        <f t="shared" si="277"/>
        <v>0</v>
      </c>
      <c r="Y526" s="169">
        <f t="shared" si="277"/>
        <v>0</v>
      </c>
      <c r="Z526" s="169">
        <f t="shared" si="277"/>
        <v>0</v>
      </c>
      <c r="AA526" s="169">
        <f t="shared" si="277"/>
        <v>0</v>
      </c>
      <c r="AB526" s="169">
        <f t="shared" si="277"/>
        <v>0</v>
      </c>
      <c r="AC526" s="169">
        <f t="shared" si="277"/>
        <v>0</v>
      </c>
      <c r="AD526" s="169">
        <f t="shared" si="277"/>
        <v>0</v>
      </c>
      <c r="AE526" s="169">
        <f t="shared" si="277"/>
        <v>0</v>
      </c>
      <c r="AF526" s="169">
        <f t="shared" si="277"/>
        <v>0</v>
      </c>
      <c r="AG526" s="169">
        <f t="shared" si="277"/>
        <v>0</v>
      </c>
      <c r="AH526" s="169">
        <f t="shared" si="277"/>
        <v>0</v>
      </c>
      <c r="AI526" s="169">
        <f t="shared" si="277"/>
        <v>0</v>
      </c>
      <c r="AJ526" s="169">
        <f t="shared" si="277"/>
        <v>0</v>
      </c>
      <c r="AK526" s="169">
        <f t="shared" si="277"/>
        <v>0</v>
      </c>
      <c r="AL526" s="169">
        <f t="shared" si="277"/>
        <v>0</v>
      </c>
      <c r="AM526" s="169">
        <f t="shared" si="277"/>
        <v>0</v>
      </c>
      <c r="AN526" s="169">
        <f t="shared" si="277"/>
        <v>0</v>
      </c>
      <c r="AO526" s="169">
        <f t="shared" si="277"/>
        <v>0</v>
      </c>
      <c r="AP526" s="169">
        <f t="shared" si="277"/>
        <v>0</v>
      </c>
    </row>
    <row r="527" spans="1:42" x14ac:dyDescent="0.2">
      <c r="A527" s="20">
        <f t="shared" si="279"/>
        <v>5</v>
      </c>
      <c r="C527" s="169">
        <f t="shared" si="278"/>
        <v>0</v>
      </c>
      <c r="D527" s="169">
        <f t="shared" si="277"/>
        <v>0</v>
      </c>
      <c r="E527" s="169">
        <f t="shared" si="277"/>
        <v>0</v>
      </c>
      <c r="F527" s="169">
        <f t="shared" si="277"/>
        <v>0</v>
      </c>
      <c r="G527" s="169">
        <f t="shared" si="277"/>
        <v>0</v>
      </c>
      <c r="H527" s="169">
        <f t="shared" si="277"/>
        <v>0</v>
      </c>
      <c r="I527" s="169">
        <f t="shared" si="277"/>
        <v>0</v>
      </c>
      <c r="J527" s="169">
        <f t="shared" si="277"/>
        <v>0</v>
      </c>
      <c r="K527" s="169">
        <f t="shared" si="277"/>
        <v>0</v>
      </c>
      <c r="L527" s="169">
        <f t="shared" si="277"/>
        <v>0</v>
      </c>
      <c r="M527" s="169">
        <f t="shared" si="277"/>
        <v>0</v>
      </c>
      <c r="N527" s="169">
        <f t="shared" si="277"/>
        <v>0</v>
      </c>
      <c r="O527" s="169">
        <f t="shared" si="277"/>
        <v>0</v>
      </c>
      <c r="P527" s="169">
        <f t="shared" si="277"/>
        <v>0</v>
      </c>
      <c r="Q527" s="169">
        <f t="shared" si="277"/>
        <v>0</v>
      </c>
      <c r="R527" s="169">
        <f t="shared" si="277"/>
        <v>0</v>
      </c>
      <c r="S527" s="169">
        <f t="shared" si="277"/>
        <v>0</v>
      </c>
      <c r="T527" s="169">
        <f t="shared" si="277"/>
        <v>0</v>
      </c>
      <c r="U527" s="169">
        <f t="shared" si="277"/>
        <v>0</v>
      </c>
      <c r="V527" s="169">
        <f t="shared" si="277"/>
        <v>0</v>
      </c>
      <c r="W527" s="169">
        <f t="shared" si="277"/>
        <v>0</v>
      </c>
      <c r="X527" s="169">
        <f t="shared" si="277"/>
        <v>0</v>
      </c>
      <c r="Y527" s="169">
        <f t="shared" si="277"/>
        <v>0</v>
      </c>
      <c r="Z527" s="169">
        <f t="shared" si="277"/>
        <v>0</v>
      </c>
      <c r="AA527" s="169">
        <f t="shared" si="277"/>
        <v>0</v>
      </c>
      <c r="AB527" s="169">
        <f t="shared" si="277"/>
        <v>0</v>
      </c>
      <c r="AC527" s="169">
        <f t="shared" si="277"/>
        <v>0</v>
      </c>
      <c r="AD527" s="169">
        <f t="shared" si="277"/>
        <v>0</v>
      </c>
      <c r="AE527" s="169">
        <f t="shared" si="277"/>
        <v>0</v>
      </c>
      <c r="AF527" s="169">
        <f t="shared" si="277"/>
        <v>0</v>
      </c>
      <c r="AG527" s="169">
        <f t="shared" si="277"/>
        <v>0</v>
      </c>
      <c r="AH527" s="169">
        <f t="shared" si="277"/>
        <v>0</v>
      </c>
      <c r="AI527" s="169">
        <f t="shared" si="277"/>
        <v>0</v>
      </c>
      <c r="AJ527" s="169">
        <f t="shared" si="277"/>
        <v>0</v>
      </c>
      <c r="AK527" s="169">
        <f t="shared" si="277"/>
        <v>0</v>
      </c>
      <c r="AL527" s="169">
        <f t="shared" si="277"/>
        <v>0</v>
      </c>
      <c r="AM527" s="169">
        <f t="shared" si="277"/>
        <v>0</v>
      </c>
      <c r="AN527" s="169">
        <f t="shared" si="277"/>
        <v>0</v>
      </c>
      <c r="AO527" s="169">
        <f t="shared" si="277"/>
        <v>0</v>
      </c>
      <c r="AP527" s="169">
        <f t="shared" si="277"/>
        <v>0</v>
      </c>
    </row>
    <row r="528" spans="1:42" x14ac:dyDescent="0.2">
      <c r="A528" s="20">
        <f t="shared" si="279"/>
        <v>6</v>
      </c>
      <c r="C528" s="169">
        <f t="shared" si="278"/>
        <v>0</v>
      </c>
      <c r="D528" s="169">
        <f t="shared" si="277"/>
        <v>0</v>
      </c>
      <c r="E528" s="169">
        <f t="shared" si="277"/>
        <v>0</v>
      </c>
      <c r="F528" s="169">
        <f t="shared" si="277"/>
        <v>0</v>
      </c>
      <c r="G528" s="169">
        <f t="shared" si="277"/>
        <v>0</v>
      </c>
      <c r="H528" s="169">
        <f t="shared" si="277"/>
        <v>0</v>
      </c>
      <c r="I528" s="169">
        <f t="shared" si="277"/>
        <v>0</v>
      </c>
      <c r="J528" s="169">
        <f t="shared" si="277"/>
        <v>0</v>
      </c>
      <c r="K528" s="169">
        <f t="shared" si="277"/>
        <v>0</v>
      </c>
      <c r="L528" s="169">
        <f t="shared" si="277"/>
        <v>0</v>
      </c>
      <c r="M528" s="169">
        <f t="shared" si="277"/>
        <v>0</v>
      </c>
      <c r="N528" s="169">
        <f t="shared" si="277"/>
        <v>0</v>
      </c>
      <c r="O528" s="169">
        <f t="shared" si="277"/>
        <v>0</v>
      </c>
      <c r="P528" s="169">
        <f t="shared" si="277"/>
        <v>0</v>
      </c>
      <c r="Q528" s="169">
        <f t="shared" si="277"/>
        <v>0</v>
      </c>
      <c r="R528" s="169">
        <f t="shared" si="277"/>
        <v>0</v>
      </c>
      <c r="S528" s="169">
        <f t="shared" si="277"/>
        <v>0</v>
      </c>
      <c r="T528" s="169">
        <f t="shared" si="277"/>
        <v>0</v>
      </c>
      <c r="U528" s="169">
        <f t="shared" si="277"/>
        <v>0</v>
      </c>
      <c r="V528" s="169">
        <f t="shared" si="277"/>
        <v>0</v>
      </c>
      <c r="W528" s="169">
        <f t="shared" si="277"/>
        <v>0</v>
      </c>
      <c r="X528" s="169">
        <f t="shared" si="277"/>
        <v>0</v>
      </c>
      <c r="Y528" s="169">
        <f t="shared" si="277"/>
        <v>0</v>
      </c>
      <c r="Z528" s="169">
        <f t="shared" si="277"/>
        <v>0</v>
      </c>
      <c r="AA528" s="169">
        <f t="shared" si="277"/>
        <v>0</v>
      </c>
      <c r="AB528" s="169">
        <f t="shared" si="277"/>
        <v>0</v>
      </c>
      <c r="AC528" s="169">
        <f t="shared" si="277"/>
        <v>0</v>
      </c>
      <c r="AD528" s="169">
        <f t="shared" si="277"/>
        <v>0</v>
      </c>
      <c r="AE528" s="169">
        <f t="shared" si="277"/>
        <v>0</v>
      </c>
      <c r="AF528" s="169">
        <f t="shared" si="277"/>
        <v>0</v>
      </c>
      <c r="AG528" s="169">
        <f t="shared" si="277"/>
        <v>0</v>
      </c>
      <c r="AH528" s="169">
        <f t="shared" si="277"/>
        <v>0</v>
      </c>
      <c r="AI528" s="169">
        <f t="shared" si="277"/>
        <v>0</v>
      </c>
      <c r="AJ528" s="169">
        <f t="shared" si="277"/>
        <v>0</v>
      </c>
      <c r="AK528" s="169">
        <f t="shared" si="277"/>
        <v>0</v>
      </c>
      <c r="AL528" s="169">
        <f t="shared" si="277"/>
        <v>0</v>
      </c>
      <c r="AM528" s="169">
        <f t="shared" si="277"/>
        <v>0</v>
      </c>
      <c r="AN528" s="169">
        <f t="shared" si="277"/>
        <v>0</v>
      </c>
      <c r="AO528" s="169">
        <f t="shared" si="277"/>
        <v>0</v>
      </c>
      <c r="AP528" s="169">
        <f t="shared" si="277"/>
        <v>0</v>
      </c>
    </row>
    <row r="529" spans="1:42" x14ac:dyDescent="0.2">
      <c r="A529" s="20">
        <f t="shared" si="279"/>
        <v>7</v>
      </c>
      <c r="C529" s="169">
        <f t="shared" si="278"/>
        <v>0</v>
      </c>
      <c r="D529" s="169">
        <f t="shared" si="277"/>
        <v>0</v>
      </c>
      <c r="E529" s="169">
        <f t="shared" si="277"/>
        <v>0</v>
      </c>
      <c r="F529" s="169">
        <f t="shared" si="277"/>
        <v>0</v>
      </c>
      <c r="G529" s="169">
        <f t="shared" si="277"/>
        <v>0</v>
      </c>
      <c r="H529" s="169">
        <f t="shared" si="277"/>
        <v>0</v>
      </c>
      <c r="I529" s="169">
        <f t="shared" si="277"/>
        <v>0</v>
      </c>
      <c r="J529" s="169">
        <f t="shared" si="277"/>
        <v>0</v>
      </c>
      <c r="K529" s="169">
        <f t="shared" si="277"/>
        <v>0</v>
      </c>
      <c r="L529" s="169">
        <f t="shared" si="277"/>
        <v>0</v>
      </c>
      <c r="M529" s="169">
        <f t="shared" si="277"/>
        <v>0</v>
      </c>
      <c r="N529" s="169">
        <f t="shared" si="277"/>
        <v>0</v>
      </c>
      <c r="O529" s="169">
        <f t="shared" si="277"/>
        <v>0</v>
      </c>
      <c r="P529" s="169">
        <f t="shared" si="277"/>
        <v>0</v>
      </c>
      <c r="Q529" s="169">
        <f t="shared" si="277"/>
        <v>0</v>
      </c>
      <c r="R529" s="169">
        <f t="shared" si="277"/>
        <v>0</v>
      </c>
      <c r="S529" s="169">
        <f t="shared" si="277"/>
        <v>0</v>
      </c>
      <c r="T529" s="169">
        <f t="shared" si="277"/>
        <v>0</v>
      </c>
      <c r="U529" s="169">
        <f t="shared" si="277"/>
        <v>0</v>
      </c>
      <c r="V529" s="169">
        <f t="shared" si="277"/>
        <v>0</v>
      </c>
      <c r="W529" s="169">
        <f t="shared" si="277"/>
        <v>0</v>
      </c>
      <c r="X529" s="169">
        <f t="shared" si="277"/>
        <v>0</v>
      </c>
      <c r="Y529" s="169">
        <f t="shared" si="277"/>
        <v>0</v>
      </c>
      <c r="Z529" s="169">
        <f t="shared" si="277"/>
        <v>0</v>
      </c>
      <c r="AA529" s="169">
        <f t="shared" si="277"/>
        <v>0</v>
      </c>
      <c r="AB529" s="169">
        <f t="shared" si="277"/>
        <v>0</v>
      </c>
      <c r="AC529" s="169">
        <f t="shared" si="277"/>
        <v>0</v>
      </c>
      <c r="AD529" s="169">
        <f t="shared" si="277"/>
        <v>0</v>
      </c>
      <c r="AE529" s="169">
        <f t="shared" si="277"/>
        <v>0</v>
      </c>
      <c r="AF529" s="169">
        <f t="shared" si="277"/>
        <v>0</v>
      </c>
      <c r="AG529" s="169">
        <f t="shared" si="277"/>
        <v>0</v>
      </c>
      <c r="AH529" s="169">
        <f t="shared" si="277"/>
        <v>0</v>
      </c>
      <c r="AI529" s="169">
        <f t="shared" si="277"/>
        <v>0</v>
      </c>
      <c r="AJ529" s="169">
        <f t="shared" si="277"/>
        <v>0</v>
      </c>
      <c r="AK529" s="169">
        <f t="shared" si="277"/>
        <v>0</v>
      </c>
      <c r="AL529" s="169">
        <f t="shared" si="277"/>
        <v>0</v>
      </c>
      <c r="AM529" s="169">
        <f t="shared" si="277"/>
        <v>0</v>
      </c>
      <c r="AN529" s="169">
        <f t="shared" ref="AN529:AP529" si="280">AN394</f>
        <v>0</v>
      </c>
      <c r="AO529" s="169">
        <f t="shared" si="280"/>
        <v>0</v>
      </c>
      <c r="AP529" s="169">
        <f t="shared" si="280"/>
        <v>0</v>
      </c>
    </row>
    <row r="530" spans="1:42" x14ac:dyDescent="0.2">
      <c r="A530" s="20">
        <f t="shared" si="279"/>
        <v>8</v>
      </c>
      <c r="C530" s="169">
        <f t="shared" si="278"/>
        <v>0</v>
      </c>
      <c r="D530" s="169">
        <f t="shared" si="278"/>
        <v>0</v>
      </c>
      <c r="E530" s="169">
        <f t="shared" si="278"/>
        <v>0</v>
      </c>
      <c r="F530" s="169">
        <f t="shared" si="278"/>
        <v>0</v>
      </c>
      <c r="G530" s="169">
        <f t="shared" si="278"/>
        <v>0</v>
      </c>
      <c r="H530" s="169">
        <f t="shared" si="278"/>
        <v>0</v>
      </c>
      <c r="I530" s="169">
        <f t="shared" si="278"/>
        <v>0</v>
      </c>
      <c r="J530" s="169">
        <f t="shared" si="278"/>
        <v>0</v>
      </c>
      <c r="K530" s="169">
        <f t="shared" si="278"/>
        <v>0</v>
      </c>
      <c r="L530" s="169">
        <f t="shared" si="278"/>
        <v>0</v>
      </c>
      <c r="M530" s="169">
        <f t="shared" si="278"/>
        <v>0</v>
      </c>
      <c r="N530" s="169">
        <f t="shared" si="278"/>
        <v>0</v>
      </c>
      <c r="O530" s="169">
        <f t="shared" si="278"/>
        <v>0</v>
      </c>
      <c r="P530" s="169">
        <f t="shared" si="278"/>
        <v>0</v>
      </c>
      <c r="Q530" s="169">
        <f t="shared" si="278"/>
        <v>0</v>
      </c>
      <c r="R530" s="169">
        <f t="shared" si="278"/>
        <v>0</v>
      </c>
      <c r="S530" s="169">
        <f t="shared" ref="S530:AP532" si="281">S395</f>
        <v>0</v>
      </c>
      <c r="T530" s="169">
        <f t="shared" si="281"/>
        <v>0</v>
      </c>
      <c r="U530" s="169">
        <f t="shared" si="281"/>
        <v>0</v>
      </c>
      <c r="V530" s="169">
        <f t="shared" si="281"/>
        <v>0</v>
      </c>
      <c r="W530" s="169">
        <f t="shared" si="281"/>
        <v>0</v>
      </c>
      <c r="X530" s="169">
        <f t="shared" si="281"/>
        <v>0</v>
      </c>
      <c r="Y530" s="169">
        <f t="shared" si="281"/>
        <v>0</v>
      </c>
      <c r="Z530" s="169">
        <f t="shared" si="281"/>
        <v>0</v>
      </c>
      <c r="AA530" s="169">
        <f t="shared" si="281"/>
        <v>0</v>
      </c>
      <c r="AB530" s="169">
        <f t="shared" si="281"/>
        <v>0</v>
      </c>
      <c r="AC530" s="169">
        <f t="shared" si="281"/>
        <v>0</v>
      </c>
      <c r="AD530" s="169">
        <f t="shared" si="281"/>
        <v>0</v>
      </c>
      <c r="AE530" s="169">
        <f t="shared" si="281"/>
        <v>0</v>
      </c>
      <c r="AF530" s="169">
        <f t="shared" si="281"/>
        <v>0</v>
      </c>
      <c r="AG530" s="169">
        <f t="shared" si="281"/>
        <v>0</v>
      </c>
      <c r="AH530" s="169">
        <f t="shared" si="281"/>
        <v>0</v>
      </c>
      <c r="AI530" s="169">
        <f t="shared" si="281"/>
        <v>0</v>
      </c>
      <c r="AJ530" s="169">
        <f t="shared" si="281"/>
        <v>0</v>
      </c>
      <c r="AK530" s="169">
        <f t="shared" si="281"/>
        <v>0</v>
      </c>
      <c r="AL530" s="169">
        <f t="shared" si="281"/>
        <v>0</v>
      </c>
      <c r="AM530" s="169">
        <f t="shared" si="281"/>
        <v>0</v>
      </c>
      <c r="AN530" s="169">
        <f t="shared" si="281"/>
        <v>0</v>
      </c>
      <c r="AO530" s="169">
        <f t="shared" si="281"/>
        <v>0</v>
      </c>
      <c r="AP530" s="169">
        <f t="shared" si="281"/>
        <v>0</v>
      </c>
    </row>
    <row r="531" spans="1:42" x14ac:dyDescent="0.2">
      <c r="A531" s="20">
        <f>A530+1</f>
        <v>9</v>
      </c>
      <c r="C531" s="169">
        <f t="shared" si="278"/>
        <v>0</v>
      </c>
      <c r="D531" s="169">
        <f t="shared" si="278"/>
        <v>0</v>
      </c>
      <c r="E531" s="169">
        <f t="shared" si="278"/>
        <v>0</v>
      </c>
      <c r="F531" s="169">
        <f t="shared" si="278"/>
        <v>0</v>
      </c>
      <c r="G531" s="169">
        <f t="shared" si="278"/>
        <v>0</v>
      </c>
      <c r="H531" s="169">
        <f t="shared" si="278"/>
        <v>0</v>
      </c>
      <c r="I531" s="169">
        <f t="shared" si="278"/>
        <v>0</v>
      </c>
      <c r="J531" s="169">
        <f t="shared" si="278"/>
        <v>0</v>
      </c>
      <c r="K531" s="169">
        <f t="shared" si="278"/>
        <v>0</v>
      </c>
      <c r="L531" s="169">
        <f t="shared" si="278"/>
        <v>0</v>
      </c>
      <c r="M531" s="169">
        <f t="shared" si="278"/>
        <v>0</v>
      </c>
      <c r="N531" s="169">
        <f t="shared" si="278"/>
        <v>0</v>
      </c>
      <c r="O531" s="169">
        <f t="shared" si="278"/>
        <v>0</v>
      </c>
      <c r="P531" s="169">
        <f t="shared" si="278"/>
        <v>0</v>
      </c>
      <c r="Q531" s="169">
        <f t="shared" si="278"/>
        <v>0</v>
      </c>
      <c r="R531" s="169">
        <f t="shared" si="278"/>
        <v>0</v>
      </c>
      <c r="S531" s="169">
        <f t="shared" si="281"/>
        <v>0</v>
      </c>
      <c r="T531" s="169">
        <f t="shared" si="281"/>
        <v>0</v>
      </c>
      <c r="U531" s="169">
        <f t="shared" si="281"/>
        <v>0</v>
      </c>
      <c r="V531" s="169">
        <f t="shared" si="281"/>
        <v>0</v>
      </c>
      <c r="W531" s="169">
        <f t="shared" si="281"/>
        <v>0</v>
      </c>
      <c r="X531" s="169">
        <f t="shared" si="281"/>
        <v>0</v>
      </c>
      <c r="Y531" s="169">
        <f t="shared" si="281"/>
        <v>0</v>
      </c>
      <c r="Z531" s="169">
        <f t="shared" si="281"/>
        <v>0</v>
      </c>
      <c r="AA531" s="169">
        <f t="shared" si="281"/>
        <v>0</v>
      </c>
      <c r="AB531" s="169">
        <f t="shared" si="281"/>
        <v>0</v>
      </c>
      <c r="AC531" s="169">
        <f t="shared" si="281"/>
        <v>0</v>
      </c>
      <c r="AD531" s="169">
        <f t="shared" si="281"/>
        <v>0</v>
      </c>
      <c r="AE531" s="169">
        <f t="shared" si="281"/>
        <v>0</v>
      </c>
      <c r="AF531" s="169">
        <f t="shared" si="281"/>
        <v>0</v>
      </c>
      <c r="AG531" s="169">
        <f t="shared" si="281"/>
        <v>0</v>
      </c>
      <c r="AH531" s="169">
        <f t="shared" si="281"/>
        <v>0</v>
      </c>
      <c r="AI531" s="169">
        <f t="shared" si="281"/>
        <v>0</v>
      </c>
      <c r="AJ531" s="169">
        <f t="shared" si="281"/>
        <v>0</v>
      </c>
      <c r="AK531" s="169">
        <f t="shared" si="281"/>
        <v>0</v>
      </c>
      <c r="AL531" s="169">
        <f t="shared" si="281"/>
        <v>0</v>
      </c>
      <c r="AM531" s="169">
        <f t="shared" si="281"/>
        <v>0</v>
      </c>
      <c r="AN531" s="169">
        <f t="shared" si="281"/>
        <v>0</v>
      </c>
      <c r="AO531" s="169">
        <f t="shared" si="281"/>
        <v>0</v>
      </c>
      <c r="AP531" s="169">
        <f t="shared" si="281"/>
        <v>0</v>
      </c>
    </row>
    <row r="532" spans="1:42" x14ac:dyDescent="0.2">
      <c r="A532" s="20">
        <f t="shared" ref="A532" si="282">A531+1</f>
        <v>10</v>
      </c>
      <c r="C532" s="169">
        <f t="shared" si="278"/>
        <v>0</v>
      </c>
      <c r="D532" s="169">
        <f t="shared" si="278"/>
        <v>0</v>
      </c>
      <c r="E532" s="169">
        <f t="shared" si="278"/>
        <v>0</v>
      </c>
      <c r="F532" s="169">
        <f t="shared" si="278"/>
        <v>0</v>
      </c>
      <c r="G532" s="169">
        <f t="shared" si="278"/>
        <v>0</v>
      </c>
      <c r="H532" s="169">
        <f t="shared" si="278"/>
        <v>0</v>
      </c>
      <c r="I532" s="169">
        <f t="shared" si="278"/>
        <v>0</v>
      </c>
      <c r="J532" s="169">
        <f t="shared" si="278"/>
        <v>0</v>
      </c>
      <c r="K532" s="169">
        <f t="shared" si="278"/>
        <v>0</v>
      </c>
      <c r="L532" s="169">
        <f t="shared" si="278"/>
        <v>0</v>
      </c>
      <c r="M532" s="169">
        <f t="shared" si="278"/>
        <v>0</v>
      </c>
      <c r="N532" s="169">
        <f t="shared" si="278"/>
        <v>0</v>
      </c>
      <c r="O532" s="169">
        <f t="shared" si="278"/>
        <v>0</v>
      </c>
      <c r="P532" s="169">
        <f t="shared" si="278"/>
        <v>0</v>
      </c>
      <c r="Q532" s="169">
        <f t="shared" si="278"/>
        <v>0</v>
      </c>
      <c r="R532" s="169">
        <f t="shared" si="278"/>
        <v>0</v>
      </c>
      <c r="S532" s="169">
        <f t="shared" si="281"/>
        <v>0</v>
      </c>
      <c r="T532" s="169">
        <f t="shared" si="281"/>
        <v>0</v>
      </c>
      <c r="U532" s="169">
        <f t="shared" si="281"/>
        <v>0</v>
      </c>
      <c r="V532" s="169">
        <f t="shared" si="281"/>
        <v>0</v>
      </c>
      <c r="W532" s="169">
        <f t="shared" si="281"/>
        <v>0</v>
      </c>
      <c r="X532" s="169">
        <f t="shared" si="281"/>
        <v>0</v>
      </c>
      <c r="Y532" s="169">
        <f t="shared" si="281"/>
        <v>0</v>
      </c>
      <c r="Z532" s="169">
        <f t="shared" si="281"/>
        <v>0</v>
      </c>
      <c r="AA532" s="169">
        <f t="shared" si="281"/>
        <v>0</v>
      </c>
      <c r="AB532" s="169">
        <f t="shared" si="281"/>
        <v>0</v>
      </c>
      <c r="AC532" s="169">
        <f t="shared" si="281"/>
        <v>0</v>
      </c>
      <c r="AD532" s="169">
        <f t="shared" si="281"/>
        <v>0</v>
      </c>
      <c r="AE532" s="169">
        <f t="shared" si="281"/>
        <v>0</v>
      </c>
      <c r="AF532" s="169">
        <f t="shared" si="281"/>
        <v>0</v>
      </c>
      <c r="AG532" s="169">
        <f t="shared" si="281"/>
        <v>0</v>
      </c>
      <c r="AH532" s="169">
        <f t="shared" si="281"/>
        <v>0</v>
      </c>
      <c r="AI532" s="169">
        <f t="shared" si="281"/>
        <v>0</v>
      </c>
      <c r="AJ532" s="169">
        <f t="shared" si="281"/>
        <v>0</v>
      </c>
      <c r="AK532" s="169">
        <f t="shared" si="281"/>
        <v>0</v>
      </c>
      <c r="AL532" s="169">
        <f t="shared" si="281"/>
        <v>0</v>
      </c>
      <c r="AM532" s="169">
        <f t="shared" si="281"/>
        <v>0</v>
      </c>
      <c r="AN532" s="169">
        <f t="shared" si="281"/>
        <v>0</v>
      </c>
      <c r="AO532" s="169">
        <f t="shared" si="281"/>
        <v>0</v>
      </c>
      <c r="AP532" s="169">
        <f t="shared" si="281"/>
        <v>0</v>
      </c>
    </row>
    <row r="533" spans="1:42" x14ac:dyDescent="0.2">
      <c r="A533" s="187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</row>
    <row r="534" spans="1:42" x14ac:dyDescent="0.2">
      <c r="A534" s="187" t="s">
        <v>196</v>
      </c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</row>
    <row r="535" spans="1:42" x14ac:dyDescent="0.2">
      <c r="A535" s="20">
        <v>1</v>
      </c>
      <c r="B535" s="179">
        <f t="shared" ref="B535:B544" si="283">SUM(C535:AP535)</f>
        <v>0</v>
      </c>
      <c r="C535" s="208">
        <f t="shared" ref="C535:AP535" si="284">LOOKUP(C523,$B$466:$AP$466,$B$467:$AP$467)*$B679</f>
        <v>0</v>
      </c>
      <c r="D535" s="169">
        <f t="shared" si="284"/>
        <v>0</v>
      </c>
      <c r="E535" s="169">
        <f t="shared" si="284"/>
        <v>0</v>
      </c>
      <c r="F535" s="169">
        <f t="shared" si="284"/>
        <v>0</v>
      </c>
      <c r="G535" s="169">
        <f t="shared" si="284"/>
        <v>0</v>
      </c>
      <c r="H535" s="169">
        <f t="shared" si="284"/>
        <v>0</v>
      </c>
      <c r="I535" s="169">
        <f t="shared" si="284"/>
        <v>0</v>
      </c>
      <c r="J535" s="169">
        <f t="shared" si="284"/>
        <v>0</v>
      </c>
      <c r="K535" s="169">
        <f t="shared" si="284"/>
        <v>0</v>
      </c>
      <c r="L535" s="169">
        <f t="shared" si="284"/>
        <v>0</v>
      </c>
      <c r="M535" s="169">
        <f t="shared" si="284"/>
        <v>0</v>
      </c>
      <c r="N535" s="169">
        <f t="shared" si="284"/>
        <v>0</v>
      </c>
      <c r="O535" s="169">
        <f t="shared" si="284"/>
        <v>0</v>
      </c>
      <c r="P535" s="169">
        <f t="shared" si="284"/>
        <v>0</v>
      </c>
      <c r="Q535" s="169">
        <f t="shared" si="284"/>
        <v>0</v>
      </c>
      <c r="R535" s="169">
        <f t="shared" si="284"/>
        <v>0</v>
      </c>
      <c r="S535" s="169">
        <f t="shared" si="284"/>
        <v>0</v>
      </c>
      <c r="T535" s="169">
        <f t="shared" si="284"/>
        <v>0</v>
      </c>
      <c r="U535" s="169">
        <f t="shared" si="284"/>
        <v>0</v>
      </c>
      <c r="V535" s="169">
        <f t="shared" si="284"/>
        <v>0</v>
      </c>
      <c r="W535" s="169">
        <f t="shared" si="284"/>
        <v>0</v>
      </c>
      <c r="X535" s="169">
        <f t="shared" si="284"/>
        <v>0</v>
      </c>
      <c r="Y535" s="169">
        <f t="shared" si="284"/>
        <v>0</v>
      </c>
      <c r="Z535" s="169">
        <f t="shared" si="284"/>
        <v>0</v>
      </c>
      <c r="AA535" s="169">
        <f t="shared" si="284"/>
        <v>0</v>
      </c>
      <c r="AB535" s="169">
        <f t="shared" si="284"/>
        <v>0</v>
      </c>
      <c r="AC535" s="169">
        <f t="shared" si="284"/>
        <v>0</v>
      </c>
      <c r="AD535" s="169">
        <f t="shared" si="284"/>
        <v>0</v>
      </c>
      <c r="AE535" s="169">
        <f t="shared" si="284"/>
        <v>0</v>
      </c>
      <c r="AF535" s="169">
        <f t="shared" si="284"/>
        <v>0</v>
      </c>
      <c r="AG535" s="169">
        <f t="shared" si="284"/>
        <v>0</v>
      </c>
      <c r="AH535" s="169">
        <f t="shared" si="284"/>
        <v>0</v>
      </c>
      <c r="AI535" s="169">
        <f t="shared" si="284"/>
        <v>0</v>
      </c>
      <c r="AJ535" s="169">
        <f t="shared" si="284"/>
        <v>0</v>
      </c>
      <c r="AK535" s="169">
        <f t="shared" si="284"/>
        <v>0</v>
      </c>
      <c r="AL535" s="169">
        <f t="shared" si="284"/>
        <v>0</v>
      </c>
      <c r="AM535" s="169">
        <f t="shared" si="284"/>
        <v>0</v>
      </c>
      <c r="AN535" s="169">
        <f t="shared" si="284"/>
        <v>0</v>
      </c>
      <c r="AO535" s="169">
        <f t="shared" si="284"/>
        <v>0</v>
      </c>
      <c r="AP535" s="169">
        <f t="shared" si="284"/>
        <v>0</v>
      </c>
    </row>
    <row r="536" spans="1:42" x14ac:dyDescent="0.2">
      <c r="A536" s="20">
        <f>A535+1</f>
        <v>2</v>
      </c>
      <c r="B536" s="179">
        <f t="shared" si="283"/>
        <v>0</v>
      </c>
      <c r="C536" s="208">
        <f t="shared" ref="C536:AP536" si="285">LOOKUP(C524,$B$466:$AP$466,$B$467:$AP$467)*$B680</f>
        <v>0</v>
      </c>
      <c r="D536" s="169">
        <f t="shared" si="285"/>
        <v>0</v>
      </c>
      <c r="E536" s="169">
        <f t="shared" si="285"/>
        <v>0</v>
      </c>
      <c r="F536" s="169">
        <f t="shared" si="285"/>
        <v>0</v>
      </c>
      <c r="G536" s="169">
        <f t="shared" si="285"/>
        <v>0</v>
      </c>
      <c r="H536" s="169">
        <f t="shared" si="285"/>
        <v>0</v>
      </c>
      <c r="I536" s="169">
        <f t="shared" si="285"/>
        <v>0</v>
      </c>
      <c r="J536" s="169">
        <f t="shared" si="285"/>
        <v>0</v>
      </c>
      <c r="K536" s="169">
        <f t="shared" si="285"/>
        <v>0</v>
      </c>
      <c r="L536" s="169">
        <f t="shared" si="285"/>
        <v>0</v>
      </c>
      <c r="M536" s="169">
        <f t="shared" si="285"/>
        <v>0</v>
      </c>
      <c r="N536" s="169">
        <f t="shared" si="285"/>
        <v>0</v>
      </c>
      <c r="O536" s="169">
        <f t="shared" si="285"/>
        <v>0</v>
      </c>
      <c r="P536" s="169">
        <f t="shared" si="285"/>
        <v>0</v>
      </c>
      <c r="Q536" s="169">
        <f t="shared" si="285"/>
        <v>0</v>
      </c>
      <c r="R536" s="169">
        <f t="shared" si="285"/>
        <v>0</v>
      </c>
      <c r="S536" s="169">
        <f t="shared" si="285"/>
        <v>0</v>
      </c>
      <c r="T536" s="169">
        <f t="shared" si="285"/>
        <v>0</v>
      </c>
      <c r="U536" s="169">
        <f t="shared" si="285"/>
        <v>0</v>
      </c>
      <c r="V536" s="169">
        <f t="shared" si="285"/>
        <v>0</v>
      </c>
      <c r="W536" s="169">
        <f t="shared" si="285"/>
        <v>0</v>
      </c>
      <c r="X536" s="169">
        <f t="shared" si="285"/>
        <v>0</v>
      </c>
      <c r="Y536" s="169">
        <f t="shared" si="285"/>
        <v>0</v>
      </c>
      <c r="Z536" s="169">
        <f t="shared" si="285"/>
        <v>0</v>
      </c>
      <c r="AA536" s="169">
        <f t="shared" si="285"/>
        <v>0</v>
      </c>
      <c r="AB536" s="169">
        <f t="shared" si="285"/>
        <v>0</v>
      </c>
      <c r="AC536" s="169">
        <f t="shared" si="285"/>
        <v>0</v>
      </c>
      <c r="AD536" s="169">
        <f t="shared" si="285"/>
        <v>0</v>
      </c>
      <c r="AE536" s="169">
        <f t="shared" si="285"/>
        <v>0</v>
      </c>
      <c r="AF536" s="169">
        <f t="shared" si="285"/>
        <v>0</v>
      </c>
      <c r="AG536" s="169">
        <f t="shared" si="285"/>
        <v>0</v>
      </c>
      <c r="AH536" s="169">
        <f t="shared" si="285"/>
        <v>0</v>
      </c>
      <c r="AI536" s="169">
        <f t="shared" si="285"/>
        <v>0</v>
      </c>
      <c r="AJ536" s="169">
        <f t="shared" si="285"/>
        <v>0</v>
      </c>
      <c r="AK536" s="169">
        <f t="shared" si="285"/>
        <v>0</v>
      </c>
      <c r="AL536" s="169">
        <f t="shared" si="285"/>
        <v>0</v>
      </c>
      <c r="AM536" s="169">
        <f t="shared" si="285"/>
        <v>0</v>
      </c>
      <c r="AN536" s="169">
        <f t="shared" si="285"/>
        <v>0</v>
      </c>
      <c r="AO536" s="169">
        <f t="shared" si="285"/>
        <v>0</v>
      </c>
      <c r="AP536" s="169">
        <f t="shared" si="285"/>
        <v>0</v>
      </c>
    </row>
    <row r="537" spans="1:42" x14ac:dyDescent="0.2">
      <c r="A537" s="20">
        <f t="shared" ref="A537:A542" si="286">A536+1</f>
        <v>3</v>
      </c>
      <c r="B537" s="179">
        <f t="shared" si="283"/>
        <v>0</v>
      </c>
      <c r="C537" s="208">
        <f t="shared" ref="C537:AP537" si="287">LOOKUP(C525,$B$466:$AP$466,$B$467:$AP$467)*$B681</f>
        <v>0</v>
      </c>
      <c r="D537" s="169">
        <f t="shared" si="287"/>
        <v>0</v>
      </c>
      <c r="E537" s="169">
        <f t="shared" si="287"/>
        <v>0</v>
      </c>
      <c r="F537" s="169">
        <f t="shared" si="287"/>
        <v>0</v>
      </c>
      <c r="G537" s="169">
        <f t="shared" si="287"/>
        <v>0</v>
      </c>
      <c r="H537" s="169">
        <f t="shared" si="287"/>
        <v>0</v>
      </c>
      <c r="I537" s="169">
        <f t="shared" si="287"/>
        <v>0</v>
      </c>
      <c r="J537" s="169">
        <f t="shared" si="287"/>
        <v>0</v>
      </c>
      <c r="K537" s="169">
        <f t="shared" si="287"/>
        <v>0</v>
      </c>
      <c r="L537" s="169">
        <f t="shared" si="287"/>
        <v>0</v>
      </c>
      <c r="M537" s="169">
        <f t="shared" si="287"/>
        <v>0</v>
      </c>
      <c r="N537" s="169">
        <f t="shared" si="287"/>
        <v>0</v>
      </c>
      <c r="O537" s="169">
        <f t="shared" si="287"/>
        <v>0</v>
      </c>
      <c r="P537" s="169">
        <f t="shared" si="287"/>
        <v>0</v>
      </c>
      <c r="Q537" s="169">
        <f t="shared" si="287"/>
        <v>0</v>
      </c>
      <c r="R537" s="169">
        <f t="shared" si="287"/>
        <v>0</v>
      </c>
      <c r="S537" s="169">
        <f t="shared" si="287"/>
        <v>0</v>
      </c>
      <c r="T537" s="169">
        <f t="shared" si="287"/>
        <v>0</v>
      </c>
      <c r="U537" s="169">
        <f t="shared" si="287"/>
        <v>0</v>
      </c>
      <c r="V537" s="169">
        <f t="shared" si="287"/>
        <v>0</v>
      </c>
      <c r="W537" s="169">
        <f t="shared" si="287"/>
        <v>0</v>
      </c>
      <c r="X537" s="169">
        <f t="shared" si="287"/>
        <v>0</v>
      </c>
      <c r="Y537" s="169">
        <f t="shared" si="287"/>
        <v>0</v>
      </c>
      <c r="Z537" s="169">
        <f t="shared" si="287"/>
        <v>0</v>
      </c>
      <c r="AA537" s="169">
        <f t="shared" si="287"/>
        <v>0</v>
      </c>
      <c r="AB537" s="169">
        <f t="shared" si="287"/>
        <v>0</v>
      </c>
      <c r="AC537" s="169">
        <f t="shared" si="287"/>
        <v>0</v>
      </c>
      <c r="AD537" s="169">
        <f t="shared" si="287"/>
        <v>0</v>
      </c>
      <c r="AE537" s="169">
        <f t="shared" si="287"/>
        <v>0</v>
      </c>
      <c r="AF537" s="169">
        <f t="shared" si="287"/>
        <v>0</v>
      </c>
      <c r="AG537" s="169">
        <f t="shared" si="287"/>
        <v>0</v>
      </c>
      <c r="AH537" s="169">
        <f t="shared" si="287"/>
        <v>0</v>
      </c>
      <c r="AI537" s="169">
        <f t="shared" si="287"/>
        <v>0</v>
      </c>
      <c r="AJ537" s="169">
        <f t="shared" si="287"/>
        <v>0</v>
      </c>
      <c r="AK537" s="169">
        <f t="shared" si="287"/>
        <v>0</v>
      </c>
      <c r="AL537" s="169">
        <f t="shared" si="287"/>
        <v>0</v>
      </c>
      <c r="AM537" s="169">
        <f t="shared" si="287"/>
        <v>0</v>
      </c>
      <c r="AN537" s="169">
        <f t="shared" si="287"/>
        <v>0</v>
      </c>
      <c r="AO537" s="169">
        <f t="shared" si="287"/>
        <v>0</v>
      </c>
      <c r="AP537" s="169">
        <f t="shared" si="287"/>
        <v>0</v>
      </c>
    </row>
    <row r="538" spans="1:42" x14ac:dyDescent="0.2">
      <c r="A538" s="20">
        <f t="shared" si="286"/>
        <v>4</v>
      </c>
      <c r="B538" s="179">
        <f t="shared" si="283"/>
        <v>0</v>
      </c>
      <c r="C538" s="208">
        <f t="shared" ref="C538:AP538" si="288">LOOKUP(C526,$B$466:$AP$466,$B$467:$AP$467)*$B682</f>
        <v>0</v>
      </c>
      <c r="D538" s="169">
        <f t="shared" si="288"/>
        <v>0</v>
      </c>
      <c r="E538" s="169">
        <f t="shared" si="288"/>
        <v>0</v>
      </c>
      <c r="F538" s="169">
        <f t="shared" si="288"/>
        <v>0</v>
      </c>
      <c r="G538" s="169">
        <f t="shared" si="288"/>
        <v>0</v>
      </c>
      <c r="H538" s="169">
        <f t="shared" si="288"/>
        <v>0</v>
      </c>
      <c r="I538" s="169">
        <f t="shared" si="288"/>
        <v>0</v>
      </c>
      <c r="J538" s="169">
        <f t="shared" si="288"/>
        <v>0</v>
      </c>
      <c r="K538" s="169">
        <f t="shared" si="288"/>
        <v>0</v>
      </c>
      <c r="L538" s="169">
        <f t="shared" si="288"/>
        <v>0</v>
      </c>
      <c r="M538" s="169">
        <f t="shared" si="288"/>
        <v>0</v>
      </c>
      <c r="N538" s="169">
        <f t="shared" si="288"/>
        <v>0</v>
      </c>
      <c r="O538" s="169">
        <f t="shared" si="288"/>
        <v>0</v>
      </c>
      <c r="P538" s="169">
        <f t="shared" si="288"/>
        <v>0</v>
      </c>
      <c r="Q538" s="169">
        <f t="shared" si="288"/>
        <v>0</v>
      </c>
      <c r="R538" s="169">
        <f t="shared" si="288"/>
        <v>0</v>
      </c>
      <c r="S538" s="169">
        <f t="shared" si="288"/>
        <v>0</v>
      </c>
      <c r="T538" s="169">
        <f t="shared" si="288"/>
        <v>0</v>
      </c>
      <c r="U538" s="169">
        <f t="shared" si="288"/>
        <v>0</v>
      </c>
      <c r="V538" s="169">
        <f t="shared" si="288"/>
        <v>0</v>
      </c>
      <c r="W538" s="169">
        <f t="shared" si="288"/>
        <v>0</v>
      </c>
      <c r="X538" s="169">
        <f t="shared" si="288"/>
        <v>0</v>
      </c>
      <c r="Y538" s="169">
        <f t="shared" si="288"/>
        <v>0</v>
      </c>
      <c r="Z538" s="169">
        <f t="shared" si="288"/>
        <v>0</v>
      </c>
      <c r="AA538" s="169">
        <f t="shared" si="288"/>
        <v>0</v>
      </c>
      <c r="AB538" s="169">
        <f t="shared" si="288"/>
        <v>0</v>
      </c>
      <c r="AC538" s="169">
        <f t="shared" si="288"/>
        <v>0</v>
      </c>
      <c r="AD538" s="169">
        <f t="shared" si="288"/>
        <v>0</v>
      </c>
      <c r="AE538" s="169">
        <f t="shared" si="288"/>
        <v>0</v>
      </c>
      <c r="AF538" s="169">
        <f t="shared" si="288"/>
        <v>0</v>
      </c>
      <c r="AG538" s="169">
        <f t="shared" si="288"/>
        <v>0</v>
      </c>
      <c r="AH538" s="169">
        <f t="shared" si="288"/>
        <v>0</v>
      </c>
      <c r="AI538" s="169">
        <f t="shared" si="288"/>
        <v>0</v>
      </c>
      <c r="AJ538" s="169">
        <f t="shared" si="288"/>
        <v>0</v>
      </c>
      <c r="AK538" s="169">
        <f t="shared" si="288"/>
        <v>0</v>
      </c>
      <c r="AL538" s="169">
        <f t="shared" si="288"/>
        <v>0</v>
      </c>
      <c r="AM538" s="169">
        <f t="shared" si="288"/>
        <v>0</v>
      </c>
      <c r="AN538" s="169">
        <f t="shared" si="288"/>
        <v>0</v>
      </c>
      <c r="AO538" s="169">
        <f t="shared" si="288"/>
        <v>0</v>
      </c>
      <c r="AP538" s="169">
        <f t="shared" si="288"/>
        <v>0</v>
      </c>
    </row>
    <row r="539" spans="1:42" x14ac:dyDescent="0.2">
      <c r="A539" s="20">
        <f t="shared" si="286"/>
        <v>5</v>
      </c>
      <c r="B539" s="179">
        <f t="shared" si="283"/>
        <v>0</v>
      </c>
      <c r="C539" s="208">
        <f t="shared" ref="C539:AP539" si="289">LOOKUP(C527,$B$466:$AP$466,$B$467:$AP$467)*$B683</f>
        <v>0</v>
      </c>
      <c r="D539" s="169">
        <f t="shared" si="289"/>
        <v>0</v>
      </c>
      <c r="E539" s="169">
        <f t="shared" si="289"/>
        <v>0</v>
      </c>
      <c r="F539" s="169">
        <f t="shared" si="289"/>
        <v>0</v>
      </c>
      <c r="G539" s="169">
        <f t="shared" si="289"/>
        <v>0</v>
      </c>
      <c r="H539" s="169">
        <f t="shared" si="289"/>
        <v>0</v>
      </c>
      <c r="I539" s="169">
        <f t="shared" si="289"/>
        <v>0</v>
      </c>
      <c r="J539" s="169">
        <f t="shared" si="289"/>
        <v>0</v>
      </c>
      <c r="K539" s="169">
        <f t="shared" si="289"/>
        <v>0</v>
      </c>
      <c r="L539" s="169">
        <f t="shared" si="289"/>
        <v>0</v>
      </c>
      <c r="M539" s="169">
        <f t="shared" si="289"/>
        <v>0</v>
      </c>
      <c r="N539" s="169">
        <f t="shared" si="289"/>
        <v>0</v>
      </c>
      <c r="O539" s="169">
        <f t="shared" si="289"/>
        <v>0</v>
      </c>
      <c r="P539" s="169">
        <f t="shared" si="289"/>
        <v>0</v>
      </c>
      <c r="Q539" s="169">
        <f t="shared" si="289"/>
        <v>0</v>
      </c>
      <c r="R539" s="169">
        <f t="shared" si="289"/>
        <v>0</v>
      </c>
      <c r="S539" s="169">
        <f t="shared" si="289"/>
        <v>0</v>
      </c>
      <c r="T539" s="169">
        <f t="shared" si="289"/>
        <v>0</v>
      </c>
      <c r="U539" s="169">
        <f t="shared" si="289"/>
        <v>0</v>
      </c>
      <c r="V539" s="169">
        <f t="shared" si="289"/>
        <v>0</v>
      </c>
      <c r="W539" s="169">
        <f t="shared" si="289"/>
        <v>0</v>
      </c>
      <c r="X539" s="169">
        <f t="shared" si="289"/>
        <v>0</v>
      </c>
      <c r="Y539" s="169">
        <f t="shared" si="289"/>
        <v>0</v>
      </c>
      <c r="Z539" s="169">
        <f t="shared" si="289"/>
        <v>0</v>
      </c>
      <c r="AA539" s="169">
        <f t="shared" si="289"/>
        <v>0</v>
      </c>
      <c r="AB539" s="169">
        <f t="shared" si="289"/>
        <v>0</v>
      </c>
      <c r="AC539" s="169">
        <f t="shared" si="289"/>
        <v>0</v>
      </c>
      <c r="AD539" s="169">
        <f t="shared" si="289"/>
        <v>0</v>
      </c>
      <c r="AE539" s="169">
        <f t="shared" si="289"/>
        <v>0</v>
      </c>
      <c r="AF539" s="169">
        <f t="shared" si="289"/>
        <v>0</v>
      </c>
      <c r="AG539" s="169">
        <f t="shared" si="289"/>
        <v>0</v>
      </c>
      <c r="AH539" s="169">
        <f t="shared" si="289"/>
        <v>0</v>
      </c>
      <c r="AI539" s="169">
        <f t="shared" si="289"/>
        <v>0</v>
      </c>
      <c r="AJ539" s="169">
        <f t="shared" si="289"/>
        <v>0</v>
      </c>
      <c r="AK539" s="169">
        <f t="shared" si="289"/>
        <v>0</v>
      </c>
      <c r="AL539" s="169">
        <f t="shared" si="289"/>
        <v>0</v>
      </c>
      <c r="AM539" s="169">
        <f t="shared" si="289"/>
        <v>0</v>
      </c>
      <c r="AN539" s="169">
        <f t="shared" si="289"/>
        <v>0</v>
      </c>
      <c r="AO539" s="169">
        <f t="shared" si="289"/>
        <v>0</v>
      </c>
      <c r="AP539" s="169">
        <f t="shared" si="289"/>
        <v>0</v>
      </c>
    </row>
    <row r="540" spans="1:42" x14ac:dyDescent="0.2">
      <c r="A540" s="20">
        <f t="shared" si="286"/>
        <v>6</v>
      </c>
      <c r="B540" s="179">
        <f t="shared" si="283"/>
        <v>0</v>
      </c>
      <c r="C540" s="208">
        <f t="shared" ref="C540:AP540" si="290">LOOKUP(C528,$B$466:$AP$466,$B$467:$AP$467)*$B684</f>
        <v>0</v>
      </c>
      <c r="D540" s="169">
        <f t="shared" si="290"/>
        <v>0</v>
      </c>
      <c r="E540" s="169">
        <f t="shared" si="290"/>
        <v>0</v>
      </c>
      <c r="F540" s="169">
        <f t="shared" si="290"/>
        <v>0</v>
      </c>
      <c r="G540" s="169">
        <f t="shared" si="290"/>
        <v>0</v>
      </c>
      <c r="H540" s="169">
        <f t="shared" si="290"/>
        <v>0</v>
      </c>
      <c r="I540" s="169">
        <f t="shared" si="290"/>
        <v>0</v>
      </c>
      <c r="J540" s="169">
        <f t="shared" si="290"/>
        <v>0</v>
      </c>
      <c r="K540" s="169">
        <f t="shared" si="290"/>
        <v>0</v>
      </c>
      <c r="L540" s="169">
        <f t="shared" si="290"/>
        <v>0</v>
      </c>
      <c r="M540" s="169">
        <f t="shared" si="290"/>
        <v>0</v>
      </c>
      <c r="N540" s="169">
        <f t="shared" si="290"/>
        <v>0</v>
      </c>
      <c r="O540" s="169">
        <f t="shared" si="290"/>
        <v>0</v>
      </c>
      <c r="P540" s="169">
        <f t="shared" si="290"/>
        <v>0</v>
      </c>
      <c r="Q540" s="169">
        <f t="shared" si="290"/>
        <v>0</v>
      </c>
      <c r="R540" s="169">
        <f t="shared" si="290"/>
        <v>0</v>
      </c>
      <c r="S540" s="169">
        <f t="shared" si="290"/>
        <v>0</v>
      </c>
      <c r="T540" s="169">
        <f t="shared" si="290"/>
        <v>0</v>
      </c>
      <c r="U540" s="169">
        <f t="shared" si="290"/>
        <v>0</v>
      </c>
      <c r="V540" s="169">
        <f t="shared" si="290"/>
        <v>0</v>
      </c>
      <c r="W540" s="169">
        <f t="shared" si="290"/>
        <v>0</v>
      </c>
      <c r="X540" s="169">
        <f t="shared" si="290"/>
        <v>0</v>
      </c>
      <c r="Y540" s="169">
        <f t="shared" si="290"/>
        <v>0</v>
      </c>
      <c r="Z540" s="169">
        <f t="shared" si="290"/>
        <v>0</v>
      </c>
      <c r="AA540" s="169">
        <f t="shared" si="290"/>
        <v>0</v>
      </c>
      <c r="AB540" s="169">
        <f t="shared" si="290"/>
        <v>0</v>
      </c>
      <c r="AC540" s="169">
        <f t="shared" si="290"/>
        <v>0</v>
      </c>
      <c r="AD540" s="169">
        <f t="shared" si="290"/>
        <v>0</v>
      </c>
      <c r="AE540" s="169">
        <f t="shared" si="290"/>
        <v>0</v>
      </c>
      <c r="AF540" s="169">
        <f t="shared" si="290"/>
        <v>0</v>
      </c>
      <c r="AG540" s="169">
        <f t="shared" si="290"/>
        <v>0</v>
      </c>
      <c r="AH540" s="169">
        <f t="shared" si="290"/>
        <v>0</v>
      </c>
      <c r="AI540" s="169">
        <f t="shared" si="290"/>
        <v>0</v>
      </c>
      <c r="AJ540" s="169">
        <f t="shared" si="290"/>
        <v>0</v>
      </c>
      <c r="AK540" s="169">
        <f t="shared" si="290"/>
        <v>0</v>
      </c>
      <c r="AL540" s="169">
        <f t="shared" si="290"/>
        <v>0</v>
      </c>
      <c r="AM540" s="169">
        <f t="shared" si="290"/>
        <v>0</v>
      </c>
      <c r="AN540" s="169">
        <f t="shared" si="290"/>
        <v>0</v>
      </c>
      <c r="AO540" s="169">
        <f t="shared" si="290"/>
        <v>0</v>
      </c>
      <c r="AP540" s="169">
        <f t="shared" si="290"/>
        <v>0</v>
      </c>
    </row>
    <row r="541" spans="1:42" x14ac:dyDescent="0.2">
      <c r="A541" s="20">
        <f t="shared" si="286"/>
        <v>7</v>
      </c>
      <c r="B541" s="179">
        <f t="shared" si="283"/>
        <v>0</v>
      </c>
      <c r="C541" s="208">
        <f t="shared" ref="C541:AP541" si="291">LOOKUP(C529,$B$466:$AP$466,$B$467:$AP$467)*$B685</f>
        <v>0</v>
      </c>
      <c r="D541" s="169">
        <f t="shared" si="291"/>
        <v>0</v>
      </c>
      <c r="E541" s="169">
        <f t="shared" si="291"/>
        <v>0</v>
      </c>
      <c r="F541" s="169">
        <f t="shared" si="291"/>
        <v>0</v>
      </c>
      <c r="G541" s="169">
        <f t="shared" si="291"/>
        <v>0</v>
      </c>
      <c r="H541" s="169">
        <f t="shared" si="291"/>
        <v>0</v>
      </c>
      <c r="I541" s="169">
        <f t="shared" si="291"/>
        <v>0</v>
      </c>
      <c r="J541" s="169">
        <f t="shared" si="291"/>
        <v>0</v>
      </c>
      <c r="K541" s="169">
        <f t="shared" si="291"/>
        <v>0</v>
      </c>
      <c r="L541" s="169">
        <f t="shared" si="291"/>
        <v>0</v>
      </c>
      <c r="M541" s="169">
        <f t="shared" si="291"/>
        <v>0</v>
      </c>
      <c r="N541" s="169">
        <f t="shared" si="291"/>
        <v>0</v>
      </c>
      <c r="O541" s="169">
        <f t="shared" si="291"/>
        <v>0</v>
      </c>
      <c r="P541" s="169">
        <f t="shared" si="291"/>
        <v>0</v>
      </c>
      <c r="Q541" s="169">
        <f t="shared" si="291"/>
        <v>0</v>
      </c>
      <c r="R541" s="169">
        <f t="shared" si="291"/>
        <v>0</v>
      </c>
      <c r="S541" s="169">
        <f t="shared" si="291"/>
        <v>0</v>
      </c>
      <c r="T541" s="169">
        <f t="shared" si="291"/>
        <v>0</v>
      </c>
      <c r="U541" s="169">
        <f t="shared" si="291"/>
        <v>0</v>
      </c>
      <c r="V541" s="169">
        <f t="shared" si="291"/>
        <v>0</v>
      </c>
      <c r="W541" s="169">
        <f t="shared" si="291"/>
        <v>0</v>
      </c>
      <c r="X541" s="169">
        <f t="shared" si="291"/>
        <v>0</v>
      </c>
      <c r="Y541" s="169">
        <f t="shared" si="291"/>
        <v>0</v>
      </c>
      <c r="Z541" s="169">
        <f t="shared" si="291"/>
        <v>0</v>
      </c>
      <c r="AA541" s="169">
        <f t="shared" si="291"/>
        <v>0</v>
      </c>
      <c r="AB541" s="169">
        <f t="shared" si="291"/>
        <v>0</v>
      </c>
      <c r="AC541" s="169">
        <f t="shared" si="291"/>
        <v>0</v>
      </c>
      <c r="AD541" s="169">
        <f t="shared" si="291"/>
        <v>0</v>
      </c>
      <c r="AE541" s="169">
        <f t="shared" si="291"/>
        <v>0</v>
      </c>
      <c r="AF541" s="169">
        <f t="shared" si="291"/>
        <v>0</v>
      </c>
      <c r="AG541" s="169">
        <f t="shared" si="291"/>
        <v>0</v>
      </c>
      <c r="AH541" s="169">
        <f t="shared" si="291"/>
        <v>0</v>
      </c>
      <c r="AI541" s="169">
        <f t="shared" si="291"/>
        <v>0</v>
      </c>
      <c r="AJ541" s="169">
        <f t="shared" si="291"/>
        <v>0</v>
      </c>
      <c r="AK541" s="169">
        <f t="shared" si="291"/>
        <v>0</v>
      </c>
      <c r="AL541" s="169">
        <f t="shared" si="291"/>
        <v>0</v>
      </c>
      <c r="AM541" s="169">
        <f t="shared" si="291"/>
        <v>0</v>
      </c>
      <c r="AN541" s="169">
        <f t="shared" si="291"/>
        <v>0</v>
      </c>
      <c r="AO541" s="169">
        <f t="shared" si="291"/>
        <v>0</v>
      </c>
      <c r="AP541" s="169">
        <f t="shared" si="291"/>
        <v>0</v>
      </c>
    </row>
    <row r="542" spans="1:42" x14ac:dyDescent="0.2">
      <c r="A542" s="20">
        <f t="shared" si="286"/>
        <v>8</v>
      </c>
      <c r="B542" s="179">
        <f t="shared" si="283"/>
        <v>0</v>
      </c>
      <c r="C542" s="208">
        <f t="shared" ref="C542:AP542" si="292">LOOKUP(C530,$B$466:$AP$466,$B$467:$AP$467)*$B686</f>
        <v>0</v>
      </c>
      <c r="D542" s="169">
        <f t="shared" si="292"/>
        <v>0</v>
      </c>
      <c r="E542" s="169">
        <f t="shared" si="292"/>
        <v>0</v>
      </c>
      <c r="F542" s="169">
        <f t="shared" si="292"/>
        <v>0</v>
      </c>
      <c r="G542" s="169">
        <f t="shared" si="292"/>
        <v>0</v>
      </c>
      <c r="H542" s="169">
        <f t="shared" si="292"/>
        <v>0</v>
      </c>
      <c r="I542" s="169">
        <f t="shared" si="292"/>
        <v>0</v>
      </c>
      <c r="J542" s="169">
        <f t="shared" si="292"/>
        <v>0</v>
      </c>
      <c r="K542" s="169">
        <f t="shared" si="292"/>
        <v>0</v>
      </c>
      <c r="L542" s="169">
        <f t="shared" si="292"/>
        <v>0</v>
      </c>
      <c r="M542" s="169">
        <f t="shared" si="292"/>
        <v>0</v>
      </c>
      <c r="N542" s="169">
        <f t="shared" si="292"/>
        <v>0</v>
      </c>
      <c r="O542" s="169">
        <f t="shared" si="292"/>
        <v>0</v>
      </c>
      <c r="P542" s="169">
        <f t="shared" si="292"/>
        <v>0</v>
      </c>
      <c r="Q542" s="169">
        <f t="shared" si="292"/>
        <v>0</v>
      </c>
      <c r="R542" s="169">
        <f t="shared" si="292"/>
        <v>0</v>
      </c>
      <c r="S542" s="169">
        <f t="shared" si="292"/>
        <v>0</v>
      </c>
      <c r="T542" s="169">
        <f t="shared" si="292"/>
        <v>0</v>
      </c>
      <c r="U542" s="169">
        <f t="shared" si="292"/>
        <v>0</v>
      </c>
      <c r="V542" s="169">
        <f t="shared" si="292"/>
        <v>0</v>
      </c>
      <c r="W542" s="169">
        <f t="shared" si="292"/>
        <v>0</v>
      </c>
      <c r="X542" s="169">
        <f t="shared" si="292"/>
        <v>0</v>
      </c>
      <c r="Y542" s="169">
        <f t="shared" si="292"/>
        <v>0</v>
      </c>
      <c r="Z542" s="169">
        <f t="shared" si="292"/>
        <v>0</v>
      </c>
      <c r="AA542" s="169">
        <f t="shared" si="292"/>
        <v>0</v>
      </c>
      <c r="AB542" s="169">
        <f t="shared" si="292"/>
        <v>0</v>
      </c>
      <c r="AC542" s="169">
        <f t="shared" si="292"/>
        <v>0</v>
      </c>
      <c r="AD542" s="169">
        <f t="shared" si="292"/>
        <v>0</v>
      </c>
      <c r="AE542" s="169">
        <f t="shared" si="292"/>
        <v>0</v>
      </c>
      <c r="AF542" s="169">
        <f t="shared" si="292"/>
        <v>0</v>
      </c>
      <c r="AG542" s="169">
        <f t="shared" si="292"/>
        <v>0</v>
      </c>
      <c r="AH542" s="169">
        <f t="shared" si="292"/>
        <v>0</v>
      </c>
      <c r="AI542" s="169">
        <f t="shared" si="292"/>
        <v>0</v>
      </c>
      <c r="AJ542" s="169">
        <f t="shared" si="292"/>
        <v>0</v>
      </c>
      <c r="AK542" s="169">
        <f t="shared" si="292"/>
        <v>0</v>
      </c>
      <c r="AL542" s="169">
        <f t="shared" si="292"/>
        <v>0</v>
      </c>
      <c r="AM542" s="169">
        <f t="shared" si="292"/>
        <v>0</v>
      </c>
      <c r="AN542" s="169">
        <f t="shared" si="292"/>
        <v>0</v>
      </c>
      <c r="AO542" s="169">
        <f t="shared" si="292"/>
        <v>0</v>
      </c>
      <c r="AP542" s="169">
        <f t="shared" si="292"/>
        <v>0</v>
      </c>
    </row>
    <row r="543" spans="1:42" x14ac:dyDescent="0.2">
      <c r="A543" s="20">
        <f>A542+1</f>
        <v>9</v>
      </c>
      <c r="B543" s="179">
        <f t="shared" si="283"/>
        <v>0</v>
      </c>
      <c r="C543" s="208">
        <f t="shared" ref="C543:AP543" si="293">LOOKUP(C531,$B$466:$AP$466,$B$467:$AP$467)*$B687</f>
        <v>0</v>
      </c>
      <c r="D543" s="169">
        <f t="shared" si="293"/>
        <v>0</v>
      </c>
      <c r="E543" s="169">
        <f t="shared" si="293"/>
        <v>0</v>
      </c>
      <c r="F543" s="169">
        <f t="shared" si="293"/>
        <v>0</v>
      </c>
      <c r="G543" s="169">
        <f t="shared" si="293"/>
        <v>0</v>
      </c>
      <c r="H543" s="169">
        <f t="shared" si="293"/>
        <v>0</v>
      </c>
      <c r="I543" s="169">
        <f t="shared" si="293"/>
        <v>0</v>
      </c>
      <c r="J543" s="169">
        <f t="shared" si="293"/>
        <v>0</v>
      </c>
      <c r="K543" s="169">
        <f t="shared" si="293"/>
        <v>0</v>
      </c>
      <c r="L543" s="169">
        <f t="shared" si="293"/>
        <v>0</v>
      </c>
      <c r="M543" s="169">
        <f t="shared" si="293"/>
        <v>0</v>
      </c>
      <c r="N543" s="169">
        <f t="shared" si="293"/>
        <v>0</v>
      </c>
      <c r="O543" s="169">
        <f t="shared" si="293"/>
        <v>0</v>
      </c>
      <c r="P543" s="169">
        <f t="shared" si="293"/>
        <v>0</v>
      </c>
      <c r="Q543" s="169">
        <f t="shared" si="293"/>
        <v>0</v>
      </c>
      <c r="R543" s="169">
        <f t="shared" si="293"/>
        <v>0</v>
      </c>
      <c r="S543" s="169">
        <f t="shared" si="293"/>
        <v>0</v>
      </c>
      <c r="T543" s="169">
        <f t="shared" si="293"/>
        <v>0</v>
      </c>
      <c r="U543" s="169">
        <f t="shared" si="293"/>
        <v>0</v>
      </c>
      <c r="V543" s="169">
        <f t="shared" si="293"/>
        <v>0</v>
      </c>
      <c r="W543" s="169">
        <f t="shared" si="293"/>
        <v>0</v>
      </c>
      <c r="X543" s="169">
        <f t="shared" si="293"/>
        <v>0</v>
      </c>
      <c r="Y543" s="169">
        <f t="shared" si="293"/>
        <v>0</v>
      </c>
      <c r="Z543" s="169">
        <f t="shared" si="293"/>
        <v>0</v>
      </c>
      <c r="AA543" s="169">
        <f t="shared" si="293"/>
        <v>0</v>
      </c>
      <c r="AB543" s="169">
        <f t="shared" si="293"/>
        <v>0</v>
      </c>
      <c r="AC543" s="169">
        <f t="shared" si="293"/>
        <v>0</v>
      </c>
      <c r="AD543" s="169">
        <f t="shared" si="293"/>
        <v>0</v>
      </c>
      <c r="AE543" s="169">
        <f t="shared" si="293"/>
        <v>0</v>
      </c>
      <c r="AF543" s="169">
        <f t="shared" si="293"/>
        <v>0</v>
      </c>
      <c r="AG543" s="169">
        <f t="shared" si="293"/>
        <v>0</v>
      </c>
      <c r="AH543" s="169">
        <f t="shared" si="293"/>
        <v>0</v>
      </c>
      <c r="AI543" s="169">
        <f t="shared" si="293"/>
        <v>0</v>
      </c>
      <c r="AJ543" s="169">
        <f t="shared" si="293"/>
        <v>0</v>
      </c>
      <c r="AK543" s="169">
        <f t="shared" si="293"/>
        <v>0</v>
      </c>
      <c r="AL543" s="169">
        <f t="shared" si="293"/>
        <v>0</v>
      </c>
      <c r="AM543" s="169">
        <f t="shared" si="293"/>
        <v>0</v>
      </c>
      <c r="AN543" s="169">
        <f t="shared" si="293"/>
        <v>0</v>
      </c>
      <c r="AO543" s="169">
        <f t="shared" si="293"/>
        <v>0</v>
      </c>
      <c r="AP543" s="169">
        <f t="shared" si="293"/>
        <v>0</v>
      </c>
    </row>
    <row r="544" spans="1:42" x14ac:dyDescent="0.2">
      <c r="A544" s="20">
        <f t="shared" ref="A544" si="294">A543+1</f>
        <v>10</v>
      </c>
      <c r="B544" s="179">
        <f t="shared" si="283"/>
        <v>0</v>
      </c>
      <c r="C544" s="204">
        <f t="shared" ref="C544:AP544" si="295">LOOKUP(C532,$B$466:$AP$466,$B$467:$AP$467)*$B688</f>
        <v>0</v>
      </c>
      <c r="D544" s="170">
        <f t="shared" si="295"/>
        <v>0</v>
      </c>
      <c r="E544" s="170">
        <f t="shared" si="295"/>
        <v>0</v>
      </c>
      <c r="F544" s="170">
        <f t="shared" si="295"/>
        <v>0</v>
      </c>
      <c r="G544" s="170">
        <f t="shared" si="295"/>
        <v>0</v>
      </c>
      <c r="H544" s="170">
        <f t="shared" si="295"/>
        <v>0</v>
      </c>
      <c r="I544" s="170">
        <f t="shared" si="295"/>
        <v>0</v>
      </c>
      <c r="J544" s="170">
        <f t="shared" si="295"/>
        <v>0</v>
      </c>
      <c r="K544" s="170">
        <f t="shared" si="295"/>
        <v>0</v>
      </c>
      <c r="L544" s="170">
        <f t="shared" si="295"/>
        <v>0</v>
      </c>
      <c r="M544" s="170">
        <f t="shared" si="295"/>
        <v>0</v>
      </c>
      <c r="N544" s="170">
        <f t="shared" si="295"/>
        <v>0</v>
      </c>
      <c r="O544" s="170">
        <f t="shared" si="295"/>
        <v>0</v>
      </c>
      <c r="P544" s="170">
        <f t="shared" si="295"/>
        <v>0</v>
      </c>
      <c r="Q544" s="170">
        <f t="shared" si="295"/>
        <v>0</v>
      </c>
      <c r="R544" s="170">
        <f t="shared" si="295"/>
        <v>0</v>
      </c>
      <c r="S544" s="170">
        <f t="shared" si="295"/>
        <v>0</v>
      </c>
      <c r="T544" s="170">
        <f t="shared" si="295"/>
        <v>0</v>
      </c>
      <c r="U544" s="170">
        <f t="shared" si="295"/>
        <v>0</v>
      </c>
      <c r="V544" s="170">
        <f t="shared" si="295"/>
        <v>0</v>
      </c>
      <c r="W544" s="170">
        <f t="shared" si="295"/>
        <v>0</v>
      </c>
      <c r="X544" s="170">
        <f t="shared" si="295"/>
        <v>0</v>
      </c>
      <c r="Y544" s="170">
        <f t="shared" si="295"/>
        <v>0</v>
      </c>
      <c r="Z544" s="170">
        <f t="shared" si="295"/>
        <v>0</v>
      </c>
      <c r="AA544" s="170">
        <f t="shared" si="295"/>
        <v>0</v>
      </c>
      <c r="AB544" s="170">
        <f t="shared" si="295"/>
        <v>0</v>
      </c>
      <c r="AC544" s="170">
        <f t="shared" si="295"/>
        <v>0</v>
      </c>
      <c r="AD544" s="170">
        <f t="shared" si="295"/>
        <v>0</v>
      </c>
      <c r="AE544" s="170">
        <f t="shared" si="295"/>
        <v>0</v>
      </c>
      <c r="AF544" s="170">
        <f t="shared" si="295"/>
        <v>0</v>
      </c>
      <c r="AG544" s="170">
        <f t="shared" si="295"/>
        <v>0</v>
      </c>
      <c r="AH544" s="170">
        <f t="shared" si="295"/>
        <v>0</v>
      </c>
      <c r="AI544" s="170">
        <f t="shared" si="295"/>
        <v>0</v>
      </c>
      <c r="AJ544" s="170">
        <f t="shared" si="295"/>
        <v>0</v>
      </c>
      <c r="AK544" s="170">
        <f t="shared" si="295"/>
        <v>0</v>
      </c>
      <c r="AL544" s="170">
        <f t="shared" si="295"/>
        <v>0</v>
      </c>
      <c r="AM544" s="170">
        <f t="shared" si="295"/>
        <v>0</v>
      </c>
      <c r="AN544" s="170">
        <f t="shared" si="295"/>
        <v>0</v>
      </c>
      <c r="AO544" s="170">
        <f t="shared" si="295"/>
        <v>0</v>
      </c>
      <c r="AP544" s="170">
        <f t="shared" si="295"/>
        <v>0</v>
      </c>
    </row>
    <row r="545" spans="1:42" s="101" customFormat="1" x14ac:dyDescent="0.2">
      <c r="A545" s="205" t="s">
        <v>53</v>
      </c>
      <c r="B545" s="124"/>
      <c r="C545" s="124">
        <f>SUM(C535:C544)</f>
        <v>0</v>
      </c>
      <c r="D545" s="124">
        <f t="shared" ref="D545:AP545" si="296">SUM(D535:D544)</f>
        <v>0</v>
      </c>
      <c r="E545" s="124">
        <f t="shared" si="296"/>
        <v>0</v>
      </c>
      <c r="F545" s="124">
        <f t="shared" si="296"/>
        <v>0</v>
      </c>
      <c r="G545" s="124">
        <f t="shared" si="296"/>
        <v>0</v>
      </c>
      <c r="H545" s="124">
        <f t="shared" si="296"/>
        <v>0</v>
      </c>
      <c r="I545" s="124">
        <f t="shared" si="296"/>
        <v>0</v>
      </c>
      <c r="J545" s="124">
        <f t="shared" si="296"/>
        <v>0</v>
      </c>
      <c r="K545" s="124">
        <f t="shared" si="296"/>
        <v>0</v>
      </c>
      <c r="L545" s="124">
        <f t="shared" si="296"/>
        <v>0</v>
      </c>
      <c r="M545" s="124">
        <f t="shared" si="296"/>
        <v>0</v>
      </c>
      <c r="N545" s="124">
        <f t="shared" si="296"/>
        <v>0</v>
      </c>
      <c r="O545" s="124">
        <f t="shared" si="296"/>
        <v>0</v>
      </c>
      <c r="P545" s="124">
        <f t="shared" si="296"/>
        <v>0</v>
      </c>
      <c r="Q545" s="124">
        <f t="shared" si="296"/>
        <v>0</v>
      </c>
      <c r="R545" s="124">
        <f t="shared" si="296"/>
        <v>0</v>
      </c>
      <c r="S545" s="124">
        <f t="shared" si="296"/>
        <v>0</v>
      </c>
      <c r="T545" s="124">
        <f t="shared" si="296"/>
        <v>0</v>
      </c>
      <c r="U545" s="124">
        <f t="shared" si="296"/>
        <v>0</v>
      </c>
      <c r="V545" s="124">
        <f t="shared" si="296"/>
        <v>0</v>
      </c>
      <c r="W545" s="124">
        <f t="shared" si="296"/>
        <v>0</v>
      </c>
      <c r="X545" s="124">
        <f t="shared" si="296"/>
        <v>0</v>
      </c>
      <c r="Y545" s="124">
        <f t="shared" si="296"/>
        <v>0</v>
      </c>
      <c r="Z545" s="124">
        <f t="shared" si="296"/>
        <v>0</v>
      </c>
      <c r="AA545" s="124">
        <f t="shared" si="296"/>
        <v>0</v>
      </c>
      <c r="AB545" s="124">
        <f t="shared" si="296"/>
        <v>0</v>
      </c>
      <c r="AC545" s="124">
        <f t="shared" si="296"/>
        <v>0</v>
      </c>
      <c r="AD545" s="124">
        <f t="shared" si="296"/>
        <v>0</v>
      </c>
      <c r="AE545" s="124">
        <f t="shared" si="296"/>
        <v>0</v>
      </c>
      <c r="AF545" s="124">
        <f t="shared" si="296"/>
        <v>0</v>
      </c>
      <c r="AG545" s="124">
        <f t="shared" si="296"/>
        <v>0</v>
      </c>
      <c r="AH545" s="124">
        <f t="shared" si="296"/>
        <v>0</v>
      </c>
      <c r="AI545" s="124">
        <f t="shared" si="296"/>
        <v>0</v>
      </c>
      <c r="AJ545" s="124">
        <f t="shared" si="296"/>
        <v>0</v>
      </c>
      <c r="AK545" s="124">
        <f t="shared" si="296"/>
        <v>0</v>
      </c>
      <c r="AL545" s="124">
        <f t="shared" si="296"/>
        <v>0</v>
      </c>
      <c r="AM545" s="124">
        <f t="shared" si="296"/>
        <v>0</v>
      </c>
      <c r="AN545" s="124">
        <f t="shared" si="296"/>
        <v>0</v>
      </c>
      <c r="AO545" s="124">
        <f t="shared" si="296"/>
        <v>0</v>
      </c>
      <c r="AP545" s="124">
        <f t="shared" si="296"/>
        <v>0</v>
      </c>
    </row>
    <row r="546" spans="1:42" s="101" customFormat="1" x14ac:dyDescent="0.2">
      <c r="A546" s="205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</row>
    <row r="547" spans="1:42" s="101" customFormat="1" x14ac:dyDescent="0.2">
      <c r="A547" s="162" t="s">
        <v>158</v>
      </c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</row>
    <row r="548" spans="1:42" s="101" customFormat="1" x14ac:dyDescent="0.2">
      <c r="A548" s="180" t="s">
        <v>37</v>
      </c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</row>
    <row r="549" spans="1:42" s="101" customFormat="1" x14ac:dyDescent="0.2">
      <c r="A549" s="187" t="s">
        <v>159</v>
      </c>
      <c r="C549" s="215">
        <f t="shared" ref="C549:AP549" si="297">IF(C$2&lt;=StatePTCTerm,StatePTCAmount*(1+Inflation)^B$2,0)</f>
        <v>0</v>
      </c>
      <c r="D549" s="215">
        <f t="shared" si="297"/>
        <v>0</v>
      </c>
      <c r="E549" s="215">
        <f t="shared" si="297"/>
        <v>0</v>
      </c>
      <c r="F549" s="215">
        <f t="shared" si="297"/>
        <v>0</v>
      </c>
      <c r="G549" s="215">
        <f t="shared" si="297"/>
        <v>0</v>
      </c>
      <c r="H549" s="215">
        <f t="shared" si="297"/>
        <v>0</v>
      </c>
      <c r="I549" s="215">
        <f t="shared" si="297"/>
        <v>0</v>
      </c>
      <c r="J549" s="215">
        <f t="shared" si="297"/>
        <v>0</v>
      </c>
      <c r="K549" s="215">
        <f t="shared" si="297"/>
        <v>0</v>
      </c>
      <c r="L549" s="215">
        <f t="shared" si="297"/>
        <v>0</v>
      </c>
      <c r="M549" s="215">
        <f t="shared" si="297"/>
        <v>0</v>
      </c>
      <c r="N549" s="215">
        <f t="shared" si="297"/>
        <v>0</v>
      </c>
      <c r="O549" s="215">
        <f t="shared" si="297"/>
        <v>0</v>
      </c>
      <c r="P549" s="215">
        <f t="shared" si="297"/>
        <v>0</v>
      </c>
      <c r="Q549" s="215">
        <f t="shared" si="297"/>
        <v>0</v>
      </c>
      <c r="R549" s="215">
        <f t="shared" si="297"/>
        <v>0</v>
      </c>
      <c r="S549" s="215">
        <f t="shared" si="297"/>
        <v>0</v>
      </c>
      <c r="T549" s="215">
        <f t="shared" si="297"/>
        <v>0</v>
      </c>
      <c r="U549" s="215">
        <f t="shared" si="297"/>
        <v>0</v>
      </c>
      <c r="V549" s="215">
        <f t="shared" si="297"/>
        <v>0</v>
      </c>
      <c r="W549" s="215">
        <f t="shared" si="297"/>
        <v>0</v>
      </c>
      <c r="X549" s="215">
        <f t="shared" si="297"/>
        <v>0</v>
      </c>
      <c r="Y549" s="215">
        <f t="shared" si="297"/>
        <v>0</v>
      </c>
      <c r="Z549" s="215">
        <f t="shared" si="297"/>
        <v>0</v>
      </c>
      <c r="AA549" s="215">
        <f t="shared" si="297"/>
        <v>0</v>
      </c>
      <c r="AB549" s="215">
        <f t="shared" si="297"/>
        <v>0</v>
      </c>
      <c r="AC549" s="215">
        <f t="shared" si="297"/>
        <v>0</v>
      </c>
      <c r="AD549" s="215">
        <f t="shared" si="297"/>
        <v>0</v>
      </c>
      <c r="AE549" s="215">
        <f t="shared" si="297"/>
        <v>0</v>
      </c>
      <c r="AF549" s="215">
        <f t="shared" si="297"/>
        <v>0</v>
      </c>
      <c r="AG549" s="215">
        <f t="shared" si="297"/>
        <v>0</v>
      </c>
      <c r="AH549" s="215">
        <f t="shared" si="297"/>
        <v>0</v>
      </c>
      <c r="AI549" s="215">
        <f t="shared" si="297"/>
        <v>0</v>
      </c>
      <c r="AJ549" s="215">
        <f t="shared" si="297"/>
        <v>0</v>
      </c>
      <c r="AK549" s="215">
        <f t="shared" si="297"/>
        <v>0</v>
      </c>
      <c r="AL549" s="215">
        <f t="shared" si="297"/>
        <v>0</v>
      </c>
      <c r="AM549" s="215">
        <f t="shared" si="297"/>
        <v>0</v>
      </c>
      <c r="AN549" s="215">
        <f t="shared" si="297"/>
        <v>0</v>
      </c>
      <c r="AO549" s="215">
        <f t="shared" si="297"/>
        <v>0</v>
      </c>
      <c r="AP549" s="215">
        <f t="shared" si="297"/>
        <v>0</v>
      </c>
    </row>
    <row r="550" spans="1:42" s="101" customFormat="1" x14ac:dyDescent="0.2">
      <c r="A550" s="187" t="s">
        <v>160</v>
      </c>
      <c r="C550" s="216">
        <f>ROUND(C549*1000,0)</f>
        <v>0</v>
      </c>
      <c r="D550" s="216">
        <f>ROUND(D549*1000,0)</f>
        <v>0</v>
      </c>
      <c r="E550" s="216">
        <f t="shared" ref="E550:AP550" si="298">ROUND(E549*1000,0)</f>
        <v>0</v>
      </c>
      <c r="F550" s="216">
        <f t="shared" si="298"/>
        <v>0</v>
      </c>
      <c r="G550" s="216">
        <f t="shared" si="298"/>
        <v>0</v>
      </c>
      <c r="H550" s="216">
        <f t="shared" si="298"/>
        <v>0</v>
      </c>
      <c r="I550" s="216">
        <f t="shared" si="298"/>
        <v>0</v>
      </c>
      <c r="J550" s="216">
        <f t="shared" si="298"/>
        <v>0</v>
      </c>
      <c r="K550" s="216">
        <f t="shared" si="298"/>
        <v>0</v>
      </c>
      <c r="L550" s="216">
        <f t="shared" si="298"/>
        <v>0</v>
      </c>
      <c r="M550" s="216">
        <f t="shared" si="298"/>
        <v>0</v>
      </c>
      <c r="N550" s="216">
        <f t="shared" si="298"/>
        <v>0</v>
      </c>
      <c r="O550" s="216">
        <f t="shared" si="298"/>
        <v>0</v>
      </c>
      <c r="P550" s="216">
        <f t="shared" si="298"/>
        <v>0</v>
      </c>
      <c r="Q550" s="216">
        <f t="shared" si="298"/>
        <v>0</v>
      </c>
      <c r="R550" s="216">
        <f t="shared" si="298"/>
        <v>0</v>
      </c>
      <c r="S550" s="216">
        <f t="shared" si="298"/>
        <v>0</v>
      </c>
      <c r="T550" s="216">
        <f t="shared" si="298"/>
        <v>0</v>
      </c>
      <c r="U550" s="216">
        <f t="shared" si="298"/>
        <v>0</v>
      </c>
      <c r="V550" s="216">
        <f t="shared" si="298"/>
        <v>0</v>
      </c>
      <c r="W550" s="216">
        <f t="shared" si="298"/>
        <v>0</v>
      </c>
      <c r="X550" s="216">
        <f t="shared" si="298"/>
        <v>0</v>
      </c>
      <c r="Y550" s="216">
        <f t="shared" si="298"/>
        <v>0</v>
      </c>
      <c r="Z550" s="216">
        <f t="shared" si="298"/>
        <v>0</v>
      </c>
      <c r="AA550" s="216">
        <f t="shared" si="298"/>
        <v>0</v>
      </c>
      <c r="AB550" s="216">
        <f t="shared" si="298"/>
        <v>0</v>
      </c>
      <c r="AC550" s="216">
        <f t="shared" si="298"/>
        <v>0</v>
      </c>
      <c r="AD550" s="216">
        <f t="shared" si="298"/>
        <v>0</v>
      </c>
      <c r="AE550" s="216">
        <f t="shared" si="298"/>
        <v>0</v>
      </c>
      <c r="AF550" s="216">
        <f t="shared" si="298"/>
        <v>0</v>
      </c>
      <c r="AG550" s="216">
        <f t="shared" si="298"/>
        <v>0</v>
      </c>
      <c r="AH550" s="216">
        <f t="shared" si="298"/>
        <v>0</v>
      </c>
      <c r="AI550" s="216">
        <f t="shared" si="298"/>
        <v>0</v>
      </c>
      <c r="AJ550" s="216">
        <f t="shared" si="298"/>
        <v>0</v>
      </c>
      <c r="AK550" s="216">
        <f t="shared" si="298"/>
        <v>0</v>
      </c>
      <c r="AL550" s="216">
        <f t="shared" si="298"/>
        <v>0</v>
      </c>
      <c r="AM550" s="216">
        <f t="shared" si="298"/>
        <v>0</v>
      </c>
      <c r="AN550" s="216">
        <f t="shared" si="298"/>
        <v>0</v>
      </c>
      <c r="AO550" s="216">
        <f t="shared" si="298"/>
        <v>0</v>
      </c>
      <c r="AP550" s="216">
        <f t="shared" si="298"/>
        <v>0</v>
      </c>
    </row>
    <row r="551" spans="1:42" s="101" customFormat="1" x14ac:dyDescent="0.2">
      <c r="A551" s="187" t="s">
        <v>161</v>
      </c>
      <c r="C551" s="186">
        <f>C$5/1000</f>
        <v>16188.48</v>
      </c>
      <c r="D551" s="186">
        <f>D$5/1000</f>
        <v>16107.5376</v>
      </c>
      <c r="E551" s="186">
        <f t="shared" ref="E551:AP551" si="299">E$5/1000</f>
        <v>16026.999912000001</v>
      </c>
      <c r="F551" s="186">
        <f t="shared" si="299"/>
        <v>15946.86491244</v>
      </c>
      <c r="G551" s="186">
        <f t="shared" si="299"/>
        <v>15867.1305878778</v>
      </c>
      <c r="H551" s="186">
        <f t="shared" si="299"/>
        <v>15787.794934938413</v>
      </c>
      <c r="I551" s="186">
        <f t="shared" si="299"/>
        <v>15708.85596026372</v>
      </c>
      <c r="J551" s="186">
        <f t="shared" si="299"/>
        <v>15630.311680462401</v>
      </c>
      <c r="K551" s="186">
        <f t="shared" si="299"/>
        <v>15552.16012206009</v>
      </c>
      <c r="L551" s="186">
        <f t="shared" si="299"/>
        <v>15474.399321449788</v>
      </c>
      <c r="M551" s="186">
        <f t="shared" si="299"/>
        <v>15397.02732484254</v>
      </c>
      <c r="N551" s="186">
        <f t="shared" si="299"/>
        <v>15320.042188218327</v>
      </c>
      <c r="O551" s="186">
        <f t="shared" si="299"/>
        <v>15243.441977277236</v>
      </c>
      <c r="P551" s="186">
        <f t="shared" si="299"/>
        <v>15167.224767390851</v>
      </c>
      <c r="Q551" s="186">
        <f t="shared" si="299"/>
        <v>15091.388643553897</v>
      </c>
      <c r="R551" s="186">
        <f t="shared" si="299"/>
        <v>15015.931700336127</v>
      </c>
      <c r="S551" s="186">
        <f t="shared" si="299"/>
        <v>14940.852041834445</v>
      </c>
      <c r="T551" s="186">
        <f t="shared" si="299"/>
        <v>14866.147781625275</v>
      </c>
      <c r="U551" s="186">
        <f t="shared" si="299"/>
        <v>14791.817042717148</v>
      </c>
      <c r="V551" s="186">
        <f t="shared" si="299"/>
        <v>14717.85795750356</v>
      </c>
      <c r="W551" s="186">
        <f t="shared" si="299"/>
        <v>14644.268667716045</v>
      </c>
      <c r="X551" s="186">
        <f t="shared" si="299"/>
        <v>14571.047324377465</v>
      </c>
      <c r="Y551" s="186">
        <f t="shared" si="299"/>
        <v>14498.192087755579</v>
      </c>
      <c r="Z551" s="186">
        <f t="shared" si="299"/>
        <v>14425.701127316799</v>
      </c>
      <c r="AA551" s="186">
        <f t="shared" si="299"/>
        <v>14353.572621680216</v>
      </c>
      <c r="AB551" s="186">
        <f t="shared" si="299"/>
        <v>14281.804758571814</v>
      </c>
      <c r="AC551" s="186">
        <f t="shared" si="299"/>
        <v>14210.395734778956</v>
      </c>
      <c r="AD551" s="186">
        <f t="shared" si="299"/>
        <v>14139.34375610506</v>
      </c>
      <c r="AE551" s="186">
        <f t="shared" si="299"/>
        <v>14068.647037324537</v>
      </c>
      <c r="AF551" s="186">
        <f t="shared" si="299"/>
        <v>13998.303802137914</v>
      </c>
      <c r="AG551" s="186">
        <f t="shared" si="299"/>
        <v>13928.312283127225</v>
      </c>
      <c r="AH551" s="186">
        <f t="shared" si="299"/>
        <v>13858.670721711587</v>
      </c>
      <c r="AI551" s="186">
        <f t="shared" si="299"/>
        <v>13789.377368103029</v>
      </c>
      <c r="AJ551" s="186">
        <f t="shared" si="299"/>
        <v>13720.430481262514</v>
      </c>
      <c r="AK551" s="186">
        <f t="shared" si="299"/>
        <v>13651.828328856202</v>
      </c>
      <c r="AL551" s="186">
        <f t="shared" si="299"/>
        <v>13583.569187211922</v>
      </c>
      <c r="AM551" s="186">
        <f t="shared" si="299"/>
        <v>13515.651341275861</v>
      </c>
      <c r="AN551" s="186">
        <f t="shared" si="299"/>
        <v>13448.073084569483</v>
      </c>
      <c r="AO551" s="186">
        <f t="shared" si="299"/>
        <v>13380.832719146636</v>
      </c>
      <c r="AP551" s="186">
        <f t="shared" si="299"/>
        <v>13313.928555550903</v>
      </c>
    </row>
    <row r="552" spans="1:42" s="101" customFormat="1" x14ac:dyDescent="0.2">
      <c r="A552" s="187" t="s">
        <v>53</v>
      </c>
      <c r="C552" s="124">
        <f>C550*C551</f>
        <v>0</v>
      </c>
      <c r="D552" s="124">
        <f>D550*D551</f>
        <v>0</v>
      </c>
      <c r="E552" s="124">
        <f t="shared" ref="E552:AP552" si="300">E550*E551</f>
        <v>0</v>
      </c>
      <c r="F552" s="124">
        <f t="shared" si="300"/>
        <v>0</v>
      </c>
      <c r="G552" s="124">
        <f t="shared" si="300"/>
        <v>0</v>
      </c>
      <c r="H552" s="124">
        <f t="shared" si="300"/>
        <v>0</v>
      </c>
      <c r="I552" s="124">
        <f t="shared" si="300"/>
        <v>0</v>
      </c>
      <c r="J552" s="124">
        <f t="shared" si="300"/>
        <v>0</v>
      </c>
      <c r="K552" s="124">
        <f t="shared" si="300"/>
        <v>0</v>
      </c>
      <c r="L552" s="124">
        <f t="shared" si="300"/>
        <v>0</v>
      </c>
      <c r="M552" s="124">
        <f t="shared" si="300"/>
        <v>0</v>
      </c>
      <c r="N552" s="124">
        <f t="shared" si="300"/>
        <v>0</v>
      </c>
      <c r="O552" s="124">
        <f t="shared" si="300"/>
        <v>0</v>
      </c>
      <c r="P552" s="124">
        <f t="shared" si="300"/>
        <v>0</v>
      </c>
      <c r="Q552" s="124">
        <f t="shared" si="300"/>
        <v>0</v>
      </c>
      <c r="R552" s="124">
        <f t="shared" si="300"/>
        <v>0</v>
      </c>
      <c r="S552" s="124">
        <f t="shared" si="300"/>
        <v>0</v>
      </c>
      <c r="T552" s="124">
        <f t="shared" si="300"/>
        <v>0</v>
      </c>
      <c r="U552" s="124">
        <f t="shared" si="300"/>
        <v>0</v>
      </c>
      <c r="V552" s="124">
        <f t="shared" si="300"/>
        <v>0</v>
      </c>
      <c r="W552" s="124">
        <f t="shared" si="300"/>
        <v>0</v>
      </c>
      <c r="X552" s="124">
        <f t="shared" si="300"/>
        <v>0</v>
      </c>
      <c r="Y552" s="124">
        <f t="shared" si="300"/>
        <v>0</v>
      </c>
      <c r="Z552" s="124">
        <f t="shared" si="300"/>
        <v>0</v>
      </c>
      <c r="AA552" s="124">
        <f t="shared" si="300"/>
        <v>0</v>
      </c>
      <c r="AB552" s="124">
        <f t="shared" si="300"/>
        <v>0</v>
      </c>
      <c r="AC552" s="124">
        <f t="shared" si="300"/>
        <v>0</v>
      </c>
      <c r="AD552" s="124">
        <f t="shared" si="300"/>
        <v>0</v>
      </c>
      <c r="AE552" s="124">
        <f t="shared" si="300"/>
        <v>0</v>
      </c>
      <c r="AF552" s="124">
        <f t="shared" si="300"/>
        <v>0</v>
      </c>
      <c r="AG552" s="124">
        <f t="shared" si="300"/>
        <v>0</v>
      </c>
      <c r="AH552" s="124">
        <f t="shared" si="300"/>
        <v>0</v>
      </c>
      <c r="AI552" s="124">
        <f t="shared" si="300"/>
        <v>0</v>
      </c>
      <c r="AJ552" s="124">
        <f t="shared" si="300"/>
        <v>0</v>
      </c>
      <c r="AK552" s="124">
        <f t="shared" si="300"/>
        <v>0</v>
      </c>
      <c r="AL552" s="124">
        <f t="shared" si="300"/>
        <v>0</v>
      </c>
      <c r="AM552" s="124">
        <f t="shared" si="300"/>
        <v>0</v>
      </c>
      <c r="AN552" s="124">
        <f t="shared" si="300"/>
        <v>0</v>
      </c>
      <c r="AO552" s="124">
        <f t="shared" si="300"/>
        <v>0</v>
      </c>
      <c r="AP552" s="124">
        <f t="shared" si="300"/>
        <v>0</v>
      </c>
    </row>
    <row r="553" spans="1:42" s="101" customFormat="1" x14ac:dyDescent="0.2">
      <c r="A553" s="180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</row>
    <row r="554" spans="1:42" s="101" customFormat="1" x14ac:dyDescent="0.2">
      <c r="A554" s="180" t="s">
        <v>36</v>
      </c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</row>
    <row r="555" spans="1:42" s="101" customFormat="1" x14ac:dyDescent="0.2">
      <c r="A555" s="187" t="s">
        <v>159</v>
      </c>
      <c r="C555" s="215">
        <f t="shared" ref="C555:AP555" si="301">IF(C$2&lt;=FedPTCTerm,FedPTCAmount*(1+Inflation)^B$2,0)</f>
        <v>0</v>
      </c>
      <c r="D555" s="215">
        <f t="shared" si="301"/>
        <v>0</v>
      </c>
      <c r="E555" s="215">
        <f t="shared" si="301"/>
        <v>0</v>
      </c>
      <c r="F555" s="215">
        <f t="shared" si="301"/>
        <v>0</v>
      </c>
      <c r="G555" s="215">
        <f t="shared" si="301"/>
        <v>0</v>
      </c>
      <c r="H555" s="215">
        <f t="shared" si="301"/>
        <v>0</v>
      </c>
      <c r="I555" s="215">
        <f t="shared" si="301"/>
        <v>0</v>
      </c>
      <c r="J555" s="215">
        <f t="shared" si="301"/>
        <v>0</v>
      </c>
      <c r="K555" s="215">
        <f t="shared" si="301"/>
        <v>0</v>
      </c>
      <c r="L555" s="215">
        <f t="shared" si="301"/>
        <v>0</v>
      </c>
      <c r="M555" s="215">
        <f t="shared" si="301"/>
        <v>0</v>
      </c>
      <c r="N555" s="215">
        <f t="shared" si="301"/>
        <v>0</v>
      </c>
      <c r="O555" s="215">
        <f t="shared" si="301"/>
        <v>0</v>
      </c>
      <c r="P555" s="215">
        <f t="shared" si="301"/>
        <v>0</v>
      </c>
      <c r="Q555" s="215">
        <f t="shared" si="301"/>
        <v>0</v>
      </c>
      <c r="R555" s="215">
        <f t="shared" si="301"/>
        <v>0</v>
      </c>
      <c r="S555" s="215">
        <f t="shared" si="301"/>
        <v>0</v>
      </c>
      <c r="T555" s="215">
        <f t="shared" si="301"/>
        <v>0</v>
      </c>
      <c r="U555" s="215">
        <f t="shared" si="301"/>
        <v>0</v>
      </c>
      <c r="V555" s="215">
        <f t="shared" si="301"/>
        <v>0</v>
      </c>
      <c r="W555" s="215">
        <f t="shared" si="301"/>
        <v>0</v>
      </c>
      <c r="X555" s="215">
        <f t="shared" si="301"/>
        <v>0</v>
      </c>
      <c r="Y555" s="215">
        <f t="shared" si="301"/>
        <v>0</v>
      </c>
      <c r="Z555" s="215">
        <f t="shared" si="301"/>
        <v>0</v>
      </c>
      <c r="AA555" s="215">
        <f t="shared" si="301"/>
        <v>0</v>
      </c>
      <c r="AB555" s="215">
        <f t="shared" si="301"/>
        <v>0</v>
      </c>
      <c r="AC555" s="215">
        <f t="shared" si="301"/>
        <v>0</v>
      </c>
      <c r="AD555" s="215">
        <f t="shared" si="301"/>
        <v>0</v>
      </c>
      <c r="AE555" s="215">
        <f t="shared" si="301"/>
        <v>0</v>
      </c>
      <c r="AF555" s="215">
        <f t="shared" si="301"/>
        <v>0</v>
      </c>
      <c r="AG555" s="215">
        <f t="shared" si="301"/>
        <v>0</v>
      </c>
      <c r="AH555" s="215">
        <f t="shared" si="301"/>
        <v>0</v>
      </c>
      <c r="AI555" s="215">
        <f t="shared" si="301"/>
        <v>0</v>
      </c>
      <c r="AJ555" s="215">
        <f t="shared" si="301"/>
        <v>0</v>
      </c>
      <c r="AK555" s="215">
        <f t="shared" si="301"/>
        <v>0</v>
      </c>
      <c r="AL555" s="215">
        <f t="shared" si="301"/>
        <v>0</v>
      </c>
      <c r="AM555" s="215">
        <f t="shared" si="301"/>
        <v>0</v>
      </c>
      <c r="AN555" s="215">
        <f t="shared" si="301"/>
        <v>0</v>
      </c>
      <c r="AO555" s="215">
        <f t="shared" si="301"/>
        <v>0</v>
      </c>
      <c r="AP555" s="215">
        <f t="shared" si="301"/>
        <v>0</v>
      </c>
    </row>
    <row r="556" spans="1:42" s="101" customFormat="1" x14ac:dyDescent="0.2">
      <c r="A556" s="187" t="s">
        <v>160</v>
      </c>
      <c r="C556" s="216">
        <f>ROUND(C555*1000,0)</f>
        <v>0</v>
      </c>
      <c r="D556" s="216">
        <f>ROUND(D555*1000,0)</f>
        <v>0</v>
      </c>
      <c r="E556" s="216">
        <f t="shared" ref="E556:AP556" si="302">ROUND(E555*1000,0)</f>
        <v>0</v>
      </c>
      <c r="F556" s="216">
        <f t="shared" si="302"/>
        <v>0</v>
      </c>
      <c r="G556" s="216">
        <f t="shared" si="302"/>
        <v>0</v>
      </c>
      <c r="H556" s="216">
        <f t="shared" si="302"/>
        <v>0</v>
      </c>
      <c r="I556" s="216">
        <f t="shared" si="302"/>
        <v>0</v>
      </c>
      <c r="J556" s="216">
        <f t="shared" si="302"/>
        <v>0</v>
      </c>
      <c r="K556" s="216">
        <f t="shared" si="302"/>
        <v>0</v>
      </c>
      <c r="L556" s="216">
        <f t="shared" si="302"/>
        <v>0</v>
      </c>
      <c r="M556" s="216">
        <f t="shared" si="302"/>
        <v>0</v>
      </c>
      <c r="N556" s="216">
        <f t="shared" si="302"/>
        <v>0</v>
      </c>
      <c r="O556" s="216">
        <f t="shared" si="302"/>
        <v>0</v>
      </c>
      <c r="P556" s="216">
        <f t="shared" si="302"/>
        <v>0</v>
      </c>
      <c r="Q556" s="216">
        <f t="shared" si="302"/>
        <v>0</v>
      </c>
      <c r="R556" s="216">
        <f t="shared" si="302"/>
        <v>0</v>
      </c>
      <c r="S556" s="216">
        <f t="shared" si="302"/>
        <v>0</v>
      </c>
      <c r="T556" s="216">
        <f t="shared" si="302"/>
        <v>0</v>
      </c>
      <c r="U556" s="216">
        <f t="shared" si="302"/>
        <v>0</v>
      </c>
      <c r="V556" s="216">
        <f t="shared" si="302"/>
        <v>0</v>
      </c>
      <c r="W556" s="216">
        <f t="shared" si="302"/>
        <v>0</v>
      </c>
      <c r="X556" s="216">
        <f t="shared" si="302"/>
        <v>0</v>
      </c>
      <c r="Y556" s="216">
        <f t="shared" si="302"/>
        <v>0</v>
      </c>
      <c r="Z556" s="216">
        <f t="shared" si="302"/>
        <v>0</v>
      </c>
      <c r="AA556" s="216">
        <f t="shared" si="302"/>
        <v>0</v>
      </c>
      <c r="AB556" s="216">
        <f t="shared" si="302"/>
        <v>0</v>
      </c>
      <c r="AC556" s="216">
        <f t="shared" si="302"/>
        <v>0</v>
      </c>
      <c r="AD556" s="216">
        <f t="shared" si="302"/>
        <v>0</v>
      </c>
      <c r="AE556" s="216">
        <f t="shared" si="302"/>
        <v>0</v>
      </c>
      <c r="AF556" s="216">
        <f t="shared" si="302"/>
        <v>0</v>
      </c>
      <c r="AG556" s="216">
        <f t="shared" si="302"/>
        <v>0</v>
      </c>
      <c r="AH556" s="216">
        <f t="shared" si="302"/>
        <v>0</v>
      </c>
      <c r="AI556" s="216">
        <f t="shared" si="302"/>
        <v>0</v>
      </c>
      <c r="AJ556" s="216">
        <f t="shared" si="302"/>
        <v>0</v>
      </c>
      <c r="AK556" s="216">
        <f t="shared" si="302"/>
        <v>0</v>
      </c>
      <c r="AL556" s="216">
        <f t="shared" si="302"/>
        <v>0</v>
      </c>
      <c r="AM556" s="216">
        <f t="shared" si="302"/>
        <v>0</v>
      </c>
      <c r="AN556" s="216">
        <f t="shared" si="302"/>
        <v>0</v>
      </c>
      <c r="AO556" s="216">
        <f t="shared" si="302"/>
        <v>0</v>
      </c>
      <c r="AP556" s="216">
        <f t="shared" si="302"/>
        <v>0</v>
      </c>
    </row>
    <row r="557" spans="1:42" s="101" customFormat="1" x14ac:dyDescent="0.2">
      <c r="A557" s="187" t="s">
        <v>161</v>
      </c>
      <c r="C557" s="186">
        <f>C$5/1000</f>
        <v>16188.48</v>
      </c>
      <c r="D557" s="186">
        <f>D$5/1000</f>
        <v>16107.5376</v>
      </c>
      <c r="E557" s="186">
        <f t="shared" ref="E557:AP557" si="303">E$5/1000</f>
        <v>16026.999912000001</v>
      </c>
      <c r="F557" s="186">
        <f t="shared" si="303"/>
        <v>15946.86491244</v>
      </c>
      <c r="G557" s="186">
        <f t="shared" si="303"/>
        <v>15867.1305878778</v>
      </c>
      <c r="H557" s="186">
        <f t="shared" si="303"/>
        <v>15787.794934938413</v>
      </c>
      <c r="I557" s="186">
        <f t="shared" si="303"/>
        <v>15708.85596026372</v>
      </c>
      <c r="J557" s="186">
        <f t="shared" si="303"/>
        <v>15630.311680462401</v>
      </c>
      <c r="K557" s="186">
        <f t="shared" si="303"/>
        <v>15552.16012206009</v>
      </c>
      <c r="L557" s="186">
        <f t="shared" si="303"/>
        <v>15474.399321449788</v>
      </c>
      <c r="M557" s="186">
        <f t="shared" si="303"/>
        <v>15397.02732484254</v>
      </c>
      <c r="N557" s="186">
        <f t="shared" si="303"/>
        <v>15320.042188218327</v>
      </c>
      <c r="O557" s="186">
        <f t="shared" si="303"/>
        <v>15243.441977277236</v>
      </c>
      <c r="P557" s="186">
        <f t="shared" si="303"/>
        <v>15167.224767390851</v>
      </c>
      <c r="Q557" s="186">
        <f t="shared" si="303"/>
        <v>15091.388643553897</v>
      </c>
      <c r="R557" s="186">
        <f t="shared" si="303"/>
        <v>15015.931700336127</v>
      </c>
      <c r="S557" s="186">
        <f t="shared" si="303"/>
        <v>14940.852041834445</v>
      </c>
      <c r="T557" s="186">
        <f t="shared" si="303"/>
        <v>14866.147781625275</v>
      </c>
      <c r="U557" s="186">
        <f t="shared" si="303"/>
        <v>14791.817042717148</v>
      </c>
      <c r="V557" s="186">
        <f t="shared" si="303"/>
        <v>14717.85795750356</v>
      </c>
      <c r="W557" s="186">
        <f t="shared" si="303"/>
        <v>14644.268667716045</v>
      </c>
      <c r="X557" s="186">
        <f t="shared" si="303"/>
        <v>14571.047324377465</v>
      </c>
      <c r="Y557" s="186">
        <f t="shared" si="303"/>
        <v>14498.192087755579</v>
      </c>
      <c r="Z557" s="186">
        <f t="shared" si="303"/>
        <v>14425.701127316799</v>
      </c>
      <c r="AA557" s="186">
        <f t="shared" si="303"/>
        <v>14353.572621680216</v>
      </c>
      <c r="AB557" s="186">
        <f t="shared" si="303"/>
        <v>14281.804758571814</v>
      </c>
      <c r="AC557" s="186">
        <f t="shared" si="303"/>
        <v>14210.395734778956</v>
      </c>
      <c r="AD557" s="186">
        <f t="shared" si="303"/>
        <v>14139.34375610506</v>
      </c>
      <c r="AE557" s="186">
        <f t="shared" si="303"/>
        <v>14068.647037324537</v>
      </c>
      <c r="AF557" s="186">
        <f t="shared" si="303"/>
        <v>13998.303802137914</v>
      </c>
      <c r="AG557" s="186">
        <f t="shared" si="303"/>
        <v>13928.312283127225</v>
      </c>
      <c r="AH557" s="186">
        <f t="shared" si="303"/>
        <v>13858.670721711587</v>
      </c>
      <c r="AI557" s="186">
        <f t="shared" si="303"/>
        <v>13789.377368103029</v>
      </c>
      <c r="AJ557" s="186">
        <f t="shared" si="303"/>
        <v>13720.430481262514</v>
      </c>
      <c r="AK557" s="186">
        <f t="shared" si="303"/>
        <v>13651.828328856202</v>
      </c>
      <c r="AL557" s="186">
        <f t="shared" si="303"/>
        <v>13583.569187211922</v>
      </c>
      <c r="AM557" s="186">
        <f t="shared" si="303"/>
        <v>13515.651341275861</v>
      </c>
      <c r="AN557" s="186">
        <f t="shared" si="303"/>
        <v>13448.073084569483</v>
      </c>
      <c r="AO557" s="186">
        <f t="shared" si="303"/>
        <v>13380.832719146636</v>
      </c>
      <c r="AP557" s="186">
        <f t="shared" si="303"/>
        <v>13313.928555550903</v>
      </c>
    </row>
    <row r="558" spans="1:42" s="101" customFormat="1" x14ac:dyDescent="0.2">
      <c r="A558" s="187" t="s">
        <v>53</v>
      </c>
      <c r="C558" s="124">
        <f>C556*C557</f>
        <v>0</v>
      </c>
      <c r="D558" s="124">
        <f>D556*D557</f>
        <v>0</v>
      </c>
      <c r="E558" s="124">
        <f t="shared" ref="E558:AP558" si="304">E556*E557</f>
        <v>0</v>
      </c>
      <c r="F558" s="124">
        <f t="shared" si="304"/>
        <v>0</v>
      </c>
      <c r="G558" s="124">
        <f t="shared" si="304"/>
        <v>0</v>
      </c>
      <c r="H558" s="124">
        <f t="shared" si="304"/>
        <v>0</v>
      </c>
      <c r="I558" s="124">
        <f t="shared" si="304"/>
        <v>0</v>
      </c>
      <c r="J558" s="124">
        <f t="shared" si="304"/>
        <v>0</v>
      </c>
      <c r="K558" s="124">
        <f t="shared" si="304"/>
        <v>0</v>
      </c>
      <c r="L558" s="124">
        <f t="shared" si="304"/>
        <v>0</v>
      </c>
      <c r="M558" s="124">
        <f t="shared" si="304"/>
        <v>0</v>
      </c>
      <c r="N558" s="124">
        <f t="shared" si="304"/>
        <v>0</v>
      </c>
      <c r="O558" s="124">
        <f t="shared" si="304"/>
        <v>0</v>
      </c>
      <c r="P558" s="124">
        <f t="shared" si="304"/>
        <v>0</v>
      </c>
      <c r="Q558" s="124">
        <f t="shared" si="304"/>
        <v>0</v>
      </c>
      <c r="R558" s="124">
        <f t="shared" si="304"/>
        <v>0</v>
      </c>
      <c r="S558" s="124">
        <f t="shared" si="304"/>
        <v>0</v>
      </c>
      <c r="T558" s="124">
        <f t="shared" si="304"/>
        <v>0</v>
      </c>
      <c r="U558" s="124">
        <f t="shared" si="304"/>
        <v>0</v>
      </c>
      <c r="V558" s="124">
        <f t="shared" si="304"/>
        <v>0</v>
      </c>
      <c r="W558" s="124">
        <f t="shared" si="304"/>
        <v>0</v>
      </c>
      <c r="X558" s="124">
        <f t="shared" si="304"/>
        <v>0</v>
      </c>
      <c r="Y558" s="124">
        <f t="shared" si="304"/>
        <v>0</v>
      </c>
      <c r="Z558" s="124">
        <f t="shared" si="304"/>
        <v>0</v>
      </c>
      <c r="AA558" s="124">
        <f t="shared" si="304"/>
        <v>0</v>
      </c>
      <c r="AB558" s="124">
        <f t="shared" si="304"/>
        <v>0</v>
      </c>
      <c r="AC558" s="124">
        <f t="shared" si="304"/>
        <v>0</v>
      </c>
      <c r="AD558" s="124">
        <f t="shared" si="304"/>
        <v>0</v>
      </c>
      <c r="AE558" s="124">
        <f t="shared" si="304"/>
        <v>0</v>
      </c>
      <c r="AF558" s="124">
        <f t="shared" si="304"/>
        <v>0</v>
      </c>
      <c r="AG558" s="124">
        <f t="shared" si="304"/>
        <v>0</v>
      </c>
      <c r="AH558" s="124">
        <f t="shared" si="304"/>
        <v>0</v>
      </c>
      <c r="AI558" s="124">
        <f t="shared" si="304"/>
        <v>0</v>
      </c>
      <c r="AJ558" s="124">
        <f t="shared" si="304"/>
        <v>0</v>
      </c>
      <c r="AK558" s="124">
        <f t="shared" si="304"/>
        <v>0</v>
      </c>
      <c r="AL558" s="124">
        <f t="shared" si="304"/>
        <v>0</v>
      </c>
      <c r="AM558" s="124">
        <f t="shared" si="304"/>
        <v>0</v>
      </c>
      <c r="AN558" s="124">
        <f t="shared" si="304"/>
        <v>0</v>
      </c>
      <c r="AO558" s="124">
        <f t="shared" si="304"/>
        <v>0</v>
      </c>
      <c r="AP558" s="124">
        <f t="shared" si="304"/>
        <v>0</v>
      </c>
    </row>
    <row r="559" spans="1:42" s="101" customFormat="1" x14ac:dyDescent="0.2">
      <c r="A559" s="187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</row>
    <row r="560" spans="1:42" x14ac:dyDescent="0.2">
      <c r="A560" s="162" t="s">
        <v>58</v>
      </c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</row>
    <row r="561" spans="1:42" x14ac:dyDescent="0.2">
      <c r="A561" s="180" t="str">
        <f>'Inputs &amp; Results'!A54</f>
        <v>Fixed Amount ($)</v>
      </c>
      <c r="B561" s="101"/>
      <c r="C561" s="101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</row>
    <row r="562" spans="1:42" x14ac:dyDescent="0.2">
      <c r="A562" s="187" t="str">
        <f>'Inputs &amp; Results'!A55</f>
        <v>Federal</v>
      </c>
      <c r="B562" s="101"/>
      <c r="C562" s="181">
        <f>IBIFedFixed</f>
        <v>0</v>
      </c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</row>
    <row r="563" spans="1:42" x14ac:dyDescent="0.2">
      <c r="A563" s="187" t="str">
        <f>'Inputs &amp; Results'!A56</f>
        <v>State</v>
      </c>
      <c r="B563" s="101"/>
      <c r="C563" s="181">
        <f>IBIStateFixed</f>
        <v>0</v>
      </c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</row>
    <row r="564" spans="1:42" x14ac:dyDescent="0.2">
      <c r="A564" s="187" t="str">
        <f>'Inputs &amp; Results'!A57</f>
        <v>Utility</v>
      </c>
      <c r="B564" s="101"/>
      <c r="C564" s="181">
        <f>IBIUtilityFixed</f>
        <v>0</v>
      </c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</row>
    <row r="565" spans="1:42" x14ac:dyDescent="0.2">
      <c r="A565" s="187" t="str">
        <f>'Inputs &amp; Results'!A58</f>
        <v>Other</v>
      </c>
      <c r="C565" s="186">
        <f>IBIOtherFixed</f>
        <v>0</v>
      </c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</row>
    <row r="566" spans="1:42" x14ac:dyDescent="0.2">
      <c r="A566" s="167" t="s">
        <v>53</v>
      </c>
      <c r="C566" s="169">
        <f>SUM(C562:C565)</f>
        <v>0</v>
      </c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</row>
    <row r="567" spans="1:42" x14ac:dyDescent="0.2">
      <c r="A567" s="180" t="str">
        <f>'Inputs &amp; Results'!A59</f>
        <v>Percentage of Pre-Financing Costs</v>
      </c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</row>
    <row r="568" spans="1:42" x14ac:dyDescent="0.2">
      <c r="A568" s="187" t="str">
        <f>'Inputs &amp; Results'!A60</f>
        <v>Federal</v>
      </c>
      <c r="C568" s="181">
        <f>IBIFedPercent</f>
        <v>0</v>
      </c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</row>
    <row r="569" spans="1:42" x14ac:dyDescent="0.2">
      <c r="A569" s="187" t="str">
        <f>'Inputs &amp; Results'!A61</f>
        <v>State</v>
      </c>
      <c r="C569" s="181">
        <f>IBIStatePercent</f>
        <v>0</v>
      </c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</row>
    <row r="570" spans="1:42" x14ac:dyDescent="0.2">
      <c r="A570" s="187" t="str">
        <f>'Inputs &amp; Results'!A62</f>
        <v>Utility</v>
      </c>
      <c r="C570" s="181">
        <f>IBIUtilityPercent</f>
        <v>0</v>
      </c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</row>
    <row r="571" spans="1:42" x14ac:dyDescent="0.2">
      <c r="A571" s="187" t="str">
        <f>'Inputs &amp; Results'!A63</f>
        <v>Other</v>
      </c>
      <c r="C571" s="186">
        <f>IBIOtherPercent</f>
        <v>0</v>
      </c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</row>
    <row r="572" spans="1:42" x14ac:dyDescent="0.2">
      <c r="A572" s="187" t="s">
        <v>53</v>
      </c>
      <c r="C572" s="169">
        <f>SUM(C568:C571)</f>
        <v>0</v>
      </c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</row>
    <row r="573" spans="1:42" x14ac:dyDescent="0.2">
      <c r="A573" s="162" t="s">
        <v>120</v>
      </c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</row>
    <row r="574" spans="1:42" x14ac:dyDescent="0.2">
      <c r="A574" s="180" t="str">
        <f>'Inputs &amp; Results'!A65</f>
        <v>Federal</v>
      </c>
      <c r="B574" s="101"/>
      <c r="C574" s="181">
        <f>CBIFed</f>
        <v>0</v>
      </c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</row>
    <row r="575" spans="1:42" x14ac:dyDescent="0.2">
      <c r="A575" s="180" t="str">
        <f>'Inputs &amp; Results'!A66</f>
        <v>State</v>
      </c>
      <c r="B575" s="101"/>
      <c r="C575" s="181">
        <f>CBIState</f>
        <v>0</v>
      </c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</row>
    <row r="576" spans="1:42" x14ac:dyDescent="0.2">
      <c r="A576" s="180" t="str">
        <f>'Inputs &amp; Results'!A67</f>
        <v>Utility</v>
      </c>
      <c r="B576" s="101"/>
      <c r="C576" s="181">
        <f>CBIUtility</f>
        <v>0</v>
      </c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</row>
    <row r="577" spans="1:42" x14ac:dyDescent="0.2">
      <c r="A577" s="180" t="str">
        <f>'Inputs &amp; Results'!A68</f>
        <v>Other</v>
      </c>
      <c r="C577" s="186">
        <f>CBIOther</f>
        <v>0</v>
      </c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</row>
    <row r="578" spans="1:42" x14ac:dyDescent="0.2">
      <c r="A578" s="163" t="s">
        <v>53</v>
      </c>
      <c r="C578" s="169">
        <f>SUM(C574:C577)</f>
        <v>0</v>
      </c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</row>
    <row r="579" spans="1:42" x14ac:dyDescent="0.2"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</row>
    <row r="580" spans="1:42" x14ac:dyDescent="0.2">
      <c r="A580" s="162" t="s">
        <v>117</v>
      </c>
    </row>
    <row r="581" spans="1:42" x14ac:dyDescent="0.2">
      <c r="A581" s="163" t="str">
        <f>'Inputs &amp; Results'!A72</f>
        <v>Federal</v>
      </c>
    </row>
    <row r="582" spans="1:42" x14ac:dyDescent="0.2">
      <c r="A582" s="167" t="s">
        <v>118</v>
      </c>
      <c r="C582" s="215">
        <f t="shared" ref="C582:AP582" si="305">IF(AND(C$2&lt;=PBIFedTerm,C$2&lt;=AnalysisPeriod),PBIFed*(1+PBIFedEsc)^B$2,0)</f>
        <v>0</v>
      </c>
      <c r="D582" s="215">
        <f t="shared" si="305"/>
        <v>0</v>
      </c>
      <c r="E582" s="215">
        <f t="shared" si="305"/>
        <v>0</v>
      </c>
      <c r="F582" s="215">
        <f t="shared" si="305"/>
        <v>0</v>
      </c>
      <c r="G582" s="215">
        <f t="shared" si="305"/>
        <v>0</v>
      </c>
      <c r="H582" s="215">
        <f t="shared" si="305"/>
        <v>0</v>
      </c>
      <c r="I582" s="215">
        <f t="shared" si="305"/>
        <v>0</v>
      </c>
      <c r="J582" s="215">
        <f t="shared" si="305"/>
        <v>0</v>
      </c>
      <c r="K582" s="215">
        <f t="shared" si="305"/>
        <v>0</v>
      </c>
      <c r="L582" s="215">
        <f t="shared" si="305"/>
        <v>0</v>
      </c>
      <c r="M582" s="215">
        <f t="shared" si="305"/>
        <v>0</v>
      </c>
      <c r="N582" s="215">
        <f t="shared" si="305"/>
        <v>0</v>
      </c>
      <c r="O582" s="215">
        <f t="shared" si="305"/>
        <v>0</v>
      </c>
      <c r="P582" s="215">
        <f t="shared" si="305"/>
        <v>0</v>
      </c>
      <c r="Q582" s="215">
        <f t="shared" si="305"/>
        <v>0</v>
      </c>
      <c r="R582" s="215">
        <f t="shared" si="305"/>
        <v>0</v>
      </c>
      <c r="S582" s="215">
        <f t="shared" si="305"/>
        <v>0</v>
      </c>
      <c r="T582" s="215">
        <f t="shared" si="305"/>
        <v>0</v>
      </c>
      <c r="U582" s="215">
        <f t="shared" si="305"/>
        <v>0</v>
      </c>
      <c r="V582" s="215">
        <f t="shared" si="305"/>
        <v>0</v>
      </c>
      <c r="W582" s="215">
        <f t="shared" si="305"/>
        <v>0</v>
      </c>
      <c r="X582" s="215">
        <f t="shared" si="305"/>
        <v>0</v>
      </c>
      <c r="Y582" s="215">
        <f t="shared" si="305"/>
        <v>0</v>
      </c>
      <c r="Z582" s="215">
        <f t="shared" si="305"/>
        <v>0</v>
      </c>
      <c r="AA582" s="215">
        <f t="shared" si="305"/>
        <v>0</v>
      </c>
      <c r="AB582" s="215">
        <f t="shared" si="305"/>
        <v>0</v>
      </c>
      <c r="AC582" s="215">
        <f t="shared" si="305"/>
        <v>0</v>
      </c>
      <c r="AD582" s="215">
        <f t="shared" si="305"/>
        <v>0</v>
      </c>
      <c r="AE582" s="215">
        <f t="shared" si="305"/>
        <v>0</v>
      </c>
      <c r="AF582" s="215">
        <f t="shared" si="305"/>
        <v>0</v>
      </c>
      <c r="AG582" s="215">
        <f t="shared" si="305"/>
        <v>0</v>
      </c>
      <c r="AH582" s="215">
        <f t="shared" si="305"/>
        <v>0</v>
      </c>
      <c r="AI582" s="215">
        <f t="shared" si="305"/>
        <v>0</v>
      </c>
      <c r="AJ582" s="215">
        <f t="shared" si="305"/>
        <v>0</v>
      </c>
      <c r="AK582" s="215">
        <f t="shared" si="305"/>
        <v>0</v>
      </c>
      <c r="AL582" s="215">
        <f t="shared" si="305"/>
        <v>0</v>
      </c>
      <c r="AM582" s="215">
        <f t="shared" si="305"/>
        <v>0</v>
      </c>
      <c r="AN582" s="215">
        <f t="shared" si="305"/>
        <v>0</v>
      </c>
      <c r="AO582" s="215">
        <f t="shared" si="305"/>
        <v>0</v>
      </c>
      <c r="AP582" s="215">
        <f t="shared" si="305"/>
        <v>0</v>
      </c>
    </row>
    <row r="583" spans="1:42" x14ac:dyDescent="0.2">
      <c r="A583" s="167" t="s">
        <v>119</v>
      </c>
      <c r="C583" s="186">
        <f>C$5</f>
        <v>16188480</v>
      </c>
      <c r="D583" s="186">
        <f t="shared" ref="D583:AP583" si="306">D$5</f>
        <v>16107537.6</v>
      </c>
      <c r="E583" s="186">
        <f t="shared" si="306"/>
        <v>16026999.912</v>
      </c>
      <c r="F583" s="186">
        <f t="shared" si="306"/>
        <v>15946864.91244</v>
      </c>
      <c r="G583" s="186">
        <f t="shared" si="306"/>
        <v>15867130.587877801</v>
      </c>
      <c r="H583" s="186">
        <f t="shared" si="306"/>
        <v>15787794.934938412</v>
      </c>
      <c r="I583" s="186">
        <f t="shared" si="306"/>
        <v>15708855.96026372</v>
      </c>
      <c r="J583" s="186">
        <f t="shared" si="306"/>
        <v>15630311.680462401</v>
      </c>
      <c r="K583" s="186">
        <f t="shared" si="306"/>
        <v>15552160.12206009</v>
      </c>
      <c r="L583" s="186">
        <f t="shared" si="306"/>
        <v>15474399.321449788</v>
      </c>
      <c r="M583" s="186">
        <f t="shared" si="306"/>
        <v>15397027.324842541</v>
      </c>
      <c r="N583" s="186">
        <f t="shared" si="306"/>
        <v>15320042.188218327</v>
      </c>
      <c r="O583" s="186">
        <f t="shared" si="306"/>
        <v>15243441.977277236</v>
      </c>
      <c r="P583" s="186">
        <f t="shared" si="306"/>
        <v>15167224.767390851</v>
      </c>
      <c r="Q583" s="186">
        <f t="shared" si="306"/>
        <v>15091388.643553898</v>
      </c>
      <c r="R583" s="186">
        <f t="shared" si="306"/>
        <v>15015931.700336127</v>
      </c>
      <c r="S583" s="186">
        <f t="shared" si="306"/>
        <v>14940852.041834446</v>
      </c>
      <c r="T583" s="186">
        <f t="shared" si="306"/>
        <v>14866147.781625275</v>
      </c>
      <c r="U583" s="186">
        <f t="shared" si="306"/>
        <v>14791817.042717148</v>
      </c>
      <c r="V583" s="186">
        <f t="shared" si="306"/>
        <v>14717857.957503561</v>
      </c>
      <c r="W583" s="186">
        <f t="shared" si="306"/>
        <v>14644268.667716045</v>
      </c>
      <c r="X583" s="186">
        <f t="shared" si="306"/>
        <v>14571047.324377464</v>
      </c>
      <c r="Y583" s="186">
        <f t="shared" si="306"/>
        <v>14498192.087755578</v>
      </c>
      <c r="Z583" s="186">
        <f t="shared" si="306"/>
        <v>14425701.127316799</v>
      </c>
      <c r="AA583" s="186">
        <f t="shared" si="306"/>
        <v>14353572.621680215</v>
      </c>
      <c r="AB583" s="186">
        <f t="shared" si="306"/>
        <v>14281804.758571815</v>
      </c>
      <c r="AC583" s="186">
        <f t="shared" si="306"/>
        <v>14210395.734778956</v>
      </c>
      <c r="AD583" s="186">
        <f t="shared" si="306"/>
        <v>14139343.75610506</v>
      </c>
      <c r="AE583" s="186">
        <f t="shared" si="306"/>
        <v>14068647.037324537</v>
      </c>
      <c r="AF583" s="186">
        <f t="shared" si="306"/>
        <v>13998303.802137915</v>
      </c>
      <c r="AG583" s="186">
        <f t="shared" si="306"/>
        <v>13928312.283127224</v>
      </c>
      <c r="AH583" s="186">
        <f t="shared" si="306"/>
        <v>13858670.721711587</v>
      </c>
      <c r="AI583" s="186">
        <f t="shared" si="306"/>
        <v>13789377.368103029</v>
      </c>
      <c r="AJ583" s="186">
        <f t="shared" si="306"/>
        <v>13720430.481262514</v>
      </c>
      <c r="AK583" s="186">
        <f t="shared" si="306"/>
        <v>13651828.328856202</v>
      </c>
      <c r="AL583" s="186">
        <f t="shared" si="306"/>
        <v>13583569.187211921</v>
      </c>
      <c r="AM583" s="186">
        <f t="shared" si="306"/>
        <v>13515651.341275861</v>
      </c>
      <c r="AN583" s="186">
        <f t="shared" si="306"/>
        <v>13448073.084569484</v>
      </c>
      <c r="AO583" s="186">
        <f t="shared" si="306"/>
        <v>13380832.719146635</v>
      </c>
      <c r="AP583" s="186">
        <f t="shared" si="306"/>
        <v>13313928.555550903</v>
      </c>
    </row>
    <row r="584" spans="1:42" x14ac:dyDescent="0.2">
      <c r="A584" s="167" t="s">
        <v>53</v>
      </c>
      <c r="C584" s="181">
        <f>C582*C583</f>
        <v>0</v>
      </c>
      <c r="D584" s="181">
        <f t="shared" ref="D584:AP584" si="307">D582*D583</f>
        <v>0</v>
      </c>
      <c r="E584" s="181">
        <f t="shared" si="307"/>
        <v>0</v>
      </c>
      <c r="F584" s="181">
        <f t="shared" si="307"/>
        <v>0</v>
      </c>
      <c r="G584" s="181">
        <f t="shared" si="307"/>
        <v>0</v>
      </c>
      <c r="H584" s="181">
        <f t="shared" si="307"/>
        <v>0</v>
      </c>
      <c r="I584" s="181">
        <f t="shared" si="307"/>
        <v>0</v>
      </c>
      <c r="J584" s="181">
        <f t="shared" si="307"/>
        <v>0</v>
      </c>
      <c r="K584" s="181">
        <f t="shared" si="307"/>
        <v>0</v>
      </c>
      <c r="L584" s="181">
        <f t="shared" si="307"/>
        <v>0</v>
      </c>
      <c r="M584" s="181">
        <f t="shared" si="307"/>
        <v>0</v>
      </c>
      <c r="N584" s="181">
        <f t="shared" si="307"/>
        <v>0</v>
      </c>
      <c r="O584" s="181">
        <f t="shared" si="307"/>
        <v>0</v>
      </c>
      <c r="P584" s="181">
        <f t="shared" si="307"/>
        <v>0</v>
      </c>
      <c r="Q584" s="181">
        <f t="shared" si="307"/>
        <v>0</v>
      </c>
      <c r="R584" s="181">
        <f t="shared" si="307"/>
        <v>0</v>
      </c>
      <c r="S584" s="181">
        <f t="shared" si="307"/>
        <v>0</v>
      </c>
      <c r="T584" s="181">
        <f t="shared" si="307"/>
        <v>0</v>
      </c>
      <c r="U584" s="181">
        <f t="shared" si="307"/>
        <v>0</v>
      </c>
      <c r="V584" s="181">
        <f t="shared" si="307"/>
        <v>0</v>
      </c>
      <c r="W584" s="181">
        <f t="shared" si="307"/>
        <v>0</v>
      </c>
      <c r="X584" s="181">
        <f t="shared" si="307"/>
        <v>0</v>
      </c>
      <c r="Y584" s="181">
        <f t="shared" si="307"/>
        <v>0</v>
      </c>
      <c r="Z584" s="181">
        <f t="shared" si="307"/>
        <v>0</v>
      </c>
      <c r="AA584" s="181">
        <f t="shared" si="307"/>
        <v>0</v>
      </c>
      <c r="AB584" s="181">
        <f t="shared" si="307"/>
        <v>0</v>
      </c>
      <c r="AC584" s="181">
        <f t="shared" si="307"/>
        <v>0</v>
      </c>
      <c r="AD584" s="181">
        <f t="shared" si="307"/>
        <v>0</v>
      </c>
      <c r="AE584" s="181">
        <f t="shared" si="307"/>
        <v>0</v>
      </c>
      <c r="AF584" s="181">
        <f t="shared" si="307"/>
        <v>0</v>
      </c>
      <c r="AG584" s="181">
        <f t="shared" si="307"/>
        <v>0</v>
      </c>
      <c r="AH584" s="181">
        <f t="shared" si="307"/>
        <v>0</v>
      </c>
      <c r="AI584" s="181">
        <f t="shared" si="307"/>
        <v>0</v>
      </c>
      <c r="AJ584" s="181">
        <f t="shared" si="307"/>
        <v>0</v>
      </c>
      <c r="AK584" s="181">
        <f t="shared" si="307"/>
        <v>0</v>
      </c>
      <c r="AL584" s="181">
        <f t="shared" si="307"/>
        <v>0</v>
      </c>
      <c r="AM584" s="181">
        <f t="shared" si="307"/>
        <v>0</v>
      </c>
      <c r="AN584" s="181">
        <f t="shared" si="307"/>
        <v>0</v>
      </c>
      <c r="AO584" s="181">
        <f t="shared" si="307"/>
        <v>0</v>
      </c>
      <c r="AP584" s="181">
        <f t="shared" si="307"/>
        <v>0</v>
      </c>
    </row>
    <row r="585" spans="1:42" x14ac:dyDescent="0.2">
      <c r="A585" s="163" t="str">
        <f>'Inputs &amp; Results'!A73</f>
        <v>State</v>
      </c>
      <c r="D585" s="265"/>
    </row>
    <row r="586" spans="1:42" x14ac:dyDescent="0.2">
      <c r="A586" s="167" t="s">
        <v>118</v>
      </c>
      <c r="C586" s="215">
        <f t="shared" ref="C586:AP586" si="308">IF(AND(C$2&lt;=PBIStateTerm,C$2&lt;=AnalysisPeriod),PBIState*(1+PBIStateEsc)^B$2,0)</f>
        <v>0</v>
      </c>
      <c r="D586" s="215">
        <f t="shared" si="308"/>
        <v>0</v>
      </c>
      <c r="E586" s="215">
        <f t="shared" si="308"/>
        <v>0</v>
      </c>
      <c r="F586" s="215">
        <f t="shared" si="308"/>
        <v>0</v>
      </c>
      <c r="G586" s="215">
        <f t="shared" si="308"/>
        <v>0</v>
      </c>
      <c r="H586" s="215">
        <f t="shared" si="308"/>
        <v>0</v>
      </c>
      <c r="I586" s="215">
        <f t="shared" si="308"/>
        <v>0</v>
      </c>
      <c r="J586" s="215">
        <f t="shared" si="308"/>
        <v>0</v>
      </c>
      <c r="K586" s="215">
        <f t="shared" si="308"/>
        <v>0</v>
      </c>
      <c r="L586" s="215">
        <f t="shared" si="308"/>
        <v>0</v>
      </c>
      <c r="M586" s="215">
        <f t="shared" si="308"/>
        <v>0</v>
      </c>
      <c r="N586" s="215">
        <f t="shared" si="308"/>
        <v>0</v>
      </c>
      <c r="O586" s="215">
        <f t="shared" si="308"/>
        <v>0</v>
      </c>
      <c r="P586" s="215">
        <f t="shared" si="308"/>
        <v>0</v>
      </c>
      <c r="Q586" s="215">
        <f t="shared" si="308"/>
        <v>0</v>
      </c>
      <c r="R586" s="215">
        <f t="shared" si="308"/>
        <v>0</v>
      </c>
      <c r="S586" s="215">
        <f t="shared" si="308"/>
        <v>0</v>
      </c>
      <c r="T586" s="215">
        <f t="shared" si="308"/>
        <v>0</v>
      </c>
      <c r="U586" s="215">
        <f t="shared" si="308"/>
        <v>0</v>
      </c>
      <c r="V586" s="215">
        <f t="shared" si="308"/>
        <v>0</v>
      </c>
      <c r="W586" s="215">
        <f t="shared" si="308"/>
        <v>0</v>
      </c>
      <c r="X586" s="215">
        <f t="shared" si="308"/>
        <v>0</v>
      </c>
      <c r="Y586" s="215">
        <f t="shared" si="308"/>
        <v>0</v>
      </c>
      <c r="Z586" s="215">
        <f t="shared" si="308"/>
        <v>0</v>
      </c>
      <c r="AA586" s="215">
        <f t="shared" si="308"/>
        <v>0</v>
      </c>
      <c r="AB586" s="215">
        <f t="shared" si="308"/>
        <v>0</v>
      </c>
      <c r="AC586" s="215">
        <f t="shared" si="308"/>
        <v>0</v>
      </c>
      <c r="AD586" s="215">
        <f t="shared" si="308"/>
        <v>0</v>
      </c>
      <c r="AE586" s="215">
        <f t="shared" si="308"/>
        <v>0</v>
      </c>
      <c r="AF586" s="215">
        <f t="shared" si="308"/>
        <v>0</v>
      </c>
      <c r="AG586" s="215">
        <f t="shared" si="308"/>
        <v>0</v>
      </c>
      <c r="AH586" s="215">
        <f t="shared" si="308"/>
        <v>0</v>
      </c>
      <c r="AI586" s="215">
        <f t="shared" si="308"/>
        <v>0</v>
      </c>
      <c r="AJ586" s="215">
        <f t="shared" si="308"/>
        <v>0</v>
      </c>
      <c r="AK586" s="215">
        <f t="shared" si="308"/>
        <v>0</v>
      </c>
      <c r="AL586" s="215">
        <f t="shared" si="308"/>
        <v>0</v>
      </c>
      <c r="AM586" s="215">
        <f t="shared" si="308"/>
        <v>0</v>
      </c>
      <c r="AN586" s="215">
        <f t="shared" si="308"/>
        <v>0</v>
      </c>
      <c r="AO586" s="215">
        <f t="shared" si="308"/>
        <v>0</v>
      </c>
      <c r="AP586" s="215">
        <f t="shared" si="308"/>
        <v>0</v>
      </c>
    </row>
    <row r="587" spans="1:42" x14ac:dyDescent="0.2">
      <c r="A587" s="167" t="s">
        <v>119</v>
      </c>
      <c r="C587" s="186">
        <f>C$5</f>
        <v>16188480</v>
      </c>
      <c r="D587" s="186">
        <f t="shared" ref="D587:AP587" si="309">D$5</f>
        <v>16107537.6</v>
      </c>
      <c r="E587" s="186">
        <f t="shared" si="309"/>
        <v>16026999.912</v>
      </c>
      <c r="F587" s="186">
        <f t="shared" si="309"/>
        <v>15946864.91244</v>
      </c>
      <c r="G587" s="186">
        <f t="shared" si="309"/>
        <v>15867130.587877801</v>
      </c>
      <c r="H587" s="186">
        <f t="shared" si="309"/>
        <v>15787794.934938412</v>
      </c>
      <c r="I587" s="186">
        <f t="shared" si="309"/>
        <v>15708855.96026372</v>
      </c>
      <c r="J587" s="186">
        <f t="shared" si="309"/>
        <v>15630311.680462401</v>
      </c>
      <c r="K587" s="186">
        <f t="shared" si="309"/>
        <v>15552160.12206009</v>
      </c>
      <c r="L587" s="186">
        <f t="shared" si="309"/>
        <v>15474399.321449788</v>
      </c>
      <c r="M587" s="186">
        <f t="shared" si="309"/>
        <v>15397027.324842541</v>
      </c>
      <c r="N587" s="186">
        <f t="shared" si="309"/>
        <v>15320042.188218327</v>
      </c>
      <c r="O587" s="186">
        <f t="shared" si="309"/>
        <v>15243441.977277236</v>
      </c>
      <c r="P587" s="186">
        <f t="shared" si="309"/>
        <v>15167224.767390851</v>
      </c>
      <c r="Q587" s="186">
        <f t="shared" si="309"/>
        <v>15091388.643553898</v>
      </c>
      <c r="R587" s="186">
        <f t="shared" si="309"/>
        <v>15015931.700336127</v>
      </c>
      <c r="S587" s="186">
        <f t="shared" si="309"/>
        <v>14940852.041834446</v>
      </c>
      <c r="T587" s="186">
        <f t="shared" si="309"/>
        <v>14866147.781625275</v>
      </c>
      <c r="U587" s="186">
        <f t="shared" si="309"/>
        <v>14791817.042717148</v>
      </c>
      <c r="V587" s="186">
        <f t="shared" si="309"/>
        <v>14717857.957503561</v>
      </c>
      <c r="W587" s="186">
        <f t="shared" si="309"/>
        <v>14644268.667716045</v>
      </c>
      <c r="X587" s="186">
        <f t="shared" si="309"/>
        <v>14571047.324377464</v>
      </c>
      <c r="Y587" s="186">
        <f t="shared" si="309"/>
        <v>14498192.087755578</v>
      </c>
      <c r="Z587" s="186">
        <f t="shared" si="309"/>
        <v>14425701.127316799</v>
      </c>
      <c r="AA587" s="186">
        <f t="shared" si="309"/>
        <v>14353572.621680215</v>
      </c>
      <c r="AB587" s="186">
        <f t="shared" si="309"/>
        <v>14281804.758571815</v>
      </c>
      <c r="AC587" s="186">
        <f t="shared" si="309"/>
        <v>14210395.734778956</v>
      </c>
      <c r="AD587" s="186">
        <f t="shared" si="309"/>
        <v>14139343.75610506</v>
      </c>
      <c r="AE587" s="186">
        <f t="shared" si="309"/>
        <v>14068647.037324537</v>
      </c>
      <c r="AF587" s="186">
        <f t="shared" si="309"/>
        <v>13998303.802137915</v>
      </c>
      <c r="AG587" s="186">
        <f t="shared" si="309"/>
        <v>13928312.283127224</v>
      </c>
      <c r="AH587" s="186">
        <f t="shared" si="309"/>
        <v>13858670.721711587</v>
      </c>
      <c r="AI587" s="186">
        <f t="shared" si="309"/>
        <v>13789377.368103029</v>
      </c>
      <c r="AJ587" s="186">
        <f t="shared" si="309"/>
        <v>13720430.481262514</v>
      </c>
      <c r="AK587" s="186">
        <f t="shared" si="309"/>
        <v>13651828.328856202</v>
      </c>
      <c r="AL587" s="186">
        <f t="shared" si="309"/>
        <v>13583569.187211921</v>
      </c>
      <c r="AM587" s="186">
        <f t="shared" si="309"/>
        <v>13515651.341275861</v>
      </c>
      <c r="AN587" s="186">
        <f t="shared" si="309"/>
        <v>13448073.084569484</v>
      </c>
      <c r="AO587" s="186">
        <f t="shared" si="309"/>
        <v>13380832.719146635</v>
      </c>
      <c r="AP587" s="186">
        <f t="shared" si="309"/>
        <v>13313928.555550903</v>
      </c>
    </row>
    <row r="588" spans="1:42" x14ac:dyDescent="0.2">
      <c r="A588" s="167" t="s">
        <v>53</v>
      </c>
      <c r="C588" s="181">
        <f>C586*C587</f>
        <v>0</v>
      </c>
      <c r="D588" s="181">
        <f t="shared" ref="D588:AP588" si="310">D586*D587</f>
        <v>0</v>
      </c>
      <c r="E588" s="181">
        <f t="shared" si="310"/>
        <v>0</v>
      </c>
      <c r="F588" s="181">
        <f t="shared" si="310"/>
        <v>0</v>
      </c>
      <c r="G588" s="181">
        <f t="shared" si="310"/>
        <v>0</v>
      </c>
      <c r="H588" s="181">
        <f t="shared" si="310"/>
        <v>0</v>
      </c>
      <c r="I588" s="181">
        <f t="shared" si="310"/>
        <v>0</v>
      </c>
      <c r="J588" s="181">
        <f t="shared" si="310"/>
        <v>0</v>
      </c>
      <c r="K588" s="181">
        <f t="shared" si="310"/>
        <v>0</v>
      </c>
      <c r="L588" s="181">
        <f t="shared" si="310"/>
        <v>0</v>
      </c>
      <c r="M588" s="181">
        <f t="shared" si="310"/>
        <v>0</v>
      </c>
      <c r="N588" s="181">
        <f t="shared" si="310"/>
        <v>0</v>
      </c>
      <c r="O588" s="181">
        <f t="shared" si="310"/>
        <v>0</v>
      </c>
      <c r="P588" s="181">
        <f t="shared" si="310"/>
        <v>0</v>
      </c>
      <c r="Q588" s="181">
        <f t="shared" si="310"/>
        <v>0</v>
      </c>
      <c r="R588" s="181">
        <f t="shared" si="310"/>
        <v>0</v>
      </c>
      <c r="S588" s="181">
        <f t="shared" si="310"/>
        <v>0</v>
      </c>
      <c r="T588" s="181">
        <f t="shared" si="310"/>
        <v>0</v>
      </c>
      <c r="U588" s="181">
        <f t="shared" si="310"/>
        <v>0</v>
      </c>
      <c r="V588" s="181">
        <f t="shared" si="310"/>
        <v>0</v>
      </c>
      <c r="W588" s="181">
        <f t="shared" si="310"/>
        <v>0</v>
      </c>
      <c r="X588" s="181">
        <f t="shared" si="310"/>
        <v>0</v>
      </c>
      <c r="Y588" s="181">
        <f t="shared" si="310"/>
        <v>0</v>
      </c>
      <c r="Z588" s="181">
        <f t="shared" si="310"/>
        <v>0</v>
      </c>
      <c r="AA588" s="181">
        <f t="shared" si="310"/>
        <v>0</v>
      </c>
      <c r="AB588" s="181">
        <f t="shared" si="310"/>
        <v>0</v>
      </c>
      <c r="AC588" s="181">
        <f t="shared" si="310"/>
        <v>0</v>
      </c>
      <c r="AD588" s="181">
        <f t="shared" si="310"/>
        <v>0</v>
      </c>
      <c r="AE588" s="181">
        <f t="shared" si="310"/>
        <v>0</v>
      </c>
      <c r="AF588" s="181">
        <f t="shared" si="310"/>
        <v>0</v>
      </c>
      <c r="AG588" s="181">
        <f t="shared" si="310"/>
        <v>0</v>
      </c>
      <c r="AH588" s="181">
        <f t="shared" si="310"/>
        <v>0</v>
      </c>
      <c r="AI588" s="181">
        <f t="shared" si="310"/>
        <v>0</v>
      </c>
      <c r="AJ588" s="181">
        <f t="shared" si="310"/>
        <v>0</v>
      </c>
      <c r="AK588" s="181">
        <f t="shared" si="310"/>
        <v>0</v>
      </c>
      <c r="AL588" s="181">
        <f t="shared" si="310"/>
        <v>0</v>
      </c>
      <c r="AM588" s="181">
        <f t="shared" si="310"/>
        <v>0</v>
      </c>
      <c r="AN588" s="181">
        <f t="shared" si="310"/>
        <v>0</v>
      </c>
      <c r="AO588" s="181">
        <f t="shared" si="310"/>
        <v>0</v>
      </c>
      <c r="AP588" s="181">
        <f t="shared" si="310"/>
        <v>0</v>
      </c>
    </row>
    <row r="589" spans="1:42" x14ac:dyDescent="0.2">
      <c r="A589" s="163" t="str">
        <f>'Inputs &amp; Results'!A74</f>
        <v>Utility</v>
      </c>
    </row>
    <row r="590" spans="1:42" x14ac:dyDescent="0.2">
      <c r="A590" s="167" t="s">
        <v>118</v>
      </c>
      <c r="C590" s="215">
        <f t="shared" ref="C590:AP590" si="311">IF(AND(C$2&lt;=PBIUtilityTerm,C$2&lt;=AnalysisPeriod),PBIUtility*(1+PBIUtilityEsc)^B$2,0)</f>
        <v>0</v>
      </c>
      <c r="D590" s="215">
        <f t="shared" si="311"/>
        <v>0</v>
      </c>
      <c r="E590" s="215">
        <f t="shared" si="311"/>
        <v>0</v>
      </c>
      <c r="F590" s="215">
        <f t="shared" si="311"/>
        <v>0</v>
      </c>
      <c r="G590" s="215">
        <f t="shared" si="311"/>
        <v>0</v>
      </c>
      <c r="H590" s="215">
        <f t="shared" si="311"/>
        <v>0</v>
      </c>
      <c r="I590" s="215">
        <f t="shared" si="311"/>
        <v>0</v>
      </c>
      <c r="J590" s="215">
        <f t="shared" si="311"/>
        <v>0</v>
      </c>
      <c r="K590" s="215">
        <f t="shared" si="311"/>
        <v>0</v>
      </c>
      <c r="L590" s="215">
        <f t="shared" si="311"/>
        <v>0</v>
      </c>
      <c r="M590" s="215">
        <f t="shared" si="311"/>
        <v>0</v>
      </c>
      <c r="N590" s="215">
        <f t="shared" si="311"/>
        <v>0</v>
      </c>
      <c r="O590" s="215">
        <f t="shared" si="311"/>
        <v>0</v>
      </c>
      <c r="P590" s="215">
        <f t="shared" si="311"/>
        <v>0</v>
      </c>
      <c r="Q590" s="215">
        <f t="shared" si="311"/>
        <v>0</v>
      </c>
      <c r="R590" s="215">
        <f t="shared" si="311"/>
        <v>0</v>
      </c>
      <c r="S590" s="215">
        <f t="shared" si="311"/>
        <v>0</v>
      </c>
      <c r="T590" s="215">
        <f t="shared" si="311"/>
        <v>0</v>
      </c>
      <c r="U590" s="215">
        <f t="shared" si="311"/>
        <v>0</v>
      </c>
      <c r="V590" s="215">
        <f t="shared" si="311"/>
        <v>0</v>
      </c>
      <c r="W590" s="215">
        <f t="shared" si="311"/>
        <v>0</v>
      </c>
      <c r="X590" s="215">
        <f t="shared" si="311"/>
        <v>0</v>
      </c>
      <c r="Y590" s="215">
        <f t="shared" si="311"/>
        <v>0</v>
      </c>
      <c r="Z590" s="215">
        <f t="shared" si="311"/>
        <v>0</v>
      </c>
      <c r="AA590" s="215">
        <f t="shared" si="311"/>
        <v>0</v>
      </c>
      <c r="AB590" s="215">
        <f t="shared" si="311"/>
        <v>0</v>
      </c>
      <c r="AC590" s="215">
        <f t="shared" si="311"/>
        <v>0</v>
      </c>
      <c r="AD590" s="215">
        <f t="shared" si="311"/>
        <v>0</v>
      </c>
      <c r="AE590" s="215">
        <f t="shared" si="311"/>
        <v>0</v>
      </c>
      <c r="AF590" s="215">
        <f t="shared" si="311"/>
        <v>0</v>
      </c>
      <c r="AG590" s="215">
        <f t="shared" si="311"/>
        <v>0</v>
      </c>
      <c r="AH590" s="215">
        <f t="shared" si="311"/>
        <v>0</v>
      </c>
      <c r="AI590" s="215">
        <f t="shared" si="311"/>
        <v>0</v>
      </c>
      <c r="AJ590" s="215">
        <f t="shared" si="311"/>
        <v>0</v>
      </c>
      <c r="AK590" s="215">
        <f t="shared" si="311"/>
        <v>0</v>
      </c>
      <c r="AL590" s="215">
        <f t="shared" si="311"/>
        <v>0</v>
      </c>
      <c r="AM590" s="215">
        <f t="shared" si="311"/>
        <v>0</v>
      </c>
      <c r="AN590" s="215">
        <f t="shared" si="311"/>
        <v>0</v>
      </c>
      <c r="AO590" s="215">
        <f t="shared" si="311"/>
        <v>0</v>
      </c>
      <c r="AP590" s="215">
        <f t="shared" si="311"/>
        <v>0</v>
      </c>
    </row>
    <row r="591" spans="1:42" x14ac:dyDescent="0.2">
      <c r="A591" s="167" t="s">
        <v>119</v>
      </c>
      <c r="C591" s="186">
        <f>C$5</f>
        <v>16188480</v>
      </c>
      <c r="D591" s="186">
        <f t="shared" ref="D591:AP591" si="312">D$5</f>
        <v>16107537.6</v>
      </c>
      <c r="E591" s="186">
        <f t="shared" si="312"/>
        <v>16026999.912</v>
      </c>
      <c r="F591" s="186">
        <f t="shared" si="312"/>
        <v>15946864.91244</v>
      </c>
      <c r="G591" s="186">
        <f t="shared" si="312"/>
        <v>15867130.587877801</v>
      </c>
      <c r="H591" s="186">
        <f t="shared" si="312"/>
        <v>15787794.934938412</v>
      </c>
      <c r="I591" s="186">
        <f t="shared" si="312"/>
        <v>15708855.96026372</v>
      </c>
      <c r="J591" s="186">
        <f t="shared" si="312"/>
        <v>15630311.680462401</v>
      </c>
      <c r="K591" s="186">
        <f t="shared" si="312"/>
        <v>15552160.12206009</v>
      </c>
      <c r="L591" s="186">
        <f t="shared" si="312"/>
        <v>15474399.321449788</v>
      </c>
      <c r="M591" s="186">
        <f t="shared" si="312"/>
        <v>15397027.324842541</v>
      </c>
      <c r="N591" s="186">
        <f t="shared" si="312"/>
        <v>15320042.188218327</v>
      </c>
      <c r="O591" s="186">
        <f t="shared" si="312"/>
        <v>15243441.977277236</v>
      </c>
      <c r="P591" s="186">
        <f t="shared" si="312"/>
        <v>15167224.767390851</v>
      </c>
      <c r="Q591" s="186">
        <f t="shared" si="312"/>
        <v>15091388.643553898</v>
      </c>
      <c r="R591" s="186">
        <f t="shared" si="312"/>
        <v>15015931.700336127</v>
      </c>
      <c r="S591" s="186">
        <f t="shared" si="312"/>
        <v>14940852.041834446</v>
      </c>
      <c r="T591" s="186">
        <f t="shared" si="312"/>
        <v>14866147.781625275</v>
      </c>
      <c r="U591" s="186">
        <f t="shared" si="312"/>
        <v>14791817.042717148</v>
      </c>
      <c r="V591" s="186">
        <f t="shared" si="312"/>
        <v>14717857.957503561</v>
      </c>
      <c r="W591" s="186">
        <f t="shared" si="312"/>
        <v>14644268.667716045</v>
      </c>
      <c r="X591" s="186">
        <f t="shared" si="312"/>
        <v>14571047.324377464</v>
      </c>
      <c r="Y591" s="186">
        <f t="shared" si="312"/>
        <v>14498192.087755578</v>
      </c>
      <c r="Z591" s="186">
        <f t="shared" si="312"/>
        <v>14425701.127316799</v>
      </c>
      <c r="AA591" s="186">
        <f t="shared" si="312"/>
        <v>14353572.621680215</v>
      </c>
      <c r="AB591" s="186">
        <f t="shared" si="312"/>
        <v>14281804.758571815</v>
      </c>
      <c r="AC591" s="186">
        <f t="shared" si="312"/>
        <v>14210395.734778956</v>
      </c>
      <c r="AD591" s="186">
        <f t="shared" si="312"/>
        <v>14139343.75610506</v>
      </c>
      <c r="AE591" s="186">
        <f t="shared" si="312"/>
        <v>14068647.037324537</v>
      </c>
      <c r="AF591" s="186">
        <f t="shared" si="312"/>
        <v>13998303.802137915</v>
      </c>
      <c r="AG591" s="186">
        <f t="shared" si="312"/>
        <v>13928312.283127224</v>
      </c>
      <c r="AH591" s="186">
        <f t="shared" si="312"/>
        <v>13858670.721711587</v>
      </c>
      <c r="AI591" s="186">
        <f t="shared" si="312"/>
        <v>13789377.368103029</v>
      </c>
      <c r="AJ591" s="186">
        <f t="shared" si="312"/>
        <v>13720430.481262514</v>
      </c>
      <c r="AK591" s="186">
        <f t="shared" si="312"/>
        <v>13651828.328856202</v>
      </c>
      <c r="AL591" s="186">
        <f t="shared" si="312"/>
        <v>13583569.187211921</v>
      </c>
      <c r="AM591" s="186">
        <f t="shared" si="312"/>
        <v>13515651.341275861</v>
      </c>
      <c r="AN591" s="186">
        <f t="shared" si="312"/>
        <v>13448073.084569484</v>
      </c>
      <c r="AO591" s="186">
        <f t="shared" si="312"/>
        <v>13380832.719146635</v>
      </c>
      <c r="AP591" s="186">
        <f t="shared" si="312"/>
        <v>13313928.555550903</v>
      </c>
    </row>
    <row r="592" spans="1:42" x14ac:dyDescent="0.2">
      <c r="A592" s="167" t="s">
        <v>53</v>
      </c>
      <c r="C592" s="181">
        <f>C590*C591</f>
        <v>0</v>
      </c>
      <c r="D592" s="181">
        <f t="shared" ref="D592:AP592" si="313">D590*D591</f>
        <v>0</v>
      </c>
      <c r="E592" s="181">
        <f t="shared" si="313"/>
        <v>0</v>
      </c>
      <c r="F592" s="181">
        <f t="shared" si="313"/>
        <v>0</v>
      </c>
      <c r="G592" s="181">
        <f t="shared" si="313"/>
        <v>0</v>
      </c>
      <c r="H592" s="181">
        <f t="shared" si="313"/>
        <v>0</v>
      </c>
      <c r="I592" s="181">
        <f t="shared" si="313"/>
        <v>0</v>
      </c>
      <c r="J592" s="181">
        <f t="shared" si="313"/>
        <v>0</v>
      </c>
      <c r="K592" s="181">
        <f t="shared" si="313"/>
        <v>0</v>
      </c>
      <c r="L592" s="181">
        <f t="shared" si="313"/>
        <v>0</v>
      </c>
      <c r="M592" s="181">
        <f t="shared" si="313"/>
        <v>0</v>
      </c>
      <c r="N592" s="181">
        <f t="shared" si="313"/>
        <v>0</v>
      </c>
      <c r="O592" s="181">
        <f t="shared" si="313"/>
        <v>0</v>
      </c>
      <c r="P592" s="181">
        <f t="shared" si="313"/>
        <v>0</v>
      </c>
      <c r="Q592" s="181">
        <f t="shared" si="313"/>
        <v>0</v>
      </c>
      <c r="R592" s="181">
        <f t="shared" si="313"/>
        <v>0</v>
      </c>
      <c r="S592" s="181">
        <f t="shared" si="313"/>
        <v>0</v>
      </c>
      <c r="T592" s="181">
        <f t="shared" si="313"/>
        <v>0</v>
      </c>
      <c r="U592" s="181">
        <f t="shared" si="313"/>
        <v>0</v>
      </c>
      <c r="V592" s="181">
        <f t="shared" si="313"/>
        <v>0</v>
      </c>
      <c r="W592" s="181">
        <f t="shared" si="313"/>
        <v>0</v>
      </c>
      <c r="X592" s="181">
        <f t="shared" si="313"/>
        <v>0</v>
      </c>
      <c r="Y592" s="181">
        <f t="shared" si="313"/>
        <v>0</v>
      </c>
      <c r="Z592" s="181">
        <f t="shared" si="313"/>
        <v>0</v>
      </c>
      <c r="AA592" s="181">
        <f t="shared" si="313"/>
        <v>0</v>
      </c>
      <c r="AB592" s="181">
        <f t="shared" si="313"/>
        <v>0</v>
      </c>
      <c r="AC592" s="181">
        <f t="shared" si="313"/>
        <v>0</v>
      </c>
      <c r="AD592" s="181">
        <f t="shared" si="313"/>
        <v>0</v>
      </c>
      <c r="AE592" s="181">
        <f t="shared" si="313"/>
        <v>0</v>
      </c>
      <c r="AF592" s="181">
        <f t="shared" si="313"/>
        <v>0</v>
      </c>
      <c r="AG592" s="181">
        <f t="shared" si="313"/>
        <v>0</v>
      </c>
      <c r="AH592" s="181">
        <f t="shared" si="313"/>
        <v>0</v>
      </c>
      <c r="AI592" s="181">
        <f t="shared" si="313"/>
        <v>0</v>
      </c>
      <c r="AJ592" s="181">
        <f t="shared" si="313"/>
        <v>0</v>
      </c>
      <c r="AK592" s="181">
        <f t="shared" si="313"/>
        <v>0</v>
      </c>
      <c r="AL592" s="181">
        <f t="shared" si="313"/>
        <v>0</v>
      </c>
      <c r="AM592" s="181">
        <f t="shared" si="313"/>
        <v>0</v>
      </c>
      <c r="AN592" s="181">
        <f t="shared" si="313"/>
        <v>0</v>
      </c>
      <c r="AO592" s="181">
        <f t="shared" si="313"/>
        <v>0</v>
      </c>
      <c r="AP592" s="181">
        <f t="shared" si="313"/>
        <v>0</v>
      </c>
    </row>
    <row r="593" spans="1:42" x14ac:dyDescent="0.2">
      <c r="A593" s="163" t="str">
        <f>'Inputs &amp; Results'!A75</f>
        <v>Other</v>
      </c>
    </row>
    <row r="594" spans="1:42" x14ac:dyDescent="0.2">
      <c r="A594" s="167" t="s">
        <v>118</v>
      </c>
      <c r="C594" s="217">
        <f t="shared" ref="C594:AP594" si="314">IF(AND(C$2&lt;=PBIOtherTerm,C$2&lt;=AnalysisPeriod),PBIOther*(1+PBIOtherEsc)^B$2,0)</f>
        <v>0</v>
      </c>
      <c r="D594" s="217">
        <f t="shared" si="314"/>
        <v>0</v>
      </c>
      <c r="E594" s="217">
        <f t="shared" si="314"/>
        <v>0</v>
      </c>
      <c r="F594" s="217">
        <f t="shared" si="314"/>
        <v>0</v>
      </c>
      <c r="G594" s="217">
        <f t="shared" si="314"/>
        <v>0</v>
      </c>
      <c r="H594" s="217">
        <f t="shared" si="314"/>
        <v>0</v>
      </c>
      <c r="I594" s="217">
        <f t="shared" si="314"/>
        <v>0</v>
      </c>
      <c r="J594" s="217">
        <f t="shared" si="314"/>
        <v>0</v>
      </c>
      <c r="K594" s="217">
        <f t="shared" si="314"/>
        <v>0</v>
      </c>
      <c r="L594" s="217">
        <f t="shared" si="314"/>
        <v>0</v>
      </c>
      <c r="M594" s="217">
        <f t="shared" si="314"/>
        <v>0</v>
      </c>
      <c r="N594" s="217">
        <f t="shared" si="314"/>
        <v>0</v>
      </c>
      <c r="O594" s="217">
        <f t="shared" si="314"/>
        <v>0</v>
      </c>
      <c r="P594" s="217">
        <f t="shared" si="314"/>
        <v>0</v>
      </c>
      <c r="Q594" s="217">
        <f t="shared" si="314"/>
        <v>0</v>
      </c>
      <c r="R594" s="217">
        <f t="shared" si="314"/>
        <v>0</v>
      </c>
      <c r="S594" s="217">
        <f t="shared" si="314"/>
        <v>0</v>
      </c>
      <c r="T594" s="217">
        <f t="shared" si="314"/>
        <v>0</v>
      </c>
      <c r="U594" s="217">
        <f t="shared" si="314"/>
        <v>0</v>
      </c>
      <c r="V594" s="217">
        <f t="shared" si="314"/>
        <v>0</v>
      </c>
      <c r="W594" s="217">
        <f t="shared" si="314"/>
        <v>0</v>
      </c>
      <c r="X594" s="217">
        <f t="shared" si="314"/>
        <v>0</v>
      </c>
      <c r="Y594" s="217">
        <f t="shared" si="314"/>
        <v>0</v>
      </c>
      <c r="Z594" s="217">
        <f t="shared" si="314"/>
        <v>0</v>
      </c>
      <c r="AA594" s="217">
        <f t="shared" si="314"/>
        <v>0</v>
      </c>
      <c r="AB594" s="217">
        <f t="shared" si="314"/>
        <v>0</v>
      </c>
      <c r="AC594" s="217">
        <f t="shared" si="314"/>
        <v>0</v>
      </c>
      <c r="AD594" s="217">
        <f t="shared" si="314"/>
        <v>0</v>
      </c>
      <c r="AE594" s="217">
        <f t="shared" si="314"/>
        <v>0</v>
      </c>
      <c r="AF594" s="217">
        <f t="shared" si="314"/>
        <v>0</v>
      </c>
      <c r="AG594" s="217">
        <f t="shared" si="314"/>
        <v>0</v>
      </c>
      <c r="AH594" s="217">
        <f t="shared" si="314"/>
        <v>0</v>
      </c>
      <c r="AI594" s="217">
        <f t="shared" si="314"/>
        <v>0</v>
      </c>
      <c r="AJ594" s="217">
        <f t="shared" si="314"/>
        <v>0</v>
      </c>
      <c r="AK594" s="217">
        <f t="shared" si="314"/>
        <v>0</v>
      </c>
      <c r="AL594" s="217">
        <f t="shared" si="314"/>
        <v>0</v>
      </c>
      <c r="AM594" s="217">
        <f t="shared" si="314"/>
        <v>0</v>
      </c>
      <c r="AN594" s="217">
        <f t="shared" si="314"/>
        <v>0</v>
      </c>
      <c r="AO594" s="217">
        <f t="shared" si="314"/>
        <v>0</v>
      </c>
      <c r="AP594" s="217">
        <f t="shared" si="314"/>
        <v>0</v>
      </c>
    </row>
    <row r="595" spans="1:42" x14ac:dyDescent="0.2">
      <c r="A595" s="167" t="s">
        <v>119</v>
      </c>
      <c r="C595" s="186">
        <f>C$5</f>
        <v>16188480</v>
      </c>
      <c r="D595" s="186">
        <f t="shared" ref="D595:AP595" si="315">D$5</f>
        <v>16107537.6</v>
      </c>
      <c r="E595" s="186">
        <f t="shared" si="315"/>
        <v>16026999.912</v>
      </c>
      <c r="F595" s="186">
        <f t="shared" si="315"/>
        <v>15946864.91244</v>
      </c>
      <c r="G595" s="186">
        <f t="shared" si="315"/>
        <v>15867130.587877801</v>
      </c>
      <c r="H595" s="186">
        <f t="shared" si="315"/>
        <v>15787794.934938412</v>
      </c>
      <c r="I595" s="186">
        <f t="shared" si="315"/>
        <v>15708855.96026372</v>
      </c>
      <c r="J595" s="186">
        <f t="shared" si="315"/>
        <v>15630311.680462401</v>
      </c>
      <c r="K595" s="186">
        <f t="shared" si="315"/>
        <v>15552160.12206009</v>
      </c>
      <c r="L595" s="186">
        <f t="shared" si="315"/>
        <v>15474399.321449788</v>
      </c>
      <c r="M595" s="186">
        <f t="shared" si="315"/>
        <v>15397027.324842541</v>
      </c>
      <c r="N595" s="186">
        <f t="shared" si="315"/>
        <v>15320042.188218327</v>
      </c>
      <c r="O595" s="186">
        <f t="shared" si="315"/>
        <v>15243441.977277236</v>
      </c>
      <c r="P595" s="186">
        <f t="shared" si="315"/>
        <v>15167224.767390851</v>
      </c>
      <c r="Q595" s="186">
        <f t="shared" si="315"/>
        <v>15091388.643553898</v>
      </c>
      <c r="R595" s="186">
        <f t="shared" si="315"/>
        <v>15015931.700336127</v>
      </c>
      <c r="S595" s="186">
        <f t="shared" si="315"/>
        <v>14940852.041834446</v>
      </c>
      <c r="T595" s="186">
        <f t="shared" si="315"/>
        <v>14866147.781625275</v>
      </c>
      <c r="U595" s="186">
        <f t="shared" si="315"/>
        <v>14791817.042717148</v>
      </c>
      <c r="V595" s="186">
        <f t="shared" si="315"/>
        <v>14717857.957503561</v>
      </c>
      <c r="W595" s="186">
        <f t="shared" si="315"/>
        <v>14644268.667716045</v>
      </c>
      <c r="X595" s="186">
        <f t="shared" si="315"/>
        <v>14571047.324377464</v>
      </c>
      <c r="Y595" s="186">
        <f t="shared" si="315"/>
        <v>14498192.087755578</v>
      </c>
      <c r="Z595" s="186">
        <f t="shared" si="315"/>
        <v>14425701.127316799</v>
      </c>
      <c r="AA595" s="186">
        <f t="shared" si="315"/>
        <v>14353572.621680215</v>
      </c>
      <c r="AB595" s="186">
        <f t="shared" si="315"/>
        <v>14281804.758571815</v>
      </c>
      <c r="AC595" s="186">
        <f t="shared" si="315"/>
        <v>14210395.734778956</v>
      </c>
      <c r="AD595" s="186">
        <f t="shared" si="315"/>
        <v>14139343.75610506</v>
      </c>
      <c r="AE595" s="186">
        <f t="shared" si="315"/>
        <v>14068647.037324537</v>
      </c>
      <c r="AF595" s="186">
        <f t="shared" si="315"/>
        <v>13998303.802137915</v>
      </c>
      <c r="AG595" s="186">
        <f t="shared" si="315"/>
        <v>13928312.283127224</v>
      </c>
      <c r="AH595" s="186">
        <f t="shared" si="315"/>
        <v>13858670.721711587</v>
      </c>
      <c r="AI595" s="186">
        <f t="shared" si="315"/>
        <v>13789377.368103029</v>
      </c>
      <c r="AJ595" s="186">
        <f t="shared" si="315"/>
        <v>13720430.481262514</v>
      </c>
      <c r="AK595" s="186">
        <f t="shared" si="315"/>
        <v>13651828.328856202</v>
      </c>
      <c r="AL595" s="186">
        <f t="shared" si="315"/>
        <v>13583569.187211921</v>
      </c>
      <c r="AM595" s="186">
        <f t="shared" si="315"/>
        <v>13515651.341275861</v>
      </c>
      <c r="AN595" s="186">
        <f t="shared" si="315"/>
        <v>13448073.084569484</v>
      </c>
      <c r="AO595" s="186">
        <f t="shared" si="315"/>
        <v>13380832.719146635</v>
      </c>
      <c r="AP595" s="186">
        <f t="shared" si="315"/>
        <v>13313928.555550903</v>
      </c>
    </row>
    <row r="596" spans="1:42" x14ac:dyDescent="0.2">
      <c r="A596" s="167" t="s">
        <v>53</v>
      </c>
      <c r="C596" s="181">
        <f>C594*C595</f>
        <v>0</v>
      </c>
      <c r="D596" s="181">
        <f t="shared" ref="D596:AP596" si="316">D594*D595</f>
        <v>0</v>
      </c>
      <c r="E596" s="181">
        <f t="shared" si="316"/>
        <v>0</v>
      </c>
      <c r="F596" s="181">
        <f t="shared" si="316"/>
        <v>0</v>
      </c>
      <c r="G596" s="181">
        <f t="shared" si="316"/>
        <v>0</v>
      </c>
      <c r="H596" s="181">
        <f t="shared" si="316"/>
        <v>0</v>
      </c>
      <c r="I596" s="181">
        <f t="shared" si="316"/>
        <v>0</v>
      </c>
      <c r="J596" s="181">
        <f t="shared" si="316"/>
        <v>0</v>
      </c>
      <c r="K596" s="181">
        <f t="shared" si="316"/>
        <v>0</v>
      </c>
      <c r="L596" s="181">
        <f t="shared" si="316"/>
        <v>0</v>
      </c>
      <c r="M596" s="181">
        <f t="shared" si="316"/>
        <v>0</v>
      </c>
      <c r="N596" s="181">
        <f t="shared" si="316"/>
        <v>0</v>
      </c>
      <c r="O596" s="181">
        <f t="shared" si="316"/>
        <v>0</v>
      </c>
      <c r="P596" s="181">
        <f t="shared" si="316"/>
        <v>0</v>
      </c>
      <c r="Q596" s="181">
        <f t="shared" si="316"/>
        <v>0</v>
      </c>
      <c r="R596" s="181">
        <f t="shared" si="316"/>
        <v>0</v>
      </c>
      <c r="S596" s="181">
        <f t="shared" si="316"/>
        <v>0</v>
      </c>
      <c r="T596" s="181">
        <f t="shared" si="316"/>
        <v>0</v>
      </c>
      <c r="U596" s="181">
        <f t="shared" si="316"/>
        <v>0</v>
      </c>
      <c r="V596" s="181">
        <f t="shared" si="316"/>
        <v>0</v>
      </c>
      <c r="W596" s="181">
        <f t="shared" si="316"/>
        <v>0</v>
      </c>
      <c r="X596" s="181">
        <f t="shared" si="316"/>
        <v>0</v>
      </c>
      <c r="Y596" s="181">
        <f t="shared" si="316"/>
        <v>0</v>
      </c>
      <c r="Z596" s="181">
        <f t="shared" si="316"/>
        <v>0</v>
      </c>
      <c r="AA596" s="181">
        <f t="shared" si="316"/>
        <v>0</v>
      </c>
      <c r="AB596" s="181">
        <f t="shared" si="316"/>
        <v>0</v>
      </c>
      <c r="AC596" s="181">
        <f t="shared" si="316"/>
        <v>0</v>
      </c>
      <c r="AD596" s="181">
        <f t="shared" si="316"/>
        <v>0</v>
      </c>
      <c r="AE596" s="181">
        <f t="shared" si="316"/>
        <v>0</v>
      </c>
      <c r="AF596" s="181">
        <f t="shared" si="316"/>
        <v>0</v>
      </c>
      <c r="AG596" s="181">
        <f t="shared" si="316"/>
        <v>0</v>
      </c>
      <c r="AH596" s="181">
        <f t="shared" si="316"/>
        <v>0</v>
      </c>
      <c r="AI596" s="181">
        <f t="shared" si="316"/>
        <v>0</v>
      </c>
      <c r="AJ596" s="181">
        <f t="shared" si="316"/>
        <v>0</v>
      </c>
      <c r="AK596" s="181">
        <f t="shared" si="316"/>
        <v>0</v>
      </c>
      <c r="AL596" s="181">
        <f t="shared" si="316"/>
        <v>0</v>
      </c>
      <c r="AM596" s="181">
        <f t="shared" si="316"/>
        <v>0</v>
      </c>
      <c r="AN596" s="181">
        <f t="shared" si="316"/>
        <v>0</v>
      </c>
      <c r="AO596" s="181">
        <f t="shared" si="316"/>
        <v>0</v>
      </c>
      <c r="AP596" s="181">
        <f t="shared" si="316"/>
        <v>0</v>
      </c>
    </row>
    <row r="597" spans="1:42" x14ac:dyDescent="0.2"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</row>
    <row r="598" spans="1:42" x14ac:dyDescent="0.2">
      <c r="A598" s="20" t="s">
        <v>53</v>
      </c>
      <c r="C598" s="177">
        <f>C584+C588+C592+C596</f>
        <v>0</v>
      </c>
      <c r="D598" s="177">
        <f t="shared" ref="D598:AP598" si="317">D584+D588+D592+D596</f>
        <v>0</v>
      </c>
      <c r="E598" s="177">
        <f t="shared" si="317"/>
        <v>0</v>
      </c>
      <c r="F598" s="177">
        <f t="shared" si="317"/>
        <v>0</v>
      </c>
      <c r="G598" s="177">
        <f t="shared" si="317"/>
        <v>0</v>
      </c>
      <c r="H598" s="177">
        <f t="shared" si="317"/>
        <v>0</v>
      </c>
      <c r="I598" s="177">
        <f t="shared" si="317"/>
        <v>0</v>
      </c>
      <c r="J598" s="177">
        <f t="shared" si="317"/>
        <v>0</v>
      </c>
      <c r="K598" s="177">
        <f t="shared" si="317"/>
        <v>0</v>
      </c>
      <c r="L598" s="177">
        <f t="shared" si="317"/>
        <v>0</v>
      </c>
      <c r="M598" s="177">
        <f t="shared" si="317"/>
        <v>0</v>
      </c>
      <c r="N598" s="177">
        <f t="shared" si="317"/>
        <v>0</v>
      </c>
      <c r="O598" s="177">
        <f t="shared" si="317"/>
        <v>0</v>
      </c>
      <c r="P598" s="177">
        <f t="shared" si="317"/>
        <v>0</v>
      </c>
      <c r="Q598" s="177">
        <f t="shared" si="317"/>
        <v>0</v>
      </c>
      <c r="R598" s="177">
        <f t="shared" si="317"/>
        <v>0</v>
      </c>
      <c r="S598" s="177">
        <f t="shared" si="317"/>
        <v>0</v>
      </c>
      <c r="T598" s="177">
        <f t="shared" si="317"/>
        <v>0</v>
      </c>
      <c r="U598" s="177">
        <f t="shared" si="317"/>
        <v>0</v>
      </c>
      <c r="V598" s="177">
        <f t="shared" si="317"/>
        <v>0</v>
      </c>
      <c r="W598" s="177">
        <f t="shared" si="317"/>
        <v>0</v>
      </c>
      <c r="X598" s="177">
        <f t="shared" si="317"/>
        <v>0</v>
      </c>
      <c r="Y598" s="177">
        <f t="shared" si="317"/>
        <v>0</v>
      </c>
      <c r="Z598" s="177">
        <f t="shared" si="317"/>
        <v>0</v>
      </c>
      <c r="AA598" s="177">
        <f t="shared" si="317"/>
        <v>0</v>
      </c>
      <c r="AB598" s="177">
        <f t="shared" si="317"/>
        <v>0</v>
      </c>
      <c r="AC598" s="177">
        <f t="shared" si="317"/>
        <v>0</v>
      </c>
      <c r="AD598" s="177">
        <f t="shared" si="317"/>
        <v>0</v>
      </c>
      <c r="AE598" s="177">
        <f t="shared" si="317"/>
        <v>0</v>
      </c>
      <c r="AF598" s="177">
        <f t="shared" si="317"/>
        <v>0</v>
      </c>
      <c r="AG598" s="177">
        <f t="shared" si="317"/>
        <v>0</v>
      </c>
      <c r="AH598" s="177">
        <f t="shared" si="317"/>
        <v>0</v>
      </c>
      <c r="AI598" s="177">
        <f t="shared" si="317"/>
        <v>0</v>
      </c>
      <c r="AJ598" s="177">
        <f t="shared" si="317"/>
        <v>0</v>
      </c>
      <c r="AK598" s="177">
        <f t="shared" si="317"/>
        <v>0</v>
      </c>
      <c r="AL598" s="177">
        <f t="shared" si="317"/>
        <v>0</v>
      </c>
      <c r="AM598" s="177">
        <f t="shared" si="317"/>
        <v>0</v>
      </c>
      <c r="AN598" s="177">
        <f t="shared" si="317"/>
        <v>0</v>
      </c>
      <c r="AO598" s="177">
        <f t="shared" si="317"/>
        <v>0</v>
      </c>
      <c r="AP598" s="177">
        <f t="shared" si="317"/>
        <v>0</v>
      </c>
    </row>
    <row r="600" spans="1:42" x14ac:dyDescent="0.2">
      <c r="A600" s="162" t="s">
        <v>178</v>
      </c>
      <c r="B600" s="135"/>
      <c r="C600" s="135"/>
      <c r="D600" s="135"/>
      <c r="E600" s="135"/>
      <c r="F600" s="135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</row>
    <row r="601" spans="1:42" x14ac:dyDescent="0.2">
      <c r="A601" s="165" t="str">
        <f>'Inputs &amp; Results'!A180</f>
        <v>Working Capital Reserve</v>
      </c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  <c r="AH601" s="135"/>
      <c r="AI601" s="135"/>
      <c r="AJ601" s="135"/>
      <c r="AK601" s="135"/>
      <c r="AL601" s="135"/>
      <c r="AM601" s="135"/>
      <c r="AN601" s="135"/>
      <c r="AO601" s="135"/>
      <c r="AP601" s="135"/>
    </row>
    <row r="602" spans="1:42" x14ac:dyDescent="0.2">
      <c r="A602" s="20" t="s">
        <v>96</v>
      </c>
      <c r="B602" s="135">
        <v>0</v>
      </c>
      <c r="C602" s="135">
        <f>B605</f>
        <v>387206.93687500001</v>
      </c>
      <c r="D602" s="135">
        <f t="shared" ref="D602:AP602" si="318">C605</f>
        <v>384431.16756824998</v>
      </c>
      <c r="E602" s="135">
        <f t="shared" si="318"/>
        <v>381739.62918197032</v>
      </c>
      <c r="F602" s="135">
        <f t="shared" si="318"/>
        <v>379134.01992367639</v>
      </c>
      <c r="G602" s="135">
        <f t="shared" si="318"/>
        <v>376616.07351194887</v>
      </c>
      <c r="H602" s="135">
        <f t="shared" si="318"/>
        <v>374187.55993867398</v>
      </c>
      <c r="I602" s="135">
        <f t="shared" si="318"/>
        <v>371850.28624794976</v>
      </c>
      <c r="J602" s="135">
        <f t="shared" si="318"/>
        <v>369606.09733202669</v>
      </c>
      <c r="K602" s="135">
        <f t="shared" si="318"/>
        <v>367456.87674465985</v>
      </c>
      <c r="L602" s="135">
        <f t="shared" si="318"/>
        <v>365404.54753225867</v>
      </c>
      <c r="M602" s="135">
        <f t="shared" si="318"/>
        <v>363451.07308322965</v>
      </c>
      <c r="N602" s="135">
        <f t="shared" si="318"/>
        <v>361598.45799591293</v>
      </c>
      <c r="O602" s="135">
        <f t="shared" si="318"/>
        <v>359848.74896552722</v>
      </c>
      <c r="P602" s="135">
        <f t="shared" si="318"/>
        <v>358204.03569054336</v>
      </c>
      <c r="Q602" s="135">
        <f t="shared" si="318"/>
        <v>356666.45179891773</v>
      </c>
      <c r="R602" s="135">
        <f t="shared" si="318"/>
        <v>355238.17579462606</v>
      </c>
      <c r="S602" s="135">
        <f t="shared" si="318"/>
        <v>353921.4320249476</v>
      </c>
      <c r="T602" s="135">
        <f t="shared" si="318"/>
        <v>352718.49166896072</v>
      </c>
      <c r="U602" s="135">
        <f t="shared" si="318"/>
        <v>351631.67374772049</v>
      </c>
      <c r="V602" s="135">
        <f t="shared" si="318"/>
        <v>350663.34615659888</v>
      </c>
      <c r="W602" s="135">
        <f t="shared" si="318"/>
        <v>349815.9267202809</v>
      </c>
      <c r="X602" s="135">
        <f t="shared" si="318"/>
        <v>356257.34536466864</v>
      </c>
      <c r="Y602" s="135">
        <f t="shared" si="318"/>
        <v>362824.6619374578</v>
      </c>
      <c r="Z602" s="135">
        <f t="shared" si="318"/>
        <v>369520.45061541384</v>
      </c>
      <c r="AA602" s="135">
        <f t="shared" si="318"/>
        <v>376347.33996138244</v>
      </c>
      <c r="AB602" s="135">
        <f t="shared" si="318"/>
        <v>383308.01410033775</v>
      </c>
      <c r="AC602" s="135">
        <f t="shared" si="318"/>
        <v>390405.21392127697</v>
      </c>
      <c r="AD602" s="135">
        <f t="shared" si="318"/>
        <v>397641.73830553866</v>
      </c>
      <c r="AE602" s="135">
        <f t="shared" si="318"/>
        <v>405020.44538212963</v>
      </c>
      <c r="AF602" s="135">
        <f t="shared" si="318"/>
        <v>412544.253810664</v>
      </c>
      <c r="AG602" s="135">
        <f t="shared" si="318"/>
        <v>420216.14409252495</v>
      </c>
      <c r="AH602" s="135">
        <f t="shared" si="318"/>
        <v>428039.15991088084</v>
      </c>
      <c r="AI602" s="135">
        <f t="shared" si="318"/>
        <v>436016.40950019471</v>
      </c>
      <c r="AJ602" s="135">
        <f t="shared" si="318"/>
        <v>444151.06704588479</v>
      </c>
      <c r="AK602" s="135">
        <f t="shared" si="318"/>
        <v>452446.37411480671</v>
      </c>
      <c r="AL602" s="135">
        <f t="shared" si="318"/>
        <v>460905.64111724397</v>
      </c>
      <c r="AM602" s="135">
        <f t="shared" si="318"/>
        <v>469532.24880110752</v>
      </c>
      <c r="AN602" s="135">
        <f t="shared" si="318"/>
        <v>478329.64977906219</v>
      </c>
      <c r="AO602" s="135">
        <f t="shared" si="318"/>
        <v>487301.37008931278</v>
      </c>
      <c r="AP602" s="135">
        <f t="shared" si="318"/>
        <v>496451.01079080044</v>
      </c>
    </row>
    <row r="603" spans="1:42" x14ac:dyDescent="0.2">
      <c r="A603" s="20" t="s">
        <v>97</v>
      </c>
      <c r="B603" s="135">
        <f t="shared" ref="B603:AP603" si="319">IF(B2&lt;AnalysisPeriod,B605-B602,0)</f>
        <v>387206.93687500001</v>
      </c>
      <c r="C603" s="135">
        <f t="shared" si="319"/>
        <v>-2775.7693067500368</v>
      </c>
      <c r="D603" s="135">
        <f t="shared" si="319"/>
        <v>-2691.5383862796589</v>
      </c>
      <c r="E603" s="135">
        <f t="shared" si="319"/>
        <v>-2605.6092582939309</v>
      </c>
      <c r="F603" s="135">
        <f t="shared" si="319"/>
        <v>-2517.9464117275202</v>
      </c>
      <c r="G603" s="135">
        <f t="shared" si="319"/>
        <v>-2428.5135732748895</v>
      </c>
      <c r="H603" s="135">
        <f t="shared" si="319"/>
        <v>-2337.2736907242215</v>
      </c>
      <c r="I603" s="135">
        <f t="shared" si="319"/>
        <v>-2244.1889159230632</v>
      </c>
      <c r="J603" s="135">
        <f t="shared" si="319"/>
        <v>-2149.2205873668427</v>
      </c>
      <c r="K603" s="135">
        <f t="shared" si="319"/>
        <v>-2052.3292124011787</v>
      </c>
      <c r="L603" s="135">
        <f t="shared" si="319"/>
        <v>-1953.4744490290177</v>
      </c>
      <c r="M603" s="135">
        <f t="shared" si="319"/>
        <v>-1852.6150873167207</v>
      </c>
      <c r="N603" s="135">
        <f t="shared" si="319"/>
        <v>-1749.7090303857112</v>
      </c>
      <c r="O603" s="135">
        <f t="shared" si="319"/>
        <v>-1644.7132749838638</v>
      </c>
      <c r="P603" s="135">
        <f t="shared" si="319"/>
        <v>-1537.5838916256325</v>
      </c>
      <c r="Q603" s="135">
        <f t="shared" si="319"/>
        <v>-1428.2760042916634</v>
      </c>
      <c r="R603" s="135">
        <f t="shared" si="319"/>
        <v>-1316.7437696784618</v>
      </c>
      <c r="S603" s="135">
        <f t="shared" si="319"/>
        <v>-1202.9403559868806</v>
      </c>
      <c r="T603" s="135">
        <f t="shared" si="319"/>
        <v>-1086.817921240232</v>
      </c>
      <c r="U603" s="135">
        <f t="shared" si="319"/>
        <v>-968.3275911216042</v>
      </c>
      <c r="V603" s="135">
        <f t="shared" si="319"/>
        <v>-847.41943631798495</v>
      </c>
      <c r="W603" s="135">
        <f t="shared" si="319"/>
        <v>6441.4186443877406</v>
      </c>
      <c r="X603" s="135">
        <f t="shared" si="319"/>
        <v>6567.316572789161</v>
      </c>
      <c r="Y603" s="135">
        <f t="shared" si="319"/>
        <v>6695.7886779560358</v>
      </c>
      <c r="Z603" s="135">
        <f t="shared" si="319"/>
        <v>6826.8893459686078</v>
      </c>
      <c r="AA603" s="135">
        <f t="shared" si="319"/>
        <v>6960.6741389553063</v>
      </c>
      <c r="AB603" s="135">
        <f t="shared" si="319"/>
        <v>7097.1998209392186</v>
      </c>
      <c r="AC603" s="135">
        <f t="shared" si="319"/>
        <v>7236.524384261691</v>
      </c>
      <c r="AD603" s="135">
        <f t="shared" si="319"/>
        <v>7378.7070765909739</v>
      </c>
      <c r="AE603" s="135">
        <f t="shared" si="319"/>
        <v>7523.8084285343648</v>
      </c>
      <c r="AF603" s="135">
        <f t="shared" si="319"/>
        <v>7671.8902818609495</v>
      </c>
      <c r="AG603" s="135">
        <f t="shared" si="319"/>
        <v>7823.015818355896</v>
      </c>
      <c r="AH603" s="135">
        <f t="shared" si="319"/>
        <v>7977.2495893138694</v>
      </c>
      <c r="AI603" s="135">
        <f t="shared" si="319"/>
        <v>8134.6575456900755</v>
      </c>
      <c r="AJ603" s="135">
        <f t="shared" si="319"/>
        <v>8295.3070689219167</v>
      </c>
      <c r="AK603" s="135">
        <f t="shared" si="319"/>
        <v>8459.2670024372637</v>
      </c>
      <c r="AL603" s="135">
        <f t="shared" si="319"/>
        <v>8626.607683863549</v>
      </c>
      <c r="AM603" s="135">
        <f t="shared" si="319"/>
        <v>8797.4009779546759</v>
      </c>
      <c r="AN603" s="135">
        <f t="shared" si="319"/>
        <v>8971.7203102505882</v>
      </c>
      <c r="AO603" s="135">
        <f t="shared" si="319"/>
        <v>9149.6407014876604</v>
      </c>
      <c r="AP603" s="135">
        <f t="shared" si="319"/>
        <v>0</v>
      </c>
    </row>
    <row r="604" spans="1:42" x14ac:dyDescent="0.2">
      <c r="A604" s="20" t="s">
        <v>103</v>
      </c>
      <c r="B604" s="170">
        <v>0</v>
      </c>
      <c r="C604" s="170">
        <f t="shared" ref="C604:AP604" si="320">IF(C$2=AnalysisPeriod,-C602,0)</f>
        <v>0</v>
      </c>
      <c r="D604" s="170">
        <f t="shared" si="320"/>
        <v>0</v>
      </c>
      <c r="E604" s="170">
        <f t="shared" si="320"/>
        <v>0</v>
      </c>
      <c r="F604" s="170">
        <f t="shared" si="320"/>
        <v>0</v>
      </c>
      <c r="G604" s="170">
        <f t="shared" si="320"/>
        <v>0</v>
      </c>
      <c r="H604" s="170">
        <f t="shared" si="320"/>
        <v>0</v>
      </c>
      <c r="I604" s="170">
        <f t="shared" si="320"/>
        <v>0</v>
      </c>
      <c r="J604" s="170">
        <f t="shared" si="320"/>
        <v>0</v>
      </c>
      <c r="K604" s="170">
        <f t="shared" si="320"/>
        <v>0</v>
      </c>
      <c r="L604" s="170">
        <f t="shared" si="320"/>
        <v>0</v>
      </c>
      <c r="M604" s="170">
        <f t="shared" si="320"/>
        <v>0</v>
      </c>
      <c r="N604" s="170">
        <f t="shared" si="320"/>
        <v>0</v>
      </c>
      <c r="O604" s="170">
        <f t="shared" si="320"/>
        <v>0</v>
      </c>
      <c r="P604" s="170">
        <f t="shared" si="320"/>
        <v>0</v>
      </c>
      <c r="Q604" s="170">
        <f t="shared" si="320"/>
        <v>0</v>
      </c>
      <c r="R604" s="170">
        <f t="shared" si="320"/>
        <v>0</v>
      </c>
      <c r="S604" s="170">
        <f t="shared" si="320"/>
        <v>0</v>
      </c>
      <c r="T604" s="170">
        <f t="shared" si="320"/>
        <v>0</v>
      </c>
      <c r="U604" s="170">
        <f t="shared" si="320"/>
        <v>0</v>
      </c>
      <c r="V604" s="170">
        <f t="shared" si="320"/>
        <v>0</v>
      </c>
      <c r="W604" s="170">
        <f t="shared" si="320"/>
        <v>0</v>
      </c>
      <c r="X604" s="170">
        <f t="shared" si="320"/>
        <v>0</v>
      </c>
      <c r="Y604" s="170">
        <f t="shared" si="320"/>
        <v>0</v>
      </c>
      <c r="Z604" s="170">
        <f t="shared" si="320"/>
        <v>0</v>
      </c>
      <c r="AA604" s="170">
        <f t="shared" si="320"/>
        <v>0</v>
      </c>
      <c r="AB604" s="170">
        <f t="shared" si="320"/>
        <v>0</v>
      </c>
      <c r="AC604" s="170">
        <f t="shared" si="320"/>
        <v>0</v>
      </c>
      <c r="AD604" s="170">
        <f t="shared" si="320"/>
        <v>0</v>
      </c>
      <c r="AE604" s="170">
        <f t="shared" si="320"/>
        <v>0</v>
      </c>
      <c r="AF604" s="170">
        <f t="shared" si="320"/>
        <v>0</v>
      </c>
      <c r="AG604" s="170">
        <f t="shared" si="320"/>
        <v>0</v>
      </c>
      <c r="AH604" s="170">
        <f t="shared" si="320"/>
        <v>0</v>
      </c>
      <c r="AI604" s="170">
        <f t="shared" si="320"/>
        <v>0</v>
      </c>
      <c r="AJ604" s="170">
        <f t="shared" si="320"/>
        <v>0</v>
      </c>
      <c r="AK604" s="170">
        <f t="shared" si="320"/>
        <v>0</v>
      </c>
      <c r="AL604" s="170">
        <f t="shared" si="320"/>
        <v>0</v>
      </c>
      <c r="AM604" s="170">
        <f t="shared" si="320"/>
        <v>0</v>
      </c>
      <c r="AN604" s="170">
        <f t="shared" si="320"/>
        <v>0</v>
      </c>
      <c r="AO604" s="170">
        <f t="shared" si="320"/>
        <v>0</v>
      </c>
      <c r="AP604" s="170">
        <f t="shared" si="320"/>
        <v>-496451.01079080044</v>
      </c>
    </row>
    <row r="605" spans="1:42" s="101" customFormat="1" x14ac:dyDescent="0.2">
      <c r="A605" s="101" t="s">
        <v>99</v>
      </c>
      <c r="B605" s="181">
        <f t="shared" ref="B605:AP605" si="321">C41*(AEPFWC/12)</f>
        <v>387206.93687500001</v>
      </c>
      <c r="C605" s="181">
        <f t="shared" si="321"/>
        <v>384431.16756824998</v>
      </c>
      <c r="D605" s="181">
        <f t="shared" si="321"/>
        <v>381739.62918197032</v>
      </c>
      <c r="E605" s="181">
        <f t="shared" si="321"/>
        <v>379134.01992367639</v>
      </c>
      <c r="F605" s="181">
        <f t="shared" si="321"/>
        <v>376616.07351194887</v>
      </c>
      <c r="G605" s="181">
        <f t="shared" si="321"/>
        <v>374187.55993867398</v>
      </c>
      <c r="H605" s="181">
        <f t="shared" si="321"/>
        <v>371850.28624794976</v>
      </c>
      <c r="I605" s="181">
        <f t="shared" si="321"/>
        <v>369606.09733202669</v>
      </c>
      <c r="J605" s="181">
        <f t="shared" si="321"/>
        <v>367456.87674465985</v>
      </c>
      <c r="K605" s="181">
        <f t="shared" si="321"/>
        <v>365404.54753225867</v>
      </c>
      <c r="L605" s="181">
        <f t="shared" si="321"/>
        <v>363451.07308322965</v>
      </c>
      <c r="M605" s="181">
        <f t="shared" si="321"/>
        <v>361598.45799591293</v>
      </c>
      <c r="N605" s="181">
        <f t="shared" si="321"/>
        <v>359848.74896552722</v>
      </c>
      <c r="O605" s="181">
        <f t="shared" si="321"/>
        <v>358204.03569054336</v>
      </c>
      <c r="P605" s="181">
        <f t="shared" si="321"/>
        <v>356666.45179891773</v>
      </c>
      <c r="Q605" s="181">
        <f t="shared" si="321"/>
        <v>355238.17579462606</v>
      </c>
      <c r="R605" s="181">
        <f t="shared" si="321"/>
        <v>353921.4320249476</v>
      </c>
      <c r="S605" s="181">
        <f t="shared" si="321"/>
        <v>352718.49166896072</v>
      </c>
      <c r="T605" s="181">
        <f t="shared" si="321"/>
        <v>351631.67374772049</v>
      </c>
      <c r="U605" s="181">
        <f t="shared" si="321"/>
        <v>350663.34615659888</v>
      </c>
      <c r="V605" s="181">
        <f t="shared" si="321"/>
        <v>349815.9267202809</v>
      </c>
      <c r="W605" s="181">
        <f t="shared" si="321"/>
        <v>356257.34536466864</v>
      </c>
      <c r="X605" s="181">
        <f t="shared" si="321"/>
        <v>362824.6619374578</v>
      </c>
      <c r="Y605" s="181">
        <f t="shared" si="321"/>
        <v>369520.45061541384</v>
      </c>
      <c r="Z605" s="181">
        <f t="shared" si="321"/>
        <v>376347.33996138244</v>
      </c>
      <c r="AA605" s="181">
        <f t="shared" si="321"/>
        <v>383308.01410033775</v>
      </c>
      <c r="AB605" s="181">
        <f t="shared" si="321"/>
        <v>390405.21392127697</v>
      </c>
      <c r="AC605" s="181">
        <f t="shared" si="321"/>
        <v>397641.73830553866</v>
      </c>
      <c r="AD605" s="181">
        <f t="shared" si="321"/>
        <v>405020.44538212963</v>
      </c>
      <c r="AE605" s="181">
        <f t="shared" si="321"/>
        <v>412544.253810664</v>
      </c>
      <c r="AF605" s="181">
        <f t="shared" si="321"/>
        <v>420216.14409252495</v>
      </c>
      <c r="AG605" s="181">
        <f t="shared" si="321"/>
        <v>428039.15991088084</v>
      </c>
      <c r="AH605" s="181">
        <f t="shared" si="321"/>
        <v>436016.40950019471</v>
      </c>
      <c r="AI605" s="181">
        <f t="shared" si="321"/>
        <v>444151.06704588479</v>
      </c>
      <c r="AJ605" s="181">
        <f t="shared" si="321"/>
        <v>452446.37411480671</v>
      </c>
      <c r="AK605" s="181">
        <f t="shared" si="321"/>
        <v>460905.64111724397</v>
      </c>
      <c r="AL605" s="181">
        <f t="shared" si="321"/>
        <v>469532.24880110752</v>
      </c>
      <c r="AM605" s="181">
        <f t="shared" si="321"/>
        <v>478329.64977906219</v>
      </c>
      <c r="AN605" s="181">
        <f t="shared" si="321"/>
        <v>487301.37008931278</v>
      </c>
      <c r="AO605" s="181">
        <f t="shared" si="321"/>
        <v>496451.01079080044</v>
      </c>
      <c r="AP605" s="181">
        <f t="shared" si="321"/>
        <v>0</v>
      </c>
    </row>
    <row r="606" spans="1:42" x14ac:dyDescent="0.2">
      <c r="B606" s="135"/>
      <c r="C606" s="135"/>
      <c r="D606" s="135"/>
      <c r="E606" s="135"/>
      <c r="F606" s="135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</row>
    <row r="607" spans="1:42" x14ac:dyDescent="0.2">
      <c r="A607" s="165" t="s">
        <v>296</v>
      </c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/>
      <c r="AH607" s="135"/>
      <c r="AI607" s="135"/>
      <c r="AJ607" s="135"/>
      <c r="AK607" s="135"/>
      <c r="AL607" s="135"/>
      <c r="AM607" s="135"/>
      <c r="AN607" s="135"/>
      <c r="AO607" s="135"/>
      <c r="AP607" s="135"/>
    </row>
    <row r="608" spans="1:42" x14ac:dyDescent="0.2">
      <c r="A608" s="20" t="s">
        <v>96</v>
      </c>
      <c r="B608" s="135">
        <v>0</v>
      </c>
      <c r="C608" s="135">
        <f>B611</f>
        <v>0</v>
      </c>
      <c r="D608" s="135">
        <f t="shared" ref="D608:AP608" si="322">C611</f>
        <v>245406.02862510949</v>
      </c>
      <c r="E608" s="135">
        <f t="shared" si="322"/>
        <v>490812.05725021899</v>
      </c>
      <c r="F608" s="135">
        <f t="shared" si="322"/>
        <v>736218.08587532851</v>
      </c>
      <c r="G608" s="135">
        <f t="shared" si="322"/>
        <v>981624.11450043798</v>
      </c>
      <c r="H608" s="135">
        <f t="shared" si="322"/>
        <v>1227030.1431255476</v>
      </c>
      <c r="I608" s="135">
        <f t="shared" si="322"/>
        <v>1472436.171750657</v>
      </c>
      <c r="J608" s="135">
        <f t="shared" si="322"/>
        <v>1717842.2003757665</v>
      </c>
      <c r="K608" s="135">
        <f t="shared" si="322"/>
        <v>1963248.229000876</v>
      </c>
      <c r="L608" s="135">
        <f t="shared" si="322"/>
        <v>2208654.2576259854</v>
      </c>
      <c r="M608" s="135">
        <f t="shared" si="322"/>
        <v>2454060.2862510951</v>
      </c>
      <c r="N608" s="135">
        <f t="shared" si="322"/>
        <v>2699466.3148762048</v>
      </c>
      <c r="O608" s="135">
        <f t="shared" si="322"/>
        <v>0</v>
      </c>
      <c r="P608" s="135">
        <f t="shared" si="322"/>
        <v>293411.90721039008</v>
      </c>
      <c r="Q608" s="135">
        <f t="shared" si="322"/>
        <v>586823.81442078017</v>
      </c>
      <c r="R608" s="135">
        <f t="shared" si="322"/>
        <v>880235.72163117025</v>
      </c>
      <c r="S608" s="135">
        <f t="shared" si="322"/>
        <v>1173647.6288415603</v>
      </c>
      <c r="T608" s="135">
        <f t="shared" si="322"/>
        <v>1467059.5360519504</v>
      </c>
      <c r="U608" s="135">
        <f t="shared" si="322"/>
        <v>1760471.4432623405</v>
      </c>
      <c r="V608" s="135">
        <f t="shared" si="322"/>
        <v>2053883.3504727306</v>
      </c>
      <c r="W608" s="135">
        <f t="shared" si="322"/>
        <v>2347295.2576831207</v>
      </c>
      <c r="X608" s="135">
        <f t="shared" si="322"/>
        <v>2640707.1648935108</v>
      </c>
      <c r="Y608" s="135">
        <f t="shared" si="322"/>
        <v>2934119.0721039008</v>
      </c>
      <c r="Z608" s="135">
        <f t="shared" si="322"/>
        <v>3227530.9793142909</v>
      </c>
      <c r="AA608" s="135">
        <f t="shared" si="322"/>
        <v>0</v>
      </c>
      <c r="AB608" s="135">
        <f t="shared" si="322"/>
        <v>350808.60798392771</v>
      </c>
      <c r="AC608" s="135">
        <f t="shared" si="322"/>
        <v>701617.21596785542</v>
      </c>
      <c r="AD608" s="135">
        <f t="shared" si="322"/>
        <v>1052425.8239517831</v>
      </c>
      <c r="AE608" s="135">
        <f t="shared" si="322"/>
        <v>1403234.4319357108</v>
      </c>
      <c r="AF608" s="135">
        <f t="shared" si="322"/>
        <v>1754043.0399196385</v>
      </c>
      <c r="AG608" s="135">
        <f t="shared" si="322"/>
        <v>2104851.6479035662</v>
      </c>
      <c r="AH608" s="135">
        <f t="shared" si="322"/>
        <v>2455660.255887494</v>
      </c>
      <c r="AI608" s="135">
        <f t="shared" si="322"/>
        <v>2806468.8638714217</v>
      </c>
      <c r="AJ608" s="135">
        <f t="shared" si="322"/>
        <v>3157277.4718553494</v>
      </c>
      <c r="AK608" s="135">
        <f t="shared" si="322"/>
        <v>3508086.0798392771</v>
      </c>
      <c r="AL608" s="135">
        <f t="shared" si="322"/>
        <v>3858894.6878232048</v>
      </c>
      <c r="AM608" s="135">
        <f t="shared" si="322"/>
        <v>0</v>
      </c>
      <c r="AN608" s="135">
        <f t="shared" si="322"/>
        <v>0</v>
      </c>
      <c r="AO608" s="135">
        <f t="shared" si="322"/>
        <v>0</v>
      </c>
      <c r="AP608" s="135">
        <f t="shared" si="322"/>
        <v>0</v>
      </c>
    </row>
    <row r="609" spans="1:42" x14ac:dyDescent="0.2">
      <c r="A609" s="20" t="s">
        <v>183</v>
      </c>
      <c r="B609" s="135">
        <v>0</v>
      </c>
      <c r="C609" s="135">
        <f>C637</f>
        <v>245406.02862510949</v>
      </c>
      <c r="D609" s="135">
        <f t="shared" ref="D609:AP609" si="323">D637</f>
        <v>245406.02862510949</v>
      </c>
      <c r="E609" s="135">
        <f t="shared" si="323"/>
        <v>245406.02862510949</v>
      </c>
      <c r="F609" s="135">
        <f t="shared" si="323"/>
        <v>245406.02862510949</v>
      </c>
      <c r="G609" s="135">
        <f t="shared" si="323"/>
        <v>245406.02862510949</v>
      </c>
      <c r="H609" s="135">
        <f t="shared" si="323"/>
        <v>245406.02862510949</v>
      </c>
      <c r="I609" s="135">
        <f t="shared" si="323"/>
        <v>245406.02862510949</v>
      </c>
      <c r="J609" s="135">
        <f t="shared" si="323"/>
        <v>245406.02862510949</v>
      </c>
      <c r="K609" s="135">
        <f t="shared" si="323"/>
        <v>245406.02862510949</v>
      </c>
      <c r="L609" s="135">
        <f t="shared" si="323"/>
        <v>245406.02862510949</v>
      </c>
      <c r="M609" s="135">
        <f t="shared" si="323"/>
        <v>245406.02862510949</v>
      </c>
      <c r="N609" s="135">
        <f t="shared" si="323"/>
        <v>245406.02862510949</v>
      </c>
      <c r="O609" s="135">
        <f t="shared" si="323"/>
        <v>293411.90721039008</v>
      </c>
      <c r="P609" s="135">
        <f t="shared" si="323"/>
        <v>293411.90721039008</v>
      </c>
      <c r="Q609" s="135">
        <f t="shared" si="323"/>
        <v>293411.90721039008</v>
      </c>
      <c r="R609" s="135">
        <f t="shared" si="323"/>
        <v>293411.90721039008</v>
      </c>
      <c r="S609" s="135">
        <f t="shared" si="323"/>
        <v>293411.90721039008</v>
      </c>
      <c r="T609" s="135">
        <f t="shared" si="323"/>
        <v>293411.90721039008</v>
      </c>
      <c r="U609" s="135">
        <f t="shared" si="323"/>
        <v>293411.90721039008</v>
      </c>
      <c r="V609" s="135">
        <f t="shared" si="323"/>
        <v>293411.90721039008</v>
      </c>
      <c r="W609" s="135">
        <f t="shared" si="323"/>
        <v>293411.90721039008</v>
      </c>
      <c r="X609" s="135">
        <f t="shared" si="323"/>
        <v>293411.90721039008</v>
      </c>
      <c r="Y609" s="135">
        <f t="shared" si="323"/>
        <v>293411.90721039008</v>
      </c>
      <c r="Z609" s="135">
        <f t="shared" si="323"/>
        <v>293411.90721039008</v>
      </c>
      <c r="AA609" s="135">
        <f t="shared" si="323"/>
        <v>350808.60798392771</v>
      </c>
      <c r="AB609" s="135">
        <f t="shared" si="323"/>
        <v>350808.60798392771</v>
      </c>
      <c r="AC609" s="135">
        <f t="shared" si="323"/>
        <v>350808.60798392771</v>
      </c>
      <c r="AD609" s="135">
        <f t="shared" si="323"/>
        <v>350808.60798392771</v>
      </c>
      <c r="AE609" s="135">
        <f t="shared" si="323"/>
        <v>350808.60798392771</v>
      </c>
      <c r="AF609" s="135">
        <f t="shared" si="323"/>
        <v>350808.60798392771</v>
      </c>
      <c r="AG609" s="135">
        <f t="shared" si="323"/>
        <v>350808.60798392771</v>
      </c>
      <c r="AH609" s="135">
        <f t="shared" si="323"/>
        <v>350808.60798392771</v>
      </c>
      <c r="AI609" s="135">
        <f t="shared" si="323"/>
        <v>350808.60798392771</v>
      </c>
      <c r="AJ609" s="135">
        <f t="shared" si="323"/>
        <v>350808.60798392771</v>
      </c>
      <c r="AK609" s="135">
        <f t="shared" si="323"/>
        <v>350808.60798392771</v>
      </c>
      <c r="AL609" s="135">
        <f t="shared" si="323"/>
        <v>350808.60798392771</v>
      </c>
      <c r="AM609" s="135">
        <f t="shared" si="323"/>
        <v>0</v>
      </c>
      <c r="AN609" s="135">
        <f t="shared" si="323"/>
        <v>0</v>
      </c>
      <c r="AO609" s="135">
        <f t="shared" si="323"/>
        <v>0</v>
      </c>
      <c r="AP609" s="135">
        <f t="shared" si="323"/>
        <v>0</v>
      </c>
    </row>
    <row r="610" spans="1:42" x14ac:dyDescent="0.2">
      <c r="A610" s="20" t="s">
        <v>103</v>
      </c>
      <c r="B610" s="170">
        <v>0</v>
      </c>
      <c r="C610" s="170">
        <f>-C625</f>
        <v>0</v>
      </c>
      <c r="D610" s="170">
        <f t="shared" ref="D610:AP610" si="324">-D625</f>
        <v>0</v>
      </c>
      <c r="E610" s="170">
        <f t="shared" si="324"/>
        <v>0</v>
      </c>
      <c r="F610" s="170">
        <f t="shared" si="324"/>
        <v>0</v>
      </c>
      <c r="G610" s="170">
        <f t="shared" si="324"/>
        <v>0</v>
      </c>
      <c r="H610" s="170">
        <f t="shared" si="324"/>
        <v>0</v>
      </c>
      <c r="I610" s="170">
        <f t="shared" si="324"/>
        <v>0</v>
      </c>
      <c r="J610" s="170">
        <f t="shared" si="324"/>
        <v>0</v>
      </c>
      <c r="K610" s="170">
        <f t="shared" si="324"/>
        <v>0</v>
      </c>
      <c r="L610" s="170">
        <f t="shared" si="324"/>
        <v>0</v>
      </c>
      <c r="M610" s="170">
        <f t="shared" si="324"/>
        <v>0</v>
      </c>
      <c r="N610" s="170">
        <f t="shared" si="324"/>
        <v>-2944872.3435013141</v>
      </c>
      <c r="O610" s="170">
        <f t="shared" si="324"/>
        <v>0</v>
      </c>
      <c r="P610" s="170">
        <f t="shared" si="324"/>
        <v>0</v>
      </c>
      <c r="Q610" s="170">
        <f t="shared" si="324"/>
        <v>0</v>
      </c>
      <c r="R610" s="170">
        <f t="shared" si="324"/>
        <v>0</v>
      </c>
      <c r="S610" s="170">
        <f t="shared" si="324"/>
        <v>0</v>
      </c>
      <c r="T610" s="170">
        <f t="shared" si="324"/>
        <v>0</v>
      </c>
      <c r="U610" s="170">
        <f t="shared" si="324"/>
        <v>0</v>
      </c>
      <c r="V610" s="170">
        <f t="shared" si="324"/>
        <v>0</v>
      </c>
      <c r="W610" s="170">
        <f t="shared" si="324"/>
        <v>0</v>
      </c>
      <c r="X610" s="170">
        <f t="shared" si="324"/>
        <v>0</v>
      </c>
      <c r="Y610" s="170">
        <f t="shared" si="324"/>
        <v>0</v>
      </c>
      <c r="Z610" s="170">
        <f t="shared" si="324"/>
        <v>-3520942.886524681</v>
      </c>
      <c r="AA610" s="170">
        <f t="shared" si="324"/>
        <v>0</v>
      </c>
      <c r="AB610" s="170">
        <f t="shared" si="324"/>
        <v>0</v>
      </c>
      <c r="AC610" s="170">
        <f t="shared" si="324"/>
        <v>0</v>
      </c>
      <c r="AD610" s="170">
        <f t="shared" si="324"/>
        <v>0</v>
      </c>
      <c r="AE610" s="170">
        <f t="shared" si="324"/>
        <v>0</v>
      </c>
      <c r="AF610" s="170">
        <f t="shared" si="324"/>
        <v>0</v>
      </c>
      <c r="AG610" s="170">
        <f t="shared" si="324"/>
        <v>0</v>
      </c>
      <c r="AH610" s="170">
        <f t="shared" si="324"/>
        <v>0</v>
      </c>
      <c r="AI610" s="170">
        <f t="shared" si="324"/>
        <v>0</v>
      </c>
      <c r="AJ610" s="170">
        <f t="shared" si="324"/>
        <v>0</v>
      </c>
      <c r="AK610" s="170">
        <f t="shared" si="324"/>
        <v>0</v>
      </c>
      <c r="AL610" s="170">
        <f t="shared" si="324"/>
        <v>-4209703.2958071325</v>
      </c>
      <c r="AM610" s="170">
        <f t="shared" si="324"/>
        <v>0</v>
      </c>
      <c r="AN610" s="170">
        <f t="shared" si="324"/>
        <v>0</v>
      </c>
      <c r="AO610" s="170">
        <f t="shared" si="324"/>
        <v>0</v>
      </c>
      <c r="AP610" s="170">
        <f t="shared" si="324"/>
        <v>0</v>
      </c>
    </row>
    <row r="611" spans="1:42" x14ac:dyDescent="0.2">
      <c r="A611" s="20" t="s">
        <v>99</v>
      </c>
      <c r="B611" s="135">
        <f>SUM(B608:B610)</f>
        <v>0</v>
      </c>
      <c r="C611" s="135">
        <f>SUM(C608:C610)</f>
        <v>245406.02862510949</v>
      </c>
      <c r="D611" s="135">
        <f t="shared" ref="D611:AP611" si="325">SUM(D608:D610)</f>
        <v>490812.05725021899</v>
      </c>
      <c r="E611" s="135">
        <f t="shared" si="325"/>
        <v>736218.08587532851</v>
      </c>
      <c r="F611" s="135">
        <f t="shared" si="325"/>
        <v>981624.11450043798</v>
      </c>
      <c r="G611" s="135">
        <f t="shared" si="325"/>
        <v>1227030.1431255476</v>
      </c>
      <c r="H611" s="135">
        <f t="shared" si="325"/>
        <v>1472436.171750657</v>
      </c>
      <c r="I611" s="135">
        <f t="shared" si="325"/>
        <v>1717842.2003757665</v>
      </c>
      <c r="J611" s="135">
        <f t="shared" si="325"/>
        <v>1963248.229000876</v>
      </c>
      <c r="K611" s="135">
        <f t="shared" si="325"/>
        <v>2208654.2576259854</v>
      </c>
      <c r="L611" s="135">
        <f t="shared" si="325"/>
        <v>2454060.2862510951</v>
      </c>
      <c r="M611" s="135">
        <f t="shared" si="325"/>
        <v>2699466.3148762048</v>
      </c>
      <c r="N611" s="135">
        <f t="shared" si="325"/>
        <v>0</v>
      </c>
      <c r="O611" s="135">
        <f t="shared" si="325"/>
        <v>293411.90721039008</v>
      </c>
      <c r="P611" s="135">
        <f t="shared" si="325"/>
        <v>586823.81442078017</v>
      </c>
      <c r="Q611" s="135">
        <f t="shared" si="325"/>
        <v>880235.72163117025</v>
      </c>
      <c r="R611" s="135">
        <f t="shared" si="325"/>
        <v>1173647.6288415603</v>
      </c>
      <c r="S611" s="135">
        <f t="shared" si="325"/>
        <v>1467059.5360519504</v>
      </c>
      <c r="T611" s="135">
        <f t="shared" si="325"/>
        <v>1760471.4432623405</v>
      </c>
      <c r="U611" s="135">
        <f t="shared" si="325"/>
        <v>2053883.3504727306</v>
      </c>
      <c r="V611" s="135">
        <f t="shared" si="325"/>
        <v>2347295.2576831207</v>
      </c>
      <c r="W611" s="135">
        <f t="shared" si="325"/>
        <v>2640707.1648935108</v>
      </c>
      <c r="X611" s="135">
        <f t="shared" si="325"/>
        <v>2934119.0721039008</v>
      </c>
      <c r="Y611" s="135">
        <f t="shared" si="325"/>
        <v>3227530.9793142909</v>
      </c>
      <c r="Z611" s="135">
        <f t="shared" si="325"/>
        <v>0</v>
      </c>
      <c r="AA611" s="135">
        <f t="shared" si="325"/>
        <v>350808.60798392771</v>
      </c>
      <c r="AB611" s="135">
        <f t="shared" si="325"/>
        <v>701617.21596785542</v>
      </c>
      <c r="AC611" s="135">
        <f t="shared" si="325"/>
        <v>1052425.8239517831</v>
      </c>
      <c r="AD611" s="135">
        <f t="shared" si="325"/>
        <v>1403234.4319357108</v>
      </c>
      <c r="AE611" s="135">
        <f t="shared" si="325"/>
        <v>1754043.0399196385</v>
      </c>
      <c r="AF611" s="135">
        <f t="shared" si="325"/>
        <v>2104851.6479035662</v>
      </c>
      <c r="AG611" s="135">
        <f t="shared" si="325"/>
        <v>2455660.255887494</v>
      </c>
      <c r="AH611" s="135">
        <f t="shared" si="325"/>
        <v>2806468.8638714217</v>
      </c>
      <c r="AI611" s="135">
        <f t="shared" si="325"/>
        <v>3157277.4718553494</v>
      </c>
      <c r="AJ611" s="135">
        <f t="shared" si="325"/>
        <v>3508086.0798392771</v>
      </c>
      <c r="AK611" s="135">
        <f t="shared" si="325"/>
        <v>3858894.6878232048</v>
      </c>
      <c r="AL611" s="135">
        <f t="shared" si="325"/>
        <v>0</v>
      </c>
      <c r="AM611" s="135">
        <f t="shared" si="325"/>
        <v>0</v>
      </c>
      <c r="AN611" s="135">
        <f t="shared" si="325"/>
        <v>0</v>
      </c>
      <c r="AO611" s="135">
        <f t="shared" si="325"/>
        <v>0</v>
      </c>
      <c r="AP611" s="135">
        <f t="shared" si="325"/>
        <v>0</v>
      </c>
    </row>
    <row r="612" spans="1:42" x14ac:dyDescent="0.2">
      <c r="B612" s="135"/>
      <c r="C612" s="135"/>
      <c r="D612" s="135"/>
      <c r="E612" s="135"/>
      <c r="F612" s="135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</row>
    <row r="613" spans="1:42" x14ac:dyDescent="0.2">
      <c r="A613" s="20" t="s">
        <v>181</v>
      </c>
      <c r="B613" s="135"/>
      <c r="C613" s="135"/>
      <c r="D613" s="135"/>
      <c r="E613" s="135"/>
      <c r="F613" s="135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</row>
    <row r="614" spans="1:42" x14ac:dyDescent="0.2">
      <c r="A614" s="20" t="s">
        <v>182</v>
      </c>
      <c r="B614" s="135"/>
      <c r="C614" s="135"/>
      <c r="D614" s="135"/>
      <c r="E614" s="135"/>
      <c r="F614" s="135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</row>
    <row r="615" spans="1:42" x14ac:dyDescent="0.2">
      <c r="A615" s="20">
        <v>1</v>
      </c>
      <c r="B615" s="179">
        <f t="shared" ref="B615:B624" si="326">SUM(C615:AP615)</f>
        <v>2944872.3435013141</v>
      </c>
      <c r="C615" s="169">
        <f t="shared" ref="C615:AP621" si="327">IF(C$2&gt;AnalysisPeriod,0,IF(C$2=MMFrequency*$A615,MMCost*CapacityDC*1000*(1+Inflation)^B$2,0))</f>
        <v>0</v>
      </c>
      <c r="D615" s="169">
        <f t="shared" si="327"/>
        <v>0</v>
      </c>
      <c r="E615" s="169">
        <f t="shared" si="327"/>
        <v>0</v>
      </c>
      <c r="F615" s="169">
        <f t="shared" si="327"/>
        <v>0</v>
      </c>
      <c r="G615" s="169">
        <f t="shared" si="327"/>
        <v>0</v>
      </c>
      <c r="H615" s="169">
        <f t="shared" si="327"/>
        <v>0</v>
      </c>
      <c r="I615" s="169">
        <f t="shared" si="327"/>
        <v>0</v>
      </c>
      <c r="J615" s="169">
        <f t="shared" si="327"/>
        <v>0</v>
      </c>
      <c r="K615" s="169">
        <f t="shared" si="327"/>
        <v>0</v>
      </c>
      <c r="L615" s="169">
        <f t="shared" si="327"/>
        <v>0</v>
      </c>
      <c r="M615" s="169">
        <f t="shared" si="327"/>
        <v>0</v>
      </c>
      <c r="N615" s="169">
        <f t="shared" si="327"/>
        <v>2944872.3435013141</v>
      </c>
      <c r="O615" s="169">
        <f t="shared" si="327"/>
        <v>0</v>
      </c>
      <c r="P615" s="169">
        <f t="shared" si="327"/>
        <v>0</v>
      </c>
      <c r="Q615" s="169">
        <f t="shared" si="327"/>
        <v>0</v>
      </c>
      <c r="R615" s="169">
        <f t="shared" si="327"/>
        <v>0</v>
      </c>
      <c r="S615" s="169">
        <f t="shared" si="327"/>
        <v>0</v>
      </c>
      <c r="T615" s="169">
        <f t="shared" si="327"/>
        <v>0</v>
      </c>
      <c r="U615" s="169">
        <f t="shared" si="327"/>
        <v>0</v>
      </c>
      <c r="V615" s="169">
        <f t="shared" si="327"/>
        <v>0</v>
      </c>
      <c r="W615" s="169">
        <f t="shared" si="327"/>
        <v>0</v>
      </c>
      <c r="X615" s="169">
        <f t="shared" si="327"/>
        <v>0</v>
      </c>
      <c r="Y615" s="169">
        <f t="shared" si="327"/>
        <v>0</v>
      </c>
      <c r="Z615" s="169">
        <f t="shared" si="327"/>
        <v>0</v>
      </c>
      <c r="AA615" s="169">
        <f t="shared" si="327"/>
        <v>0</v>
      </c>
      <c r="AB615" s="169">
        <f t="shared" si="327"/>
        <v>0</v>
      </c>
      <c r="AC615" s="169">
        <f t="shared" si="327"/>
        <v>0</v>
      </c>
      <c r="AD615" s="169">
        <f t="shared" si="327"/>
        <v>0</v>
      </c>
      <c r="AE615" s="169">
        <f t="shared" si="327"/>
        <v>0</v>
      </c>
      <c r="AF615" s="169">
        <f t="shared" si="327"/>
        <v>0</v>
      </c>
      <c r="AG615" s="169">
        <f t="shared" si="327"/>
        <v>0</v>
      </c>
      <c r="AH615" s="169">
        <f t="shared" si="327"/>
        <v>0</v>
      </c>
      <c r="AI615" s="169">
        <f t="shared" si="327"/>
        <v>0</v>
      </c>
      <c r="AJ615" s="169">
        <f t="shared" si="327"/>
        <v>0</v>
      </c>
      <c r="AK615" s="169">
        <f t="shared" si="327"/>
        <v>0</v>
      </c>
      <c r="AL615" s="169">
        <f t="shared" si="327"/>
        <v>0</v>
      </c>
      <c r="AM615" s="169">
        <f t="shared" si="327"/>
        <v>0</v>
      </c>
      <c r="AN615" s="169">
        <f t="shared" si="327"/>
        <v>0</v>
      </c>
      <c r="AO615" s="169">
        <f t="shared" si="327"/>
        <v>0</v>
      </c>
      <c r="AP615" s="169">
        <f t="shared" si="327"/>
        <v>0</v>
      </c>
    </row>
    <row r="616" spans="1:42" x14ac:dyDescent="0.2">
      <c r="A616" s="20">
        <f>A615+1</f>
        <v>2</v>
      </c>
      <c r="B616" s="179">
        <f t="shared" si="326"/>
        <v>3520942.886524681</v>
      </c>
      <c r="C616" s="169">
        <f t="shared" si="327"/>
        <v>0</v>
      </c>
      <c r="D616" s="169">
        <f t="shared" si="327"/>
        <v>0</v>
      </c>
      <c r="E616" s="169">
        <f t="shared" si="327"/>
        <v>0</v>
      </c>
      <c r="F616" s="169">
        <f t="shared" si="327"/>
        <v>0</v>
      </c>
      <c r="G616" s="169">
        <f t="shared" si="327"/>
        <v>0</v>
      </c>
      <c r="H616" s="169">
        <f t="shared" si="327"/>
        <v>0</v>
      </c>
      <c r="I616" s="169">
        <f t="shared" si="327"/>
        <v>0</v>
      </c>
      <c r="J616" s="169">
        <f t="shared" si="327"/>
        <v>0</v>
      </c>
      <c r="K616" s="169">
        <f t="shared" si="327"/>
        <v>0</v>
      </c>
      <c r="L616" s="169">
        <f t="shared" si="327"/>
        <v>0</v>
      </c>
      <c r="M616" s="169">
        <f t="shared" si="327"/>
        <v>0</v>
      </c>
      <c r="N616" s="169">
        <f t="shared" si="327"/>
        <v>0</v>
      </c>
      <c r="O616" s="169">
        <f t="shared" si="327"/>
        <v>0</v>
      </c>
      <c r="P616" s="169">
        <f t="shared" si="327"/>
        <v>0</v>
      </c>
      <c r="Q616" s="169">
        <f t="shared" si="327"/>
        <v>0</v>
      </c>
      <c r="R616" s="169">
        <f t="shared" si="327"/>
        <v>0</v>
      </c>
      <c r="S616" s="169">
        <f t="shared" si="327"/>
        <v>0</v>
      </c>
      <c r="T616" s="169">
        <f t="shared" si="327"/>
        <v>0</v>
      </c>
      <c r="U616" s="169">
        <f t="shared" si="327"/>
        <v>0</v>
      </c>
      <c r="V616" s="169">
        <f t="shared" si="327"/>
        <v>0</v>
      </c>
      <c r="W616" s="169">
        <f t="shared" si="327"/>
        <v>0</v>
      </c>
      <c r="X616" s="169">
        <f t="shared" si="327"/>
        <v>0</v>
      </c>
      <c r="Y616" s="169">
        <f t="shared" si="327"/>
        <v>0</v>
      </c>
      <c r="Z616" s="169">
        <f t="shared" si="327"/>
        <v>3520942.886524681</v>
      </c>
      <c r="AA616" s="169">
        <f t="shared" si="327"/>
        <v>0</v>
      </c>
      <c r="AB616" s="169">
        <f t="shared" si="327"/>
        <v>0</v>
      </c>
      <c r="AC616" s="169">
        <f t="shared" si="327"/>
        <v>0</v>
      </c>
      <c r="AD616" s="169">
        <f t="shared" si="327"/>
        <v>0</v>
      </c>
      <c r="AE616" s="169">
        <f t="shared" si="327"/>
        <v>0</v>
      </c>
      <c r="AF616" s="169">
        <f t="shared" si="327"/>
        <v>0</v>
      </c>
      <c r="AG616" s="169">
        <f t="shared" si="327"/>
        <v>0</v>
      </c>
      <c r="AH616" s="169">
        <f t="shared" si="327"/>
        <v>0</v>
      </c>
      <c r="AI616" s="169">
        <f t="shared" si="327"/>
        <v>0</v>
      </c>
      <c r="AJ616" s="169">
        <f t="shared" si="327"/>
        <v>0</v>
      </c>
      <c r="AK616" s="169">
        <f t="shared" si="327"/>
        <v>0</v>
      </c>
      <c r="AL616" s="169">
        <f t="shared" si="327"/>
        <v>0</v>
      </c>
      <c r="AM616" s="169">
        <f t="shared" si="327"/>
        <v>0</v>
      </c>
      <c r="AN616" s="169">
        <f t="shared" si="327"/>
        <v>0</v>
      </c>
      <c r="AO616" s="169">
        <f t="shared" si="327"/>
        <v>0</v>
      </c>
      <c r="AP616" s="169">
        <f t="shared" si="327"/>
        <v>0</v>
      </c>
    </row>
    <row r="617" spans="1:42" x14ac:dyDescent="0.2">
      <c r="A617" s="20">
        <f t="shared" ref="A617:A624" si="328">A616+1</f>
        <v>3</v>
      </c>
      <c r="B617" s="179">
        <f t="shared" si="326"/>
        <v>4209703.2958071325</v>
      </c>
      <c r="C617" s="169">
        <f t="shared" si="327"/>
        <v>0</v>
      </c>
      <c r="D617" s="169">
        <f t="shared" si="327"/>
        <v>0</v>
      </c>
      <c r="E617" s="169">
        <f t="shared" si="327"/>
        <v>0</v>
      </c>
      <c r="F617" s="169">
        <f t="shared" si="327"/>
        <v>0</v>
      </c>
      <c r="G617" s="169">
        <f t="shared" si="327"/>
        <v>0</v>
      </c>
      <c r="H617" s="169">
        <f t="shared" si="327"/>
        <v>0</v>
      </c>
      <c r="I617" s="169">
        <f t="shared" si="327"/>
        <v>0</v>
      </c>
      <c r="J617" s="169">
        <f t="shared" si="327"/>
        <v>0</v>
      </c>
      <c r="K617" s="169">
        <f t="shared" si="327"/>
        <v>0</v>
      </c>
      <c r="L617" s="169">
        <f t="shared" si="327"/>
        <v>0</v>
      </c>
      <c r="M617" s="169">
        <f t="shared" si="327"/>
        <v>0</v>
      </c>
      <c r="N617" s="169">
        <f t="shared" si="327"/>
        <v>0</v>
      </c>
      <c r="O617" s="169">
        <f t="shared" si="327"/>
        <v>0</v>
      </c>
      <c r="P617" s="169">
        <f t="shared" si="327"/>
        <v>0</v>
      </c>
      <c r="Q617" s="169">
        <f t="shared" si="327"/>
        <v>0</v>
      </c>
      <c r="R617" s="169">
        <f t="shared" si="327"/>
        <v>0</v>
      </c>
      <c r="S617" s="169">
        <f t="shared" si="327"/>
        <v>0</v>
      </c>
      <c r="T617" s="169">
        <f t="shared" si="327"/>
        <v>0</v>
      </c>
      <c r="U617" s="169">
        <f t="shared" si="327"/>
        <v>0</v>
      </c>
      <c r="V617" s="169">
        <f t="shared" si="327"/>
        <v>0</v>
      </c>
      <c r="W617" s="169">
        <f t="shared" si="327"/>
        <v>0</v>
      </c>
      <c r="X617" s="169">
        <f t="shared" si="327"/>
        <v>0</v>
      </c>
      <c r="Y617" s="169">
        <f t="shared" si="327"/>
        <v>0</v>
      </c>
      <c r="Z617" s="169">
        <f t="shared" si="327"/>
        <v>0</v>
      </c>
      <c r="AA617" s="169">
        <f t="shared" si="327"/>
        <v>0</v>
      </c>
      <c r="AB617" s="169">
        <f t="shared" si="327"/>
        <v>0</v>
      </c>
      <c r="AC617" s="169">
        <f t="shared" si="327"/>
        <v>0</v>
      </c>
      <c r="AD617" s="169">
        <f t="shared" si="327"/>
        <v>0</v>
      </c>
      <c r="AE617" s="169">
        <f t="shared" si="327"/>
        <v>0</v>
      </c>
      <c r="AF617" s="169">
        <f t="shared" si="327"/>
        <v>0</v>
      </c>
      <c r="AG617" s="169">
        <f t="shared" si="327"/>
        <v>0</v>
      </c>
      <c r="AH617" s="169">
        <f t="shared" si="327"/>
        <v>0</v>
      </c>
      <c r="AI617" s="169">
        <f t="shared" si="327"/>
        <v>0</v>
      </c>
      <c r="AJ617" s="169">
        <f t="shared" si="327"/>
        <v>0</v>
      </c>
      <c r="AK617" s="169">
        <f t="shared" si="327"/>
        <v>0</v>
      </c>
      <c r="AL617" s="169">
        <f t="shared" si="327"/>
        <v>4209703.2958071325</v>
      </c>
      <c r="AM617" s="169">
        <f t="shared" si="327"/>
        <v>0</v>
      </c>
      <c r="AN617" s="169">
        <f t="shared" si="327"/>
        <v>0</v>
      </c>
      <c r="AO617" s="169">
        <f t="shared" si="327"/>
        <v>0</v>
      </c>
      <c r="AP617" s="169">
        <f t="shared" si="327"/>
        <v>0</v>
      </c>
    </row>
    <row r="618" spans="1:42" x14ac:dyDescent="0.2">
      <c r="A618" s="20">
        <f t="shared" si="328"/>
        <v>4</v>
      </c>
      <c r="B618" s="179">
        <f t="shared" si="326"/>
        <v>0</v>
      </c>
      <c r="C618" s="169">
        <f t="shared" si="327"/>
        <v>0</v>
      </c>
      <c r="D618" s="169">
        <f t="shared" si="327"/>
        <v>0</v>
      </c>
      <c r="E618" s="169">
        <f t="shared" si="327"/>
        <v>0</v>
      </c>
      <c r="F618" s="169">
        <f t="shared" si="327"/>
        <v>0</v>
      </c>
      <c r="G618" s="169">
        <f t="shared" si="327"/>
        <v>0</v>
      </c>
      <c r="H618" s="169">
        <f t="shared" si="327"/>
        <v>0</v>
      </c>
      <c r="I618" s="169">
        <f t="shared" si="327"/>
        <v>0</v>
      </c>
      <c r="J618" s="169">
        <f t="shared" si="327"/>
        <v>0</v>
      </c>
      <c r="K618" s="169">
        <f t="shared" si="327"/>
        <v>0</v>
      </c>
      <c r="L618" s="169">
        <f t="shared" si="327"/>
        <v>0</v>
      </c>
      <c r="M618" s="169">
        <f t="shared" si="327"/>
        <v>0</v>
      </c>
      <c r="N618" s="169">
        <f t="shared" si="327"/>
        <v>0</v>
      </c>
      <c r="O618" s="169">
        <f t="shared" si="327"/>
        <v>0</v>
      </c>
      <c r="P618" s="169">
        <f t="shared" si="327"/>
        <v>0</v>
      </c>
      <c r="Q618" s="169">
        <f t="shared" si="327"/>
        <v>0</v>
      </c>
      <c r="R618" s="169">
        <f t="shared" si="327"/>
        <v>0</v>
      </c>
      <c r="S618" s="169">
        <f t="shared" si="327"/>
        <v>0</v>
      </c>
      <c r="T618" s="169">
        <f t="shared" si="327"/>
        <v>0</v>
      </c>
      <c r="U618" s="169">
        <f t="shared" si="327"/>
        <v>0</v>
      </c>
      <c r="V618" s="169">
        <f t="shared" si="327"/>
        <v>0</v>
      </c>
      <c r="W618" s="169">
        <f t="shared" si="327"/>
        <v>0</v>
      </c>
      <c r="X618" s="169">
        <f t="shared" si="327"/>
        <v>0</v>
      </c>
      <c r="Y618" s="169">
        <f t="shared" si="327"/>
        <v>0</v>
      </c>
      <c r="Z618" s="169">
        <f t="shared" si="327"/>
        <v>0</v>
      </c>
      <c r="AA618" s="169">
        <f t="shared" si="327"/>
        <v>0</v>
      </c>
      <c r="AB618" s="169">
        <f t="shared" si="327"/>
        <v>0</v>
      </c>
      <c r="AC618" s="169">
        <f t="shared" si="327"/>
        <v>0</v>
      </c>
      <c r="AD618" s="169">
        <f t="shared" si="327"/>
        <v>0</v>
      </c>
      <c r="AE618" s="169">
        <f t="shared" si="327"/>
        <v>0</v>
      </c>
      <c r="AF618" s="169">
        <f t="shared" si="327"/>
        <v>0</v>
      </c>
      <c r="AG618" s="169">
        <f t="shared" si="327"/>
        <v>0</v>
      </c>
      <c r="AH618" s="169">
        <f t="shared" si="327"/>
        <v>0</v>
      </c>
      <c r="AI618" s="169">
        <f t="shared" si="327"/>
        <v>0</v>
      </c>
      <c r="AJ618" s="169">
        <f t="shared" si="327"/>
        <v>0</v>
      </c>
      <c r="AK618" s="169">
        <f t="shared" si="327"/>
        <v>0</v>
      </c>
      <c r="AL618" s="169">
        <f t="shared" si="327"/>
        <v>0</v>
      </c>
      <c r="AM618" s="169">
        <f t="shared" si="327"/>
        <v>0</v>
      </c>
      <c r="AN618" s="169">
        <f t="shared" si="327"/>
        <v>0</v>
      </c>
      <c r="AO618" s="169">
        <f t="shared" si="327"/>
        <v>0</v>
      </c>
      <c r="AP618" s="169">
        <f t="shared" si="327"/>
        <v>0</v>
      </c>
    </row>
    <row r="619" spans="1:42" x14ac:dyDescent="0.2">
      <c r="A619" s="20">
        <f t="shared" si="328"/>
        <v>5</v>
      </c>
      <c r="B619" s="179">
        <f t="shared" si="326"/>
        <v>0</v>
      </c>
      <c r="C619" s="169">
        <f t="shared" si="327"/>
        <v>0</v>
      </c>
      <c r="D619" s="169">
        <f t="shared" si="327"/>
        <v>0</v>
      </c>
      <c r="E619" s="169">
        <f t="shared" si="327"/>
        <v>0</v>
      </c>
      <c r="F619" s="169">
        <f t="shared" si="327"/>
        <v>0</v>
      </c>
      <c r="G619" s="169">
        <f t="shared" si="327"/>
        <v>0</v>
      </c>
      <c r="H619" s="169">
        <f t="shared" si="327"/>
        <v>0</v>
      </c>
      <c r="I619" s="169">
        <f t="shared" si="327"/>
        <v>0</v>
      </c>
      <c r="J619" s="169">
        <f t="shared" si="327"/>
        <v>0</v>
      </c>
      <c r="K619" s="169">
        <f t="shared" si="327"/>
        <v>0</v>
      </c>
      <c r="L619" s="169">
        <f t="shared" si="327"/>
        <v>0</v>
      </c>
      <c r="M619" s="169">
        <f t="shared" si="327"/>
        <v>0</v>
      </c>
      <c r="N619" s="169">
        <f t="shared" si="327"/>
        <v>0</v>
      </c>
      <c r="O619" s="169">
        <f t="shared" si="327"/>
        <v>0</v>
      </c>
      <c r="P619" s="169">
        <f t="shared" si="327"/>
        <v>0</v>
      </c>
      <c r="Q619" s="169">
        <f t="shared" si="327"/>
        <v>0</v>
      </c>
      <c r="R619" s="169">
        <f t="shared" si="327"/>
        <v>0</v>
      </c>
      <c r="S619" s="169">
        <f t="shared" si="327"/>
        <v>0</v>
      </c>
      <c r="T619" s="169">
        <f t="shared" si="327"/>
        <v>0</v>
      </c>
      <c r="U619" s="169">
        <f t="shared" si="327"/>
        <v>0</v>
      </c>
      <c r="V619" s="169">
        <f t="shared" si="327"/>
        <v>0</v>
      </c>
      <c r="W619" s="169">
        <f t="shared" si="327"/>
        <v>0</v>
      </c>
      <c r="X619" s="169">
        <f t="shared" si="327"/>
        <v>0</v>
      </c>
      <c r="Y619" s="169">
        <f t="shared" si="327"/>
        <v>0</v>
      </c>
      <c r="Z619" s="169">
        <f t="shared" si="327"/>
        <v>0</v>
      </c>
      <c r="AA619" s="169">
        <f t="shared" si="327"/>
        <v>0</v>
      </c>
      <c r="AB619" s="169">
        <f t="shared" si="327"/>
        <v>0</v>
      </c>
      <c r="AC619" s="169">
        <f t="shared" si="327"/>
        <v>0</v>
      </c>
      <c r="AD619" s="169">
        <f t="shared" si="327"/>
        <v>0</v>
      </c>
      <c r="AE619" s="169">
        <f t="shared" si="327"/>
        <v>0</v>
      </c>
      <c r="AF619" s="169">
        <f t="shared" si="327"/>
        <v>0</v>
      </c>
      <c r="AG619" s="169">
        <f t="shared" si="327"/>
        <v>0</v>
      </c>
      <c r="AH619" s="169">
        <f t="shared" si="327"/>
        <v>0</v>
      </c>
      <c r="AI619" s="169">
        <f t="shared" si="327"/>
        <v>0</v>
      </c>
      <c r="AJ619" s="169">
        <f t="shared" si="327"/>
        <v>0</v>
      </c>
      <c r="AK619" s="169">
        <f t="shared" si="327"/>
        <v>0</v>
      </c>
      <c r="AL619" s="169">
        <f t="shared" si="327"/>
        <v>0</v>
      </c>
      <c r="AM619" s="169">
        <f t="shared" si="327"/>
        <v>0</v>
      </c>
      <c r="AN619" s="169">
        <f t="shared" si="327"/>
        <v>0</v>
      </c>
      <c r="AO619" s="169">
        <f t="shared" si="327"/>
        <v>0</v>
      </c>
      <c r="AP619" s="169">
        <f t="shared" si="327"/>
        <v>0</v>
      </c>
    </row>
    <row r="620" spans="1:42" x14ac:dyDescent="0.2">
      <c r="A620" s="20">
        <f t="shared" si="328"/>
        <v>6</v>
      </c>
      <c r="B620" s="179">
        <f t="shared" si="326"/>
        <v>0</v>
      </c>
      <c r="C620" s="169">
        <f t="shared" si="327"/>
        <v>0</v>
      </c>
      <c r="D620" s="169">
        <f t="shared" si="327"/>
        <v>0</v>
      </c>
      <c r="E620" s="169">
        <f t="shared" si="327"/>
        <v>0</v>
      </c>
      <c r="F620" s="169">
        <f t="shared" si="327"/>
        <v>0</v>
      </c>
      <c r="G620" s="169">
        <f t="shared" si="327"/>
        <v>0</v>
      </c>
      <c r="H620" s="169">
        <f t="shared" si="327"/>
        <v>0</v>
      </c>
      <c r="I620" s="169">
        <f t="shared" si="327"/>
        <v>0</v>
      </c>
      <c r="J620" s="169">
        <f t="shared" si="327"/>
        <v>0</v>
      </c>
      <c r="K620" s="169">
        <f t="shared" si="327"/>
        <v>0</v>
      </c>
      <c r="L620" s="169">
        <f t="shared" si="327"/>
        <v>0</v>
      </c>
      <c r="M620" s="169">
        <f t="shared" si="327"/>
        <v>0</v>
      </c>
      <c r="N620" s="169">
        <f t="shared" si="327"/>
        <v>0</v>
      </c>
      <c r="O620" s="169">
        <f t="shared" si="327"/>
        <v>0</v>
      </c>
      <c r="P620" s="169">
        <f t="shared" si="327"/>
        <v>0</v>
      </c>
      <c r="Q620" s="169">
        <f t="shared" si="327"/>
        <v>0</v>
      </c>
      <c r="R620" s="169">
        <f t="shared" si="327"/>
        <v>0</v>
      </c>
      <c r="S620" s="169">
        <f t="shared" si="327"/>
        <v>0</v>
      </c>
      <c r="T620" s="169">
        <f t="shared" si="327"/>
        <v>0</v>
      </c>
      <c r="U620" s="169">
        <f t="shared" si="327"/>
        <v>0</v>
      </c>
      <c r="V620" s="169">
        <f t="shared" si="327"/>
        <v>0</v>
      </c>
      <c r="W620" s="169">
        <f t="shared" si="327"/>
        <v>0</v>
      </c>
      <c r="X620" s="169">
        <f t="shared" si="327"/>
        <v>0</v>
      </c>
      <c r="Y620" s="169">
        <f t="shared" si="327"/>
        <v>0</v>
      </c>
      <c r="Z620" s="169">
        <f t="shared" si="327"/>
        <v>0</v>
      </c>
      <c r="AA620" s="169">
        <f t="shared" si="327"/>
        <v>0</v>
      </c>
      <c r="AB620" s="169">
        <f t="shared" si="327"/>
        <v>0</v>
      </c>
      <c r="AC620" s="169">
        <f t="shared" si="327"/>
        <v>0</v>
      </c>
      <c r="AD620" s="169">
        <f t="shared" si="327"/>
        <v>0</v>
      </c>
      <c r="AE620" s="169">
        <f t="shared" si="327"/>
        <v>0</v>
      </c>
      <c r="AF620" s="169">
        <f t="shared" si="327"/>
        <v>0</v>
      </c>
      <c r="AG620" s="169">
        <f t="shared" si="327"/>
        <v>0</v>
      </c>
      <c r="AH620" s="169">
        <f t="shared" si="327"/>
        <v>0</v>
      </c>
      <c r="AI620" s="169">
        <f t="shared" si="327"/>
        <v>0</v>
      </c>
      <c r="AJ620" s="169">
        <f t="shared" si="327"/>
        <v>0</v>
      </c>
      <c r="AK620" s="169">
        <f t="shared" si="327"/>
        <v>0</v>
      </c>
      <c r="AL620" s="169">
        <f t="shared" si="327"/>
        <v>0</v>
      </c>
      <c r="AM620" s="169">
        <f t="shared" si="327"/>
        <v>0</v>
      </c>
      <c r="AN620" s="169">
        <f t="shared" si="327"/>
        <v>0</v>
      </c>
      <c r="AO620" s="169">
        <f t="shared" si="327"/>
        <v>0</v>
      </c>
      <c r="AP620" s="169">
        <f t="shared" si="327"/>
        <v>0</v>
      </c>
    </row>
    <row r="621" spans="1:42" x14ac:dyDescent="0.2">
      <c r="A621" s="20">
        <f t="shared" si="328"/>
        <v>7</v>
      </c>
      <c r="B621" s="179">
        <f t="shared" si="326"/>
        <v>0</v>
      </c>
      <c r="C621" s="169">
        <f t="shared" si="327"/>
        <v>0</v>
      </c>
      <c r="D621" s="169">
        <f t="shared" si="327"/>
        <v>0</v>
      </c>
      <c r="E621" s="169">
        <f t="shared" si="327"/>
        <v>0</v>
      </c>
      <c r="F621" s="169">
        <f t="shared" si="327"/>
        <v>0</v>
      </c>
      <c r="G621" s="169">
        <f t="shared" si="327"/>
        <v>0</v>
      </c>
      <c r="H621" s="169">
        <f t="shared" si="327"/>
        <v>0</v>
      </c>
      <c r="I621" s="169">
        <f t="shared" si="327"/>
        <v>0</v>
      </c>
      <c r="J621" s="169">
        <f t="shared" si="327"/>
        <v>0</v>
      </c>
      <c r="K621" s="169">
        <f t="shared" si="327"/>
        <v>0</v>
      </c>
      <c r="L621" s="169">
        <f t="shared" si="327"/>
        <v>0</v>
      </c>
      <c r="M621" s="169">
        <f t="shared" si="327"/>
        <v>0</v>
      </c>
      <c r="N621" s="169">
        <f t="shared" si="327"/>
        <v>0</v>
      </c>
      <c r="O621" s="169">
        <f t="shared" si="327"/>
        <v>0</v>
      </c>
      <c r="P621" s="169">
        <f t="shared" si="327"/>
        <v>0</v>
      </c>
      <c r="Q621" s="169">
        <f t="shared" si="327"/>
        <v>0</v>
      </c>
      <c r="R621" s="169">
        <f t="shared" ref="R621:AP621" si="329">IF(R$2&gt;AnalysisPeriod,0,IF(R$2=MMFrequency*$A621,MMCost*CapacityDC*1000*(1+Inflation)^Q$2,0))</f>
        <v>0</v>
      </c>
      <c r="S621" s="169">
        <f t="shared" si="329"/>
        <v>0</v>
      </c>
      <c r="T621" s="169">
        <f t="shared" si="329"/>
        <v>0</v>
      </c>
      <c r="U621" s="169">
        <f t="shared" si="329"/>
        <v>0</v>
      </c>
      <c r="V621" s="169">
        <f t="shared" si="329"/>
        <v>0</v>
      </c>
      <c r="W621" s="169">
        <f t="shared" si="329"/>
        <v>0</v>
      </c>
      <c r="X621" s="169">
        <f t="shared" si="329"/>
        <v>0</v>
      </c>
      <c r="Y621" s="169">
        <f t="shared" si="329"/>
        <v>0</v>
      </c>
      <c r="Z621" s="169">
        <f t="shared" si="329"/>
        <v>0</v>
      </c>
      <c r="AA621" s="169">
        <f t="shared" si="329"/>
        <v>0</v>
      </c>
      <c r="AB621" s="169">
        <f t="shared" si="329"/>
        <v>0</v>
      </c>
      <c r="AC621" s="169">
        <f t="shared" si="329"/>
        <v>0</v>
      </c>
      <c r="AD621" s="169">
        <f t="shared" si="329"/>
        <v>0</v>
      </c>
      <c r="AE621" s="169">
        <f t="shared" si="329"/>
        <v>0</v>
      </c>
      <c r="AF621" s="169">
        <f t="shared" si="329"/>
        <v>0</v>
      </c>
      <c r="AG621" s="169">
        <f t="shared" si="329"/>
        <v>0</v>
      </c>
      <c r="AH621" s="169">
        <f t="shared" si="329"/>
        <v>0</v>
      </c>
      <c r="AI621" s="169">
        <f t="shared" si="329"/>
        <v>0</v>
      </c>
      <c r="AJ621" s="169">
        <f t="shared" si="329"/>
        <v>0</v>
      </c>
      <c r="AK621" s="169">
        <f t="shared" si="329"/>
        <v>0</v>
      </c>
      <c r="AL621" s="169">
        <f t="shared" si="329"/>
        <v>0</v>
      </c>
      <c r="AM621" s="169">
        <f t="shared" si="329"/>
        <v>0</v>
      </c>
      <c r="AN621" s="169">
        <f t="shared" si="329"/>
        <v>0</v>
      </c>
      <c r="AO621" s="169">
        <f t="shared" si="329"/>
        <v>0</v>
      </c>
      <c r="AP621" s="169">
        <f t="shared" si="329"/>
        <v>0</v>
      </c>
    </row>
    <row r="622" spans="1:42" x14ac:dyDescent="0.2">
      <c r="A622" s="20">
        <f t="shared" si="328"/>
        <v>8</v>
      </c>
      <c r="B622" s="179">
        <f t="shared" si="326"/>
        <v>0</v>
      </c>
      <c r="C622" s="169">
        <f t="shared" ref="C622:AP624" si="330">IF(C$2&gt;AnalysisPeriod,0,IF(C$2=MMFrequency*$A622,MMCost*CapacityDC*1000*(1+Inflation)^B$2,0))</f>
        <v>0</v>
      </c>
      <c r="D622" s="169">
        <f t="shared" si="330"/>
        <v>0</v>
      </c>
      <c r="E622" s="169">
        <f t="shared" si="330"/>
        <v>0</v>
      </c>
      <c r="F622" s="169">
        <f t="shared" si="330"/>
        <v>0</v>
      </c>
      <c r="G622" s="169">
        <f t="shared" si="330"/>
        <v>0</v>
      </c>
      <c r="H622" s="169">
        <f t="shared" si="330"/>
        <v>0</v>
      </c>
      <c r="I622" s="169">
        <f t="shared" si="330"/>
        <v>0</v>
      </c>
      <c r="J622" s="169">
        <f t="shared" si="330"/>
        <v>0</v>
      </c>
      <c r="K622" s="169">
        <f t="shared" si="330"/>
        <v>0</v>
      </c>
      <c r="L622" s="169">
        <f t="shared" si="330"/>
        <v>0</v>
      </c>
      <c r="M622" s="169">
        <f t="shared" si="330"/>
        <v>0</v>
      </c>
      <c r="N622" s="169">
        <f t="shared" si="330"/>
        <v>0</v>
      </c>
      <c r="O622" s="169">
        <f t="shared" si="330"/>
        <v>0</v>
      </c>
      <c r="P622" s="169">
        <f t="shared" si="330"/>
        <v>0</v>
      </c>
      <c r="Q622" s="169">
        <f t="shared" si="330"/>
        <v>0</v>
      </c>
      <c r="R622" s="169">
        <f t="shared" si="330"/>
        <v>0</v>
      </c>
      <c r="S622" s="169">
        <f t="shared" si="330"/>
        <v>0</v>
      </c>
      <c r="T622" s="169">
        <f t="shared" si="330"/>
        <v>0</v>
      </c>
      <c r="U622" s="169">
        <f t="shared" si="330"/>
        <v>0</v>
      </c>
      <c r="V622" s="169">
        <f t="shared" si="330"/>
        <v>0</v>
      </c>
      <c r="W622" s="169">
        <f t="shared" si="330"/>
        <v>0</v>
      </c>
      <c r="X622" s="169">
        <f t="shared" si="330"/>
        <v>0</v>
      </c>
      <c r="Y622" s="169">
        <f t="shared" si="330"/>
        <v>0</v>
      </c>
      <c r="Z622" s="169">
        <f t="shared" si="330"/>
        <v>0</v>
      </c>
      <c r="AA622" s="169">
        <f t="shared" si="330"/>
        <v>0</v>
      </c>
      <c r="AB622" s="169">
        <f t="shared" si="330"/>
        <v>0</v>
      </c>
      <c r="AC622" s="169">
        <f t="shared" si="330"/>
        <v>0</v>
      </c>
      <c r="AD622" s="169">
        <f t="shared" si="330"/>
        <v>0</v>
      </c>
      <c r="AE622" s="169">
        <f t="shared" si="330"/>
        <v>0</v>
      </c>
      <c r="AF622" s="169">
        <f t="shared" si="330"/>
        <v>0</v>
      </c>
      <c r="AG622" s="169">
        <f t="shared" si="330"/>
        <v>0</v>
      </c>
      <c r="AH622" s="169">
        <f t="shared" si="330"/>
        <v>0</v>
      </c>
      <c r="AI622" s="169">
        <f t="shared" si="330"/>
        <v>0</v>
      </c>
      <c r="AJ622" s="169">
        <f t="shared" si="330"/>
        <v>0</v>
      </c>
      <c r="AK622" s="169">
        <f t="shared" si="330"/>
        <v>0</v>
      </c>
      <c r="AL622" s="169">
        <f t="shared" si="330"/>
        <v>0</v>
      </c>
      <c r="AM622" s="169">
        <f t="shared" si="330"/>
        <v>0</v>
      </c>
      <c r="AN622" s="169">
        <f t="shared" si="330"/>
        <v>0</v>
      </c>
      <c r="AO622" s="169">
        <f t="shared" si="330"/>
        <v>0</v>
      </c>
      <c r="AP622" s="169">
        <f t="shared" si="330"/>
        <v>0</v>
      </c>
    </row>
    <row r="623" spans="1:42" x14ac:dyDescent="0.2">
      <c r="A623" s="20">
        <f>A622+1</f>
        <v>9</v>
      </c>
      <c r="B623" s="179">
        <f t="shared" si="326"/>
        <v>0</v>
      </c>
      <c r="C623" s="169">
        <f t="shared" si="330"/>
        <v>0</v>
      </c>
      <c r="D623" s="169">
        <f t="shared" si="330"/>
        <v>0</v>
      </c>
      <c r="E623" s="169">
        <f t="shared" si="330"/>
        <v>0</v>
      </c>
      <c r="F623" s="169">
        <f t="shared" si="330"/>
        <v>0</v>
      </c>
      <c r="G623" s="169">
        <f t="shared" si="330"/>
        <v>0</v>
      </c>
      <c r="H623" s="169">
        <f t="shared" si="330"/>
        <v>0</v>
      </c>
      <c r="I623" s="169">
        <f t="shared" si="330"/>
        <v>0</v>
      </c>
      <c r="J623" s="169">
        <f t="shared" si="330"/>
        <v>0</v>
      </c>
      <c r="K623" s="169">
        <f t="shared" si="330"/>
        <v>0</v>
      </c>
      <c r="L623" s="169">
        <f t="shared" si="330"/>
        <v>0</v>
      </c>
      <c r="M623" s="169">
        <f t="shared" si="330"/>
        <v>0</v>
      </c>
      <c r="N623" s="169">
        <f t="shared" si="330"/>
        <v>0</v>
      </c>
      <c r="O623" s="169">
        <f t="shared" si="330"/>
        <v>0</v>
      </c>
      <c r="P623" s="169">
        <f t="shared" si="330"/>
        <v>0</v>
      </c>
      <c r="Q623" s="169">
        <f t="shared" si="330"/>
        <v>0</v>
      </c>
      <c r="R623" s="169">
        <f t="shared" si="330"/>
        <v>0</v>
      </c>
      <c r="S623" s="169">
        <f t="shared" si="330"/>
        <v>0</v>
      </c>
      <c r="T623" s="169">
        <f t="shared" si="330"/>
        <v>0</v>
      </c>
      <c r="U623" s="169">
        <f t="shared" si="330"/>
        <v>0</v>
      </c>
      <c r="V623" s="169">
        <f t="shared" si="330"/>
        <v>0</v>
      </c>
      <c r="W623" s="169">
        <f t="shared" si="330"/>
        <v>0</v>
      </c>
      <c r="X623" s="169">
        <f t="shared" si="330"/>
        <v>0</v>
      </c>
      <c r="Y623" s="169">
        <f t="shared" si="330"/>
        <v>0</v>
      </c>
      <c r="Z623" s="169">
        <f t="shared" si="330"/>
        <v>0</v>
      </c>
      <c r="AA623" s="169">
        <f t="shared" si="330"/>
        <v>0</v>
      </c>
      <c r="AB623" s="169">
        <f t="shared" si="330"/>
        <v>0</v>
      </c>
      <c r="AC623" s="169">
        <f t="shared" si="330"/>
        <v>0</v>
      </c>
      <c r="AD623" s="169">
        <f t="shared" si="330"/>
        <v>0</v>
      </c>
      <c r="AE623" s="169">
        <f t="shared" si="330"/>
        <v>0</v>
      </c>
      <c r="AF623" s="169">
        <f t="shared" si="330"/>
        <v>0</v>
      </c>
      <c r="AG623" s="169">
        <f t="shared" si="330"/>
        <v>0</v>
      </c>
      <c r="AH623" s="169">
        <f t="shared" si="330"/>
        <v>0</v>
      </c>
      <c r="AI623" s="169">
        <f t="shared" si="330"/>
        <v>0</v>
      </c>
      <c r="AJ623" s="169">
        <f t="shared" si="330"/>
        <v>0</v>
      </c>
      <c r="AK623" s="169">
        <f t="shared" si="330"/>
        <v>0</v>
      </c>
      <c r="AL623" s="169">
        <f t="shared" si="330"/>
        <v>0</v>
      </c>
      <c r="AM623" s="169">
        <f t="shared" si="330"/>
        <v>0</v>
      </c>
      <c r="AN623" s="169">
        <f t="shared" si="330"/>
        <v>0</v>
      </c>
      <c r="AO623" s="169">
        <f t="shared" si="330"/>
        <v>0</v>
      </c>
      <c r="AP623" s="169">
        <f t="shared" si="330"/>
        <v>0</v>
      </c>
    </row>
    <row r="624" spans="1:42" x14ac:dyDescent="0.2">
      <c r="A624" s="20">
        <f t="shared" si="328"/>
        <v>10</v>
      </c>
      <c r="B624" s="179">
        <f t="shared" si="326"/>
        <v>0</v>
      </c>
      <c r="C624" s="170">
        <f t="shared" si="330"/>
        <v>0</v>
      </c>
      <c r="D624" s="170">
        <f t="shared" si="330"/>
        <v>0</v>
      </c>
      <c r="E624" s="170">
        <f t="shared" si="330"/>
        <v>0</v>
      </c>
      <c r="F624" s="170">
        <f t="shared" si="330"/>
        <v>0</v>
      </c>
      <c r="G624" s="170">
        <f t="shared" si="330"/>
        <v>0</v>
      </c>
      <c r="H624" s="170">
        <f t="shared" si="330"/>
        <v>0</v>
      </c>
      <c r="I624" s="170">
        <f t="shared" si="330"/>
        <v>0</v>
      </c>
      <c r="J624" s="170">
        <f t="shared" si="330"/>
        <v>0</v>
      </c>
      <c r="K624" s="170">
        <f t="shared" si="330"/>
        <v>0</v>
      </c>
      <c r="L624" s="170">
        <f t="shared" si="330"/>
        <v>0</v>
      </c>
      <c r="M624" s="170">
        <f t="shared" si="330"/>
        <v>0</v>
      </c>
      <c r="N624" s="170">
        <f t="shared" si="330"/>
        <v>0</v>
      </c>
      <c r="O624" s="170">
        <f t="shared" si="330"/>
        <v>0</v>
      </c>
      <c r="P624" s="170">
        <f t="shared" si="330"/>
        <v>0</v>
      </c>
      <c r="Q624" s="170">
        <f t="shared" si="330"/>
        <v>0</v>
      </c>
      <c r="R624" s="170">
        <f t="shared" si="330"/>
        <v>0</v>
      </c>
      <c r="S624" s="170">
        <f t="shared" si="330"/>
        <v>0</v>
      </c>
      <c r="T624" s="170">
        <f t="shared" si="330"/>
        <v>0</v>
      </c>
      <c r="U624" s="170">
        <f t="shared" si="330"/>
        <v>0</v>
      </c>
      <c r="V624" s="170">
        <f t="shared" si="330"/>
        <v>0</v>
      </c>
      <c r="W624" s="170">
        <f t="shared" si="330"/>
        <v>0</v>
      </c>
      <c r="X624" s="170">
        <f t="shared" si="330"/>
        <v>0</v>
      </c>
      <c r="Y624" s="170">
        <f t="shared" si="330"/>
        <v>0</v>
      </c>
      <c r="Z624" s="170">
        <f t="shared" si="330"/>
        <v>0</v>
      </c>
      <c r="AA624" s="170">
        <f t="shared" si="330"/>
        <v>0</v>
      </c>
      <c r="AB624" s="170">
        <f t="shared" si="330"/>
        <v>0</v>
      </c>
      <c r="AC624" s="170">
        <f t="shared" si="330"/>
        <v>0</v>
      </c>
      <c r="AD624" s="170">
        <f t="shared" si="330"/>
        <v>0</v>
      </c>
      <c r="AE624" s="170">
        <f t="shared" si="330"/>
        <v>0</v>
      </c>
      <c r="AF624" s="170">
        <f t="shared" si="330"/>
        <v>0</v>
      </c>
      <c r="AG624" s="170">
        <f t="shared" si="330"/>
        <v>0</v>
      </c>
      <c r="AH624" s="170">
        <f t="shared" si="330"/>
        <v>0</v>
      </c>
      <c r="AI624" s="170">
        <f t="shared" si="330"/>
        <v>0</v>
      </c>
      <c r="AJ624" s="170">
        <f t="shared" si="330"/>
        <v>0</v>
      </c>
      <c r="AK624" s="170">
        <f t="shared" si="330"/>
        <v>0</v>
      </c>
      <c r="AL624" s="170">
        <f t="shared" si="330"/>
        <v>0</v>
      </c>
      <c r="AM624" s="170">
        <f t="shared" si="330"/>
        <v>0</v>
      </c>
      <c r="AN624" s="170">
        <f t="shared" si="330"/>
        <v>0</v>
      </c>
      <c r="AO624" s="170">
        <f t="shared" si="330"/>
        <v>0</v>
      </c>
      <c r="AP624" s="170">
        <f t="shared" si="330"/>
        <v>0</v>
      </c>
    </row>
    <row r="625" spans="1:42" x14ac:dyDescent="0.2">
      <c r="A625" s="202" t="s">
        <v>53</v>
      </c>
      <c r="B625" s="169"/>
      <c r="C625" s="135">
        <f>SUM(C615:C624)</f>
        <v>0</v>
      </c>
      <c r="D625" s="135">
        <f t="shared" ref="D625:AD625" si="331">SUM(D615:D624)</f>
        <v>0</v>
      </c>
      <c r="E625" s="135">
        <f t="shared" si="331"/>
        <v>0</v>
      </c>
      <c r="F625" s="135">
        <f t="shared" si="331"/>
        <v>0</v>
      </c>
      <c r="G625" s="135">
        <f t="shared" si="331"/>
        <v>0</v>
      </c>
      <c r="H625" s="135">
        <f t="shared" si="331"/>
        <v>0</v>
      </c>
      <c r="I625" s="135">
        <f t="shared" si="331"/>
        <v>0</v>
      </c>
      <c r="J625" s="135">
        <f t="shared" si="331"/>
        <v>0</v>
      </c>
      <c r="K625" s="135">
        <f t="shared" si="331"/>
        <v>0</v>
      </c>
      <c r="L625" s="135">
        <f t="shared" si="331"/>
        <v>0</v>
      </c>
      <c r="M625" s="135">
        <f t="shared" si="331"/>
        <v>0</v>
      </c>
      <c r="N625" s="135">
        <f t="shared" si="331"/>
        <v>2944872.3435013141</v>
      </c>
      <c r="O625" s="135">
        <f t="shared" si="331"/>
        <v>0</v>
      </c>
      <c r="P625" s="135">
        <f t="shared" si="331"/>
        <v>0</v>
      </c>
      <c r="Q625" s="135">
        <f t="shared" si="331"/>
        <v>0</v>
      </c>
      <c r="R625" s="135">
        <f t="shared" si="331"/>
        <v>0</v>
      </c>
      <c r="S625" s="135">
        <f t="shared" si="331"/>
        <v>0</v>
      </c>
      <c r="T625" s="135">
        <f t="shared" si="331"/>
        <v>0</v>
      </c>
      <c r="U625" s="135">
        <f t="shared" si="331"/>
        <v>0</v>
      </c>
      <c r="V625" s="135">
        <f t="shared" si="331"/>
        <v>0</v>
      </c>
      <c r="W625" s="135">
        <f t="shared" si="331"/>
        <v>0</v>
      </c>
      <c r="X625" s="135">
        <f t="shared" si="331"/>
        <v>0</v>
      </c>
      <c r="Y625" s="135">
        <f t="shared" si="331"/>
        <v>0</v>
      </c>
      <c r="Z625" s="135">
        <f t="shared" si="331"/>
        <v>3520942.886524681</v>
      </c>
      <c r="AA625" s="135">
        <f t="shared" si="331"/>
        <v>0</v>
      </c>
      <c r="AB625" s="135">
        <f t="shared" si="331"/>
        <v>0</v>
      </c>
      <c r="AC625" s="135">
        <f t="shared" si="331"/>
        <v>0</v>
      </c>
      <c r="AD625" s="135">
        <f t="shared" si="331"/>
        <v>0</v>
      </c>
      <c r="AE625" s="135">
        <f t="shared" ref="AE625" si="332">SUM(AE615:AE624)</f>
        <v>0</v>
      </c>
      <c r="AF625" s="135">
        <f t="shared" ref="AF625:AP625" si="333">SUM(AF615:AF624)</f>
        <v>0</v>
      </c>
      <c r="AG625" s="135">
        <f t="shared" si="333"/>
        <v>0</v>
      </c>
      <c r="AH625" s="135">
        <f t="shared" si="333"/>
        <v>0</v>
      </c>
      <c r="AI625" s="135">
        <f t="shared" si="333"/>
        <v>0</v>
      </c>
      <c r="AJ625" s="135">
        <f t="shared" si="333"/>
        <v>0</v>
      </c>
      <c r="AK625" s="135">
        <f t="shared" si="333"/>
        <v>0</v>
      </c>
      <c r="AL625" s="135">
        <f t="shared" si="333"/>
        <v>4209703.2958071325</v>
      </c>
      <c r="AM625" s="135">
        <f t="shared" si="333"/>
        <v>0</v>
      </c>
      <c r="AN625" s="135">
        <f t="shared" si="333"/>
        <v>0</v>
      </c>
      <c r="AO625" s="135">
        <f t="shared" si="333"/>
        <v>0</v>
      </c>
      <c r="AP625" s="135">
        <f t="shared" si="333"/>
        <v>0</v>
      </c>
    </row>
    <row r="626" spans="1:42" x14ac:dyDescent="0.2">
      <c r="A626" s="20" t="s">
        <v>184</v>
      </c>
      <c r="B626" s="135"/>
      <c r="C626" s="135"/>
      <c r="D626" s="135"/>
      <c r="E626" s="135"/>
      <c r="F626" s="135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</row>
    <row r="627" spans="1:42" x14ac:dyDescent="0.2">
      <c r="A627" s="20">
        <v>1</v>
      </c>
      <c r="B627" s="179">
        <f t="shared" ref="B627:B636" si="334">SUM(C627:AP627)</f>
        <v>2944872.3435013145</v>
      </c>
      <c r="C627" s="135">
        <f t="shared" ref="C627:AP627" si="335">IF(C$2&lt;=MMFrequency*$A$615,$B$615/(MMFrequency),0)</f>
        <v>245406.02862510949</v>
      </c>
      <c r="D627" s="135">
        <f t="shared" si="335"/>
        <v>245406.02862510949</v>
      </c>
      <c r="E627" s="135">
        <f t="shared" si="335"/>
        <v>245406.02862510949</v>
      </c>
      <c r="F627" s="135">
        <f t="shared" si="335"/>
        <v>245406.02862510949</v>
      </c>
      <c r="G627" s="135">
        <f t="shared" si="335"/>
        <v>245406.02862510949</v>
      </c>
      <c r="H627" s="135">
        <f t="shared" si="335"/>
        <v>245406.02862510949</v>
      </c>
      <c r="I627" s="135">
        <f t="shared" si="335"/>
        <v>245406.02862510949</v>
      </c>
      <c r="J627" s="135">
        <f t="shared" si="335"/>
        <v>245406.02862510949</v>
      </c>
      <c r="K627" s="135">
        <f t="shared" si="335"/>
        <v>245406.02862510949</v>
      </c>
      <c r="L627" s="135">
        <f t="shared" si="335"/>
        <v>245406.02862510949</v>
      </c>
      <c r="M627" s="135">
        <f t="shared" si="335"/>
        <v>245406.02862510949</v>
      </c>
      <c r="N627" s="135">
        <f t="shared" si="335"/>
        <v>245406.02862510949</v>
      </c>
      <c r="O627" s="135">
        <f t="shared" si="335"/>
        <v>0</v>
      </c>
      <c r="P627" s="135">
        <f t="shared" si="335"/>
        <v>0</v>
      </c>
      <c r="Q627" s="135">
        <f t="shared" si="335"/>
        <v>0</v>
      </c>
      <c r="R627" s="135">
        <f t="shared" si="335"/>
        <v>0</v>
      </c>
      <c r="S627" s="135">
        <f t="shared" si="335"/>
        <v>0</v>
      </c>
      <c r="T627" s="135">
        <f t="shared" si="335"/>
        <v>0</v>
      </c>
      <c r="U627" s="135">
        <f t="shared" si="335"/>
        <v>0</v>
      </c>
      <c r="V627" s="135">
        <f t="shared" si="335"/>
        <v>0</v>
      </c>
      <c r="W627" s="135">
        <f t="shared" si="335"/>
        <v>0</v>
      </c>
      <c r="X627" s="135">
        <f t="shared" si="335"/>
        <v>0</v>
      </c>
      <c r="Y627" s="135">
        <f t="shared" si="335"/>
        <v>0</v>
      </c>
      <c r="Z627" s="135">
        <f t="shared" si="335"/>
        <v>0</v>
      </c>
      <c r="AA627" s="135">
        <f t="shared" si="335"/>
        <v>0</v>
      </c>
      <c r="AB627" s="135">
        <f t="shared" si="335"/>
        <v>0</v>
      </c>
      <c r="AC627" s="135">
        <f t="shared" si="335"/>
        <v>0</v>
      </c>
      <c r="AD627" s="135">
        <f t="shared" si="335"/>
        <v>0</v>
      </c>
      <c r="AE627" s="135">
        <f t="shared" si="335"/>
        <v>0</v>
      </c>
      <c r="AF627" s="135">
        <f t="shared" si="335"/>
        <v>0</v>
      </c>
      <c r="AG627" s="135">
        <f t="shared" si="335"/>
        <v>0</v>
      </c>
      <c r="AH627" s="135">
        <f t="shared" si="335"/>
        <v>0</v>
      </c>
      <c r="AI627" s="135">
        <f t="shared" si="335"/>
        <v>0</v>
      </c>
      <c r="AJ627" s="135">
        <f t="shared" si="335"/>
        <v>0</v>
      </c>
      <c r="AK627" s="135">
        <f t="shared" si="335"/>
        <v>0</v>
      </c>
      <c r="AL627" s="135">
        <f t="shared" si="335"/>
        <v>0</v>
      </c>
      <c r="AM627" s="135">
        <f t="shared" si="335"/>
        <v>0</v>
      </c>
      <c r="AN627" s="135">
        <f t="shared" si="335"/>
        <v>0</v>
      </c>
      <c r="AO627" s="135">
        <f t="shared" si="335"/>
        <v>0</v>
      </c>
      <c r="AP627" s="135">
        <f t="shared" si="335"/>
        <v>0</v>
      </c>
    </row>
    <row r="628" spans="1:42" x14ac:dyDescent="0.2">
      <c r="A628" s="20">
        <f>A627+1</f>
        <v>2</v>
      </c>
      <c r="B628" s="179">
        <f t="shared" si="334"/>
        <v>3520942.886524681</v>
      </c>
      <c r="C628" s="208">
        <f t="shared" ref="C628:AP634" si="336">IF(AND(C$2&gt;MMFrequency*$A615,C$2&lt;=MMFrequency*$A616),$B616/(MMFrequency),0)</f>
        <v>0</v>
      </c>
      <c r="D628" s="169">
        <f t="shared" si="336"/>
        <v>0</v>
      </c>
      <c r="E628" s="169">
        <f t="shared" si="336"/>
        <v>0</v>
      </c>
      <c r="F628" s="169">
        <f t="shared" si="336"/>
        <v>0</v>
      </c>
      <c r="G628" s="169">
        <f t="shared" si="336"/>
        <v>0</v>
      </c>
      <c r="H628" s="169">
        <f t="shared" si="336"/>
        <v>0</v>
      </c>
      <c r="I628" s="169">
        <f t="shared" si="336"/>
        <v>0</v>
      </c>
      <c r="J628" s="169">
        <f t="shared" si="336"/>
        <v>0</v>
      </c>
      <c r="K628" s="169">
        <f t="shared" si="336"/>
        <v>0</v>
      </c>
      <c r="L628" s="169">
        <f t="shared" si="336"/>
        <v>0</v>
      </c>
      <c r="M628" s="169">
        <f t="shared" si="336"/>
        <v>0</v>
      </c>
      <c r="N628" s="169">
        <f t="shared" si="336"/>
        <v>0</v>
      </c>
      <c r="O628" s="169">
        <f t="shared" si="336"/>
        <v>293411.90721039008</v>
      </c>
      <c r="P628" s="169">
        <f t="shared" si="336"/>
        <v>293411.90721039008</v>
      </c>
      <c r="Q628" s="169">
        <f t="shared" si="336"/>
        <v>293411.90721039008</v>
      </c>
      <c r="R628" s="169">
        <f t="shared" si="336"/>
        <v>293411.90721039008</v>
      </c>
      <c r="S628" s="169">
        <f t="shared" si="336"/>
        <v>293411.90721039008</v>
      </c>
      <c r="T628" s="169">
        <f t="shared" si="336"/>
        <v>293411.90721039008</v>
      </c>
      <c r="U628" s="169">
        <f t="shared" si="336"/>
        <v>293411.90721039008</v>
      </c>
      <c r="V628" s="169">
        <f t="shared" si="336"/>
        <v>293411.90721039008</v>
      </c>
      <c r="W628" s="169">
        <f t="shared" si="336"/>
        <v>293411.90721039008</v>
      </c>
      <c r="X628" s="169">
        <f t="shared" si="336"/>
        <v>293411.90721039008</v>
      </c>
      <c r="Y628" s="169">
        <f t="shared" si="336"/>
        <v>293411.90721039008</v>
      </c>
      <c r="Z628" s="169">
        <f t="shared" si="336"/>
        <v>293411.90721039008</v>
      </c>
      <c r="AA628" s="169">
        <f t="shared" si="336"/>
        <v>0</v>
      </c>
      <c r="AB628" s="169">
        <f t="shared" si="336"/>
        <v>0</v>
      </c>
      <c r="AC628" s="169">
        <f t="shared" si="336"/>
        <v>0</v>
      </c>
      <c r="AD628" s="169">
        <f t="shared" si="336"/>
        <v>0</v>
      </c>
      <c r="AE628" s="169">
        <f t="shared" si="336"/>
        <v>0</v>
      </c>
      <c r="AF628" s="169">
        <f t="shared" si="336"/>
        <v>0</v>
      </c>
      <c r="AG628" s="169">
        <f t="shared" si="336"/>
        <v>0</v>
      </c>
      <c r="AH628" s="169">
        <f t="shared" si="336"/>
        <v>0</v>
      </c>
      <c r="AI628" s="169">
        <f t="shared" si="336"/>
        <v>0</v>
      </c>
      <c r="AJ628" s="169">
        <f t="shared" si="336"/>
        <v>0</v>
      </c>
      <c r="AK628" s="169">
        <f t="shared" si="336"/>
        <v>0</v>
      </c>
      <c r="AL628" s="169">
        <f t="shared" si="336"/>
        <v>0</v>
      </c>
      <c r="AM628" s="169">
        <f t="shared" si="336"/>
        <v>0</v>
      </c>
      <c r="AN628" s="169">
        <f t="shared" si="336"/>
        <v>0</v>
      </c>
      <c r="AO628" s="169">
        <f t="shared" si="336"/>
        <v>0</v>
      </c>
      <c r="AP628" s="169">
        <f t="shared" si="336"/>
        <v>0</v>
      </c>
    </row>
    <row r="629" spans="1:42" x14ac:dyDescent="0.2">
      <c r="A629" s="20">
        <f t="shared" ref="A629:A634" si="337">A628+1</f>
        <v>3</v>
      </c>
      <c r="B629" s="179">
        <f t="shared" si="334"/>
        <v>4209703.2958071325</v>
      </c>
      <c r="C629" s="208">
        <f t="shared" si="336"/>
        <v>0</v>
      </c>
      <c r="D629" s="169">
        <f t="shared" si="336"/>
        <v>0</v>
      </c>
      <c r="E629" s="169">
        <f t="shared" si="336"/>
        <v>0</v>
      </c>
      <c r="F629" s="169">
        <f t="shared" si="336"/>
        <v>0</v>
      </c>
      <c r="G629" s="169">
        <f t="shared" si="336"/>
        <v>0</v>
      </c>
      <c r="H629" s="169">
        <f t="shared" si="336"/>
        <v>0</v>
      </c>
      <c r="I629" s="169">
        <f t="shared" si="336"/>
        <v>0</v>
      </c>
      <c r="J629" s="169">
        <f t="shared" si="336"/>
        <v>0</v>
      </c>
      <c r="K629" s="169">
        <f t="shared" si="336"/>
        <v>0</v>
      </c>
      <c r="L629" s="169">
        <f t="shared" si="336"/>
        <v>0</v>
      </c>
      <c r="M629" s="169">
        <f t="shared" si="336"/>
        <v>0</v>
      </c>
      <c r="N629" s="169">
        <f t="shared" si="336"/>
        <v>0</v>
      </c>
      <c r="O629" s="169">
        <f t="shared" si="336"/>
        <v>0</v>
      </c>
      <c r="P629" s="169">
        <f t="shared" si="336"/>
        <v>0</v>
      </c>
      <c r="Q629" s="169">
        <f t="shared" si="336"/>
        <v>0</v>
      </c>
      <c r="R629" s="169">
        <f t="shared" si="336"/>
        <v>0</v>
      </c>
      <c r="S629" s="169">
        <f t="shared" si="336"/>
        <v>0</v>
      </c>
      <c r="T629" s="169">
        <f t="shared" si="336"/>
        <v>0</v>
      </c>
      <c r="U629" s="169">
        <f t="shared" si="336"/>
        <v>0</v>
      </c>
      <c r="V629" s="169">
        <f t="shared" si="336"/>
        <v>0</v>
      </c>
      <c r="W629" s="169">
        <f t="shared" si="336"/>
        <v>0</v>
      </c>
      <c r="X629" s="169">
        <f t="shared" si="336"/>
        <v>0</v>
      </c>
      <c r="Y629" s="169">
        <f t="shared" si="336"/>
        <v>0</v>
      </c>
      <c r="Z629" s="169">
        <f t="shared" si="336"/>
        <v>0</v>
      </c>
      <c r="AA629" s="169">
        <f t="shared" si="336"/>
        <v>350808.60798392771</v>
      </c>
      <c r="AB629" s="169">
        <f t="shared" si="336"/>
        <v>350808.60798392771</v>
      </c>
      <c r="AC629" s="169">
        <f t="shared" si="336"/>
        <v>350808.60798392771</v>
      </c>
      <c r="AD629" s="169">
        <f t="shared" si="336"/>
        <v>350808.60798392771</v>
      </c>
      <c r="AE629" s="169">
        <f t="shared" si="336"/>
        <v>350808.60798392771</v>
      </c>
      <c r="AF629" s="169">
        <f t="shared" si="336"/>
        <v>350808.60798392771</v>
      </c>
      <c r="AG629" s="169">
        <f t="shared" si="336"/>
        <v>350808.60798392771</v>
      </c>
      <c r="AH629" s="169">
        <f t="shared" si="336"/>
        <v>350808.60798392771</v>
      </c>
      <c r="AI629" s="169">
        <f t="shared" si="336"/>
        <v>350808.60798392771</v>
      </c>
      <c r="AJ629" s="169">
        <f t="shared" si="336"/>
        <v>350808.60798392771</v>
      </c>
      <c r="AK629" s="169">
        <f t="shared" si="336"/>
        <v>350808.60798392771</v>
      </c>
      <c r="AL629" s="169">
        <f t="shared" si="336"/>
        <v>350808.60798392771</v>
      </c>
      <c r="AM629" s="169">
        <f t="shared" si="336"/>
        <v>0</v>
      </c>
      <c r="AN629" s="169">
        <f t="shared" si="336"/>
        <v>0</v>
      </c>
      <c r="AO629" s="169">
        <f t="shared" si="336"/>
        <v>0</v>
      </c>
      <c r="AP629" s="169">
        <f t="shared" si="336"/>
        <v>0</v>
      </c>
    </row>
    <row r="630" spans="1:42" x14ac:dyDescent="0.2">
      <c r="A630" s="20">
        <f t="shared" si="337"/>
        <v>4</v>
      </c>
      <c r="B630" s="179">
        <f t="shared" si="334"/>
        <v>0</v>
      </c>
      <c r="C630" s="208">
        <f t="shared" si="336"/>
        <v>0</v>
      </c>
      <c r="D630" s="169">
        <f t="shared" si="336"/>
        <v>0</v>
      </c>
      <c r="E630" s="169">
        <f t="shared" si="336"/>
        <v>0</v>
      </c>
      <c r="F630" s="169">
        <f t="shared" si="336"/>
        <v>0</v>
      </c>
      <c r="G630" s="169">
        <f t="shared" si="336"/>
        <v>0</v>
      </c>
      <c r="H630" s="169">
        <f t="shared" si="336"/>
        <v>0</v>
      </c>
      <c r="I630" s="169">
        <f t="shared" si="336"/>
        <v>0</v>
      </c>
      <c r="J630" s="169">
        <f t="shared" si="336"/>
        <v>0</v>
      </c>
      <c r="K630" s="169">
        <f t="shared" si="336"/>
        <v>0</v>
      </c>
      <c r="L630" s="169">
        <f t="shared" si="336"/>
        <v>0</v>
      </c>
      <c r="M630" s="169">
        <f t="shared" si="336"/>
        <v>0</v>
      </c>
      <c r="N630" s="169">
        <f t="shared" si="336"/>
        <v>0</v>
      </c>
      <c r="O630" s="169">
        <f t="shared" si="336"/>
        <v>0</v>
      </c>
      <c r="P630" s="169">
        <f t="shared" si="336"/>
        <v>0</v>
      </c>
      <c r="Q630" s="169">
        <f t="shared" si="336"/>
        <v>0</v>
      </c>
      <c r="R630" s="169">
        <f t="shared" si="336"/>
        <v>0</v>
      </c>
      <c r="S630" s="169">
        <f t="shared" si="336"/>
        <v>0</v>
      </c>
      <c r="T630" s="169">
        <f t="shared" si="336"/>
        <v>0</v>
      </c>
      <c r="U630" s="169">
        <f t="shared" si="336"/>
        <v>0</v>
      </c>
      <c r="V630" s="169">
        <f t="shared" si="336"/>
        <v>0</v>
      </c>
      <c r="W630" s="169">
        <f t="shared" si="336"/>
        <v>0</v>
      </c>
      <c r="X630" s="169">
        <f t="shared" si="336"/>
        <v>0</v>
      </c>
      <c r="Y630" s="169">
        <f t="shared" si="336"/>
        <v>0</v>
      </c>
      <c r="Z630" s="169">
        <f t="shared" si="336"/>
        <v>0</v>
      </c>
      <c r="AA630" s="169">
        <f t="shared" si="336"/>
        <v>0</v>
      </c>
      <c r="AB630" s="169">
        <f t="shared" si="336"/>
        <v>0</v>
      </c>
      <c r="AC630" s="169">
        <f t="shared" si="336"/>
        <v>0</v>
      </c>
      <c r="AD630" s="169">
        <f t="shared" si="336"/>
        <v>0</v>
      </c>
      <c r="AE630" s="169">
        <f t="shared" si="336"/>
        <v>0</v>
      </c>
      <c r="AF630" s="169">
        <f t="shared" si="336"/>
        <v>0</v>
      </c>
      <c r="AG630" s="169">
        <f t="shared" si="336"/>
        <v>0</v>
      </c>
      <c r="AH630" s="169">
        <f t="shared" si="336"/>
        <v>0</v>
      </c>
      <c r="AI630" s="169">
        <f t="shared" si="336"/>
        <v>0</v>
      </c>
      <c r="AJ630" s="169">
        <f t="shared" si="336"/>
        <v>0</v>
      </c>
      <c r="AK630" s="169">
        <f t="shared" si="336"/>
        <v>0</v>
      </c>
      <c r="AL630" s="169">
        <f t="shared" si="336"/>
        <v>0</v>
      </c>
      <c r="AM630" s="169">
        <f t="shared" si="336"/>
        <v>0</v>
      </c>
      <c r="AN630" s="169">
        <f t="shared" si="336"/>
        <v>0</v>
      </c>
      <c r="AO630" s="169">
        <f t="shared" si="336"/>
        <v>0</v>
      </c>
      <c r="AP630" s="169">
        <f t="shared" si="336"/>
        <v>0</v>
      </c>
    </row>
    <row r="631" spans="1:42" x14ac:dyDescent="0.2">
      <c r="A631" s="20">
        <f t="shared" si="337"/>
        <v>5</v>
      </c>
      <c r="B631" s="179">
        <f t="shared" si="334"/>
        <v>0</v>
      </c>
      <c r="C631" s="208">
        <f t="shared" si="336"/>
        <v>0</v>
      </c>
      <c r="D631" s="169">
        <f t="shared" si="336"/>
        <v>0</v>
      </c>
      <c r="E631" s="169">
        <f t="shared" si="336"/>
        <v>0</v>
      </c>
      <c r="F631" s="169">
        <f t="shared" si="336"/>
        <v>0</v>
      </c>
      <c r="G631" s="169">
        <f t="shared" si="336"/>
        <v>0</v>
      </c>
      <c r="H631" s="169">
        <f t="shared" si="336"/>
        <v>0</v>
      </c>
      <c r="I631" s="169">
        <f t="shared" si="336"/>
        <v>0</v>
      </c>
      <c r="J631" s="169">
        <f t="shared" si="336"/>
        <v>0</v>
      </c>
      <c r="K631" s="169">
        <f t="shared" si="336"/>
        <v>0</v>
      </c>
      <c r="L631" s="169">
        <f t="shared" si="336"/>
        <v>0</v>
      </c>
      <c r="M631" s="169">
        <f t="shared" si="336"/>
        <v>0</v>
      </c>
      <c r="N631" s="169">
        <f t="shared" si="336"/>
        <v>0</v>
      </c>
      <c r="O631" s="169">
        <f t="shared" si="336"/>
        <v>0</v>
      </c>
      <c r="P631" s="169">
        <f t="shared" si="336"/>
        <v>0</v>
      </c>
      <c r="Q631" s="169">
        <f t="shared" si="336"/>
        <v>0</v>
      </c>
      <c r="R631" s="169">
        <f t="shared" si="336"/>
        <v>0</v>
      </c>
      <c r="S631" s="169">
        <f t="shared" si="336"/>
        <v>0</v>
      </c>
      <c r="T631" s="169">
        <f t="shared" si="336"/>
        <v>0</v>
      </c>
      <c r="U631" s="169">
        <f t="shared" si="336"/>
        <v>0</v>
      </c>
      <c r="V631" s="169">
        <f t="shared" si="336"/>
        <v>0</v>
      </c>
      <c r="W631" s="169">
        <f t="shared" si="336"/>
        <v>0</v>
      </c>
      <c r="X631" s="169">
        <f t="shared" si="336"/>
        <v>0</v>
      </c>
      <c r="Y631" s="169">
        <f t="shared" si="336"/>
        <v>0</v>
      </c>
      <c r="Z631" s="169">
        <f t="shared" si="336"/>
        <v>0</v>
      </c>
      <c r="AA631" s="169">
        <f t="shared" si="336"/>
        <v>0</v>
      </c>
      <c r="AB631" s="169">
        <f t="shared" si="336"/>
        <v>0</v>
      </c>
      <c r="AC631" s="169">
        <f t="shared" si="336"/>
        <v>0</v>
      </c>
      <c r="AD631" s="169">
        <f t="shared" si="336"/>
        <v>0</v>
      </c>
      <c r="AE631" s="169">
        <f t="shared" si="336"/>
        <v>0</v>
      </c>
      <c r="AF631" s="169">
        <f t="shared" si="336"/>
        <v>0</v>
      </c>
      <c r="AG631" s="169">
        <f t="shared" si="336"/>
        <v>0</v>
      </c>
      <c r="AH631" s="169">
        <f t="shared" si="336"/>
        <v>0</v>
      </c>
      <c r="AI631" s="169">
        <f t="shared" si="336"/>
        <v>0</v>
      </c>
      <c r="AJ631" s="169">
        <f t="shared" si="336"/>
        <v>0</v>
      </c>
      <c r="AK631" s="169">
        <f t="shared" si="336"/>
        <v>0</v>
      </c>
      <c r="AL631" s="169">
        <f t="shared" si="336"/>
        <v>0</v>
      </c>
      <c r="AM631" s="169">
        <f t="shared" si="336"/>
        <v>0</v>
      </c>
      <c r="AN631" s="169">
        <f t="shared" si="336"/>
        <v>0</v>
      </c>
      <c r="AO631" s="169">
        <f t="shared" si="336"/>
        <v>0</v>
      </c>
      <c r="AP631" s="169">
        <f t="shared" si="336"/>
        <v>0</v>
      </c>
    </row>
    <row r="632" spans="1:42" x14ac:dyDescent="0.2">
      <c r="A632" s="20">
        <f t="shared" si="337"/>
        <v>6</v>
      </c>
      <c r="B632" s="179">
        <f t="shared" si="334"/>
        <v>0</v>
      </c>
      <c r="C632" s="208">
        <f t="shared" si="336"/>
        <v>0</v>
      </c>
      <c r="D632" s="169">
        <f t="shared" si="336"/>
        <v>0</v>
      </c>
      <c r="E632" s="169">
        <f t="shared" si="336"/>
        <v>0</v>
      </c>
      <c r="F632" s="169">
        <f t="shared" si="336"/>
        <v>0</v>
      </c>
      <c r="G632" s="169">
        <f t="shared" si="336"/>
        <v>0</v>
      </c>
      <c r="H632" s="169">
        <f t="shared" si="336"/>
        <v>0</v>
      </c>
      <c r="I632" s="169">
        <f t="shared" si="336"/>
        <v>0</v>
      </c>
      <c r="J632" s="169">
        <f t="shared" si="336"/>
        <v>0</v>
      </c>
      <c r="K632" s="169">
        <f t="shared" si="336"/>
        <v>0</v>
      </c>
      <c r="L632" s="169">
        <f t="shared" si="336"/>
        <v>0</v>
      </c>
      <c r="M632" s="169">
        <f t="shared" si="336"/>
        <v>0</v>
      </c>
      <c r="N632" s="169">
        <f t="shared" si="336"/>
        <v>0</v>
      </c>
      <c r="O632" s="169">
        <f t="shared" si="336"/>
        <v>0</v>
      </c>
      <c r="P632" s="169">
        <f t="shared" si="336"/>
        <v>0</v>
      </c>
      <c r="Q632" s="169">
        <f t="shared" si="336"/>
        <v>0</v>
      </c>
      <c r="R632" s="169">
        <f t="shared" si="336"/>
        <v>0</v>
      </c>
      <c r="S632" s="169">
        <f t="shared" si="336"/>
        <v>0</v>
      </c>
      <c r="T632" s="169">
        <f t="shared" si="336"/>
        <v>0</v>
      </c>
      <c r="U632" s="169">
        <f t="shared" si="336"/>
        <v>0</v>
      </c>
      <c r="V632" s="169">
        <f t="shared" si="336"/>
        <v>0</v>
      </c>
      <c r="W632" s="169">
        <f t="shared" si="336"/>
        <v>0</v>
      </c>
      <c r="X632" s="169">
        <f t="shared" si="336"/>
        <v>0</v>
      </c>
      <c r="Y632" s="169">
        <f t="shared" si="336"/>
        <v>0</v>
      </c>
      <c r="Z632" s="169">
        <f t="shared" si="336"/>
        <v>0</v>
      </c>
      <c r="AA632" s="169">
        <f t="shared" si="336"/>
        <v>0</v>
      </c>
      <c r="AB632" s="169">
        <f t="shared" si="336"/>
        <v>0</v>
      </c>
      <c r="AC632" s="169">
        <f t="shared" si="336"/>
        <v>0</v>
      </c>
      <c r="AD632" s="169">
        <f t="shared" si="336"/>
        <v>0</v>
      </c>
      <c r="AE632" s="169">
        <f t="shared" si="336"/>
        <v>0</v>
      </c>
      <c r="AF632" s="169">
        <f t="shared" si="336"/>
        <v>0</v>
      </c>
      <c r="AG632" s="169">
        <f t="shared" si="336"/>
        <v>0</v>
      </c>
      <c r="AH632" s="169">
        <f t="shared" si="336"/>
        <v>0</v>
      </c>
      <c r="AI632" s="169">
        <f t="shared" si="336"/>
        <v>0</v>
      </c>
      <c r="AJ632" s="169">
        <f t="shared" si="336"/>
        <v>0</v>
      </c>
      <c r="AK632" s="169">
        <f t="shared" si="336"/>
        <v>0</v>
      </c>
      <c r="AL632" s="169">
        <f t="shared" si="336"/>
        <v>0</v>
      </c>
      <c r="AM632" s="169">
        <f t="shared" si="336"/>
        <v>0</v>
      </c>
      <c r="AN632" s="169">
        <f t="shared" si="336"/>
        <v>0</v>
      </c>
      <c r="AO632" s="169">
        <f t="shared" si="336"/>
        <v>0</v>
      </c>
      <c r="AP632" s="169">
        <f t="shared" si="336"/>
        <v>0</v>
      </c>
    </row>
    <row r="633" spans="1:42" x14ac:dyDescent="0.2">
      <c r="A633" s="20">
        <f t="shared" si="337"/>
        <v>7</v>
      </c>
      <c r="B633" s="179">
        <f t="shared" si="334"/>
        <v>0</v>
      </c>
      <c r="C633" s="208">
        <f t="shared" si="336"/>
        <v>0</v>
      </c>
      <c r="D633" s="169">
        <f t="shared" si="336"/>
        <v>0</v>
      </c>
      <c r="E633" s="169">
        <f t="shared" si="336"/>
        <v>0</v>
      </c>
      <c r="F633" s="169">
        <f t="shared" si="336"/>
        <v>0</v>
      </c>
      <c r="G633" s="169">
        <f t="shared" si="336"/>
        <v>0</v>
      </c>
      <c r="H633" s="169">
        <f t="shared" si="336"/>
        <v>0</v>
      </c>
      <c r="I633" s="169">
        <f t="shared" si="336"/>
        <v>0</v>
      </c>
      <c r="J633" s="169">
        <f t="shared" si="336"/>
        <v>0</v>
      </c>
      <c r="K633" s="169">
        <f t="shared" si="336"/>
        <v>0</v>
      </c>
      <c r="L633" s="169">
        <f t="shared" si="336"/>
        <v>0</v>
      </c>
      <c r="M633" s="169">
        <f t="shared" si="336"/>
        <v>0</v>
      </c>
      <c r="N633" s="169">
        <f t="shared" si="336"/>
        <v>0</v>
      </c>
      <c r="O633" s="169">
        <f t="shared" si="336"/>
        <v>0</v>
      </c>
      <c r="P633" s="169">
        <f t="shared" si="336"/>
        <v>0</v>
      </c>
      <c r="Q633" s="169">
        <f t="shared" si="336"/>
        <v>0</v>
      </c>
      <c r="R633" s="169">
        <f t="shared" si="336"/>
        <v>0</v>
      </c>
      <c r="S633" s="169">
        <f t="shared" si="336"/>
        <v>0</v>
      </c>
      <c r="T633" s="169">
        <f t="shared" si="336"/>
        <v>0</v>
      </c>
      <c r="U633" s="169">
        <f t="shared" si="336"/>
        <v>0</v>
      </c>
      <c r="V633" s="169">
        <f t="shared" si="336"/>
        <v>0</v>
      </c>
      <c r="W633" s="169">
        <f t="shared" si="336"/>
        <v>0</v>
      </c>
      <c r="X633" s="169">
        <f t="shared" si="336"/>
        <v>0</v>
      </c>
      <c r="Y633" s="169">
        <f t="shared" si="336"/>
        <v>0</v>
      </c>
      <c r="Z633" s="169">
        <f t="shared" si="336"/>
        <v>0</v>
      </c>
      <c r="AA633" s="169">
        <f t="shared" si="336"/>
        <v>0</v>
      </c>
      <c r="AB633" s="169">
        <f t="shared" si="336"/>
        <v>0</v>
      </c>
      <c r="AC633" s="169">
        <f t="shared" si="336"/>
        <v>0</v>
      </c>
      <c r="AD633" s="169">
        <f t="shared" si="336"/>
        <v>0</v>
      </c>
      <c r="AE633" s="169">
        <f t="shared" si="336"/>
        <v>0</v>
      </c>
      <c r="AF633" s="169">
        <f t="shared" si="336"/>
        <v>0</v>
      </c>
      <c r="AG633" s="169">
        <f t="shared" si="336"/>
        <v>0</v>
      </c>
      <c r="AH633" s="169">
        <f t="shared" si="336"/>
        <v>0</v>
      </c>
      <c r="AI633" s="169">
        <f t="shared" si="336"/>
        <v>0</v>
      </c>
      <c r="AJ633" s="169">
        <f t="shared" si="336"/>
        <v>0</v>
      </c>
      <c r="AK633" s="169">
        <f t="shared" si="336"/>
        <v>0</v>
      </c>
      <c r="AL633" s="169">
        <f t="shared" si="336"/>
        <v>0</v>
      </c>
      <c r="AM633" s="169">
        <f t="shared" si="336"/>
        <v>0</v>
      </c>
      <c r="AN633" s="169">
        <f t="shared" si="336"/>
        <v>0</v>
      </c>
      <c r="AO633" s="169">
        <f t="shared" si="336"/>
        <v>0</v>
      </c>
      <c r="AP633" s="169">
        <f t="shared" si="336"/>
        <v>0</v>
      </c>
    </row>
    <row r="634" spans="1:42" x14ac:dyDescent="0.2">
      <c r="A634" s="20">
        <f t="shared" si="337"/>
        <v>8</v>
      </c>
      <c r="B634" s="179">
        <f t="shared" si="334"/>
        <v>0</v>
      </c>
      <c r="C634" s="208">
        <f t="shared" si="336"/>
        <v>0</v>
      </c>
      <c r="D634" s="169">
        <f t="shared" si="336"/>
        <v>0</v>
      </c>
      <c r="E634" s="169">
        <f t="shared" si="336"/>
        <v>0</v>
      </c>
      <c r="F634" s="169">
        <f t="shared" si="336"/>
        <v>0</v>
      </c>
      <c r="G634" s="169">
        <f t="shared" si="336"/>
        <v>0</v>
      </c>
      <c r="H634" s="169">
        <f t="shared" si="336"/>
        <v>0</v>
      </c>
      <c r="I634" s="169">
        <f t="shared" si="336"/>
        <v>0</v>
      </c>
      <c r="J634" s="169">
        <f t="shared" si="336"/>
        <v>0</v>
      </c>
      <c r="K634" s="169">
        <f t="shared" si="336"/>
        <v>0</v>
      </c>
      <c r="L634" s="169">
        <f t="shared" si="336"/>
        <v>0</v>
      </c>
      <c r="M634" s="169">
        <f t="shared" si="336"/>
        <v>0</v>
      </c>
      <c r="N634" s="169">
        <f t="shared" si="336"/>
        <v>0</v>
      </c>
      <c r="O634" s="169">
        <f t="shared" si="336"/>
        <v>0</v>
      </c>
      <c r="P634" s="169">
        <f t="shared" si="336"/>
        <v>0</v>
      </c>
      <c r="Q634" s="169">
        <f t="shared" si="336"/>
        <v>0</v>
      </c>
      <c r="R634" s="169">
        <f t="shared" ref="R634:AP634" si="338">IF(AND(R$2&gt;MMFrequency*$A621,R$2&lt;=MMFrequency*$A622),$B622/(MMFrequency),0)</f>
        <v>0</v>
      </c>
      <c r="S634" s="169">
        <f t="shared" si="338"/>
        <v>0</v>
      </c>
      <c r="T634" s="169">
        <f t="shared" si="338"/>
        <v>0</v>
      </c>
      <c r="U634" s="169">
        <f t="shared" si="338"/>
        <v>0</v>
      </c>
      <c r="V634" s="169">
        <f t="shared" si="338"/>
        <v>0</v>
      </c>
      <c r="W634" s="169">
        <f t="shared" si="338"/>
        <v>0</v>
      </c>
      <c r="X634" s="169">
        <f t="shared" si="338"/>
        <v>0</v>
      </c>
      <c r="Y634" s="169">
        <f t="shared" si="338"/>
        <v>0</v>
      </c>
      <c r="Z634" s="169">
        <f t="shared" si="338"/>
        <v>0</v>
      </c>
      <c r="AA634" s="169">
        <f t="shared" si="338"/>
        <v>0</v>
      </c>
      <c r="AB634" s="169">
        <f t="shared" si="338"/>
        <v>0</v>
      </c>
      <c r="AC634" s="169">
        <f t="shared" si="338"/>
        <v>0</v>
      </c>
      <c r="AD634" s="169">
        <f t="shared" si="338"/>
        <v>0</v>
      </c>
      <c r="AE634" s="169">
        <f t="shared" si="338"/>
        <v>0</v>
      </c>
      <c r="AF634" s="169">
        <f t="shared" si="338"/>
        <v>0</v>
      </c>
      <c r="AG634" s="169">
        <f t="shared" si="338"/>
        <v>0</v>
      </c>
      <c r="AH634" s="169">
        <f t="shared" si="338"/>
        <v>0</v>
      </c>
      <c r="AI634" s="169">
        <f t="shared" si="338"/>
        <v>0</v>
      </c>
      <c r="AJ634" s="169">
        <f t="shared" si="338"/>
        <v>0</v>
      </c>
      <c r="AK634" s="169">
        <f t="shared" si="338"/>
        <v>0</v>
      </c>
      <c r="AL634" s="169">
        <f t="shared" si="338"/>
        <v>0</v>
      </c>
      <c r="AM634" s="169">
        <f t="shared" si="338"/>
        <v>0</v>
      </c>
      <c r="AN634" s="169">
        <f t="shared" si="338"/>
        <v>0</v>
      </c>
      <c r="AO634" s="169">
        <f t="shared" si="338"/>
        <v>0</v>
      </c>
      <c r="AP634" s="169">
        <f t="shared" si="338"/>
        <v>0</v>
      </c>
    </row>
    <row r="635" spans="1:42" x14ac:dyDescent="0.2">
      <c r="A635" s="20">
        <f>A634+1</f>
        <v>9</v>
      </c>
      <c r="B635" s="179">
        <f t="shared" si="334"/>
        <v>0</v>
      </c>
      <c r="C635" s="208">
        <f t="shared" ref="C635:AP636" si="339">IF(AND(C$2&gt;MMFrequency*$A622,C$2&lt;=MMFrequency*$A623),$B623/(MMFrequency),0)</f>
        <v>0</v>
      </c>
      <c r="D635" s="169">
        <f t="shared" si="339"/>
        <v>0</v>
      </c>
      <c r="E635" s="169">
        <f t="shared" si="339"/>
        <v>0</v>
      </c>
      <c r="F635" s="169">
        <f t="shared" si="339"/>
        <v>0</v>
      </c>
      <c r="G635" s="169">
        <f t="shared" si="339"/>
        <v>0</v>
      </c>
      <c r="H635" s="169">
        <f t="shared" si="339"/>
        <v>0</v>
      </c>
      <c r="I635" s="169">
        <f t="shared" si="339"/>
        <v>0</v>
      </c>
      <c r="J635" s="169">
        <f t="shared" si="339"/>
        <v>0</v>
      </c>
      <c r="K635" s="169">
        <f t="shared" si="339"/>
        <v>0</v>
      </c>
      <c r="L635" s="169">
        <f t="shared" si="339"/>
        <v>0</v>
      </c>
      <c r="M635" s="169">
        <f t="shared" si="339"/>
        <v>0</v>
      </c>
      <c r="N635" s="169">
        <f t="shared" si="339"/>
        <v>0</v>
      </c>
      <c r="O635" s="169">
        <f t="shared" si="339"/>
        <v>0</v>
      </c>
      <c r="P635" s="169">
        <f t="shared" si="339"/>
        <v>0</v>
      </c>
      <c r="Q635" s="169">
        <f t="shared" si="339"/>
        <v>0</v>
      </c>
      <c r="R635" s="169">
        <f t="shared" si="339"/>
        <v>0</v>
      </c>
      <c r="S635" s="169">
        <f t="shared" si="339"/>
        <v>0</v>
      </c>
      <c r="T635" s="169">
        <f t="shared" si="339"/>
        <v>0</v>
      </c>
      <c r="U635" s="169">
        <f t="shared" si="339"/>
        <v>0</v>
      </c>
      <c r="V635" s="169">
        <f t="shared" si="339"/>
        <v>0</v>
      </c>
      <c r="W635" s="169">
        <f t="shared" si="339"/>
        <v>0</v>
      </c>
      <c r="X635" s="169">
        <f t="shared" si="339"/>
        <v>0</v>
      </c>
      <c r="Y635" s="169">
        <f t="shared" si="339"/>
        <v>0</v>
      </c>
      <c r="Z635" s="169">
        <f t="shared" si="339"/>
        <v>0</v>
      </c>
      <c r="AA635" s="169">
        <f t="shared" si="339"/>
        <v>0</v>
      </c>
      <c r="AB635" s="169">
        <f t="shared" si="339"/>
        <v>0</v>
      </c>
      <c r="AC635" s="169">
        <f t="shared" si="339"/>
        <v>0</v>
      </c>
      <c r="AD635" s="169">
        <f t="shared" si="339"/>
        <v>0</v>
      </c>
      <c r="AE635" s="169">
        <f t="shared" si="339"/>
        <v>0</v>
      </c>
      <c r="AF635" s="169">
        <f t="shared" si="339"/>
        <v>0</v>
      </c>
      <c r="AG635" s="169">
        <f t="shared" si="339"/>
        <v>0</v>
      </c>
      <c r="AH635" s="169">
        <f t="shared" si="339"/>
        <v>0</v>
      </c>
      <c r="AI635" s="169">
        <f t="shared" si="339"/>
        <v>0</v>
      </c>
      <c r="AJ635" s="169">
        <f t="shared" si="339"/>
        <v>0</v>
      </c>
      <c r="AK635" s="169">
        <f t="shared" si="339"/>
        <v>0</v>
      </c>
      <c r="AL635" s="169">
        <f t="shared" si="339"/>
        <v>0</v>
      </c>
      <c r="AM635" s="169">
        <f t="shared" si="339"/>
        <v>0</v>
      </c>
      <c r="AN635" s="169">
        <f t="shared" si="339"/>
        <v>0</v>
      </c>
      <c r="AO635" s="169">
        <f t="shared" si="339"/>
        <v>0</v>
      </c>
      <c r="AP635" s="169">
        <f t="shared" si="339"/>
        <v>0</v>
      </c>
    </row>
    <row r="636" spans="1:42" x14ac:dyDescent="0.2">
      <c r="A636" s="20">
        <f t="shared" ref="A636" si="340">A635+1</f>
        <v>10</v>
      </c>
      <c r="B636" s="179">
        <f t="shared" si="334"/>
        <v>0</v>
      </c>
      <c r="C636" s="204">
        <f t="shared" si="339"/>
        <v>0</v>
      </c>
      <c r="D636" s="170">
        <f t="shared" si="339"/>
        <v>0</v>
      </c>
      <c r="E636" s="170">
        <f t="shared" si="339"/>
        <v>0</v>
      </c>
      <c r="F636" s="170">
        <f t="shared" si="339"/>
        <v>0</v>
      </c>
      <c r="G636" s="170">
        <f t="shared" si="339"/>
        <v>0</v>
      </c>
      <c r="H636" s="170">
        <f t="shared" si="339"/>
        <v>0</v>
      </c>
      <c r="I636" s="170">
        <f t="shared" si="339"/>
        <v>0</v>
      </c>
      <c r="J636" s="170">
        <f t="shared" si="339"/>
        <v>0</v>
      </c>
      <c r="K636" s="170">
        <f t="shared" si="339"/>
        <v>0</v>
      </c>
      <c r="L636" s="170">
        <f t="shared" si="339"/>
        <v>0</v>
      </c>
      <c r="M636" s="170">
        <f t="shared" si="339"/>
        <v>0</v>
      </c>
      <c r="N636" s="170">
        <f t="shared" si="339"/>
        <v>0</v>
      </c>
      <c r="O636" s="170">
        <f t="shared" si="339"/>
        <v>0</v>
      </c>
      <c r="P636" s="170">
        <f t="shared" si="339"/>
        <v>0</v>
      </c>
      <c r="Q636" s="170">
        <f t="shared" si="339"/>
        <v>0</v>
      </c>
      <c r="R636" s="170">
        <f t="shared" si="339"/>
        <v>0</v>
      </c>
      <c r="S636" s="170">
        <f t="shared" si="339"/>
        <v>0</v>
      </c>
      <c r="T636" s="170">
        <f t="shared" si="339"/>
        <v>0</v>
      </c>
      <c r="U636" s="170">
        <f t="shared" si="339"/>
        <v>0</v>
      </c>
      <c r="V636" s="170">
        <f t="shared" si="339"/>
        <v>0</v>
      </c>
      <c r="W636" s="170">
        <f t="shared" si="339"/>
        <v>0</v>
      </c>
      <c r="X636" s="170">
        <f t="shared" si="339"/>
        <v>0</v>
      </c>
      <c r="Y636" s="170">
        <f t="shared" si="339"/>
        <v>0</v>
      </c>
      <c r="Z636" s="170">
        <f t="shared" si="339"/>
        <v>0</v>
      </c>
      <c r="AA636" s="170">
        <f t="shared" si="339"/>
        <v>0</v>
      </c>
      <c r="AB636" s="170">
        <f t="shared" si="339"/>
        <v>0</v>
      </c>
      <c r="AC636" s="170">
        <f t="shared" si="339"/>
        <v>0</v>
      </c>
      <c r="AD636" s="170">
        <f t="shared" si="339"/>
        <v>0</v>
      </c>
      <c r="AE636" s="170">
        <f t="shared" si="339"/>
        <v>0</v>
      </c>
      <c r="AF636" s="170">
        <f t="shared" si="339"/>
        <v>0</v>
      </c>
      <c r="AG636" s="170">
        <f t="shared" si="339"/>
        <v>0</v>
      </c>
      <c r="AH636" s="170">
        <f t="shared" si="339"/>
        <v>0</v>
      </c>
      <c r="AI636" s="170">
        <f t="shared" si="339"/>
        <v>0</v>
      </c>
      <c r="AJ636" s="170">
        <f t="shared" si="339"/>
        <v>0</v>
      </c>
      <c r="AK636" s="170">
        <f t="shared" si="339"/>
        <v>0</v>
      </c>
      <c r="AL636" s="170">
        <f t="shared" si="339"/>
        <v>0</v>
      </c>
      <c r="AM636" s="170">
        <f t="shared" si="339"/>
        <v>0</v>
      </c>
      <c r="AN636" s="170">
        <f t="shared" si="339"/>
        <v>0</v>
      </c>
      <c r="AO636" s="170">
        <f t="shared" si="339"/>
        <v>0</v>
      </c>
      <c r="AP636" s="170">
        <f t="shared" si="339"/>
        <v>0</v>
      </c>
    </row>
    <row r="637" spans="1:42" x14ac:dyDescent="0.2">
      <c r="A637" s="202" t="s">
        <v>53</v>
      </c>
      <c r="B637" s="169"/>
      <c r="C637" s="135">
        <f>SUM(C627:C636)</f>
        <v>245406.02862510949</v>
      </c>
      <c r="D637" s="135">
        <f t="shared" ref="D637:AP637" si="341">SUM(D627:D636)</f>
        <v>245406.02862510949</v>
      </c>
      <c r="E637" s="135">
        <f t="shared" si="341"/>
        <v>245406.02862510949</v>
      </c>
      <c r="F637" s="135">
        <f t="shared" si="341"/>
        <v>245406.02862510949</v>
      </c>
      <c r="G637" s="135">
        <f t="shared" si="341"/>
        <v>245406.02862510949</v>
      </c>
      <c r="H637" s="135">
        <f t="shared" si="341"/>
        <v>245406.02862510949</v>
      </c>
      <c r="I637" s="135">
        <f t="shared" si="341"/>
        <v>245406.02862510949</v>
      </c>
      <c r="J637" s="135">
        <f t="shared" si="341"/>
        <v>245406.02862510949</v>
      </c>
      <c r="K637" s="135">
        <f t="shared" si="341"/>
        <v>245406.02862510949</v>
      </c>
      <c r="L637" s="135">
        <f t="shared" si="341"/>
        <v>245406.02862510949</v>
      </c>
      <c r="M637" s="135">
        <f t="shared" si="341"/>
        <v>245406.02862510949</v>
      </c>
      <c r="N637" s="135">
        <f t="shared" si="341"/>
        <v>245406.02862510949</v>
      </c>
      <c r="O637" s="135">
        <f t="shared" si="341"/>
        <v>293411.90721039008</v>
      </c>
      <c r="P637" s="135">
        <f t="shared" si="341"/>
        <v>293411.90721039008</v>
      </c>
      <c r="Q637" s="135">
        <f t="shared" si="341"/>
        <v>293411.90721039008</v>
      </c>
      <c r="R637" s="135">
        <f t="shared" si="341"/>
        <v>293411.90721039008</v>
      </c>
      <c r="S637" s="135">
        <f t="shared" si="341"/>
        <v>293411.90721039008</v>
      </c>
      <c r="T637" s="135">
        <f t="shared" si="341"/>
        <v>293411.90721039008</v>
      </c>
      <c r="U637" s="135">
        <f t="shared" si="341"/>
        <v>293411.90721039008</v>
      </c>
      <c r="V637" s="135">
        <f t="shared" si="341"/>
        <v>293411.90721039008</v>
      </c>
      <c r="W637" s="135">
        <f t="shared" si="341"/>
        <v>293411.90721039008</v>
      </c>
      <c r="X637" s="135">
        <f t="shared" si="341"/>
        <v>293411.90721039008</v>
      </c>
      <c r="Y637" s="135">
        <f t="shared" si="341"/>
        <v>293411.90721039008</v>
      </c>
      <c r="Z637" s="135">
        <f t="shared" si="341"/>
        <v>293411.90721039008</v>
      </c>
      <c r="AA637" s="135">
        <f t="shared" si="341"/>
        <v>350808.60798392771</v>
      </c>
      <c r="AB637" s="135">
        <f t="shared" si="341"/>
        <v>350808.60798392771</v>
      </c>
      <c r="AC637" s="135">
        <f t="shared" si="341"/>
        <v>350808.60798392771</v>
      </c>
      <c r="AD637" s="135">
        <f t="shared" si="341"/>
        <v>350808.60798392771</v>
      </c>
      <c r="AE637" s="135">
        <f t="shared" si="341"/>
        <v>350808.60798392771</v>
      </c>
      <c r="AF637" s="135">
        <f t="shared" si="341"/>
        <v>350808.60798392771</v>
      </c>
      <c r="AG637" s="135">
        <f t="shared" si="341"/>
        <v>350808.60798392771</v>
      </c>
      <c r="AH637" s="135">
        <f t="shared" si="341"/>
        <v>350808.60798392771</v>
      </c>
      <c r="AI637" s="135">
        <f t="shared" si="341"/>
        <v>350808.60798392771</v>
      </c>
      <c r="AJ637" s="135">
        <f t="shared" si="341"/>
        <v>350808.60798392771</v>
      </c>
      <c r="AK637" s="135">
        <f t="shared" si="341"/>
        <v>350808.60798392771</v>
      </c>
      <c r="AL637" s="135">
        <f t="shared" si="341"/>
        <v>350808.60798392771</v>
      </c>
      <c r="AM637" s="135">
        <f t="shared" si="341"/>
        <v>0</v>
      </c>
      <c r="AN637" s="135">
        <f t="shared" si="341"/>
        <v>0</v>
      </c>
      <c r="AO637" s="135">
        <f t="shared" si="341"/>
        <v>0</v>
      </c>
      <c r="AP637" s="135">
        <f t="shared" si="341"/>
        <v>0</v>
      </c>
    </row>
    <row r="638" spans="1:42" x14ac:dyDescent="0.2">
      <c r="B638" s="169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</row>
    <row r="639" spans="1:42" x14ac:dyDescent="0.2">
      <c r="A639" s="165" t="s">
        <v>297</v>
      </c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</row>
    <row r="640" spans="1:42" x14ac:dyDescent="0.2">
      <c r="A640" s="20" t="s">
        <v>96</v>
      </c>
      <c r="B640" s="135">
        <v>0</v>
      </c>
      <c r="C640" s="135">
        <f>B643</f>
        <v>0</v>
      </c>
      <c r="D640" s="135">
        <f t="shared" ref="D640:AP640" si="342">C643</f>
        <v>0</v>
      </c>
      <c r="E640" s="135">
        <f t="shared" si="342"/>
        <v>0</v>
      </c>
      <c r="F640" s="135">
        <f t="shared" si="342"/>
        <v>0</v>
      </c>
      <c r="G640" s="135">
        <f t="shared" si="342"/>
        <v>0</v>
      </c>
      <c r="H640" s="135">
        <f t="shared" si="342"/>
        <v>0</v>
      </c>
      <c r="I640" s="135">
        <f t="shared" si="342"/>
        <v>0</v>
      </c>
      <c r="J640" s="135">
        <f t="shared" si="342"/>
        <v>0</v>
      </c>
      <c r="K640" s="135">
        <f t="shared" si="342"/>
        <v>0</v>
      </c>
      <c r="L640" s="135">
        <f t="shared" si="342"/>
        <v>0</v>
      </c>
      <c r="M640" s="135">
        <f t="shared" si="342"/>
        <v>0</v>
      </c>
      <c r="N640" s="135">
        <f t="shared" si="342"/>
        <v>0</v>
      </c>
      <c r="O640" s="135">
        <f t="shared" si="342"/>
        <v>0</v>
      </c>
      <c r="P640" s="135">
        <f t="shared" si="342"/>
        <v>0</v>
      </c>
      <c r="Q640" s="135">
        <f t="shared" si="342"/>
        <v>0</v>
      </c>
      <c r="R640" s="135">
        <f t="shared" si="342"/>
        <v>0</v>
      </c>
      <c r="S640" s="135">
        <f t="shared" si="342"/>
        <v>0</v>
      </c>
      <c r="T640" s="135">
        <f t="shared" si="342"/>
        <v>0</v>
      </c>
      <c r="U640" s="135">
        <f t="shared" si="342"/>
        <v>0</v>
      </c>
      <c r="V640" s="135">
        <f t="shared" si="342"/>
        <v>0</v>
      </c>
      <c r="W640" s="135">
        <f t="shared" si="342"/>
        <v>0</v>
      </c>
      <c r="X640" s="135">
        <f t="shared" si="342"/>
        <v>0</v>
      </c>
      <c r="Y640" s="135">
        <f t="shared" si="342"/>
        <v>0</v>
      </c>
      <c r="Z640" s="135">
        <f t="shared" si="342"/>
        <v>0</v>
      </c>
      <c r="AA640" s="135">
        <f t="shared" si="342"/>
        <v>0</v>
      </c>
      <c r="AB640" s="135">
        <f t="shared" si="342"/>
        <v>0</v>
      </c>
      <c r="AC640" s="135">
        <f t="shared" si="342"/>
        <v>0</v>
      </c>
      <c r="AD640" s="135">
        <f t="shared" si="342"/>
        <v>0</v>
      </c>
      <c r="AE640" s="135">
        <f t="shared" si="342"/>
        <v>0</v>
      </c>
      <c r="AF640" s="135">
        <f t="shared" si="342"/>
        <v>0</v>
      </c>
      <c r="AG640" s="135">
        <f t="shared" si="342"/>
        <v>0</v>
      </c>
      <c r="AH640" s="135">
        <f t="shared" si="342"/>
        <v>0</v>
      </c>
      <c r="AI640" s="135">
        <f t="shared" si="342"/>
        <v>0</v>
      </c>
      <c r="AJ640" s="135">
        <f t="shared" si="342"/>
        <v>0</v>
      </c>
      <c r="AK640" s="135">
        <f t="shared" si="342"/>
        <v>0</v>
      </c>
      <c r="AL640" s="135">
        <f t="shared" si="342"/>
        <v>0</v>
      </c>
      <c r="AM640" s="135">
        <f t="shared" si="342"/>
        <v>0</v>
      </c>
      <c r="AN640" s="135">
        <f t="shared" si="342"/>
        <v>0</v>
      </c>
      <c r="AO640" s="135">
        <f t="shared" si="342"/>
        <v>0</v>
      </c>
      <c r="AP640" s="135">
        <f t="shared" si="342"/>
        <v>0</v>
      </c>
    </row>
    <row r="641" spans="1:42" x14ac:dyDescent="0.2">
      <c r="A641" s="20" t="s">
        <v>183</v>
      </c>
      <c r="B641" s="135">
        <v>0</v>
      </c>
      <c r="C641" s="135">
        <f>C669</f>
        <v>0</v>
      </c>
      <c r="D641" s="135">
        <f t="shared" ref="D641:AP641" si="343">D669</f>
        <v>0</v>
      </c>
      <c r="E641" s="135">
        <f t="shared" si="343"/>
        <v>0</v>
      </c>
      <c r="F641" s="135">
        <f t="shared" si="343"/>
        <v>0</v>
      </c>
      <c r="G641" s="135">
        <f t="shared" si="343"/>
        <v>0</v>
      </c>
      <c r="H641" s="135">
        <f t="shared" si="343"/>
        <v>0</v>
      </c>
      <c r="I641" s="135">
        <f t="shared" si="343"/>
        <v>0</v>
      </c>
      <c r="J641" s="135">
        <f t="shared" si="343"/>
        <v>0</v>
      </c>
      <c r="K641" s="135">
        <f t="shared" si="343"/>
        <v>0</v>
      </c>
      <c r="L641" s="135">
        <f t="shared" si="343"/>
        <v>0</v>
      </c>
      <c r="M641" s="135">
        <f t="shared" si="343"/>
        <v>0</v>
      </c>
      <c r="N641" s="135">
        <f t="shared" si="343"/>
        <v>0</v>
      </c>
      <c r="O641" s="135">
        <f t="shared" si="343"/>
        <v>0</v>
      </c>
      <c r="P641" s="135">
        <f t="shared" si="343"/>
        <v>0</v>
      </c>
      <c r="Q641" s="135">
        <f t="shared" si="343"/>
        <v>0</v>
      </c>
      <c r="R641" s="135">
        <f t="shared" si="343"/>
        <v>0</v>
      </c>
      <c r="S641" s="135">
        <f t="shared" si="343"/>
        <v>0</v>
      </c>
      <c r="T641" s="135">
        <f t="shared" si="343"/>
        <v>0</v>
      </c>
      <c r="U641" s="135">
        <f t="shared" si="343"/>
        <v>0</v>
      </c>
      <c r="V641" s="135">
        <f t="shared" si="343"/>
        <v>0</v>
      </c>
      <c r="W641" s="135">
        <f t="shared" si="343"/>
        <v>0</v>
      </c>
      <c r="X641" s="135">
        <f t="shared" si="343"/>
        <v>0</v>
      </c>
      <c r="Y641" s="135">
        <f t="shared" si="343"/>
        <v>0</v>
      </c>
      <c r="Z641" s="135">
        <f t="shared" si="343"/>
        <v>0</v>
      </c>
      <c r="AA641" s="135">
        <f t="shared" si="343"/>
        <v>0</v>
      </c>
      <c r="AB641" s="135">
        <f t="shared" si="343"/>
        <v>0</v>
      </c>
      <c r="AC641" s="135">
        <f t="shared" si="343"/>
        <v>0</v>
      </c>
      <c r="AD641" s="135">
        <f t="shared" si="343"/>
        <v>0</v>
      </c>
      <c r="AE641" s="135">
        <f t="shared" si="343"/>
        <v>0</v>
      </c>
      <c r="AF641" s="135">
        <f t="shared" si="343"/>
        <v>0</v>
      </c>
      <c r="AG641" s="135">
        <f t="shared" si="343"/>
        <v>0</v>
      </c>
      <c r="AH641" s="135">
        <f t="shared" si="343"/>
        <v>0</v>
      </c>
      <c r="AI641" s="135">
        <f t="shared" si="343"/>
        <v>0</v>
      </c>
      <c r="AJ641" s="135">
        <f t="shared" si="343"/>
        <v>0</v>
      </c>
      <c r="AK641" s="135">
        <f t="shared" si="343"/>
        <v>0</v>
      </c>
      <c r="AL641" s="135">
        <f t="shared" si="343"/>
        <v>0</v>
      </c>
      <c r="AM641" s="135">
        <f t="shared" si="343"/>
        <v>0</v>
      </c>
      <c r="AN641" s="135">
        <f t="shared" si="343"/>
        <v>0</v>
      </c>
      <c r="AO641" s="135">
        <f t="shared" si="343"/>
        <v>0</v>
      </c>
      <c r="AP641" s="135">
        <f t="shared" si="343"/>
        <v>0</v>
      </c>
    </row>
    <row r="642" spans="1:42" x14ac:dyDescent="0.2">
      <c r="A642" s="20" t="s">
        <v>103</v>
      </c>
      <c r="B642" s="170">
        <v>0</v>
      </c>
      <c r="C642" s="170">
        <f>-C657</f>
        <v>0</v>
      </c>
      <c r="D642" s="170">
        <f t="shared" ref="D642:AP642" si="344">-D657</f>
        <v>0</v>
      </c>
      <c r="E642" s="170">
        <f t="shared" si="344"/>
        <v>0</v>
      </c>
      <c r="F642" s="170">
        <f t="shared" si="344"/>
        <v>0</v>
      </c>
      <c r="G642" s="170">
        <f t="shared" si="344"/>
        <v>0</v>
      </c>
      <c r="H642" s="170">
        <f t="shared" si="344"/>
        <v>0</v>
      </c>
      <c r="I642" s="170">
        <f t="shared" si="344"/>
        <v>0</v>
      </c>
      <c r="J642" s="170">
        <f t="shared" si="344"/>
        <v>0</v>
      </c>
      <c r="K642" s="170">
        <f t="shared" si="344"/>
        <v>0</v>
      </c>
      <c r="L642" s="170">
        <f t="shared" si="344"/>
        <v>0</v>
      </c>
      <c r="M642" s="170">
        <f t="shared" si="344"/>
        <v>0</v>
      </c>
      <c r="N642" s="170">
        <f t="shared" si="344"/>
        <v>0</v>
      </c>
      <c r="O642" s="170">
        <f t="shared" si="344"/>
        <v>0</v>
      </c>
      <c r="P642" s="170">
        <f t="shared" si="344"/>
        <v>0</v>
      </c>
      <c r="Q642" s="170">
        <f t="shared" si="344"/>
        <v>0</v>
      </c>
      <c r="R642" s="170">
        <f t="shared" si="344"/>
        <v>0</v>
      </c>
      <c r="S642" s="170">
        <f t="shared" si="344"/>
        <v>0</v>
      </c>
      <c r="T642" s="170">
        <f t="shared" si="344"/>
        <v>0</v>
      </c>
      <c r="U642" s="170">
        <f t="shared" si="344"/>
        <v>0</v>
      </c>
      <c r="V642" s="170">
        <f t="shared" si="344"/>
        <v>0</v>
      </c>
      <c r="W642" s="170">
        <f t="shared" si="344"/>
        <v>0</v>
      </c>
      <c r="X642" s="170">
        <f t="shared" si="344"/>
        <v>0</v>
      </c>
      <c r="Y642" s="170">
        <f t="shared" si="344"/>
        <v>0</v>
      </c>
      <c r="Z642" s="170">
        <f t="shared" si="344"/>
        <v>0</v>
      </c>
      <c r="AA642" s="170">
        <f t="shared" si="344"/>
        <v>0</v>
      </c>
      <c r="AB642" s="170">
        <f t="shared" si="344"/>
        <v>0</v>
      </c>
      <c r="AC642" s="170">
        <f t="shared" si="344"/>
        <v>0</v>
      </c>
      <c r="AD642" s="170">
        <f t="shared" si="344"/>
        <v>0</v>
      </c>
      <c r="AE642" s="170">
        <f t="shared" si="344"/>
        <v>0</v>
      </c>
      <c r="AF642" s="170">
        <f t="shared" si="344"/>
        <v>0</v>
      </c>
      <c r="AG642" s="170">
        <f t="shared" si="344"/>
        <v>0</v>
      </c>
      <c r="AH642" s="170">
        <f t="shared" si="344"/>
        <v>0</v>
      </c>
      <c r="AI642" s="170">
        <f t="shared" si="344"/>
        <v>0</v>
      </c>
      <c r="AJ642" s="170">
        <f t="shared" si="344"/>
        <v>0</v>
      </c>
      <c r="AK642" s="170">
        <f t="shared" si="344"/>
        <v>0</v>
      </c>
      <c r="AL642" s="170">
        <f t="shared" si="344"/>
        <v>0</v>
      </c>
      <c r="AM642" s="170">
        <f t="shared" si="344"/>
        <v>0</v>
      </c>
      <c r="AN642" s="170">
        <f t="shared" si="344"/>
        <v>0</v>
      </c>
      <c r="AO642" s="170">
        <f t="shared" si="344"/>
        <v>0</v>
      </c>
      <c r="AP642" s="170">
        <f t="shared" si="344"/>
        <v>0</v>
      </c>
    </row>
    <row r="643" spans="1:42" x14ac:dyDescent="0.2">
      <c r="A643" s="20" t="s">
        <v>99</v>
      </c>
      <c r="B643" s="135">
        <f>SUM(B640:B642)</f>
        <v>0</v>
      </c>
      <c r="C643" s="135">
        <f>SUM(C640:C642)</f>
        <v>0</v>
      </c>
      <c r="D643" s="135">
        <f t="shared" ref="D643:AP643" si="345">SUM(D640:D642)</f>
        <v>0</v>
      </c>
      <c r="E643" s="135">
        <f t="shared" si="345"/>
        <v>0</v>
      </c>
      <c r="F643" s="135">
        <f t="shared" si="345"/>
        <v>0</v>
      </c>
      <c r="G643" s="135">
        <f t="shared" si="345"/>
        <v>0</v>
      </c>
      <c r="H643" s="135">
        <f t="shared" si="345"/>
        <v>0</v>
      </c>
      <c r="I643" s="135">
        <f t="shared" si="345"/>
        <v>0</v>
      </c>
      <c r="J643" s="135">
        <f t="shared" si="345"/>
        <v>0</v>
      </c>
      <c r="K643" s="135">
        <f t="shared" si="345"/>
        <v>0</v>
      </c>
      <c r="L643" s="135">
        <f t="shared" si="345"/>
        <v>0</v>
      </c>
      <c r="M643" s="135">
        <f t="shared" si="345"/>
        <v>0</v>
      </c>
      <c r="N643" s="135">
        <f t="shared" si="345"/>
        <v>0</v>
      </c>
      <c r="O643" s="135">
        <f t="shared" si="345"/>
        <v>0</v>
      </c>
      <c r="P643" s="135">
        <f t="shared" si="345"/>
        <v>0</v>
      </c>
      <c r="Q643" s="135">
        <f t="shared" si="345"/>
        <v>0</v>
      </c>
      <c r="R643" s="135">
        <f t="shared" si="345"/>
        <v>0</v>
      </c>
      <c r="S643" s="135">
        <f t="shared" si="345"/>
        <v>0</v>
      </c>
      <c r="T643" s="135">
        <f t="shared" si="345"/>
        <v>0</v>
      </c>
      <c r="U643" s="135">
        <f t="shared" si="345"/>
        <v>0</v>
      </c>
      <c r="V643" s="135">
        <f t="shared" si="345"/>
        <v>0</v>
      </c>
      <c r="W643" s="135">
        <f t="shared" si="345"/>
        <v>0</v>
      </c>
      <c r="X643" s="135">
        <f t="shared" si="345"/>
        <v>0</v>
      </c>
      <c r="Y643" s="135">
        <f t="shared" si="345"/>
        <v>0</v>
      </c>
      <c r="Z643" s="135">
        <f t="shared" si="345"/>
        <v>0</v>
      </c>
      <c r="AA643" s="135">
        <f t="shared" si="345"/>
        <v>0</v>
      </c>
      <c r="AB643" s="135">
        <f t="shared" si="345"/>
        <v>0</v>
      </c>
      <c r="AC643" s="135">
        <f t="shared" si="345"/>
        <v>0</v>
      </c>
      <c r="AD643" s="135">
        <f t="shared" si="345"/>
        <v>0</v>
      </c>
      <c r="AE643" s="135">
        <f t="shared" si="345"/>
        <v>0</v>
      </c>
      <c r="AF643" s="135">
        <f t="shared" si="345"/>
        <v>0</v>
      </c>
      <c r="AG643" s="135">
        <f t="shared" si="345"/>
        <v>0</v>
      </c>
      <c r="AH643" s="135">
        <f t="shared" si="345"/>
        <v>0</v>
      </c>
      <c r="AI643" s="135">
        <f t="shared" si="345"/>
        <v>0</v>
      </c>
      <c r="AJ643" s="135">
        <f t="shared" si="345"/>
        <v>0</v>
      </c>
      <c r="AK643" s="135">
        <f t="shared" si="345"/>
        <v>0</v>
      </c>
      <c r="AL643" s="135">
        <f t="shared" si="345"/>
        <v>0</v>
      </c>
      <c r="AM643" s="135">
        <f t="shared" si="345"/>
        <v>0</v>
      </c>
      <c r="AN643" s="135">
        <f t="shared" si="345"/>
        <v>0</v>
      </c>
      <c r="AO643" s="135">
        <f t="shared" si="345"/>
        <v>0</v>
      </c>
      <c r="AP643" s="135">
        <f t="shared" si="345"/>
        <v>0</v>
      </c>
    </row>
    <row r="644" spans="1:42" x14ac:dyDescent="0.2">
      <c r="B644" s="135"/>
      <c r="C644" s="135"/>
      <c r="D644" s="135"/>
      <c r="E644" s="135"/>
      <c r="F644" s="135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</row>
    <row r="645" spans="1:42" x14ac:dyDescent="0.2">
      <c r="A645" s="20" t="s">
        <v>181</v>
      </c>
      <c r="B645" s="135"/>
      <c r="C645" s="135"/>
      <c r="D645" s="135"/>
      <c r="E645" s="135"/>
      <c r="F645" s="135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</row>
    <row r="646" spans="1:42" x14ac:dyDescent="0.2">
      <c r="A646" s="20" t="s">
        <v>182</v>
      </c>
      <c r="B646" s="135"/>
      <c r="C646" s="135"/>
      <c r="D646" s="135"/>
      <c r="E646" s="135"/>
      <c r="F646" s="135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</row>
    <row r="647" spans="1:42" x14ac:dyDescent="0.2">
      <c r="A647" s="20">
        <v>1</v>
      </c>
      <c r="B647" s="179">
        <f t="shared" ref="B647:B656" si="346">SUM(C647:AP647)</f>
        <v>0</v>
      </c>
      <c r="C647" s="169">
        <f t="shared" ref="C647:AP653" si="347">IF(C$2&gt;AnalysisPeriod,0,IF(C$2=MMFrequency2*$A647,MMCost2*CapacityDC*1000*(1+Inflation)^B$2,0))</f>
        <v>0</v>
      </c>
      <c r="D647" s="169">
        <f t="shared" si="347"/>
        <v>0</v>
      </c>
      <c r="E647" s="169">
        <f t="shared" si="347"/>
        <v>0</v>
      </c>
      <c r="F647" s="169">
        <f t="shared" si="347"/>
        <v>0</v>
      </c>
      <c r="G647" s="169">
        <f t="shared" si="347"/>
        <v>0</v>
      </c>
      <c r="H647" s="169">
        <f t="shared" si="347"/>
        <v>0</v>
      </c>
      <c r="I647" s="169">
        <f t="shared" si="347"/>
        <v>0</v>
      </c>
      <c r="J647" s="169">
        <f t="shared" si="347"/>
        <v>0</v>
      </c>
      <c r="K647" s="169">
        <f t="shared" si="347"/>
        <v>0</v>
      </c>
      <c r="L647" s="169">
        <f t="shared" si="347"/>
        <v>0</v>
      </c>
      <c r="M647" s="169">
        <f t="shared" si="347"/>
        <v>0</v>
      </c>
      <c r="N647" s="169">
        <f t="shared" si="347"/>
        <v>0</v>
      </c>
      <c r="O647" s="169">
        <f t="shared" si="347"/>
        <v>0</v>
      </c>
      <c r="P647" s="169">
        <f t="shared" si="347"/>
        <v>0</v>
      </c>
      <c r="Q647" s="169">
        <f t="shared" si="347"/>
        <v>0</v>
      </c>
      <c r="R647" s="169">
        <f t="shared" si="347"/>
        <v>0</v>
      </c>
      <c r="S647" s="169">
        <f t="shared" si="347"/>
        <v>0</v>
      </c>
      <c r="T647" s="169">
        <f t="shared" si="347"/>
        <v>0</v>
      </c>
      <c r="U647" s="169">
        <f t="shared" si="347"/>
        <v>0</v>
      </c>
      <c r="V647" s="169">
        <f t="shared" si="347"/>
        <v>0</v>
      </c>
      <c r="W647" s="169">
        <f t="shared" si="347"/>
        <v>0</v>
      </c>
      <c r="X647" s="169">
        <f t="shared" si="347"/>
        <v>0</v>
      </c>
      <c r="Y647" s="169">
        <f t="shared" si="347"/>
        <v>0</v>
      </c>
      <c r="Z647" s="169">
        <f t="shared" si="347"/>
        <v>0</v>
      </c>
      <c r="AA647" s="169">
        <f t="shared" si="347"/>
        <v>0</v>
      </c>
      <c r="AB647" s="169">
        <f t="shared" si="347"/>
        <v>0</v>
      </c>
      <c r="AC647" s="169">
        <f t="shared" si="347"/>
        <v>0</v>
      </c>
      <c r="AD647" s="169">
        <f t="shared" si="347"/>
        <v>0</v>
      </c>
      <c r="AE647" s="169">
        <f t="shared" si="347"/>
        <v>0</v>
      </c>
      <c r="AF647" s="169">
        <f t="shared" si="347"/>
        <v>0</v>
      </c>
      <c r="AG647" s="169">
        <f t="shared" si="347"/>
        <v>0</v>
      </c>
      <c r="AH647" s="169">
        <f t="shared" si="347"/>
        <v>0</v>
      </c>
      <c r="AI647" s="169">
        <f t="shared" si="347"/>
        <v>0</v>
      </c>
      <c r="AJ647" s="169">
        <f t="shared" si="347"/>
        <v>0</v>
      </c>
      <c r="AK647" s="169">
        <f t="shared" si="347"/>
        <v>0</v>
      </c>
      <c r="AL647" s="169">
        <f t="shared" si="347"/>
        <v>0</v>
      </c>
      <c r="AM647" s="169">
        <f t="shared" si="347"/>
        <v>0</v>
      </c>
      <c r="AN647" s="169">
        <f t="shared" si="347"/>
        <v>0</v>
      </c>
      <c r="AO647" s="169">
        <f t="shared" si="347"/>
        <v>0</v>
      </c>
      <c r="AP647" s="169">
        <f t="shared" si="347"/>
        <v>0</v>
      </c>
    </row>
    <row r="648" spans="1:42" x14ac:dyDescent="0.2">
      <c r="A648" s="20">
        <f>A647+1</f>
        <v>2</v>
      </c>
      <c r="B648" s="179">
        <f t="shared" si="346"/>
        <v>0</v>
      </c>
      <c r="C648" s="169">
        <f t="shared" si="347"/>
        <v>0</v>
      </c>
      <c r="D648" s="169">
        <f t="shared" si="347"/>
        <v>0</v>
      </c>
      <c r="E648" s="169">
        <f t="shared" si="347"/>
        <v>0</v>
      </c>
      <c r="F648" s="169">
        <f t="shared" si="347"/>
        <v>0</v>
      </c>
      <c r="G648" s="169">
        <f t="shared" si="347"/>
        <v>0</v>
      </c>
      <c r="H648" s="169">
        <f t="shared" si="347"/>
        <v>0</v>
      </c>
      <c r="I648" s="169">
        <f t="shared" si="347"/>
        <v>0</v>
      </c>
      <c r="J648" s="169">
        <f t="shared" si="347"/>
        <v>0</v>
      </c>
      <c r="K648" s="169">
        <f t="shared" si="347"/>
        <v>0</v>
      </c>
      <c r="L648" s="169">
        <f t="shared" si="347"/>
        <v>0</v>
      </c>
      <c r="M648" s="169">
        <f t="shared" si="347"/>
        <v>0</v>
      </c>
      <c r="N648" s="169">
        <f t="shared" si="347"/>
        <v>0</v>
      </c>
      <c r="O648" s="169">
        <f t="shared" si="347"/>
        <v>0</v>
      </c>
      <c r="P648" s="169">
        <f t="shared" si="347"/>
        <v>0</v>
      </c>
      <c r="Q648" s="169">
        <f t="shared" si="347"/>
        <v>0</v>
      </c>
      <c r="R648" s="169">
        <f t="shared" si="347"/>
        <v>0</v>
      </c>
      <c r="S648" s="169">
        <f t="shared" si="347"/>
        <v>0</v>
      </c>
      <c r="T648" s="169">
        <f t="shared" si="347"/>
        <v>0</v>
      </c>
      <c r="U648" s="169">
        <f t="shared" si="347"/>
        <v>0</v>
      </c>
      <c r="V648" s="169">
        <f t="shared" si="347"/>
        <v>0</v>
      </c>
      <c r="W648" s="169">
        <f t="shared" si="347"/>
        <v>0</v>
      </c>
      <c r="X648" s="169">
        <f t="shared" si="347"/>
        <v>0</v>
      </c>
      <c r="Y648" s="169">
        <f t="shared" si="347"/>
        <v>0</v>
      </c>
      <c r="Z648" s="169">
        <f t="shared" si="347"/>
        <v>0</v>
      </c>
      <c r="AA648" s="169">
        <f t="shared" si="347"/>
        <v>0</v>
      </c>
      <c r="AB648" s="169">
        <f t="shared" si="347"/>
        <v>0</v>
      </c>
      <c r="AC648" s="169">
        <f t="shared" si="347"/>
        <v>0</v>
      </c>
      <c r="AD648" s="169">
        <f t="shared" si="347"/>
        <v>0</v>
      </c>
      <c r="AE648" s="169">
        <f t="shared" si="347"/>
        <v>0</v>
      </c>
      <c r="AF648" s="169">
        <f t="shared" si="347"/>
        <v>0</v>
      </c>
      <c r="AG648" s="169">
        <f t="shared" si="347"/>
        <v>0</v>
      </c>
      <c r="AH648" s="169">
        <f t="shared" si="347"/>
        <v>0</v>
      </c>
      <c r="AI648" s="169">
        <f t="shared" si="347"/>
        <v>0</v>
      </c>
      <c r="AJ648" s="169">
        <f t="shared" si="347"/>
        <v>0</v>
      </c>
      <c r="AK648" s="169">
        <f t="shared" si="347"/>
        <v>0</v>
      </c>
      <c r="AL648" s="169">
        <f t="shared" si="347"/>
        <v>0</v>
      </c>
      <c r="AM648" s="169">
        <f t="shared" si="347"/>
        <v>0</v>
      </c>
      <c r="AN648" s="169">
        <f t="shared" si="347"/>
        <v>0</v>
      </c>
      <c r="AO648" s="169">
        <f t="shared" si="347"/>
        <v>0</v>
      </c>
      <c r="AP648" s="169">
        <f t="shared" si="347"/>
        <v>0</v>
      </c>
    </row>
    <row r="649" spans="1:42" x14ac:dyDescent="0.2">
      <c r="A649" s="20">
        <f t="shared" ref="A649:A656" si="348">A648+1</f>
        <v>3</v>
      </c>
      <c r="B649" s="179">
        <f t="shared" si="346"/>
        <v>0</v>
      </c>
      <c r="C649" s="169">
        <f t="shared" si="347"/>
        <v>0</v>
      </c>
      <c r="D649" s="169">
        <f t="shared" si="347"/>
        <v>0</v>
      </c>
      <c r="E649" s="169">
        <f t="shared" si="347"/>
        <v>0</v>
      </c>
      <c r="F649" s="169">
        <f t="shared" si="347"/>
        <v>0</v>
      </c>
      <c r="G649" s="169">
        <f t="shared" si="347"/>
        <v>0</v>
      </c>
      <c r="H649" s="169">
        <f t="shared" si="347"/>
        <v>0</v>
      </c>
      <c r="I649" s="169">
        <f t="shared" si="347"/>
        <v>0</v>
      </c>
      <c r="J649" s="169">
        <f t="shared" si="347"/>
        <v>0</v>
      </c>
      <c r="K649" s="169">
        <f t="shared" si="347"/>
        <v>0</v>
      </c>
      <c r="L649" s="169">
        <f t="shared" si="347"/>
        <v>0</v>
      </c>
      <c r="M649" s="169">
        <f t="shared" si="347"/>
        <v>0</v>
      </c>
      <c r="N649" s="169">
        <f t="shared" si="347"/>
        <v>0</v>
      </c>
      <c r="O649" s="169">
        <f t="shared" si="347"/>
        <v>0</v>
      </c>
      <c r="P649" s="169">
        <f t="shared" si="347"/>
        <v>0</v>
      </c>
      <c r="Q649" s="169">
        <f t="shared" si="347"/>
        <v>0</v>
      </c>
      <c r="R649" s="169">
        <f t="shared" si="347"/>
        <v>0</v>
      </c>
      <c r="S649" s="169">
        <f t="shared" si="347"/>
        <v>0</v>
      </c>
      <c r="T649" s="169">
        <f t="shared" si="347"/>
        <v>0</v>
      </c>
      <c r="U649" s="169">
        <f t="shared" si="347"/>
        <v>0</v>
      </c>
      <c r="V649" s="169">
        <f t="shared" si="347"/>
        <v>0</v>
      </c>
      <c r="W649" s="169">
        <f t="shared" si="347"/>
        <v>0</v>
      </c>
      <c r="X649" s="169">
        <f t="shared" si="347"/>
        <v>0</v>
      </c>
      <c r="Y649" s="169">
        <f t="shared" si="347"/>
        <v>0</v>
      </c>
      <c r="Z649" s="169">
        <f t="shared" si="347"/>
        <v>0</v>
      </c>
      <c r="AA649" s="169">
        <f t="shared" si="347"/>
        <v>0</v>
      </c>
      <c r="AB649" s="169">
        <f t="shared" si="347"/>
        <v>0</v>
      </c>
      <c r="AC649" s="169">
        <f t="shared" si="347"/>
        <v>0</v>
      </c>
      <c r="AD649" s="169">
        <f t="shared" si="347"/>
        <v>0</v>
      </c>
      <c r="AE649" s="169">
        <f t="shared" si="347"/>
        <v>0</v>
      </c>
      <c r="AF649" s="169">
        <f t="shared" si="347"/>
        <v>0</v>
      </c>
      <c r="AG649" s="169">
        <f t="shared" si="347"/>
        <v>0</v>
      </c>
      <c r="AH649" s="169">
        <f t="shared" si="347"/>
        <v>0</v>
      </c>
      <c r="AI649" s="169">
        <f t="shared" si="347"/>
        <v>0</v>
      </c>
      <c r="AJ649" s="169">
        <f t="shared" si="347"/>
        <v>0</v>
      </c>
      <c r="AK649" s="169">
        <f t="shared" si="347"/>
        <v>0</v>
      </c>
      <c r="AL649" s="169">
        <f t="shared" si="347"/>
        <v>0</v>
      </c>
      <c r="AM649" s="169">
        <f t="shared" si="347"/>
        <v>0</v>
      </c>
      <c r="AN649" s="169">
        <f t="shared" si="347"/>
        <v>0</v>
      </c>
      <c r="AO649" s="169">
        <f t="shared" si="347"/>
        <v>0</v>
      </c>
      <c r="AP649" s="169">
        <f t="shared" si="347"/>
        <v>0</v>
      </c>
    </row>
    <row r="650" spans="1:42" x14ac:dyDescent="0.2">
      <c r="A650" s="20">
        <f t="shared" si="348"/>
        <v>4</v>
      </c>
      <c r="B650" s="179">
        <f t="shared" si="346"/>
        <v>0</v>
      </c>
      <c r="C650" s="169">
        <f t="shared" si="347"/>
        <v>0</v>
      </c>
      <c r="D650" s="169">
        <f t="shared" si="347"/>
        <v>0</v>
      </c>
      <c r="E650" s="169">
        <f t="shared" si="347"/>
        <v>0</v>
      </c>
      <c r="F650" s="169">
        <f t="shared" si="347"/>
        <v>0</v>
      </c>
      <c r="G650" s="169">
        <f t="shared" si="347"/>
        <v>0</v>
      </c>
      <c r="H650" s="169">
        <f t="shared" si="347"/>
        <v>0</v>
      </c>
      <c r="I650" s="169">
        <f t="shared" si="347"/>
        <v>0</v>
      </c>
      <c r="J650" s="169">
        <f t="shared" si="347"/>
        <v>0</v>
      </c>
      <c r="K650" s="169">
        <f t="shared" si="347"/>
        <v>0</v>
      </c>
      <c r="L650" s="169">
        <f t="shared" si="347"/>
        <v>0</v>
      </c>
      <c r="M650" s="169">
        <f t="shared" si="347"/>
        <v>0</v>
      </c>
      <c r="N650" s="169">
        <f t="shared" si="347"/>
        <v>0</v>
      </c>
      <c r="O650" s="169">
        <f t="shared" si="347"/>
        <v>0</v>
      </c>
      <c r="P650" s="169">
        <f t="shared" si="347"/>
        <v>0</v>
      </c>
      <c r="Q650" s="169">
        <f t="shared" si="347"/>
        <v>0</v>
      </c>
      <c r="R650" s="169">
        <f t="shared" si="347"/>
        <v>0</v>
      </c>
      <c r="S650" s="169">
        <f t="shared" si="347"/>
        <v>0</v>
      </c>
      <c r="T650" s="169">
        <f t="shared" si="347"/>
        <v>0</v>
      </c>
      <c r="U650" s="169">
        <f t="shared" si="347"/>
        <v>0</v>
      </c>
      <c r="V650" s="169">
        <f t="shared" si="347"/>
        <v>0</v>
      </c>
      <c r="W650" s="169">
        <f t="shared" si="347"/>
        <v>0</v>
      </c>
      <c r="X650" s="169">
        <f t="shared" si="347"/>
        <v>0</v>
      </c>
      <c r="Y650" s="169">
        <f t="shared" si="347"/>
        <v>0</v>
      </c>
      <c r="Z650" s="169">
        <f t="shared" si="347"/>
        <v>0</v>
      </c>
      <c r="AA650" s="169">
        <f t="shared" si="347"/>
        <v>0</v>
      </c>
      <c r="AB650" s="169">
        <f t="shared" si="347"/>
        <v>0</v>
      </c>
      <c r="AC650" s="169">
        <f t="shared" si="347"/>
        <v>0</v>
      </c>
      <c r="AD650" s="169">
        <f t="shared" si="347"/>
        <v>0</v>
      </c>
      <c r="AE650" s="169">
        <f t="shared" si="347"/>
        <v>0</v>
      </c>
      <c r="AF650" s="169">
        <f t="shared" si="347"/>
        <v>0</v>
      </c>
      <c r="AG650" s="169">
        <f t="shared" si="347"/>
        <v>0</v>
      </c>
      <c r="AH650" s="169">
        <f t="shared" si="347"/>
        <v>0</v>
      </c>
      <c r="AI650" s="169">
        <f t="shared" si="347"/>
        <v>0</v>
      </c>
      <c r="AJ650" s="169">
        <f t="shared" si="347"/>
        <v>0</v>
      </c>
      <c r="AK650" s="169">
        <f t="shared" si="347"/>
        <v>0</v>
      </c>
      <c r="AL650" s="169">
        <f t="shared" si="347"/>
        <v>0</v>
      </c>
      <c r="AM650" s="169">
        <f t="shared" si="347"/>
        <v>0</v>
      </c>
      <c r="AN650" s="169">
        <f t="shared" si="347"/>
        <v>0</v>
      </c>
      <c r="AO650" s="169">
        <f t="shared" si="347"/>
        <v>0</v>
      </c>
      <c r="AP650" s="169">
        <f t="shared" si="347"/>
        <v>0</v>
      </c>
    </row>
    <row r="651" spans="1:42" x14ac:dyDescent="0.2">
      <c r="A651" s="20">
        <f t="shared" si="348"/>
        <v>5</v>
      </c>
      <c r="B651" s="179">
        <f t="shared" si="346"/>
        <v>0</v>
      </c>
      <c r="C651" s="169">
        <f t="shared" si="347"/>
        <v>0</v>
      </c>
      <c r="D651" s="169">
        <f t="shared" si="347"/>
        <v>0</v>
      </c>
      <c r="E651" s="169">
        <f t="shared" si="347"/>
        <v>0</v>
      </c>
      <c r="F651" s="169">
        <f t="shared" si="347"/>
        <v>0</v>
      </c>
      <c r="G651" s="169">
        <f t="shared" si="347"/>
        <v>0</v>
      </c>
      <c r="H651" s="169">
        <f t="shared" si="347"/>
        <v>0</v>
      </c>
      <c r="I651" s="169">
        <f t="shared" si="347"/>
        <v>0</v>
      </c>
      <c r="J651" s="169">
        <f t="shared" si="347"/>
        <v>0</v>
      </c>
      <c r="K651" s="169">
        <f t="shared" si="347"/>
        <v>0</v>
      </c>
      <c r="L651" s="169">
        <f t="shared" si="347"/>
        <v>0</v>
      </c>
      <c r="M651" s="169">
        <f t="shared" si="347"/>
        <v>0</v>
      </c>
      <c r="N651" s="169">
        <f t="shared" si="347"/>
        <v>0</v>
      </c>
      <c r="O651" s="169">
        <f t="shared" si="347"/>
        <v>0</v>
      </c>
      <c r="P651" s="169">
        <f t="shared" si="347"/>
        <v>0</v>
      </c>
      <c r="Q651" s="169">
        <f t="shared" si="347"/>
        <v>0</v>
      </c>
      <c r="R651" s="169">
        <f t="shared" si="347"/>
        <v>0</v>
      </c>
      <c r="S651" s="169">
        <f t="shared" si="347"/>
        <v>0</v>
      </c>
      <c r="T651" s="169">
        <f t="shared" si="347"/>
        <v>0</v>
      </c>
      <c r="U651" s="169">
        <f t="shared" si="347"/>
        <v>0</v>
      </c>
      <c r="V651" s="169">
        <f t="shared" si="347"/>
        <v>0</v>
      </c>
      <c r="W651" s="169">
        <f t="shared" si="347"/>
        <v>0</v>
      </c>
      <c r="X651" s="169">
        <f t="shared" si="347"/>
        <v>0</v>
      </c>
      <c r="Y651" s="169">
        <f t="shared" si="347"/>
        <v>0</v>
      </c>
      <c r="Z651" s="169">
        <f t="shared" si="347"/>
        <v>0</v>
      </c>
      <c r="AA651" s="169">
        <f t="shared" si="347"/>
        <v>0</v>
      </c>
      <c r="AB651" s="169">
        <f t="shared" si="347"/>
        <v>0</v>
      </c>
      <c r="AC651" s="169">
        <f t="shared" si="347"/>
        <v>0</v>
      </c>
      <c r="AD651" s="169">
        <f t="shared" si="347"/>
        <v>0</v>
      </c>
      <c r="AE651" s="169">
        <f t="shared" si="347"/>
        <v>0</v>
      </c>
      <c r="AF651" s="169">
        <f t="shared" si="347"/>
        <v>0</v>
      </c>
      <c r="AG651" s="169">
        <f t="shared" si="347"/>
        <v>0</v>
      </c>
      <c r="AH651" s="169">
        <f t="shared" si="347"/>
        <v>0</v>
      </c>
      <c r="AI651" s="169">
        <f t="shared" si="347"/>
        <v>0</v>
      </c>
      <c r="AJ651" s="169">
        <f t="shared" si="347"/>
        <v>0</v>
      </c>
      <c r="AK651" s="169">
        <f t="shared" si="347"/>
        <v>0</v>
      </c>
      <c r="AL651" s="169">
        <f t="shared" si="347"/>
        <v>0</v>
      </c>
      <c r="AM651" s="169">
        <f t="shared" si="347"/>
        <v>0</v>
      </c>
      <c r="AN651" s="169">
        <f t="shared" si="347"/>
        <v>0</v>
      </c>
      <c r="AO651" s="169">
        <f t="shared" si="347"/>
        <v>0</v>
      </c>
      <c r="AP651" s="169">
        <f t="shared" si="347"/>
        <v>0</v>
      </c>
    </row>
    <row r="652" spans="1:42" x14ac:dyDescent="0.2">
      <c r="A652" s="20">
        <f t="shared" si="348"/>
        <v>6</v>
      </c>
      <c r="B652" s="179">
        <f t="shared" si="346"/>
        <v>0</v>
      </c>
      <c r="C652" s="169">
        <f t="shared" si="347"/>
        <v>0</v>
      </c>
      <c r="D652" s="169">
        <f t="shared" si="347"/>
        <v>0</v>
      </c>
      <c r="E652" s="169">
        <f t="shared" si="347"/>
        <v>0</v>
      </c>
      <c r="F652" s="169">
        <f t="shared" si="347"/>
        <v>0</v>
      </c>
      <c r="G652" s="169">
        <f t="shared" si="347"/>
        <v>0</v>
      </c>
      <c r="H652" s="169">
        <f t="shared" si="347"/>
        <v>0</v>
      </c>
      <c r="I652" s="169">
        <f t="shared" si="347"/>
        <v>0</v>
      </c>
      <c r="J652" s="169">
        <f t="shared" si="347"/>
        <v>0</v>
      </c>
      <c r="K652" s="169">
        <f t="shared" si="347"/>
        <v>0</v>
      </c>
      <c r="L652" s="169">
        <f t="shared" si="347"/>
        <v>0</v>
      </c>
      <c r="M652" s="169">
        <f t="shared" si="347"/>
        <v>0</v>
      </c>
      <c r="N652" s="169">
        <f t="shared" si="347"/>
        <v>0</v>
      </c>
      <c r="O652" s="169">
        <f t="shared" si="347"/>
        <v>0</v>
      </c>
      <c r="P652" s="169">
        <f t="shared" si="347"/>
        <v>0</v>
      </c>
      <c r="Q652" s="169">
        <f t="shared" si="347"/>
        <v>0</v>
      </c>
      <c r="R652" s="169">
        <f t="shared" si="347"/>
        <v>0</v>
      </c>
      <c r="S652" s="169">
        <f t="shared" si="347"/>
        <v>0</v>
      </c>
      <c r="T652" s="169">
        <f t="shared" si="347"/>
        <v>0</v>
      </c>
      <c r="U652" s="169">
        <f t="shared" si="347"/>
        <v>0</v>
      </c>
      <c r="V652" s="169">
        <f t="shared" si="347"/>
        <v>0</v>
      </c>
      <c r="W652" s="169">
        <f t="shared" si="347"/>
        <v>0</v>
      </c>
      <c r="X652" s="169">
        <f t="shared" si="347"/>
        <v>0</v>
      </c>
      <c r="Y652" s="169">
        <f t="shared" si="347"/>
        <v>0</v>
      </c>
      <c r="Z652" s="169">
        <f t="shared" si="347"/>
        <v>0</v>
      </c>
      <c r="AA652" s="169">
        <f t="shared" si="347"/>
        <v>0</v>
      </c>
      <c r="AB652" s="169">
        <f t="shared" si="347"/>
        <v>0</v>
      </c>
      <c r="AC652" s="169">
        <f t="shared" si="347"/>
        <v>0</v>
      </c>
      <c r="AD652" s="169">
        <f t="shared" si="347"/>
        <v>0</v>
      </c>
      <c r="AE652" s="169">
        <f t="shared" si="347"/>
        <v>0</v>
      </c>
      <c r="AF652" s="169">
        <f t="shared" si="347"/>
        <v>0</v>
      </c>
      <c r="AG652" s="169">
        <f t="shared" si="347"/>
        <v>0</v>
      </c>
      <c r="AH652" s="169">
        <f t="shared" si="347"/>
        <v>0</v>
      </c>
      <c r="AI652" s="169">
        <f t="shared" si="347"/>
        <v>0</v>
      </c>
      <c r="AJ652" s="169">
        <f t="shared" si="347"/>
        <v>0</v>
      </c>
      <c r="AK652" s="169">
        <f t="shared" si="347"/>
        <v>0</v>
      </c>
      <c r="AL652" s="169">
        <f t="shared" si="347"/>
        <v>0</v>
      </c>
      <c r="AM652" s="169">
        <f t="shared" si="347"/>
        <v>0</v>
      </c>
      <c r="AN652" s="169">
        <f t="shared" si="347"/>
        <v>0</v>
      </c>
      <c r="AO652" s="169">
        <f t="shared" si="347"/>
        <v>0</v>
      </c>
      <c r="AP652" s="169">
        <f t="shared" si="347"/>
        <v>0</v>
      </c>
    </row>
    <row r="653" spans="1:42" x14ac:dyDescent="0.2">
      <c r="A653" s="20">
        <f t="shared" si="348"/>
        <v>7</v>
      </c>
      <c r="B653" s="179">
        <f t="shared" si="346"/>
        <v>0</v>
      </c>
      <c r="C653" s="169">
        <f t="shared" si="347"/>
        <v>0</v>
      </c>
      <c r="D653" s="169">
        <f t="shared" si="347"/>
        <v>0</v>
      </c>
      <c r="E653" s="169">
        <f t="shared" si="347"/>
        <v>0</v>
      </c>
      <c r="F653" s="169">
        <f t="shared" si="347"/>
        <v>0</v>
      </c>
      <c r="G653" s="169">
        <f t="shared" si="347"/>
        <v>0</v>
      </c>
      <c r="H653" s="169">
        <f t="shared" si="347"/>
        <v>0</v>
      </c>
      <c r="I653" s="169">
        <f t="shared" si="347"/>
        <v>0</v>
      </c>
      <c r="J653" s="169">
        <f t="shared" si="347"/>
        <v>0</v>
      </c>
      <c r="K653" s="169">
        <f t="shared" si="347"/>
        <v>0</v>
      </c>
      <c r="L653" s="169">
        <f t="shared" si="347"/>
        <v>0</v>
      </c>
      <c r="M653" s="169">
        <f t="shared" si="347"/>
        <v>0</v>
      </c>
      <c r="N653" s="169">
        <f t="shared" si="347"/>
        <v>0</v>
      </c>
      <c r="O653" s="169">
        <f t="shared" si="347"/>
        <v>0</v>
      </c>
      <c r="P653" s="169">
        <f t="shared" si="347"/>
        <v>0</v>
      </c>
      <c r="Q653" s="169">
        <f t="shared" si="347"/>
        <v>0</v>
      </c>
      <c r="R653" s="169">
        <f t="shared" ref="R653:AP653" si="349">IF(R$2&gt;AnalysisPeriod,0,IF(R$2=MMFrequency2*$A653,MMCost2*CapacityDC*1000*(1+Inflation)^Q$2,0))</f>
        <v>0</v>
      </c>
      <c r="S653" s="169">
        <f t="shared" si="349"/>
        <v>0</v>
      </c>
      <c r="T653" s="169">
        <f t="shared" si="349"/>
        <v>0</v>
      </c>
      <c r="U653" s="169">
        <f t="shared" si="349"/>
        <v>0</v>
      </c>
      <c r="V653" s="169">
        <f t="shared" si="349"/>
        <v>0</v>
      </c>
      <c r="W653" s="169">
        <f t="shared" si="349"/>
        <v>0</v>
      </c>
      <c r="X653" s="169">
        <f t="shared" si="349"/>
        <v>0</v>
      </c>
      <c r="Y653" s="169">
        <f t="shared" si="349"/>
        <v>0</v>
      </c>
      <c r="Z653" s="169">
        <f t="shared" si="349"/>
        <v>0</v>
      </c>
      <c r="AA653" s="169">
        <f t="shared" si="349"/>
        <v>0</v>
      </c>
      <c r="AB653" s="169">
        <f t="shared" si="349"/>
        <v>0</v>
      </c>
      <c r="AC653" s="169">
        <f t="shared" si="349"/>
        <v>0</v>
      </c>
      <c r="AD653" s="169">
        <f t="shared" si="349"/>
        <v>0</v>
      </c>
      <c r="AE653" s="169">
        <f t="shared" si="349"/>
        <v>0</v>
      </c>
      <c r="AF653" s="169">
        <f t="shared" si="349"/>
        <v>0</v>
      </c>
      <c r="AG653" s="169">
        <f t="shared" si="349"/>
        <v>0</v>
      </c>
      <c r="AH653" s="169">
        <f t="shared" si="349"/>
        <v>0</v>
      </c>
      <c r="AI653" s="169">
        <f t="shared" si="349"/>
        <v>0</v>
      </c>
      <c r="AJ653" s="169">
        <f t="shared" si="349"/>
        <v>0</v>
      </c>
      <c r="AK653" s="169">
        <f t="shared" si="349"/>
        <v>0</v>
      </c>
      <c r="AL653" s="169">
        <f t="shared" si="349"/>
        <v>0</v>
      </c>
      <c r="AM653" s="169">
        <f t="shared" si="349"/>
        <v>0</v>
      </c>
      <c r="AN653" s="169">
        <f t="shared" si="349"/>
        <v>0</v>
      </c>
      <c r="AO653" s="169">
        <f t="shared" si="349"/>
        <v>0</v>
      </c>
      <c r="AP653" s="169">
        <f t="shared" si="349"/>
        <v>0</v>
      </c>
    </row>
    <row r="654" spans="1:42" x14ac:dyDescent="0.2">
      <c r="A654" s="20">
        <f t="shared" si="348"/>
        <v>8</v>
      </c>
      <c r="B654" s="179">
        <f t="shared" si="346"/>
        <v>0</v>
      </c>
      <c r="C654" s="169">
        <f t="shared" ref="C654:AP656" si="350">IF(C$2&gt;AnalysisPeriod,0,IF(C$2=MMFrequency2*$A654,MMCost2*CapacityDC*1000*(1+Inflation)^B$2,0))</f>
        <v>0</v>
      </c>
      <c r="D654" s="169">
        <f t="shared" si="350"/>
        <v>0</v>
      </c>
      <c r="E654" s="169">
        <f t="shared" si="350"/>
        <v>0</v>
      </c>
      <c r="F654" s="169">
        <f t="shared" si="350"/>
        <v>0</v>
      </c>
      <c r="G654" s="169">
        <f t="shared" si="350"/>
        <v>0</v>
      </c>
      <c r="H654" s="169">
        <f t="shared" si="350"/>
        <v>0</v>
      </c>
      <c r="I654" s="169">
        <f t="shared" si="350"/>
        <v>0</v>
      </c>
      <c r="J654" s="169">
        <f t="shared" si="350"/>
        <v>0</v>
      </c>
      <c r="K654" s="169">
        <f t="shared" si="350"/>
        <v>0</v>
      </c>
      <c r="L654" s="169">
        <f t="shared" si="350"/>
        <v>0</v>
      </c>
      <c r="M654" s="169">
        <f t="shared" si="350"/>
        <v>0</v>
      </c>
      <c r="N654" s="169">
        <f t="shared" si="350"/>
        <v>0</v>
      </c>
      <c r="O654" s="169">
        <f t="shared" si="350"/>
        <v>0</v>
      </c>
      <c r="P654" s="169">
        <f t="shared" si="350"/>
        <v>0</v>
      </c>
      <c r="Q654" s="169">
        <f t="shared" si="350"/>
        <v>0</v>
      </c>
      <c r="R654" s="169">
        <f t="shared" si="350"/>
        <v>0</v>
      </c>
      <c r="S654" s="169">
        <f t="shared" si="350"/>
        <v>0</v>
      </c>
      <c r="T654" s="169">
        <f t="shared" si="350"/>
        <v>0</v>
      </c>
      <c r="U654" s="169">
        <f t="shared" si="350"/>
        <v>0</v>
      </c>
      <c r="V654" s="169">
        <f t="shared" si="350"/>
        <v>0</v>
      </c>
      <c r="W654" s="169">
        <f t="shared" si="350"/>
        <v>0</v>
      </c>
      <c r="X654" s="169">
        <f t="shared" si="350"/>
        <v>0</v>
      </c>
      <c r="Y654" s="169">
        <f t="shared" si="350"/>
        <v>0</v>
      </c>
      <c r="Z654" s="169">
        <f t="shared" si="350"/>
        <v>0</v>
      </c>
      <c r="AA654" s="169">
        <f t="shared" si="350"/>
        <v>0</v>
      </c>
      <c r="AB654" s="169">
        <f t="shared" si="350"/>
        <v>0</v>
      </c>
      <c r="AC654" s="169">
        <f t="shared" si="350"/>
        <v>0</v>
      </c>
      <c r="AD654" s="169">
        <f t="shared" si="350"/>
        <v>0</v>
      </c>
      <c r="AE654" s="169">
        <f t="shared" si="350"/>
        <v>0</v>
      </c>
      <c r="AF654" s="169">
        <f t="shared" si="350"/>
        <v>0</v>
      </c>
      <c r="AG654" s="169">
        <f t="shared" si="350"/>
        <v>0</v>
      </c>
      <c r="AH654" s="169">
        <f t="shared" si="350"/>
        <v>0</v>
      </c>
      <c r="AI654" s="169">
        <f t="shared" si="350"/>
        <v>0</v>
      </c>
      <c r="AJ654" s="169">
        <f t="shared" si="350"/>
        <v>0</v>
      </c>
      <c r="AK654" s="169">
        <f t="shared" si="350"/>
        <v>0</v>
      </c>
      <c r="AL654" s="169">
        <f t="shared" si="350"/>
        <v>0</v>
      </c>
      <c r="AM654" s="169">
        <f t="shared" si="350"/>
        <v>0</v>
      </c>
      <c r="AN654" s="169">
        <f t="shared" si="350"/>
        <v>0</v>
      </c>
      <c r="AO654" s="169">
        <f t="shared" si="350"/>
        <v>0</v>
      </c>
      <c r="AP654" s="169">
        <f t="shared" si="350"/>
        <v>0</v>
      </c>
    </row>
    <row r="655" spans="1:42" x14ac:dyDescent="0.2">
      <c r="A655" s="20">
        <f>A654+1</f>
        <v>9</v>
      </c>
      <c r="B655" s="179">
        <f t="shared" si="346"/>
        <v>0</v>
      </c>
      <c r="C655" s="169">
        <f t="shared" si="350"/>
        <v>0</v>
      </c>
      <c r="D655" s="169">
        <f t="shared" si="350"/>
        <v>0</v>
      </c>
      <c r="E655" s="169">
        <f t="shared" si="350"/>
        <v>0</v>
      </c>
      <c r="F655" s="169">
        <f t="shared" si="350"/>
        <v>0</v>
      </c>
      <c r="G655" s="169">
        <f t="shared" si="350"/>
        <v>0</v>
      </c>
      <c r="H655" s="169">
        <f t="shared" si="350"/>
        <v>0</v>
      </c>
      <c r="I655" s="169">
        <f t="shared" si="350"/>
        <v>0</v>
      </c>
      <c r="J655" s="169">
        <f t="shared" si="350"/>
        <v>0</v>
      </c>
      <c r="K655" s="169">
        <f t="shared" si="350"/>
        <v>0</v>
      </c>
      <c r="L655" s="169">
        <f t="shared" si="350"/>
        <v>0</v>
      </c>
      <c r="M655" s="169">
        <f t="shared" si="350"/>
        <v>0</v>
      </c>
      <c r="N655" s="169">
        <f t="shared" si="350"/>
        <v>0</v>
      </c>
      <c r="O655" s="169">
        <f t="shared" si="350"/>
        <v>0</v>
      </c>
      <c r="P655" s="169">
        <f t="shared" si="350"/>
        <v>0</v>
      </c>
      <c r="Q655" s="169">
        <f t="shared" si="350"/>
        <v>0</v>
      </c>
      <c r="R655" s="169">
        <f t="shared" si="350"/>
        <v>0</v>
      </c>
      <c r="S655" s="169">
        <f t="shared" si="350"/>
        <v>0</v>
      </c>
      <c r="T655" s="169">
        <f t="shared" si="350"/>
        <v>0</v>
      </c>
      <c r="U655" s="169">
        <f t="shared" si="350"/>
        <v>0</v>
      </c>
      <c r="V655" s="169">
        <f t="shared" si="350"/>
        <v>0</v>
      </c>
      <c r="W655" s="169">
        <f t="shared" si="350"/>
        <v>0</v>
      </c>
      <c r="X655" s="169">
        <f t="shared" si="350"/>
        <v>0</v>
      </c>
      <c r="Y655" s="169">
        <f t="shared" si="350"/>
        <v>0</v>
      </c>
      <c r="Z655" s="169">
        <f t="shared" si="350"/>
        <v>0</v>
      </c>
      <c r="AA655" s="169">
        <f t="shared" si="350"/>
        <v>0</v>
      </c>
      <c r="AB655" s="169">
        <f t="shared" si="350"/>
        <v>0</v>
      </c>
      <c r="AC655" s="169">
        <f t="shared" si="350"/>
        <v>0</v>
      </c>
      <c r="AD655" s="169">
        <f t="shared" si="350"/>
        <v>0</v>
      </c>
      <c r="AE655" s="169">
        <f t="shared" si="350"/>
        <v>0</v>
      </c>
      <c r="AF655" s="169">
        <f t="shared" si="350"/>
        <v>0</v>
      </c>
      <c r="AG655" s="169">
        <f t="shared" si="350"/>
        <v>0</v>
      </c>
      <c r="AH655" s="169">
        <f t="shared" si="350"/>
        <v>0</v>
      </c>
      <c r="AI655" s="169">
        <f t="shared" si="350"/>
        <v>0</v>
      </c>
      <c r="AJ655" s="169">
        <f t="shared" si="350"/>
        <v>0</v>
      </c>
      <c r="AK655" s="169">
        <f t="shared" si="350"/>
        <v>0</v>
      </c>
      <c r="AL655" s="169">
        <f t="shared" si="350"/>
        <v>0</v>
      </c>
      <c r="AM655" s="169">
        <f t="shared" si="350"/>
        <v>0</v>
      </c>
      <c r="AN655" s="169">
        <f t="shared" si="350"/>
        <v>0</v>
      </c>
      <c r="AO655" s="169">
        <f t="shared" si="350"/>
        <v>0</v>
      </c>
      <c r="AP655" s="169">
        <f t="shared" si="350"/>
        <v>0</v>
      </c>
    </row>
    <row r="656" spans="1:42" x14ac:dyDescent="0.2">
      <c r="A656" s="20">
        <f t="shared" si="348"/>
        <v>10</v>
      </c>
      <c r="B656" s="179">
        <f t="shared" si="346"/>
        <v>0</v>
      </c>
      <c r="C656" s="170">
        <f t="shared" si="350"/>
        <v>0</v>
      </c>
      <c r="D656" s="170">
        <f t="shared" si="350"/>
        <v>0</v>
      </c>
      <c r="E656" s="170">
        <f t="shared" si="350"/>
        <v>0</v>
      </c>
      <c r="F656" s="170">
        <f t="shared" si="350"/>
        <v>0</v>
      </c>
      <c r="G656" s="170">
        <f t="shared" si="350"/>
        <v>0</v>
      </c>
      <c r="H656" s="170">
        <f t="shared" si="350"/>
        <v>0</v>
      </c>
      <c r="I656" s="170">
        <f t="shared" si="350"/>
        <v>0</v>
      </c>
      <c r="J656" s="170">
        <f t="shared" si="350"/>
        <v>0</v>
      </c>
      <c r="K656" s="170">
        <f t="shared" si="350"/>
        <v>0</v>
      </c>
      <c r="L656" s="170">
        <f t="shared" si="350"/>
        <v>0</v>
      </c>
      <c r="M656" s="170">
        <f t="shared" si="350"/>
        <v>0</v>
      </c>
      <c r="N656" s="170">
        <f t="shared" si="350"/>
        <v>0</v>
      </c>
      <c r="O656" s="170">
        <f t="shared" si="350"/>
        <v>0</v>
      </c>
      <c r="P656" s="170">
        <f t="shared" si="350"/>
        <v>0</v>
      </c>
      <c r="Q656" s="170">
        <f t="shared" si="350"/>
        <v>0</v>
      </c>
      <c r="R656" s="170">
        <f t="shared" si="350"/>
        <v>0</v>
      </c>
      <c r="S656" s="170">
        <f t="shared" si="350"/>
        <v>0</v>
      </c>
      <c r="T656" s="170">
        <f t="shared" si="350"/>
        <v>0</v>
      </c>
      <c r="U656" s="170">
        <f t="shared" si="350"/>
        <v>0</v>
      </c>
      <c r="V656" s="170">
        <f t="shared" si="350"/>
        <v>0</v>
      </c>
      <c r="W656" s="170">
        <f t="shared" si="350"/>
        <v>0</v>
      </c>
      <c r="X656" s="170">
        <f t="shared" si="350"/>
        <v>0</v>
      </c>
      <c r="Y656" s="170">
        <f t="shared" si="350"/>
        <v>0</v>
      </c>
      <c r="Z656" s="170">
        <f t="shared" si="350"/>
        <v>0</v>
      </c>
      <c r="AA656" s="170">
        <f t="shared" si="350"/>
        <v>0</v>
      </c>
      <c r="AB656" s="170">
        <f t="shared" si="350"/>
        <v>0</v>
      </c>
      <c r="AC656" s="170">
        <f t="shared" si="350"/>
        <v>0</v>
      </c>
      <c r="AD656" s="170">
        <f t="shared" si="350"/>
        <v>0</v>
      </c>
      <c r="AE656" s="170">
        <f t="shared" si="350"/>
        <v>0</v>
      </c>
      <c r="AF656" s="170">
        <f t="shared" si="350"/>
        <v>0</v>
      </c>
      <c r="AG656" s="170">
        <f t="shared" si="350"/>
        <v>0</v>
      </c>
      <c r="AH656" s="170">
        <f t="shared" si="350"/>
        <v>0</v>
      </c>
      <c r="AI656" s="170">
        <f t="shared" si="350"/>
        <v>0</v>
      </c>
      <c r="AJ656" s="170">
        <f t="shared" si="350"/>
        <v>0</v>
      </c>
      <c r="AK656" s="170">
        <f t="shared" si="350"/>
        <v>0</v>
      </c>
      <c r="AL656" s="170">
        <f t="shared" si="350"/>
        <v>0</v>
      </c>
      <c r="AM656" s="170">
        <f t="shared" si="350"/>
        <v>0</v>
      </c>
      <c r="AN656" s="170">
        <f t="shared" si="350"/>
        <v>0</v>
      </c>
      <c r="AO656" s="170">
        <f t="shared" si="350"/>
        <v>0</v>
      </c>
      <c r="AP656" s="170">
        <f t="shared" si="350"/>
        <v>0</v>
      </c>
    </row>
    <row r="657" spans="1:42" x14ac:dyDescent="0.2">
      <c r="A657" s="202" t="s">
        <v>53</v>
      </c>
      <c r="B657" s="169"/>
      <c r="C657" s="135">
        <f>SUM(C647:C656)</f>
        <v>0</v>
      </c>
      <c r="D657" s="135">
        <f t="shared" ref="D657:AP657" si="351">SUM(D647:D656)</f>
        <v>0</v>
      </c>
      <c r="E657" s="135">
        <f t="shared" si="351"/>
        <v>0</v>
      </c>
      <c r="F657" s="135">
        <f t="shared" si="351"/>
        <v>0</v>
      </c>
      <c r="G657" s="135">
        <f t="shared" si="351"/>
        <v>0</v>
      </c>
      <c r="H657" s="135">
        <f t="shared" si="351"/>
        <v>0</v>
      </c>
      <c r="I657" s="135">
        <f t="shared" si="351"/>
        <v>0</v>
      </c>
      <c r="J657" s="135">
        <f t="shared" si="351"/>
        <v>0</v>
      </c>
      <c r="K657" s="135">
        <f t="shared" si="351"/>
        <v>0</v>
      </c>
      <c r="L657" s="135">
        <f t="shared" si="351"/>
        <v>0</v>
      </c>
      <c r="M657" s="135">
        <f t="shared" si="351"/>
        <v>0</v>
      </c>
      <c r="N657" s="135">
        <f t="shared" si="351"/>
        <v>0</v>
      </c>
      <c r="O657" s="135">
        <f t="shared" si="351"/>
        <v>0</v>
      </c>
      <c r="P657" s="135">
        <f t="shared" si="351"/>
        <v>0</v>
      </c>
      <c r="Q657" s="135">
        <f t="shared" si="351"/>
        <v>0</v>
      </c>
      <c r="R657" s="135">
        <f t="shared" si="351"/>
        <v>0</v>
      </c>
      <c r="S657" s="135">
        <f t="shared" si="351"/>
        <v>0</v>
      </c>
      <c r="T657" s="135">
        <f t="shared" si="351"/>
        <v>0</v>
      </c>
      <c r="U657" s="135">
        <f t="shared" si="351"/>
        <v>0</v>
      </c>
      <c r="V657" s="135">
        <f t="shared" si="351"/>
        <v>0</v>
      </c>
      <c r="W657" s="135">
        <f t="shared" si="351"/>
        <v>0</v>
      </c>
      <c r="X657" s="135">
        <f t="shared" si="351"/>
        <v>0</v>
      </c>
      <c r="Y657" s="135">
        <f t="shared" si="351"/>
        <v>0</v>
      </c>
      <c r="Z657" s="135">
        <f t="shared" si="351"/>
        <v>0</v>
      </c>
      <c r="AA657" s="135">
        <f t="shared" si="351"/>
        <v>0</v>
      </c>
      <c r="AB657" s="135">
        <f t="shared" si="351"/>
        <v>0</v>
      </c>
      <c r="AC657" s="135">
        <f t="shared" si="351"/>
        <v>0</v>
      </c>
      <c r="AD657" s="135">
        <f t="shared" si="351"/>
        <v>0</v>
      </c>
      <c r="AE657" s="135">
        <f t="shared" si="351"/>
        <v>0</v>
      </c>
      <c r="AF657" s="135">
        <f t="shared" si="351"/>
        <v>0</v>
      </c>
      <c r="AG657" s="135">
        <f t="shared" si="351"/>
        <v>0</v>
      </c>
      <c r="AH657" s="135">
        <f t="shared" si="351"/>
        <v>0</v>
      </c>
      <c r="AI657" s="135">
        <f t="shared" si="351"/>
        <v>0</v>
      </c>
      <c r="AJ657" s="135">
        <f t="shared" si="351"/>
        <v>0</v>
      </c>
      <c r="AK657" s="135">
        <f t="shared" si="351"/>
        <v>0</v>
      </c>
      <c r="AL657" s="135">
        <f t="shared" si="351"/>
        <v>0</v>
      </c>
      <c r="AM657" s="135">
        <f t="shared" si="351"/>
        <v>0</v>
      </c>
      <c r="AN657" s="135">
        <f t="shared" si="351"/>
        <v>0</v>
      </c>
      <c r="AO657" s="135">
        <f t="shared" si="351"/>
        <v>0</v>
      </c>
      <c r="AP657" s="135">
        <f t="shared" si="351"/>
        <v>0</v>
      </c>
    </row>
    <row r="658" spans="1:42" x14ac:dyDescent="0.2">
      <c r="A658" s="20" t="s">
        <v>184</v>
      </c>
      <c r="B658" s="135"/>
      <c r="C658" s="135"/>
      <c r="D658" s="135"/>
      <c r="E658" s="135"/>
      <c r="F658" s="135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</row>
    <row r="659" spans="1:42" x14ac:dyDescent="0.2">
      <c r="A659" s="20">
        <v>1</v>
      </c>
      <c r="B659" s="233">
        <f t="shared" ref="B659:B668" si="352">SUM(C659:AP659)</f>
        <v>0</v>
      </c>
      <c r="C659" s="169">
        <f t="shared" ref="C659:AP659" si="353">IF(C$2&lt;=MMFrequency2*$A$647,$B$647/(MMFrequency2),0)</f>
        <v>0</v>
      </c>
      <c r="D659" s="169">
        <f t="shared" si="353"/>
        <v>0</v>
      </c>
      <c r="E659" s="169">
        <f t="shared" si="353"/>
        <v>0</v>
      </c>
      <c r="F659" s="169">
        <f t="shared" si="353"/>
        <v>0</v>
      </c>
      <c r="G659" s="169">
        <f t="shared" si="353"/>
        <v>0</v>
      </c>
      <c r="H659" s="169">
        <f t="shared" si="353"/>
        <v>0</v>
      </c>
      <c r="I659" s="169">
        <f t="shared" si="353"/>
        <v>0</v>
      </c>
      <c r="J659" s="169">
        <f t="shared" si="353"/>
        <v>0</v>
      </c>
      <c r="K659" s="169">
        <f t="shared" si="353"/>
        <v>0</v>
      </c>
      <c r="L659" s="169">
        <f t="shared" si="353"/>
        <v>0</v>
      </c>
      <c r="M659" s="169">
        <f t="shared" si="353"/>
        <v>0</v>
      </c>
      <c r="N659" s="169">
        <f t="shared" si="353"/>
        <v>0</v>
      </c>
      <c r="O659" s="169">
        <f t="shared" si="353"/>
        <v>0</v>
      </c>
      <c r="P659" s="169">
        <f t="shared" si="353"/>
        <v>0</v>
      </c>
      <c r="Q659" s="169">
        <f t="shared" si="353"/>
        <v>0</v>
      </c>
      <c r="R659" s="169">
        <f t="shared" si="353"/>
        <v>0</v>
      </c>
      <c r="S659" s="169">
        <f t="shared" si="353"/>
        <v>0</v>
      </c>
      <c r="T659" s="169">
        <f t="shared" si="353"/>
        <v>0</v>
      </c>
      <c r="U659" s="169">
        <f t="shared" si="353"/>
        <v>0</v>
      </c>
      <c r="V659" s="169">
        <f t="shared" si="353"/>
        <v>0</v>
      </c>
      <c r="W659" s="169">
        <f t="shared" si="353"/>
        <v>0</v>
      </c>
      <c r="X659" s="169">
        <f t="shared" si="353"/>
        <v>0</v>
      </c>
      <c r="Y659" s="169">
        <f t="shared" si="353"/>
        <v>0</v>
      </c>
      <c r="Z659" s="169">
        <f t="shared" si="353"/>
        <v>0</v>
      </c>
      <c r="AA659" s="169">
        <f t="shared" si="353"/>
        <v>0</v>
      </c>
      <c r="AB659" s="169">
        <f t="shared" si="353"/>
        <v>0</v>
      </c>
      <c r="AC659" s="169">
        <f t="shared" si="353"/>
        <v>0</v>
      </c>
      <c r="AD659" s="169">
        <f t="shared" si="353"/>
        <v>0</v>
      </c>
      <c r="AE659" s="169">
        <f t="shared" si="353"/>
        <v>0</v>
      </c>
      <c r="AF659" s="169">
        <f t="shared" si="353"/>
        <v>0</v>
      </c>
      <c r="AG659" s="169">
        <f t="shared" si="353"/>
        <v>0</v>
      </c>
      <c r="AH659" s="169">
        <f t="shared" si="353"/>
        <v>0</v>
      </c>
      <c r="AI659" s="169">
        <f t="shared" si="353"/>
        <v>0</v>
      </c>
      <c r="AJ659" s="169">
        <f t="shared" si="353"/>
        <v>0</v>
      </c>
      <c r="AK659" s="169">
        <f t="shared" si="353"/>
        <v>0</v>
      </c>
      <c r="AL659" s="169">
        <f t="shared" si="353"/>
        <v>0</v>
      </c>
      <c r="AM659" s="169">
        <f t="shared" si="353"/>
        <v>0</v>
      </c>
      <c r="AN659" s="169">
        <f t="shared" si="353"/>
        <v>0</v>
      </c>
      <c r="AO659" s="169">
        <f t="shared" si="353"/>
        <v>0</v>
      </c>
      <c r="AP659" s="169">
        <f t="shared" si="353"/>
        <v>0</v>
      </c>
    </row>
    <row r="660" spans="1:42" x14ac:dyDescent="0.2">
      <c r="A660" s="20">
        <f>A659+1</f>
        <v>2</v>
      </c>
      <c r="B660" s="233">
        <f t="shared" si="352"/>
        <v>0</v>
      </c>
      <c r="C660" s="169">
        <f t="shared" ref="C660:AP666" si="354">IF(AND(C$2&gt;MMFrequency2*$A647,C$2&lt;=MMFrequency2*$A648),$B648/(MMFrequency2),0)</f>
        <v>0</v>
      </c>
      <c r="D660" s="169">
        <f t="shared" si="354"/>
        <v>0</v>
      </c>
      <c r="E660" s="169">
        <f t="shared" si="354"/>
        <v>0</v>
      </c>
      <c r="F660" s="169">
        <f t="shared" si="354"/>
        <v>0</v>
      </c>
      <c r="G660" s="169">
        <f t="shared" si="354"/>
        <v>0</v>
      </c>
      <c r="H660" s="169">
        <f t="shared" si="354"/>
        <v>0</v>
      </c>
      <c r="I660" s="169">
        <f t="shared" si="354"/>
        <v>0</v>
      </c>
      <c r="J660" s="169">
        <f t="shared" si="354"/>
        <v>0</v>
      </c>
      <c r="K660" s="169">
        <f t="shared" si="354"/>
        <v>0</v>
      </c>
      <c r="L660" s="169">
        <f t="shared" si="354"/>
        <v>0</v>
      </c>
      <c r="M660" s="169">
        <f t="shared" si="354"/>
        <v>0</v>
      </c>
      <c r="N660" s="169">
        <f t="shared" si="354"/>
        <v>0</v>
      </c>
      <c r="O660" s="169">
        <f t="shared" si="354"/>
        <v>0</v>
      </c>
      <c r="P660" s="169">
        <f t="shared" si="354"/>
        <v>0</v>
      </c>
      <c r="Q660" s="169">
        <f t="shared" si="354"/>
        <v>0</v>
      </c>
      <c r="R660" s="169">
        <f t="shared" si="354"/>
        <v>0</v>
      </c>
      <c r="S660" s="169">
        <f t="shared" si="354"/>
        <v>0</v>
      </c>
      <c r="T660" s="169">
        <f t="shared" si="354"/>
        <v>0</v>
      </c>
      <c r="U660" s="169">
        <f t="shared" si="354"/>
        <v>0</v>
      </c>
      <c r="V660" s="169">
        <f t="shared" si="354"/>
        <v>0</v>
      </c>
      <c r="W660" s="169">
        <f t="shared" si="354"/>
        <v>0</v>
      </c>
      <c r="X660" s="169">
        <f t="shared" si="354"/>
        <v>0</v>
      </c>
      <c r="Y660" s="169">
        <f t="shared" si="354"/>
        <v>0</v>
      </c>
      <c r="Z660" s="169">
        <f t="shared" si="354"/>
        <v>0</v>
      </c>
      <c r="AA660" s="169">
        <f t="shared" si="354"/>
        <v>0</v>
      </c>
      <c r="AB660" s="169">
        <f t="shared" si="354"/>
        <v>0</v>
      </c>
      <c r="AC660" s="169">
        <f t="shared" si="354"/>
        <v>0</v>
      </c>
      <c r="AD660" s="169">
        <f t="shared" si="354"/>
        <v>0</v>
      </c>
      <c r="AE660" s="169">
        <f t="shared" si="354"/>
        <v>0</v>
      </c>
      <c r="AF660" s="169">
        <f t="shared" si="354"/>
        <v>0</v>
      </c>
      <c r="AG660" s="169">
        <f t="shared" si="354"/>
        <v>0</v>
      </c>
      <c r="AH660" s="169">
        <f t="shared" si="354"/>
        <v>0</v>
      </c>
      <c r="AI660" s="169">
        <f t="shared" si="354"/>
        <v>0</v>
      </c>
      <c r="AJ660" s="169">
        <f t="shared" si="354"/>
        <v>0</v>
      </c>
      <c r="AK660" s="169">
        <f t="shared" si="354"/>
        <v>0</v>
      </c>
      <c r="AL660" s="169">
        <f t="shared" si="354"/>
        <v>0</v>
      </c>
      <c r="AM660" s="169">
        <f t="shared" si="354"/>
        <v>0</v>
      </c>
      <c r="AN660" s="169">
        <f t="shared" si="354"/>
        <v>0</v>
      </c>
      <c r="AO660" s="169">
        <f t="shared" si="354"/>
        <v>0</v>
      </c>
      <c r="AP660" s="169">
        <f t="shared" si="354"/>
        <v>0</v>
      </c>
    </row>
    <row r="661" spans="1:42" x14ac:dyDescent="0.2">
      <c r="A661" s="20">
        <f t="shared" ref="A661:A666" si="355">A660+1</f>
        <v>3</v>
      </c>
      <c r="B661" s="233">
        <f t="shared" si="352"/>
        <v>0</v>
      </c>
      <c r="C661" s="169">
        <f t="shared" si="354"/>
        <v>0</v>
      </c>
      <c r="D661" s="169">
        <f t="shared" si="354"/>
        <v>0</v>
      </c>
      <c r="E661" s="169">
        <f t="shared" si="354"/>
        <v>0</v>
      </c>
      <c r="F661" s="169">
        <f t="shared" si="354"/>
        <v>0</v>
      </c>
      <c r="G661" s="169">
        <f t="shared" si="354"/>
        <v>0</v>
      </c>
      <c r="H661" s="169">
        <f t="shared" si="354"/>
        <v>0</v>
      </c>
      <c r="I661" s="169">
        <f t="shared" si="354"/>
        <v>0</v>
      </c>
      <c r="J661" s="169">
        <f t="shared" si="354"/>
        <v>0</v>
      </c>
      <c r="K661" s="169">
        <f t="shared" si="354"/>
        <v>0</v>
      </c>
      <c r="L661" s="169">
        <f t="shared" si="354"/>
        <v>0</v>
      </c>
      <c r="M661" s="169">
        <f t="shared" si="354"/>
        <v>0</v>
      </c>
      <c r="N661" s="169">
        <f t="shared" si="354"/>
        <v>0</v>
      </c>
      <c r="O661" s="169">
        <f t="shared" si="354"/>
        <v>0</v>
      </c>
      <c r="P661" s="169">
        <f t="shared" si="354"/>
        <v>0</v>
      </c>
      <c r="Q661" s="169">
        <f t="shared" si="354"/>
        <v>0</v>
      </c>
      <c r="R661" s="169">
        <f t="shared" si="354"/>
        <v>0</v>
      </c>
      <c r="S661" s="169">
        <f t="shared" si="354"/>
        <v>0</v>
      </c>
      <c r="T661" s="169">
        <f t="shared" si="354"/>
        <v>0</v>
      </c>
      <c r="U661" s="169">
        <f t="shared" si="354"/>
        <v>0</v>
      </c>
      <c r="V661" s="169">
        <f t="shared" si="354"/>
        <v>0</v>
      </c>
      <c r="W661" s="169">
        <f t="shared" si="354"/>
        <v>0</v>
      </c>
      <c r="X661" s="169">
        <f t="shared" si="354"/>
        <v>0</v>
      </c>
      <c r="Y661" s="169">
        <f t="shared" si="354"/>
        <v>0</v>
      </c>
      <c r="Z661" s="169">
        <f t="shared" si="354"/>
        <v>0</v>
      </c>
      <c r="AA661" s="169">
        <f t="shared" si="354"/>
        <v>0</v>
      </c>
      <c r="AB661" s="169">
        <f t="shared" si="354"/>
        <v>0</v>
      </c>
      <c r="AC661" s="169">
        <f t="shared" si="354"/>
        <v>0</v>
      </c>
      <c r="AD661" s="169">
        <f t="shared" si="354"/>
        <v>0</v>
      </c>
      <c r="AE661" s="169">
        <f t="shared" si="354"/>
        <v>0</v>
      </c>
      <c r="AF661" s="169">
        <f t="shared" si="354"/>
        <v>0</v>
      </c>
      <c r="AG661" s="169">
        <f t="shared" si="354"/>
        <v>0</v>
      </c>
      <c r="AH661" s="169">
        <f t="shared" si="354"/>
        <v>0</v>
      </c>
      <c r="AI661" s="169">
        <f t="shared" si="354"/>
        <v>0</v>
      </c>
      <c r="AJ661" s="169">
        <f t="shared" si="354"/>
        <v>0</v>
      </c>
      <c r="AK661" s="169">
        <f t="shared" si="354"/>
        <v>0</v>
      </c>
      <c r="AL661" s="169">
        <f t="shared" si="354"/>
        <v>0</v>
      </c>
      <c r="AM661" s="169">
        <f t="shared" si="354"/>
        <v>0</v>
      </c>
      <c r="AN661" s="169">
        <f t="shared" si="354"/>
        <v>0</v>
      </c>
      <c r="AO661" s="169">
        <f t="shared" si="354"/>
        <v>0</v>
      </c>
      <c r="AP661" s="169">
        <f t="shared" si="354"/>
        <v>0</v>
      </c>
    </row>
    <row r="662" spans="1:42" x14ac:dyDescent="0.2">
      <c r="A662" s="20">
        <f t="shared" si="355"/>
        <v>4</v>
      </c>
      <c r="B662" s="233">
        <f t="shared" si="352"/>
        <v>0</v>
      </c>
      <c r="C662" s="169">
        <f t="shared" si="354"/>
        <v>0</v>
      </c>
      <c r="D662" s="169">
        <f t="shared" si="354"/>
        <v>0</v>
      </c>
      <c r="E662" s="169">
        <f t="shared" si="354"/>
        <v>0</v>
      </c>
      <c r="F662" s="169">
        <f t="shared" si="354"/>
        <v>0</v>
      </c>
      <c r="G662" s="169">
        <f t="shared" si="354"/>
        <v>0</v>
      </c>
      <c r="H662" s="169">
        <f t="shared" si="354"/>
        <v>0</v>
      </c>
      <c r="I662" s="169">
        <f t="shared" si="354"/>
        <v>0</v>
      </c>
      <c r="J662" s="169">
        <f t="shared" si="354"/>
        <v>0</v>
      </c>
      <c r="K662" s="169">
        <f t="shared" si="354"/>
        <v>0</v>
      </c>
      <c r="L662" s="169">
        <f t="shared" si="354"/>
        <v>0</v>
      </c>
      <c r="M662" s="169">
        <f t="shared" si="354"/>
        <v>0</v>
      </c>
      <c r="N662" s="169">
        <f t="shared" si="354"/>
        <v>0</v>
      </c>
      <c r="O662" s="169">
        <f t="shared" si="354"/>
        <v>0</v>
      </c>
      <c r="P662" s="169">
        <f t="shared" si="354"/>
        <v>0</v>
      </c>
      <c r="Q662" s="169">
        <f t="shared" si="354"/>
        <v>0</v>
      </c>
      <c r="R662" s="169">
        <f t="shared" si="354"/>
        <v>0</v>
      </c>
      <c r="S662" s="169">
        <f t="shared" si="354"/>
        <v>0</v>
      </c>
      <c r="T662" s="169">
        <f t="shared" si="354"/>
        <v>0</v>
      </c>
      <c r="U662" s="169">
        <f t="shared" si="354"/>
        <v>0</v>
      </c>
      <c r="V662" s="169">
        <f t="shared" si="354"/>
        <v>0</v>
      </c>
      <c r="W662" s="169">
        <f t="shared" si="354"/>
        <v>0</v>
      </c>
      <c r="X662" s="169">
        <f t="shared" si="354"/>
        <v>0</v>
      </c>
      <c r="Y662" s="169">
        <f t="shared" si="354"/>
        <v>0</v>
      </c>
      <c r="Z662" s="169">
        <f t="shared" si="354"/>
        <v>0</v>
      </c>
      <c r="AA662" s="169">
        <f t="shared" si="354"/>
        <v>0</v>
      </c>
      <c r="AB662" s="169">
        <f t="shared" si="354"/>
        <v>0</v>
      </c>
      <c r="AC662" s="169">
        <f t="shared" si="354"/>
        <v>0</v>
      </c>
      <c r="AD662" s="169">
        <f t="shared" si="354"/>
        <v>0</v>
      </c>
      <c r="AE662" s="169">
        <f t="shared" si="354"/>
        <v>0</v>
      </c>
      <c r="AF662" s="169">
        <f t="shared" si="354"/>
        <v>0</v>
      </c>
      <c r="AG662" s="169">
        <f t="shared" si="354"/>
        <v>0</v>
      </c>
      <c r="AH662" s="169">
        <f t="shared" si="354"/>
        <v>0</v>
      </c>
      <c r="AI662" s="169">
        <f t="shared" si="354"/>
        <v>0</v>
      </c>
      <c r="AJ662" s="169">
        <f t="shared" si="354"/>
        <v>0</v>
      </c>
      <c r="AK662" s="169">
        <f t="shared" si="354"/>
        <v>0</v>
      </c>
      <c r="AL662" s="169">
        <f t="shared" si="354"/>
        <v>0</v>
      </c>
      <c r="AM662" s="169">
        <f t="shared" si="354"/>
        <v>0</v>
      </c>
      <c r="AN662" s="169">
        <f t="shared" si="354"/>
        <v>0</v>
      </c>
      <c r="AO662" s="169">
        <f t="shared" si="354"/>
        <v>0</v>
      </c>
      <c r="AP662" s="169">
        <f t="shared" si="354"/>
        <v>0</v>
      </c>
    </row>
    <row r="663" spans="1:42" x14ac:dyDescent="0.2">
      <c r="A663" s="20">
        <f t="shared" si="355"/>
        <v>5</v>
      </c>
      <c r="B663" s="233">
        <f t="shared" si="352"/>
        <v>0</v>
      </c>
      <c r="C663" s="169">
        <f t="shared" si="354"/>
        <v>0</v>
      </c>
      <c r="D663" s="169">
        <f t="shared" si="354"/>
        <v>0</v>
      </c>
      <c r="E663" s="169">
        <f t="shared" si="354"/>
        <v>0</v>
      </c>
      <c r="F663" s="169">
        <f t="shared" si="354"/>
        <v>0</v>
      </c>
      <c r="G663" s="169">
        <f t="shared" si="354"/>
        <v>0</v>
      </c>
      <c r="H663" s="169">
        <f t="shared" si="354"/>
        <v>0</v>
      </c>
      <c r="I663" s="169">
        <f t="shared" si="354"/>
        <v>0</v>
      </c>
      <c r="J663" s="169">
        <f t="shared" si="354"/>
        <v>0</v>
      </c>
      <c r="K663" s="169">
        <f t="shared" si="354"/>
        <v>0</v>
      </c>
      <c r="L663" s="169">
        <f t="shared" si="354"/>
        <v>0</v>
      </c>
      <c r="M663" s="169">
        <f t="shared" si="354"/>
        <v>0</v>
      </c>
      <c r="N663" s="169">
        <f t="shared" si="354"/>
        <v>0</v>
      </c>
      <c r="O663" s="169">
        <f t="shared" si="354"/>
        <v>0</v>
      </c>
      <c r="P663" s="169">
        <f t="shared" si="354"/>
        <v>0</v>
      </c>
      <c r="Q663" s="169">
        <f t="shared" si="354"/>
        <v>0</v>
      </c>
      <c r="R663" s="169">
        <f t="shared" si="354"/>
        <v>0</v>
      </c>
      <c r="S663" s="169">
        <f t="shared" si="354"/>
        <v>0</v>
      </c>
      <c r="T663" s="169">
        <f t="shared" si="354"/>
        <v>0</v>
      </c>
      <c r="U663" s="169">
        <f t="shared" si="354"/>
        <v>0</v>
      </c>
      <c r="V663" s="169">
        <f t="shared" si="354"/>
        <v>0</v>
      </c>
      <c r="W663" s="169">
        <f t="shared" si="354"/>
        <v>0</v>
      </c>
      <c r="X663" s="169">
        <f t="shared" si="354"/>
        <v>0</v>
      </c>
      <c r="Y663" s="169">
        <f t="shared" si="354"/>
        <v>0</v>
      </c>
      <c r="Z663" s="169">
        <f t="shared" si="354"/>
        <v>0</v>
      </c>
      <c r="AA663" s="169">
        <f t="shared" si="354"/>
        <v>0</v>
      </c>
      <c r="AB663" s="169">
        <f t="shared" si="354"/>
        <v>0</v>
      </c>
      <c r="AC663" s="169">
        <f t="shared" si="354"/>
        <v>0</v>
      </c>
      <c r="AD663" s="169">
        <f t="shared" si="354"/>
        <v>0</v>
      </c>
      <c r="AE663" s="169">
        <f t="shared" si="354"/>
        <v>0</v>
      </c>
      <c r="AF663" s="169">
        <f t="shared" si="354"/>
        <v>0</v>
      </c>
      <c r="AG663" s="169">
        <f t="shared" si="354"/>
        <v>0</v>
      </c>
      <c r="AH663" s="169">
        <f t="shared" si="354"/>
        <v>0</v>
      </c>
      <c r="AI663" s="169">
        <f t="shared" si="354"/>
        <v>0</v>
      </c>
      <c r="AJ663" s="169">
        <f t="shared" si="354"/>
        <v>0</v>
      </c>
      <c r="AK663" s="169">
        <f t="shared" si="354"/>
        <v>0</v>
      </c>
      <c r="AL663" s="169">
        <f t="shared" si="354"/>
        <v>0</v>
      </c>
      <c r="AM663" s="169">
        <f t="shared" si="354"/>
        <v>0</v>
      </c>
      <c r="AN663" s="169">
        <f t="shared" si="354"/>
        <v>0</v>
      </c>
      <c r="AO663" s="169">
        <f t="shared" si="354"/>
        <v>0</v>
      </c>
      <c r="AP663" s="169">
        <f t="shared" si="354"/>
        <v>0</v>
      </c>
    </row>
    <row r="664" spans="1:42" x14ac:dyDescent="0.2">
      <c r="A664" s="20">
        <f t="shared" si="355"/>
        <v>6</v>
      </c>
      <c r="B664" s="233">
        <f t="shared" si="352"/>
        <v>0</v>
      </c>
      <c r="C664" s="169">
        <f t="shared" si="354"/>
        <v>0</v>
      </c>
      <c r="D664" s="169">
        <f t="shared" si="354"/>
        <v>0</v>
      </c>
      <c r="E664" s="169">
        <f t="shared" si="354"/>
        <v>0</v>
      </c>
      <c r="F664" s="169">
        <f t="shared" si="354"/>
        <v>0</v>
      </c>
      <c r="G664" s="169">
        <f t="shared" si="354"/>
        <v>0</v>
      </c>
      <c r="H664" s="169">
        <f t="shared" si="354"/>
        <v>0</v>
      </c>
      <c r="I664" s="169">
        <f t="shared" si="354"/>
        <v>0</v>
      </c>
      <c r="J664" s="169">
        <f t="shared" si="354"/>
        <v>0</v>
      </c>
      <c r="K664" s="169">
        <f t="shared" si="354"/>
        <v>0</v>
      </c>
      <c r="L664" s="169">
        <f t="shared" si="354"/>
        <v>0</v>
      </c>
      <c r="M664" s="169">
        <f t="shared" si="354"/>
        <v>0</v>
      </c>
      <c r="N664" s="169">
        <f t="shared" si="354"/>
        <v>0</v>
      </c>
      <c r="O664" s="169">
        <f t="shared" si="354"/>
        <v>0</v>
      </c>
      <c r="P664" s="169">
        <f t="shared" si="354"/>
        <v>0</v>
      </c>
      <c r="Q664" s="169">
        <f t="shared" si="354"/>
        <v>0</v>
      </c>
      <c r="R664" s="169">
        <f t="shared" si="354"/>
        <v>0</v>
      </c>
      <c r="S664" s="169">
        <f t="shared" si="354"/>
        <v>0</v>
      </c>
      <c r="T664" s="169">
        <f t="shared" si="354"/>
        <v>0</v>
      </c>
      <c r="U664" s="169">
        <f t="shared" si="354"/>
        <v>0</v>
      </c>
      <c r="V664" s="169">
        <f t="shared" si="354"/>
        <v>0</v>
      </c>
      <c r="W664" s="169">
        <f t="shared" si="354"/>
        <v>0</v>
      </c>
      <c r="X664" s="169">
        <f t="shared" si="354"/>
        <v>0</v>
      </c>
      <c r="Y664" s="169">
        <f t="shared" si="354"/>
        <v>0</v>
      </c>
      <c r="Z664" s="169">
        <f t="shared" si="354"/>
        <v>0</v>
      </c>
      <c r="AA664" s="169">
        <f t="shared" si="354"/>
        <v>0</v>
      </c>
      <c r="AB664" s="169">
        <f t="shared" si="354"/>
        <v>0</v>
      </c>
      <c r="AC664" s="169">
        <f t="shared" si="354"/>
        <v>0</v>
      </c>
      <c r="AD664" s="169">
        <f t="shared" si="354"/>
        <v>0</v>
      </c>
      <c r="AE664" s="169">
        <f t="shared" si="354"/>
        <v>0</v>
      </c>
      <c r="AF664" s="169">
        <f t="shared" si="354"/>
        <v>0</v>
      </c>
      <c r="AG664" s="169">
        <f t="shared" si="354"/>
        <v>0</v>
      </c>
      <c r="AH664" s="169">
        <f t="shared" si="354"/>
        <v>0</v>
      </c>
      <c r="AI664" s="169">
        <f t="shared" si="354"/>
        <v>0</v>
      </c>
      <c r="AJ664" s="169">
        <f t="shared" si="354"/>
        <v>0</v>
      </c>
      <c r="AK664" s="169">
        <f t="shared" si="354"/>
        <v>0</v>
      </c>
      <c r="AL664" s="169">
        <f t="shared" si="354"/>
        <v>0</v>
      </c>
      <c r="AM664" s="169">
        <f t="shared" si="354"/>
        <v>0</v>
      </c>
      <c r="AN664" s="169">
        <f t="shared" si="354"/>
        <v>0</v>
      </c>
      <c r="AO664" s="169">
        <f t="shared" si="354"/>
        <v>0</v>
      </c>
      <c r="AP664" s="169">
        <f t="shared" si="354"/>
        <v>0</v>
      </c>
    </row>
    <row r="665" spans="1:42" x14ac:dyDescent="0.2">
      <c r="A665" s="20">
        <f t="shared" si="355"/>
        <v>7</v>
      </c>
      <c r="B665" s="233">
        <f t="shared" si="352"/>
        <v>0</v>
      </c>
      <c r="C665" s="169">
        <f t="shared" si="354"/>
        <v>0</v>
      </c>
      <c r="D665" s="169">
        <f t="shared" si="354"/>
        <v>0</v>
      </c>
      <c r="E665" s="169">
        <f t="shared" si="354"/>
        <v>0</v>
      </c>
      <c r="F665" s="169">
        <f t="shared" si="354"/>
        <v>0</v>
      </c>
      <c r="G665" s="169">
        <f t="shared" si="354"/>
        <v>0</v>
      </c>
      <c r="H665" s="169">
        <f t="shared" si="354"/>
        <v>0</v>
      </c>
      <c r="I665" s="169">
        <f t="shared" si="354"/>
        <v>0</v>
      </c>
      <c r="J665" s="169">
        <f t="shared" si="354"/>
        <v>0</v>
      </c>
      <c r="K665" s="169">
        <f t="shared" si="354"/>
        <v>0</v>
      </c>
      <c r="L665" s="169">
        <f t="shared" si="354"/>
        <v>0</v>
      </c>
      <c r="M665" s="169">
        <f t="shared" si="354"/>
        <v>0</v>
      </c>
      <c r="N665" s="169">
        <f t="shared" si="354"/>
        <v>0</v>
      </c>
      <c r="O665" s="169">
        <f t="shared" si="354"/>
        <v>0</v>
      </c>
      <c r="P665" s="169">
        <f t="shared" si="354"/>
        <v>0</v>
      </c>
      <c r="Q665" s="169">
        <f t="shared" si="354"/>
        <v>0</v>
      </c>
      <c r="R665" s="169">
        <f t="shared" si="354"/>
        <v>0</v>
      </c>
      <c r="S665" s="169">
        <f t="shared" si="354"/>
        <v>0</v>
      </c>
      <c r="T665" s="169">
        <f t="shared" si="354"/>
        <v>0</v>
      </c>
      <c r="U665" s="169">
        <f t="shared" si="354"/>
        <v>0</v>
      </c>
      <c r="V665" s="169">
        <f t="shared" si="354"/>
        <v>0</v>
      </c>
      <c r="W665" s="169">
        <f t="shared" si="354"/>
        <v>0</v>
      </c>
      <c r="X665" s="169">
        <f t="shared" si="354"/>
        <v>0</v>
      </c>
      <c r="Y665" s="169">
        <f t="shared" si="354"/>
        <v>0</v>
      </c>
      <c r="Z665" s="169">
        <f t="shared" si="354"/>
        <v>0</v>
      </c>
      <c r="AA665" s="169">
        <f t="shared" si="354"/>
        <v>0</v>
      </c>
      <c r="AB665" s="169">
        <f t="shared" si="354"/>
        <v>0</v>
      </c>
      <c r="AC665" s="169">
        <f t="shared" si="354"/>
        <v>0</v>
      </c>
      <c r="AD665" s="169">
        <f t="shared" si="354"/>
        <v>0</v>
      </c>
      <c r="AE665" s="169">
        <f t="shared" si="354"/>
        <v>0</v>
      </c>
      <c r="AF665" s="169">
        <f t="shared" si="354"/>
        <v>0</v>
      </c>
      <c r="AG665" s="169">
        <f t="shared" si="354"/>
        <v>0</v>
      </c>
      <c r="AH665" s="169">
        <f t="shared" si="354"/>
        <v>0</v>
      </c>
      <c r="AI665" s="169">
        <f t="shared" si="354"/>
        <v>0</v>
      </c>
      <c r="AJ665" s="169">
        <f t="shared" si="354"/>
        <v>0</v>
      </c>
      <c r="AK665" s="169">
        <f t="shared" si="354"/>
        <v>0</v>
      </c>
      <c r="AL665" s="169">
        <f t="shared" si="354"/>
        <v>0</v>
      </c>
      <c r="AM665" s="169">
        <f t="shared" si="354"/>
        <v>0</v>
      </c>
      <c r="AN665" s="169">
        <f t="shared" si="354"/>
        <v>0</v>
      </c>
      <c r="AO665" s="169">
        <f t="shared" si="354"/>
        <v>0</v>
      </c>
      <c r="AP665" s="169">
        <f t="shared" si="354"/>
        <v>0</v>
      </c>
    </row>
    <row r="666" spans="1:42" x14ac:dyDescent="0.2">
      <c r="A666" s="20">
        <f t="shared" si="355"/>
        <v>8</v>
      </c>
      <c r="B666" s="233">
        <f t="shared" si="352"/>
        <v>0</v>
      </c>
      <c r="C666" s="169">
        <f t="shared" si="354"/>
        <v>0</v>
      </c>
      <c r="D666" s="169">
        <f t="shared" si="354"/>
        <v>0</v>
      </c>
      <c r="E666" s="169">
        <f t="shared" si="354"/>
        <v>0</v>
      </c>
      <c r="F666" s="169">
        <f t="shared" si="354"/>
        <v>0</v>
      </c>
      <c r="G666" s="169">
        <f t="shared" si="354"/>
        <v>0</v>
      </c>
      <c r="H666" s="169">
        <f t="shared" si="354"/>
        <v>0</v>
      </c>
      <c r="I666" s="169">
        <f t="shared" si="354"/>
        <v>0</v>
      </c>
      <c r="J666" s="169">
        <f t="shared" si="354"/>
        <v>0</v>
      </c>
      <c r="K666" s="169">
        <f t="shared" si="354"/>
        <v>0</v>
      </c>
      <c r="L666" s="169">
        <f t="shared" si="354"/>
        <v>0</v>
      </c>
      <c r="M666" s="169">
        <f t="shared" si="354"/>
        <v>0</v>
      </c>
      <c r="N666" s="169">
        <f t="shared" si="354"/>
        <v>0</v>
      </c>
      <c r="O666" s="169">
        <f t="shared" si="354"/>
        <v>0</v>
      </c>
      <c r="P666" s="169">
        <f t="shared" si="354"/>
        <v>0</v>
      </c>
      <c r="Q666" s="169">
        <f t="shared" si="354"/>
        <v>0</v>
      </c>
      <c r="R666" s="169">
        <f t="shared" ref="R666:AP666" si="356">IF(AND(R$2&gt;MMFrequency2*$A653,R$2&lt;=MMFrequency2*$A654),$B654/(MMFrequency2),0)</f>
        <v>0</v>
      </c>
      <c r="S666" s="169">
        <f t="shared" si="356"/>
        <v>0</v>
      </c>
      <c r="T666" s="169">
        <f t="shared" si="356"/>
        <v>0</v>
      </c>
      <c r="U666" s="169">
        <f t="shared" si="356"/>
        <v>0</v>
      </c>
      <c r="V666" s="169">
        <f t="shared" si="356"/>
        <v>0</v>
      </c>
      <c r="W666" s="169">
        <f t="shared" si="356"/>
        <v>0</v>
      </c>
      <c r="X666" s="169">
        <f t="shared" si="356"/>
        <v>0</v>
      </c>
      <c r="Y666" s="169">
        <f t="shared" si="356"/>
        <v>0</v>
      </c>
      <c r="Z666" s="169">
        <f t="shared" si="356"/>
        <v>0</v>
      </c>
      <c r="AA666" s="169">
        <f t="shared" si="356"/>
        <v>0</v>
      </c>
      <c r="AB666" s="169">
        <f t="shared" si="356"/>
        <v>0</v>
      </c>
      <c r="AC666" s="169">
        <f t="shared" si="356"/>
        <v>0</v>
      </c>
      <c r="AD666" s="169">
        <f t="shared" si="356"/>
        <v>0</v>
      </c>
      <c r="AE666" s="169">
        <f t="shared" si="356"/>
        <v>0</v>
      </c>
      <c r="AF666" s="169">
        <f t="shared" si="356"/>
        <v>0</v>
      </c>
      <c r="AG666" s="169">
        <f t="shared" si="356"/>
        <v>0</v>
      </c>
      <c r="AH666" s="169">
        <f t="shared" si="356"/>
        <v>0</v>
      </c>
      <c r="AI666" s="169">
        <f t="shared" si="356"/>
        <v>0</v>
      </c>
      <c r="AJ666" s="169">
        <f t="shared" si="356"/>
        <v>0</v>
      </c>
      <c r="AK666" s="169">
        <f t="shared" si="356"/>
        <v>0</v>
      </c>
      <c r="AL666" s="169">
        <f t="shared" si="356"/>
        <v>0</v>
      </c>
      <c r="AM666" s="169">
        <f t="shared" si="356"/>
        <v>0</v>
      </c>
      <c r="AN666" s="169">
        <f t="shared" si="356"/>
        <v>0</v>
      </c>
      <c r="AO666" s="169">
        <f t="shared" si="356"/>
        <v>0</v>
      </c>
      <c r="AP666" s="169">
        <f t="shared" si="356"/>
        <v>0</v>
      </c>
    </row>
    <row r="667" spans="1:42" x14ac:dyDescent="0.2">
      <c r="A667" s="20">
        <f>A666+1</f>
        <v>9</v>
      </c>
      <c r="B667" s="233">
        <f t="shared" si="352"/>
        <v>0</v>
      </c>
      <c r="C667" s="169">
        <f t="shared" ref="C667:AP668" si="357">IF(AND(C$2&gt;MMFrequency2*$A654,C$2&lt;=MMFrequency2*$A655),$B655/(MMFrequency2),0)</f>
        <v>0</v>
      </c>
      <c r="D667" s="169">
        <f t="shared" si="357"/>
        <v>0</v>
      </c>
      <c r="E667" s="169">
        <f t="shared" si="357"/>
        <v>0</v>
      </c>
      <c r="F667" s="169">
        <f t="shared" si="357"/>
        <v>0</v>
      </c>
      <c r="G667" s="169">
        <f t="shared" si="357"/>
        <v>0</v>
      </c>
      <c r="H667" s="169">
        <f t="shared" si="357"/>
        <v>0</v>
      </c>
      <c r="I667" s="169">
        <f t="shared" si="357"/>
        <v>0</v>
      </c>
      <c r="J667" s="169">
        <f t="shared" si="357"/>
        <v>0</v>
      </c>
      <c r="K667" s="169">
        <f t="shared" si="357"/>
        <v>0</v>
      </c>
      <c r="L667" s="169">
        <f t="shared" si="357"/>
        <v>0</v>
      </c>
      <c r="M667" s="169">
        <f t="shared" si="357"/>
        <v>0</v>
      </c>
      <c r="N667" s="169">
        <f t="shared" si="357"/>
        <v>0</v>
      </c>
      <c r="O667" s="169">
        <f t="shared" si="357"/>
        <v>0</v>
      </c>
      <c r="P667" s="169">
        <f t="shared" si="357"/>
        <v>0</v>
      </c>
      <c r="Q667" s="169">
        <f t="shared" si="357"/>
        <v>0</v>
      </c>
      <c r="R667" s="169">
        <f t="shared" si="357"/>
        <v>0</v>
      </c>
      <c r="S667" s="169">
        <f t="shared" si="357"/>
        <v>0</v>
      </c>
      <c r="T667" s="169">
        <f t="shared" si="357"/>
        <v>0</v>
      </c>
      <c r="U667" s="169">
        <f t="shared" si="357"/>
        <v>0</v>
      </c>
      <c r="V667" s="169">
        <f t="shared" si="357"/>
        <v>0</v>
      </c>
      <c r="W667" s="169">
        <f t="shared" si="357"/>
        <v>0</v>
      </c>
      <c r="X667" s="169">
        <f t="shared" si="357"/>
        <v>0</v>
      </c>
      <c r="Y667" s="169">
        <f t="shared" si="357"/>
        <v>0</v>
      </c>
      <c r="Z667" s="169">
        <f t="shared" si="357"/>
        <v>0</v>
      </c>
      <c r="AA667" s="169">
        <f t="shared" si="357"/>
        <v>0</v>
      </c>
      <c r="AB667" s="169">
        <f t="shared" si="357"/>
        <v>0</v>
      </c>
      <c r="AC667" s="169">
        <f t="shared" si="357"/>
        <v>0</v>
      </c>
      <c r="AD667" s="169">
        <f t="shared" si="357"/>
        <v>0</v>
      </c>
      <c r="AE667" s="169">
        <f t="shared" si="357"/>
        <v>0</v>
      </c>
      <c r="AF667" s="169">
        <f t="shared" si="357"/>
        <v>0</v>
      </c>
      <c r="AG667" s="169">
        <f t="shared" si="357"/>
        <v>0</v>
      </c>
      <c r="AH667" s="169">
        <f t="shared" si="357"/>
        <v>0</v>
      </c>
      <c r="AI667" s="169">
        <f t="shared" si="357"/>
        <v>0</v>
      </c>
      <c r="AJ667" s="169">
        <f t="shared" si="357"/>
        <v>0</v>
      </c>
      <c r="AK667" s="169">
        <f t="shared" si="357"/>
        <v>0</v>
      </c>
      <c r="AL667" s="169">
        <f t="shared" si="357"/>
        <v>0</v>
      </c>
      <c r="AM667" s="169">
        <f t="shared" si="357"/>
        <v>0</v>
      </c>
      <c r="AN667" s="169">
        <f t="shared" si="357"/>
        <v>0</v>
      </c>
      <c r="AO667" s="169">
        <f t="shared" si="357"/>
        <v>0</v>
      </c>
      <c r="AP667" s="169">
        <f t="shared" si="357"/>
        <v>0</v>
      </c>
    </row>
    <row r="668" spans="1:42" x14ac:dyDescent="0.2">
      <c r="A668" s="20">
        <f t="shared" ref="A668" si="358">A667+1</f>
        <v>10</v>
      </c>
      <c r="B668" s="233">
        <f t="shared" si="352"/>
        <v>0</v>
      </c>
      <c r="C668" s="170">
        <f t="shared" si="357"/>
        <v>0</v>
      </c>
      <c r="D668" s="170">
        <f t="shared" si="357"/>
        <v>0</v>
      </c>
      <c r="E668" s="170">
        <f t="shared" si="357"/>
        <v>0</v>
      </c>
      <c r="F668" s="170">
        <f t="shared" si="357"/>
        <v>0</v>
      </c>
      <c r="G668" s="170">
        <f t="shared" si="357"/>
        <v>0</v>
      </c>
      <c r="H668" s="170">
        <f t="shared" si="357"/>
        <v>0</v>
      </c>
      <c r="I668" s="170">
        <f t="shared" si="357"/>
        <v>0</v>
      </c>
      <c r="J668" s="170">
        <f t="shared" si="357"/>
        <v>0</v>
      </c>
      <c r="K668" s="170">
        <f t="shared" si="357"/>
        <v>0</v>
      </c>
      <c r="L668" s="170">
        <f t="shared" si="357"/>
        <v>0</v>
      </c>
      <c r="M668" s="170">
        <f t="shared" si="357"/>
        <v>0</v>
      </c>
      <c r="N668" s="170">
        <f t="shared" si="357"/>
        <v>0</v>
      </c>
      <c r="O668" s="170">
        <f t="shared" si="357"/>
        <v>0</v>
      </c>
      <c r="P668" s="170">
        <f t="shared" si="357"/>
        <v>0</v>
      </c>
      <c r="Q668" s="170">
        <f t="shared" si="357"/>
        <v>0</v>
      </c>
      <c r="R668" s="170">
        <f t="shared" si="357"/>
        <v>0</v>
      </c>
      <c r="S668" s="170">
        <f t="shared" si="357"/>
        <v>0</v>
      </c>
      <c r="T668" s="170">
        <f t="shared" si="357"/>
        <v>0</v>
      </c>
      <c r="U668" s="170">
        <f t="shared" si="357"/>
        <v>0</v>
      </c>
      <c r="V668" s="170">
        <f t="shared" si="357"/>
        <v>0</v>
      </c>
      <c r="W668" s="170">
        <f t="shared" si="357"/>
        <v>0</v>
      </c>
      <c r="X668" s="170">
        <f t="shared" si="357"/>
        <v>0</v>
      </c>
      <c r="Y668" s="170">
        <f t="shared" si="357"/>
        <v>0</v>
      </c>
      <c r="Z668" s="170">
        <f t="shared" si="357"/>
        <v>0</v>
      </c>
      <c r="AA668" s="170">
        <f t="shared" si="357"/>
        <v>0</v>
      </c>
      <c r="AB668" s="170">
        <f t="shared" si="357"/>
        <v>0</v>
      </c>
      <c r="AC668" s="170">
        <f t="shared" si="357"/>
        <v>0</v>
      </c>
      <c r="AD668" s="170">
        <f t="shared" si="357"/>
        <v>0</v>
      </c>
      <c r="AE668" s="170">
        <f t="shared" si="357"/>
        <v>0</v>
      </c>
      <c r="AF668" s="170">
        <f t="shared" si="357"/>
        <v>0</v>
      </c>
      <c r="AG668" s="170">
        <f t="shared" si="357"/>
        <v>0</v>
      </c>
      <c r="AH668" s="170">
        <f t="shared" si="357"/>
        <v>0</v>
      </c>
      <c r="AI668" s="170">
        <f t="shared" si="357"/>
        <v>0</v>
      </c>
      <c r="AJ668" s="170">
        <f t="shared" si="357"/>
        <v>0</v>
      </c>
      <c r="AK668" s="170">
        <f t="shared" si="357"/>
        <v>0</v>
      </c>
      <c r="AL668" s="170">
        <f t="shared" si="357"/>
        <v>0</v>
      </c>
      <c r="AM668" s="170">
        <f t="shared" si="357"/>
        <v>0</v>
      </c>
      <c r="AN668" s="170">
        <f t="shared" si="357"/>
        <v>0</v>
      </c>
      <c r="AO668" s="170">
        <f t="shared" si="357"/>
        <v>0</v>
      </c>
      <c r="AP668" s="170">
        <f t="shared" si="357"/>
        <v>0</v>
      </c>
    </row>
    <row r="669" spans="1:42" x14ac:dyDescent="0.2">
      <c r="A669" s="202" t="s">
        <v>53</v>
      </c>
      <c r="B669" s="169"/>
      <c r="C669" s="135">
        <f>SUM(C659:C668)</f>
        <v>0</v>
      </c>
      <c r="D669" s="135">
        <f t="shared" ref="D669:AP669" si="359">SUM(D659:D668)</f>
        <v>0</v>
      </c>
      <c r="E669" s="135">
        <f t="shared" si="359"/>
        <v>0</v>
      </c>
      <c r="F669" s="135">
        <f t="shared" si="359"/>
        <v>0</v>
      </c>
      <c r="G669" s="135">
        <f t="shared" si="359"/>
        <v>0</v>
      </c>
      <c r="H669" s="135">
        <f t="shared" si="359"/>
        <v>0</v>
      </c>
      <c r="I669" s="135">
        <f t="shared" si="359"/>
        <v>0</v>
      </c>
      <c r="J669" s="135">
        <f t="shared" si="359"/>
        <v>0</v>
      </c>
      <c r="K669" s="135">
        <f t="shared" si="359"/>
        <v>0</v>
      </c>
      <c r="L669" s="135">
        <f t="shared" si="359"/>
        <v>0</v>
      </c>
      <c r="M669" s="135">
        <f t="shared" si="359"/>
        <v>0</v>
      </c>
      <c r="N669" s="135">
        <f t="shared" si="359"/>
        <v>0</v>
      </c>
      <c r="O669" s="135">
        <f t="shared" si="359"/>
        <v>0</v>
      </c>
      <c r="P669" s="135">
        <f t="shared" si="359"/>
        <v>0</v>
      </c>
      <c r="Q669" s="135">
        <f t="shared" si="359"/>
        <v>0</v>
      </c>
      <c r="R669" s="135">
        <f t="shared" si="359"/>
        <v>0</v>
      </c>
      <c r="S669" s="135">
        <f t="shared" si="359"/>
        <v>0</v>
      </c>
      <c r="T669" s="135">
        <f t="shared" si="359"/>
        <v>0</v>
      </c>
      <c r="U669" s="135">
        <f t="shared" si="359"/>
        <v>0</v>
      </c>
      <c r="V669" s="135">
        <f t="shared" si="359"/>
        <v>0</v>
      </c>
      <c r="W669" s="135">
        <f t="shared" si="359"/>
        <v>0</v>
      </c>
      <c r="X669" s="135">
        <f t="shared" si="359"/>
        <v>0</v>
      </c>
      <c r="Y669" s="135">
        <f t="shared" si="359"/>
        <v>0</v>
      </c>
      <c r="Z669" s="135">
        <f t="shared" si="359"/>
        <v>0</v>
      </c>
      <c r="AA669" s="135">
        <f t="shared" si="359"/>
        <v>0</v>
      </c>
      <c r="AB669" s="135">
        <f t="shared" si="359"/>
        <v>0</v>
      </c>
      <c r="AC669" s="135">
        <f t="shared" si="359"/>
        <v>0</v>
      </c>
      <c r="AD669" s="135">
        <f t="shared" si="359"/>
        <v>0</v>
      </c>
      <c r="AE669" s="135">
        <f t="shared" si="359"/>
        <v>0</v>
      </c>
      <c r="AF669" s="135">
        <f t="shared" si="359"/>
        <v>0</v>
      </c>
      <c r="AG669" s="135">
        <f t="shared" si="359"/>
        <v>0</v>
      </c>
      <c r="AH669" s="135">
        <f t="shared" si="359"/>
        <v>0</v>
      </c>
      <c r="AI669" s="135">
        <f t="shared" si="359"/>
        <v>0</v>
      </c>
      <c r="AJ669" s="135">
        <f t="shared" si="359"/>
        <v>0</v>
      </c>
      <c r="AK669" s="135">
        <f t="shared" si="359"/>
        <v>0</v>
      </c>
      <c r="AL669" s="135">
        <f t="shared" si="359"/>
        <v>0</v>
      </c>
      <c r="AM669" s="135">
        <f t="shared" si="359"/>
        <v>0</v>
      </c>
      <c r="AN669" s="135">
        <f t="shared" si="359"/>
        <v>0</v>
      </c>
      <c r="AO669" s="135">
        <f t="shared" si="359"/>
        <v>0</v>
      </c>
      <c r="AP669" s="135">
        <f t="shared" si="359"/>
        <v>0</v>
      </c>
    </row>
    <row r="670" spans="1:42" x14ac:dyDescent="0.2">
      <c r="B670" s="169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</row>
    <row r="671" spans="1:42" x14ac:dyDescent="0.2">
      <c r="A671" s="165" t="s">
        <v>299</v>
      </c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</row>
    <row r="672" spans="1:42" x14ac:dyDescent="0.2">
      <c r="A672" s="20" t="s">
        <v>96</v>
      </c>
      <c r="B672" s="135">
        <v>0</v>
      </c>
      <c r="C672" s="135">
        <f>B675</f>
        <v>0</v>
      </c>
      <c r="D672" s="135">
        <f t="shared" ref="D672:AP672" si="360">C675</f>
        <v>0</v>
      </c>
      <c r="E672" s="135">
        <f t="shared" si="360"/>
        <v>0</v>
      </c>
      <c r="F672" s="135">
        <f t="shared" si="360"/>
        <v>0</v>
      </c>
      <c r="G672" s="135">
        <f t="shared" si="360"/>
        <v>0</v>
      </c>
      <c r="H672" s="135">
        <f t="shared" si="360"/>
        <v>0</v>
      </c>
      <c r="I672" s="135">
        <f t="shared" si="360"/>
        <v>0</v>
      </c>
      <c r="J672" s="135">
        <f t="shared" si="360"/>
        <v>0</v>
      </c>
      <c r="K672" s="135">
        <f t="shared" si="360"/>
        <v>0</v>
      </c>
      <c r="L672" s="135">
        <f t="shared" si="360"/>
        <v>0</v>
      </c>
      <c r="M672" s="135">
        <f t="shared" si="360"/>
        <v>0</v>
      </c>
      <c r="N672" s="135">
        <f t="shared" si="360"/>
        <v>0</v>
      </c>
      <c r="O672" s="135">
        <f t="shared" si="360"/>
        <v>0</v>
      </c>
      <c r="P672" s="135">
        <f t="shared" si="360"/>
        <v>0</v>
      </c>
      <c r="Q672" s="135">
        <f t="shared" si="360"/>
        <v>0</v>
      </c>
      <c r="R672" s="135">
        <f t="shared" si="360"/>
        <v>0</v>
      </c>
      <c r="S672" s="135">
        <f t="shared" si="360"/>
        <v>0</v>
      </c>
      <c r="T672" s="135">
        <f t="shared" si="360"/>
        <v>0</v>
      </c>
      <c r="U672" s="135">
        <f t="shared" si="360"/>
        <v>0</v>
      </c>
      <c r="V672" s="135">
        <f t="shared" si="360"/>
        <v>0</v>
      </c>
      <c r="W672" s="135">
        <f t="shared" si="360"/>
        <v>0</v>
      </c>
      <c r="X672" s="135">
        <f t="shared" si="360"/>
        <v>0</v>
      </c>
      <c r="Y672" s="135">
        <f t="shared" si="360"/>
        <v>0</v>
      </c>
      <c r="Z672" s="135">
        <f t="shared" si="360"/>
        <v>0</v>
      </c>
      <c r="AA672" s="135">
        <f t="shared" si="360"/>
        <v>0</v>
      </c>
      <c r="AB672" s="135">
        <f t="shared" si="360"/>
        <v>0</v>
      </c>
      <c r="AC672" s="135">
        <f t="shared" si="360"/>
        <v>0</v>
      </c>
      <c r="AD672" s="135">
        <f t="shared" si="360"/>
        <v>0</v>
      </c>
      <c r="AE672" s="135">
        <f t="shared" si="360"/>
        <v>0</v>
      </c>
      <c r="AF672" s="135">
        <f t="shared" si="360"/>
        <v>0</v>
      </c>
      <c r="AG672" s="135">
        <f t="shared" si="360"/>
        <v>0</v>
      </c>
      <c r="AH672" s="135">
        <f t="shared" si="360"/>
        <v>0</v>
      </c>
      <c r="AI672" s="135">
        <f t="shared" si="360"/>
        <v>0</v>
      </c>
      <c r="AJ672" s="135">
        <f t="shared" si="360"/>
        <v>0</v>
      </c>
      <c r="AK672" s="135">
        <f t="shared" si="360"/>
        <v>0</v>
      </c>
      <c r="AL672" s="135">
        <f t="shared" si="360"/>
        <v>0</v>
      </c>
      <c r="AM672" s="135">
        <f t="shared" si="360"/>
        <v>0</v>
      </c>
      <c r="AN672" s="135">
        <f t="shared" si="360"/>
        <v>0</v>
      </c>
      <c r="AO672" s="135">
        <f t="shared" si="360"/>
        <v>0</v>
      </c>
      <c r="AP672" s="135">
        <f t="shared" si="360"/>
        <v>0</v>
      </c>
    </row>
    <row r="673" spans="1:42" x14ac:dyDescent="0.2">
      <c r="A673" s="20" t="s">
        <v>183</v>
      </c>
      <c r="B673" s="135">
        <v>0</v>
      </c>
      <c r="C673" s="135">
        <f>C701</f>
        <v>0</v>
      </c>
      <c r="D673" s="135">
        <f t="shared" ref="D673:AP673" si="361">D701</f>
        <v>0</v>
      </c>
      <c r="E673" s="135">
        <f t="shared" si="361"/>
        <v>0</v>
      </c>
      <c r="F673" s="135">
        <f t="shared" si="361"/>
        <v>0</v>
      </c>
      <c r="G673" s="135">
        <f t="shared" si="361"/>
        <v>0</v>
      </c>
      <c r="H673" s="135">
        <f t="shared" si="361"/>
        <v>0</v>
      </c>
      <c r="I673" s="135">
        <f t="shared" si="361"/>
        <v>0</v>
      </c>
      <c r="J673" s="135">
        <f t="shared" si="361"/>
        <v>0</v>
      </c>
      <c r="K673" s="135">
        <f t="shared" si="361"/>
        <v>0</v>
      </c>
      <c r="L673" s="135">
        <f t="shared" si="361"/>
        <v>0</v>
      </c>
      <c r="M673" s="135">
        <f t="shared" si="361"/>
        <v>0</v>
      </c>
      <c r="N673" s="135">
        <f t="shared" si="361"/>
        <v>0</v>
      </c>
      <c r="O673" s="135">
        <f t="shared" si="361"/>
        <v>0</v>
      </c>
      <c r="P673" s="135">
        <f t="shared" si="361"/>
        <v>0</v>
      </c>
      <c r="Q673" s="135">
        <f t="shared" si="361"/>
        <v>0</v>
      </c>
      <c r="R673" s="135">
        <f t="shared" si="361"/>
        <v>0</v>
      </c>
      <c r="S673" s="135">
        <f t="shared" si="361"/>
        <v>0</v>
      </c>
      <c r="T673" s="135">
        <f t="shared" si="361"/>
        <v>0</v>
      </c>
      <c r="U673" s="135">
        <f t="shared" si="361"/>
        <v>0</v>
      </c>
      <c r="V673" s="135">
        <f t="shared" si="361"/>
        <v>0</v>
      </c>
      <c r="W673" s="135">
        <f t="shared" si="361"/>
        <v>0</v>
      </c>
      <c r="X673" s="135">
        <f t="shared" si="361"/>
        <v>0</v>
      </c>
      <c r="Y673" s="135">
        <f t="shared" si="361"/>
        <v>0</v>
      </c>
      <c r="Z673" s="135">
        <f t="shared" si="361"/>
        <v>0</v>
      </c>
      <c r="AA673" s="135">
        <f t="shared" si="361"/>
        <v>0</v>
      </c>
      <c r="AB673" s="135">
        <f t="shared" si="361"/>
        <v>0</v>
      </c>
      <c r="AC673" s="135">
        <f t="shared" si="361"/>
        <v>0</v>
      </c>
      <c r="AD673" s="135">
        <f t="shared" si="361"/>
        <v>0</v>
      </c>
      <c r="AE673" s="135">
        <f t="shared" si="361"/>
        <v>0</v>
      </c>
      <c r="AF673" s="135">
        <f t="shared" si="361"/>
        <v>0</v>
      </c>
      <c r="AG673" s="135">
        <f t="shared" si="361"/>
        <v>0</v>
      </c>
      <c r="AH673" s="135">
        <f t="shared" si="361"/>
        <v>0</v>
      </c>
      <c r="AI673" s="135">
        <f t="shared" si="361"/>
        <v>0</v>
      </c>
      <c r="AJ673" s="135">
        <f t="shared" si="361"/>
        <v>0</v>
      </c>
      <c r="AK673" s="135">
        <f t="shared" si="361"/>
        <v>0</v>
      </c>
      <c r="AL673" s="135">
        <f t="shared" si="361"/>
        <v>0</v>
      </c>
      <c r="AM673" s="135">
        <f t="shared" si="361"/>
        <v>0</v>
      </c>
      <c r="AN673" s="135">
        <f t="shared" si="361"/>
        <v>0</v>
      </c>
      <c r="AO673" s="135">
        <f t="shared" si="361"/>
        <v>0</v>
      </c>
      <c r="AP673" s="135">
        <f t="shared" si="361"/>
        <v>0</v>
      </c>
    </row>
    <row r="674" spans="1:42" x14ac:dyDescent="0.2">
      <c r="A674" s="20" t="s">
        <v>103</v>
      </c>
      <c r="B674" s="170">
        <v>0</v>
      </c>
      <c r="C674" s="170">
        <f>-C689</f>
        <v>0</v>
      </c>
      <c r="D674" s="170">
        <f t="shared" ref="D674:AP674" si="362">-D689</f>
        <v>0</v>
      </c>
      <c r="E674" s="170">
        <f t="shared" si="362"/>
        <v>0</v>
      </c>
      <c r="F674" s="170">
        <f t="shared" si="362"/>
        <v>0</v>
      </c>
      <c r="G674" s="170">
        <f t="shared" si="362"/>
        <v>0</v>
      </c>
      <c r="H674" s="170">
        <f t="shared" si="362"/>
        <v>0</v>
      </c>
      <c r="I674" s="170">
        <f t="shared" si="362"/>
        <v>0</v>
      </c>
      <c r="J674" s="170">
        <f t="shared" si="362"/>
        <v>0</v>
      </c>
      <c r="K674" s="170">
        <f t="shared" si="362"/>
        <v>0</v>
      </c>
      <c r="L674" s="170">
        <f t="shared" si="362"/>
        <v>0</v>
      </c>
      <c r="M674" s="170">
        <f t="shared" si="362"/>
        <v>0</v>
      </c>
      <c r="N674" s="170">
        <f t="shared" si="362"/>
        <v>0</v>
      </c>
      <c r="O674" s="170">
        <f t="shared" si="362"/>
        <v>0</v>
      </c>
      <c r="P674" s="170">
        <f t="shared" si="362"/>
        <v>0</v>
      </c>
      <c r="Q674" s="170">
        <f t="shared" si="362"/>
        <v>0</v>
      </c>
      <c r="R674" s="170">
        <f t="shared" si="362"/>
        <v>0</v>
      </c>
      <c r="S674" s="170">
        <f t="shared" si="362"/>
        <v>0</v>
      </c>
      <c r="T674" s="170">
        <f t="shared" si="362"/>
        <v>0</v>
      </c>
      <c r="U674" s="170">
        <f t="shared" si="362"/>
        <v>0</v>
      </c>
      <c r="V674" s="170">
        <f t="shared" si="362"/>
        <v>0</v>
      </c>
      <c r="W674" s="170">
        <f t="shared" si="362"/>
        <v>0</v>
      </c>
      <c r="X674" s="170">
        <f t="shared" si="362"/>
        <v>0</v>
      </c>
      <c r="Y674" s="170">
        <f t="shared" si="362"/>
        <v>0</v>
      </c>
      <c r="Z674" s="170">
        <f t="shared" si="362"/>
        <v>0</v>
      </c>
      <c r="AA674" s="170">
        <f t="shared" si="362"/>
        <v>0</v>
      </c>
      <c r="AB674" s="170">
        <f t="shared" si="362"/>
        <v>0</v>
      </c>
      <c r="AC674" s="170">
        <f t="shared" si="362"/>
        <v>0</v>
      </c>
      <c r="AD674" s="170">
        <f t="shared" si="362"/>
        <v>0</v>
      </c>
      <c r="AE674" s="170">
        <f t="shared" si="362"/>
        <v>0</v>
      </c>
      <c r="AF674" s="170">
        <f t="shared" si="362"/>
        <v>0</v>
      </c>
      <c r="AG674" s="170">
        <f t="shared" si="362"/>
        <v>0</v>
      </c>
      <c r="AH674" s="170">
        <f t="shared" si="362"/>
        <v>0</v>
      </c>
      <c r="AI674" s="170">
        <f t="shared" si="362"/>
        <v>0</v>
      </c>
      <c r="AJ674" s="170">
        <f t="shared" si="362"/>
        <v>0</v>
      </c>
      <c r="AK674" s="170">
        <f t="shared" si="362"/>
        <v>0</v>
      </c>
      <c r="AL674" s="170">
        <f t="shared" si="362"/>
        <v>0</v>
      </c>
      <c r="AM674" s="170">
        <f t="shared" si="362"/>
        <v>0</v>
      </c>
      <c r="AN674" s="170">
        <f t="shared" si="362"/>
        <v>0</v>
      </c>
      <c r="AO674" s="170">
        <f t="shared" si="362"/>
        <v>0</v>
      </c>
      <c r="AP674" s="170">
        <f t="shared" si="362"/>
        <v>0</v>
      </c>
    </row>
    <row r="675" spans="1:42" x14ac:dyDescent="0.2">
      <c r="A675" s="20" t="s">
        <v>99</v>
      </c>
      <c r="B675" s="135">
        <f>SUM(B672:B674)</f>
        <v>0</v>
      </c>
      <c r="C675" s="135">
        <f>SUM(C672:C674)</f>
        <v>0</v>
      </c>
      <c r="D675" s="135">
        <f t="shared" ref="D675:AP675" si="363">SUM(D672:D674)</f>
        <v>0</v>
      </c>
      <c r="E675" s="135">
        <f t="shared" si="363"/>
        <v>0</v>
      </c>
      <c r="F675" s="135">
        <f t="shared" si="363"/>
        <v>0</v>
      </c>
      <c r="G675" s="135">
        <f t="shared" si="363"/>
        <v>0</v>
      </c>
      <c r="H675" s="135">
        <f t="shared" si="363"/>
        <v>0</v>
      </c>
      <c r="I675" s="135">
        <f t="shared" si="363"/>
        <v>0</v>
      </c>
      <c r="J675" s="135">
        <f t="shared" si="363"/>
        <v>0</v>
      </c>
      <c r="K675" s="135">
        <f t="shared" si="363"/>
        <v>0</v>
      </c>
      <c r="L675" s="135">
        <f t="shared" si="363"/>
        <v>0</v>
      </c>
      <c r="M675" s="135">
        <f t="shared" si="363"/>
        <v>0</v>
      </c>
      <c r="N675" s="135">
        <f t="shared" si="363"/>
        <v>0</v>
      </c>
      <c r="O675" s="135">
        <f t="shared" si="363"/>
        <v>0</v>
      </c>
      <c r="P675" s="135">
        <f t="shared" si="363"/>
        <v>0</v>
      </c>
      <c r="Q675" s="135">
        <f t="shared" si="363"/>
        <v>0</v>
      </c>
      <c r="R675" s="135">
        <f t="shared" si="363"/>
        <v>0</v>
      </c>
      <c r="S675" s="135">
        <f t="shared" si="363"/>
        <v>0</v>
      </c>
      <c r="T675" s="135">
        <f t="shared" si="363"/>
        <v>0</v>
      </c>
      <c r="U675" s="135">
        <f t="shared" si="363"/>
        <v>0</v>
      </c>
      <c r="V675" s="135">
        <f t="shared" si="363"/>
        <v>0</v>
      </c>
      <c r="W675" s="135">
        <f t="shared" si="363"/>
        <v>0</v>
      </c>
      <c r="X675" s="135">
        <f t="shared" si="363"/>
        <v>0</v>
      </c>
      <c r="Y675" s="135">
        <f t="shared" si="363"/>
        <v>0</v>
      </c>
      <c r="Z675" s="135">
        <f t="shared" si="363"/>
        <v>0</v>
      </c>
      <c r="AA675" s="135">
        <f t="shared" si="363"/>
        <v>0</v>
      </c>
      <c r="AB675" s="135">
        <f t="shared" si="363"/>
        <v>0</v>
      </c>
      <c r="AC675" s="135">
        <f t="shared" si="363"/>
        <v>0</v>
      </c>
      <c r="AD675" s="135">
        <f t="shared" si="363"/>
        <v>0</v>
      </c>
      <c r="AE675" s="135">
        <f t="shared" si="363"/>
        <v>0</v>
      </c>
      <c r="AF675" s="135">
        <f t="shared" si="363"/>
        <v>0</v>
      </c>
      <c r="AG675" s="135">
        <f t="shared" si="363"/>
        <v>0</v>
      </c>
      <c r="AH675" s="135">
        <f t="shared" si="363"/>
        <v>0</v>
      </c>
      <c r="AI675" s="135">
        <f t="shared" si="363"/>
        <v>0</v>
      </c>
      <c r="AJ675" s="135">
        <f t="shared" si="363"/>
        <v>0</v>
      </c>
      <c r="AK675" s="135">
        <f t="shared" si="363"/>
        <v>0</v>
      </c>
      <c r="AL675" s="135">
        <f t="shared" si="363"/>
        <v>0</v>
      </c>
      <c r="AM675" s="135">
        <f t="shared" si="363"/>
        <v>0</v>
      </c>
      <c r="AN675" s="135">
        <f t="shared" si="363"/>
        <v>0</v>
      </c>
      <c r="AO675" s="135">
        <f t="shared" si="363"/>
        <v>0</v>
      </c>
      <c r="AP675" s="135">
        <f t="shared" si="363"/>
        <v>0</v>
      </c>
    </row>
    <row r="676" spans="1:42" x14ac:dyDescent="0.2">
      <c r="B676" s="135"/>
      <c r="C676" s="135"/>
      <c r="D676" s="135"/>
      <c r="E676" s="135"/>
      <c r="F676" s="135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</row>
    <row r="677" spans="1:42" x14ac:dyDescent="0.2">
      <c r="A677" s="20" t="s">
        <v>181</v>
      </c>
      <c r="B677" s="135"/>
      <c r="C677" s="135"/>
      <c r="D677" s="135"/>
      <c r="E677" s="135"/>
      <c r="F677" s="135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</row>
    <row r="678" spans="1:42" x14ac:dyDescent="0.2">
      <c r="A678" s="20" t="s">
        <v>182</v>
      </c>
      <c r="B678" s="135"/>
      <c r="C678" s="135"/>
      <c r="D678" s="135"/>
      <c r="E678" s="135"/>
      <c r="F678" s="135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</row>
    <row r="679" spans="1:42" x14ac:dyDescent="0.2">
      <c r="A679" s="20">
        <v>1</v>
      </c>
      <c r="B679" s="233">
        <f t="shared" ref="B679:B688" si="364">SUM(C679:AP679)</f>
        <v>0</v>
      </c>
      <c r="C679" s="169">
        <f t="shared" ref="C679:AP685" si="365">IF(C$2&gt;AnalysisPeriod,0,IF(C$2=MMFrequency3*$A679,MMCost3*CapacityDC*1000*(1+Inflation)^B$2,0))</f>
        <v>0</v>
      </c>
      <c r="D679" s="169">
        <f t="shared" si="365"/>
        <v>0</v>
      </c>
      <c r="E679" s="169">
        <f t="shared" si="365"/>
        <v>0</v>
      </c>
      <c r="F679" s="169">
        <f t="shared" si="365"/>
        <v>0</v>
      </c>
      <c r="G679" s="169">
        <f t="shared" si="365"/>
        <v>0</v>
      </c>
      <c r="H679" s="169">
        <f t="shared" si="365"/>
        <v>0</v>
      </c>
      <c r="I679" s="169">
        <f t="shared" si="365"/>
        <v>0</v>
      </c>
      <c r="J679" s="169">
        <f t="shared" si="365"/>
        <v>0</v>
      </c>
      <c r="K679" s="169">
        <f t="shared" si="365"/>
        <v>0</v>
      </c>
      <c r="L679" s="169">
        <f t="shared" si="365"/>
        <v>0</v>
      </c>
      <c r="M679" s="169">
        <f t="shared" si="365"/>
        <v>0</v>
      </c>
      <c r="N679" s="169">
        <f t="shared" si="365"/>
        <v>0</v>
      </c>
      <c r="O679" s="169">
        <f t="shared" si="365"/>
        <v>0</v>
      </c>
      <c r="P679" s="169">
        <f t="shared" si="365"/>
        <v>0</v>
      </c>
      <c r="Q679" s="169">
        <f t="shared" si="365"/>
        <v>0</v>
      </c>
      <c r="R679" s="169">
        <f t="shared" si="365"/>
        <v>0</v>
      </c>
      <c r="S679" s="169">
        <f t="shared" si="365"/>
        <v>0</v>
      </c>
      <c r="T679" s="169">
        <f t="shared" si="365"/>
        <v>0</v>
      </c>
      <c r="U679" s="169">
        <f t="shared" si="365"/>
        <v>0</v>
      </c>
      <c r="V679" s="169">
        <f t="shared" si="365"/>
        <v>0</v>
      </c>
      <c r="W679" s="169">
        <f t="shared" si="365"/>
        <v>0</v>
      </c>
      <c r="X679" s="169">
        <f t="shared" si="365"/>
        <v>0</v>
      </c>
      <c r="Y679" s="169">
        <f t="shared" si="365"/>
        <v>0</v>
      </c>
      <c r="Z679" s="169">
        <f t="shared" si="365"/>
        <v>0</v>
      </c>
      <c r="AA679" s="169">
        <f t="shared" si="365"/>
        <v>0</v>
      </c>
      <c r="AB679" s="169">
        <f t="shared" si="365"/>
        <v>0</v>
      </c>
      <c r="AC679" s="169">
        <f t="shared" si="365"/>
        <v>0</v>
      </c>
      <c r="AD679" s="169">
        <f t="shared" si="365"/>
        <v>0</v>
      </c>
      <c r="AE679" s="169">
        <f t="shared" si="365"/>
        <v>0</v>
      </c>
      <c r="AF679" s="169">
        <f t="shared" si="365"/>
        <v>0</v>
      </c>
      <c r="AG679" s="169">
        <f t="shared" si="365"/>
        <v>0</v>
      </c>
      <c r="AH679" s="169">
        <f t="shared" si="365"/>
        <v>0</v>
      </c>
      <c r="AI679" s="169">
        <f t="shared" si="365"/>
        <v>0</v>
      </c>
      <c r="AJ679" s="169">
        <f t="shared" si="365"/>
        <v>0</v>
      </c>
      <c r="AK679" s="169">
        <f t="shared" si="365"/>
        <v>0</v>
      </c>
      <c r="AL679" s="169">
        <f t="shared" si="365"/>
        <v>0</v>
      </c>
      <c r="AM679" s="169">
        <f t="shared" si="365"/>
        <v>0</v>
      </c>
      <c r="AN679" s="169">
        <f t="shared" si="365"/>
        <v>0</v>
      </c>
      <c r="AO679" s="169">
        <f t="shared" si="365"/>
        <v>0</v>
      </c>
      <c r="AP679" s="169">
        <f t="shared" si="365"/>
        <v>0</v>
      </c>
    </row>
    <row r="680" spans="1:42" x14ac:dyDescent="0.2">
      <c r="A680" s="20">
        <f>A679+1</f>
        <v>2</v>
      </c>
      <c r="B680" s="233">
        <f t="shared" si="364"/>
        <v>0</v>
      </c>
      <c r="C680" s="169">
        <f t="shared" si="365"/>
        <v>0</v>
      </c>
      <c r="D680" s="169">
        <f t="shared" si="365"/>
        <v>0</v>
      </c>
      <c r="E680" s="169">
        <f t="shared" si="365"/>
        <v>0</v>
      </c>
      <c r="F680" s="169">
        <f t="shared" si="365"/>
        <v>0</v>
      </c>
      <c r="G680" s="169">
        <f t="shared" si="365"/>
        <v>0</v>
      </c>
      <c r="H680" s="169">
        <f t="shared" si="365"/>
        <v>0</v>
      </c>
      <c r="I680" s="169">
        <f t="shared" si="365"/>
        <v>0</v>
      </c>
      <c r="J680" s="169">
        <f t="shared" si="365"/>
        <v>0</v>
      </c>
      <c r="K680" s="169">
        <f t="shared" si="365"/>
        <v>0</v>
      </c>
      <c r="L680" s="169">
        <f t="shared" si="365"/>
        <v>0</v>
      </c>
      <c r="M680" s="169">
        <f t="shared" si="365"/>
        <v>0</v>
      </c>
      <c r="N680" s="169">
        <f t="shared" si="365"/>
        <v>0</v>
      </c>
      <c r="O680" s="169">
        <f t="shared" si="365"/>
        <v>0</v>
      </c>
      <c r="P680" s="169">
        <f t="shared" si="365"/>
        <v>0</v>
      </c>
      <c r="Q680" s="169">
        <f t="shared" si="365"/>
        <v>0</v>
      </c>
      <c r="R680" s="169">
        <f t="shared" si="365"/>
        <v>0</v>
      </c>
      <c r="S680" s="169">
        <f t="shared" si="365"/>
        <v>0</v>
      </c>
      <c r="T680" s="169">
        <f t="shared" si="365"/>
        <v>0</v>
      </c>
      <c r="U680" s="169">
        <f t="shared" si="365"/>
        <v>0</v>
      </c>
      <c r="V680" s="169">
        <f t="shared" si="365"/>
        <v>0</v>
      </c>
      <c r="W680" s="169">
        <f t="shared" si="365"/>
        <v>0</v>
      </c>
      <c r="X680" s="169">
        <f t="shared" si="365"/>
        <v>0</v>
      </c>
      <c r="Y680" s="169">
        <f t="shared" si="365"/>
        <v>0</v>
      </c>
      <c r="Z680" s="169">
        <f t="shared" si="365"/>
        <v>0</v>
      </c>
      <c r="AA680" s="169">
        <f t="shared" si="365"/>
        <v>0</v>
      </c>
      <c r="AB680" s="169">
        <f t="shared" si="365"/>
        <v>0</v>
      </c>
      <c r="AC680" s="169">
        <f t="shared" si="365"/>
        <v>0</v>
      </c>
      <c r="AD680" s="169">
        <f t="shared" si="365"/>
        <v>0</v>
      </c>
      <c r="AE680" s="169">
        <f t="shared" si="365"/>
        <v>0</v>
      </c>
      <c r="AF680" s="169">
        <f t="shared" si="365"/>
        <v>0</v>
      </c>
      <c r="AG680" s="169">
        <f t="shared" si="365"/>
        <v>0</v>
      </c>
      <c r="AH680" s="169">
        <f t="shared" si="365"/>
        <v>0</v>
      </c>
      <c r="AI680" s="169">
        <f t="shared" si="365"/>
        <v>0</v>
      </c>
      <c r="AJ680" s="169">
        <f t="shared" si="365"/>
        <v>0</v>
      </c>
      <c r="AK680" s="169">
        <f t="shared" si="365"/>
        <v>0</v>
      </c>
      <c r="AL680" s="169">
        <f t="shared" si="365"/>
        <v>0</v>
      </c>
      <c r="AM680" s="169">
        <f t="shared" si="365"/>
        <v>0</v>
      </c>
      <c r="AN680" s="169">
        <f t="shared" si="365"/>
        <v>0</v>
      </c>
      <c r="AO680" s="169">
        <f t="shared" si="365"/>
        <v>0</v>
      </c>
      <c r="AP680" s="169">
        <f t="shared" si="365"/>
        <v>0</v>
      </c>
    </row>
    <row r="681" spans="1:42" x14ac:dyDescent="0.2">
      <c r="A681" s="20">
        <f t="shared" ref="A681:A688" si="366">A680+1</f>
        <v>3</v>
      </c>
      <c r="B681" s="233">
        <f t="shared" si="364"/>
        <v>0</v>
      </c>
      <c r="C681" s="169">
        <f t="shared" si="365"/>
        <v>0</v>
      </c>
      <c r="D681" s="169">
        <f t="shared" si="365"/>
        <v>0</v>
      </c>
      <c r="E681" s="169">
        <f t="shared" si="365"/>
        <v>0</v>
      </c>
      <c r="F681" s="169">
        <f t="shared" si="365"/>
        <v>0</v>
      </c>
      <c r="G681" s="169">
        <f t="shared" si="365"/>
        <v>0</v>
      </c>
      <c r="H681" s="169">
        <f t="shared" si="365"/>
        <v>0</v>
      </c>
      <c r="I681" s="169">
        <f t="shared" si="365"/>
        <v>0</v>
      </c>
      <c r="J681" s="169">
        <f t="shared" si="365"/>
        <v>0</v>
      </c>
      <c r="K681" s="169">
        <f t="shared" si="365"/>
        <v>0</v>
      </c>
      <c r="L681" s="169">
        <f t="shared" si="365"/>
        <v>0</v>
      </c>
      <c r="M681" s="169">
        <f t="shared" si="365"/>
        <v>0</v>
      </c>
      <c r="N681" s="169">
        <f t="shared" si="365"/>
        <v>0</v>
      </c>
      <c r="O681" s="169">
        <f t="shared" si="365"/>
        <v>0</v>
      </c>
      <c r="P681" s="169">
        <f t="shared" si="365"/>
        <v>0</v>
      </c>
      <c r="Q681" s="169">
        <f t="shared" si="365"/>
        <v>0</v>
      </c>
      <c r="R681" s="169">
        <f t="shared" si="365"/>
        <v>0</v>
      </c>
      <c r="S681" s="169">
        <f t="shared" si="365"/>
        <v>0</v>
      </c>
      <c r="T681" s="169">
        <f t="shared" si="365"/>
        <v>0</v>
      </c>
      <c r="U681" s="169">
        <f t="shared" si="365"/>
        <v>0</v>
      </c>
      <c r="V681" s="169">
        <f t="shared" si="365"/>
        <v>0</v>
      </c>
      <c r="W681" s="169">
        <f t="shared" si="365"/>
        <v>0</v>
      </c>
      <c r="X681" s="169">
        <f t="shared" si="365"/>
        <v>0</v>
      </c>
      <c r="Y681" s="169">
        <f t="shared" si="365"/>
        <v>0</v>
      </c>
      <c r="Z681" s="169">
        <f t="shared" si="365"/>
        <v>0</v>
      </c>
      <c r="AA681" s="169">
        <f t="shared" si="365"/>
        <v>0</v>
      </c>
      <c r="AB681" s="169">
        <f t="shared" si="365"/>
        <v>0</v>
      </c>
      <c r="AC681" s="169">
        <f t="shared" si="365"/>
        <v>0</v>
      </c>
      <c r="AD681" s="169">
        <f t="shared" si="365"/>
        <v>0</v>
      </c>
      <c r="AE681" s="169">
        <f t="shared" si="365"/>
        <v>0</v>
      </c>
      <c r="AF681" s="169">
        <f t="shared" si="365"/>
        <v>0</v>
      </c>
      <c r="AG681" s="169">
        <f t="shared" si="365"/>
        <v>0</v>
      </c>
      <c r="AH681" s="169">
        <f t="shared" si="365"/>
        <v>0</v>
      </c>
      <c r="AI681" s="169">
        <f t="shared" si="365"/>
        <v>0</v>
      </c>
      <c r="AJ681" s="169">
        <f t="shared" si="365"/>
        <v>0</v>
      </c>
      <c r="AK681" s="169">
        <f t="shared" si="365"/>
        <v>0</v>
      </c>
      <c r="AL681" s="169">
        <f t="shared" si="365"/>
        <v>0</v>
      </c>
      <c r="AM681" s="169">
        <f t="shared" si="365"/>
        <v>0</v>
      </c>
      <c r="AN681" s="169">
        <f t="shared" si="365"/>
        <v>0</v>
      </c>
      <c r="AO681" s="169">
        <f t="shared" si="365"/>
        <v>0</v>
      </c>
      <c r="AP681" s="169">
        <f t="shared" si="365"/>
        <v>0</v>
      </c>
    </row>
    <row r="682" spans="1:42" x14ac:dyDescent="0.2">
      <c r="A682" s="20">
        <f t="shared" si="366"/>
        <v>4</v>
      </c>
      <c r="B682" s="233">
        <f t="shared" si="364"/>
        <v>0</v>
      </c>
      <c r="C682" s="169">
        <f t="shared" si="365"/>
        <v>0</v>
      </c>
      <c r="D682" s="169">
        <f t="shared" si="365"/>
        <v>0</v>
      </c>
      <c r="E682" s="169">
        <f t="shared" si="365"/>
        <v>0</v>
      </c>
      <c r="F682" s="169">
        <f t="shared" si="365"/>
        <v>0</v>
      </c>
      <c r="G682" s="169">
        <f t="shared" si="365"/>
        <v>0</v>
      </c>
      <c r="H682" s="169">
        <f t="shared" si="365"/>
        <v>0</v>
      </c>
      <c r="I682" s="169">
        <f t="shared" si="365"/>
        <v>0</v>
      </c>
      <c r="J682" s="169">
        <f t="shared" si="365"/>
        <v>0</v>
      </c>
      <c r="K682" s="169">
        <f t="shared" si="365"/>
        <v>0</v>
      </c>
      <c r="L682" s="169">
        <f t="shared" si="365"/>
        <v>0</v>
      </c>
      <c r="M682" s="169">
        <f t="shared" si="365"/>
        <v>0</v>
      </c>
      <c r="N682" s="169">
        <f t="shared" si="365"/>
        <v>0</v>
      </c>
      <c r="O682" s="169">
        <f t="shared" si="365"/>
        <v>0</v>
      </c>
      <c r="P682" s="169">
        <f t="shared" si="365"/>
        <v>0</v>
      </c>
      <c r="Q682" s="169">
        <f t="shared" si="365"/>
        <v>0</v>
      </c>
      <c r="R682" s="169">
        <f t="shared" si="365"/>
        <v>0</v>
      </c>
      <c r="S682" s="169">
        <f t="shared" si="365"/>
        <v>0</v>
      </c>
      <c r="T682" s="169">
        <f t="shared" si="365"/>
        <v>0</v>
      </c>
      <c r="U682" s="169">
        <f t="shared" si="365"/>
        <v>0</v>
      </c>
      <c r="V682" s="169">
        <f t="shared" si="365"/>
        <v>0</v>
      </c>
      <c r="W682" s="169">
        <f t="shared" si="365"/>
        <v>0</v>
      </c>
      <c r="X682" s="169">
        <f t="shared" si="365"/>
        <v>0</v>
      </c>
      <c r="Y682" s="169">
        <f t="shared" si="365"/>
        <v>0</v>
      </c>
      <c r="Z682" s="169">
        <f t="shared" si="365"/>
        <v>0</v>
      </c>
      <c r="AA682" s="169">
        <f t="shared" si="365"/>
        <v>0</v>
      </c>
      <c r="AB682" s="169">
        <f t="shared" si="365"/>
        <v>0</v>
      </c>
      <c r="AC682" s="169">
        <f t="shared" si="365"/>
        <v>0</v>
      </c>
      <c r="AD682" s="169">
        <f t="shared" si="365"/>
        <v>0</v>
      </c>
      <c r="AE682" s="169">
        <f t="shared" si="365"/>
        <v>0</v>
      </c>
      <c r="AF682" s="169">
        <f t="shared" si="365"/>
        <v>0</v>
      </c>
      <c r="AG682" s="169">
        <f t="shared" si="365"/>
        <v>0</v>
      </c>
      <c r="AH682" s="169">
        <f t="shared" si="365"/>
        <v>0</v>
      </c>
      <c r="AI682" s="169">
        <f t="shared" si="365"/>
        <v>0</v>
      </c>
      <c r="AJ682" s="169">
        <f t="shared" si="365"/>
        <v>0</v>
      </c>
      <c r="AK682" s="169">
        <f t="shared" si="365"/>
        <v>0</v>
      </c>
      <c r="AL682" s="169">
        <f t="shared" si="365"/>
        <v>0</v>
      </c>
      <c r="AM682" s="169">
        <f t="shared" si="365"/>
        <v>0</v>
      </c>
      <c r="AN682" s="169">
        <f t="shared" si="365"/>
        <v>0</v>
      </c>
      <c r="AO682" s="169">
        <f t="shared" si="365"/>
        <v>0</v>
      </c>
      <c r="AP682" s="169">
        <f t="shared" si="365"/>
        <v>0</v>
      </c>
    </row>
    <row r="683" spans="1:42" x14ac:dyDescent="0.2">
      <c r="A683" s="20">
        <f t="shared" si="366"/>
        <v>5</v>
      </c>
      <c r="B683" s="233">
        <f t="shared" si="364"/>
        <v>0</v>
      </c>
      <c r="C683" s="169">
        <f t="shared" si="365"/>
        <v>0</v>
      </c>
      <c r="D683" s="169">
        <f t="shared" si="365"/>
        <v>0</v>
      </c>
      <c r="E683" s="169">
        <f t="shared" si="365"/>
        <v>0</v>
      </c>
      <c r="F683" s="169">
        <f t="shared" si="365"/>
        <v>0</v>
      </c>
      <c r="G683" s="169">
        <f t="shared" si="365"/>
        <v>0</v>
      </c>
      <c r="H683" s="169">
        <f t="shared" si="365"/>
        <v>0</v>
      </c>
      <c r="I683" s="169">
        <f t="shared" si="365"/>
        <v>0</v>
      </c>
      <c r="J683" s="169">
        <f t="shared" si="365"/>
        <v>0</v>
      </c>
      <c r="K683" s="169">
        <f t="shared" si="365"/>
        <v>0</v>
      </c>
      <c r="L683" s="169">
        <f t="shared" si="365"/>
        <v>0</v>
      </c>
      <c r="M683" s="169">
        <f t="shared" si="365"/>
        <v>0</v>
      </c>
      <c r="N683" s="169">
        <f t="shared" si="365"/>
        <v>0</v>
      </c>
      <c r="O683" s="169">
        <f t="shared" si="365"/>
        <v>0</v>
      </c>
      <c r="P683" s="169">
        <f t="shared" si="365"/>
        <v>0</v>
      </c>
      <c r="Q683" s="169">
        <f t="shared" si="365"/>
        <v>0</v>
      </c>
      <c r="R683" s="169">
        <f t="shared" si="365"/>
        <v>0</v>
      </c>
      <c r="S683" s="169">
        <f t="shared" si="365"/>
        <v>0</v>
      </c>
      <c r="T683" s="169">
        <f t="shared" si="365"/>
        <v>0</v>
      </c>
      <c r="U683" s="169">
        <f t="shared" si="365"/>
        <v>0</v>
      </c>
      <c r="V683" s="169">
        <f t="shared" si="365"/>
        <v>0</v>
      </c>
      <c r="W683" s="169">
        <f t="shared" si="365"/>
        <v>0</v>
      </c>
      <c r="X683" s="169">
        <f t="shared" si="365"/>
        <v>0</v>
      </c>
      <c r="Y683" s="169">
        <f t="shared" si="365"/>
        <v>0</v>
      </c>
      <c r="Z683" s="169">
        <f t="shared" si="365"/>
        <v>0</v>
      </c>
      <c r="AA683" s="169">
        <f t="shared" si="365"/>
        <v>0</v>
      </c>
      <c r="AB683" s="169">
        <f t="shared" si="365"/>
        <v>0</v>
      </c>
      <c r="AC683" s="169">
        <f t="shared" si="365"/>
        <v>0</v>
      </c>
      <c r="AD683" s="169">
        <f t="shared" si="365"/>
        <v>0</v>
      </c>
      <c r="AE683" s="169">
        <f t="shared" si="365"/>
        <v>0</v>
      </c>
      <c r="AF683" s="169">
        <f t="shared" si="365"/>
        <v>0</v>
      </c>
      <c r="AG683" s="169">
        <f t="shared" si="365"/>
        <v>0</v>
      </c>
      <c r="AH683" s="169">
        <f t="shared" si="365"/>
        <v>0</v>
      </c>
      <c r="AI683" s="169">
        <f t="shared" si="365"/>
        <v>0</v>
      </c>
      <c r="AJ683" s="169">
        <f t="shared" si="365"/>
        <v>0</v>
      </c>
      <c r="AK683" s="169">
        <f t="shared" si="365"/>
        <v>0</v>
      </c>
      <c r="AL683" s="169">
        <f t="shared" si="365"/>
        <v>0</v>
      </c>
      <c r="AM683" s="169">
        <f t="shared" si="365"/>
        <v>0</v>
      </c>
      <c r="AN683" s="169">
        <f t="shared" si="365"/>
        <v>0</v>
      </c>
      <c r="AO683" s="169">
        <f t="shared" si="365"/>
        <v>0</v>
      </c>
      <c r="AP683" s="169">
        <f t="shared" si="365"/>
        <v>0</v>
      </c>
    </row>
    <row r="684" spans="1:42" x14ac:dyDescent="0.2">
      <c r="A684" s="20">
        <f t="shared" si="366"/>
        <v>6</v>
      </c>
      <c r="B684" s="233">
        <f t="shared" si="364"/>
        <v>0</v>
      </c>
      <c r="C684" s="169">
        <f t="shared" si="365"/>
        <v>0</v>
      </c>
      <c r="D684" s="169">
        <f t="shared" si="365"/>
        <v>0</v>
      </c>
      <c r="E684" s="169">
        <f t="shared" si="365"/>
        <v>0</v>
      </c>
      <c r="F684" s="169">
        <f t="shared" si="365"/>
        <v>0</v>
      </c>
      <c r="G684" s="169">
        <f t="shared" si="365"/>
        <v>0</v>
      </c>
      <c r="H684" s="169">
        <f t="shared" si="365"/>
        <v>0</v>
      </c>
      <c r="I684" s="169">
        <f t="shared" si="365"/>
        <v>0</v>
      </c>
      <c r="J684" s="169">
        <f t="shared" si="365"/>
        <v>0</v>
      </c>
      <c r="K684" s="169">
        <f t="shared" si="365"/>
        <v>0</v>
      </c>
      <c r="L684" s="169">
        <f t="shared" si="365"/>
        <v>0</v>
      </c>
      <c r="M684" s="169">
        <f t="shared" si="365"/>
        <v>0</v>
      </c>
      <c r="N684" s="169">
        <f t="shared" si="365"/>
        <v>0</v>
      </c>
      <c r="O684" s="169">
        <f t="shared" si="365"/>
        <v>0</v>
      </c>
      <c r="P684" s="169">
        <f t="shared" si="365"/>
        <v>0</v>
      </c>
      <c r="Q684" s="169">
        <f t="shared" si="365"/>
        <v>0</v>
      </c>
      <c r="R684" s="169">
        <f t="shared" si="365"/>
        <v>0</v>
      </c>
      <c r="S684" s="169">
        <f t="shared" si="365"/>
        <v>0</v>
      </c>
      <c r="T684" s="169">
        <f t="shared" si="365"/>
        <v>0</v>
      </c>
      <c r="U684" s="169">
        <f t="shared" si="365"/>
        <v>0</v>
      </c>
      <c r="V684" s="169">
        <f t="shared" si="365"/>
        <v>0</v>
      </c>
      <c r="W684" s="169">
        <f t="shared" si="365"/>
        <v>0</v>
      </c>
      <c r="X684" s="169">
        <f t="shared" si="365"/>
        <v>0</v>
      </c>
      <c r="Y684" s="169">
        <f t="shared" si="365"/>
        <v>0</v>
      </c>
      <c r="Z684" s="169">
        <f t="shared" si="365"/>
        <v>0</v>
      </c>
      <c r="AA684" s="169">
        <f t="shared" si="365"/>
        <v>0</v>
      </c>
      <c r="AB684" s="169">
        <f t="shared" si="365"/>
        <v>0</v>
      </c>
      <c r="AC684" s="169">
        <f t="shared" si="365"/>
        <v>0</v>
      </c>
      <c r="AD684" s="169">
        <f t="shared" si="365"/>
        <v>0</v>
      </c>
      <c r="AE684" s="169">
        <f t="shared" si="365"/>
        <v>0</v>
      </c>
      <c r="AF684" s="169">
        <f t="shared" si="365"/>
        <v>0</v>
      </c>
      <c r="AG684" s="169">
        <f t="shared" si="365"/>
        <v>0</v>
      </c>
      <c r="AH684" s="169">
        <f t="shared" si="365"/>
        <v>0</v>
      </c>
      <c r="AI684" s="169">
        <f t="shared" si="365"/>
        <v>0</v>
      </c>
      <c r="AJ684" s="169">
        <f t="shared" si="365"/>
        <v>0</v>
      </c>
      <c r="AK684" s="169">
        <f t="shared" si="365"/>
        <v>0</v>
      </c>
      <c r="AL684" s="169">
        <f t="shared" si="365"/>
        <v>0</v>
      </c>
      <c r="AM684" s="169">
        <f t="shared" si="365"/>
        <v>0</v>
      </c>
      <c r="AN684" s="169">
        <f t="shared" si="365"/>
        <v>0</v>
      </c>
      <c r="AO684" s="169">
        <f t="shared" si="365"/>
        <v>0</v>
      </c>
      <c r="AP684" s="169">
        <f t="shared" si="365"/>
        <v>0</v>
      </c>
    </row>
    <row r="685" spans="1:42" x14ac:dyDescent="0.2">
      <c r="A685" s="20">
        <f t="shared" si="366"/>
        <v>7</v>
      </c>
      <c r="B685" s="233">
        <f t="shared" si="364"/>
        <v>0</v>
      </c>
      <c r="C685" s="169">
        <f t="shared" si="365"/>
        <v>0</v>
      </c>
      <c r="D685" s="169">
        <f t="shared" si="365"/>
        <v>0</v>
      </c>
      <c r="E685" s="169">
        <f t="shared" si="365"/>
        <v>0</v>
      </c>
      <c r="F685" s="169">
        <f t="shared" si="365"/>
        <v>0</v>
      </c>
      <c r="G685" s="169">
        <f t="shared" si="365"/>
        <v>0</v>
      </c>
      <c r="H685" s="169">
        <f t="shared" si="365"/>
        <v>0</v>
      </c>
      <c r="I685" s="169">
        <f t="shared" si="365"/>
        <v>0</v>
      </c>
      <c r="J685" s="169">
        <f t="shared" si="365"/>
        <v>0</v>
      </c>
      <c r="K685" s="169">
        <f t="shared" si="365"/>
        <v>0</v>
      </c>
      <c r="L685" s="169">
        <f t="shared" si="365"/>
        <v>0</v>
      </c>
      <c r="M685" s="169">
        <f t="shared" si="365"/>
        <v>0</v>
      </c>
      <c r="N685" s="169">
        <f t="shared" si="365"/>
        <v>0</v>
      </c>
      <c r="O685" s="169">
        <f t="shared" si="365"/>
        <v>0</v>
      </c>
      <c r="P685" s="169">
        <f t="shared" si="365"/>
        <v>0</v>
      </c>
      <c r="Q685" s="169">
        <f t="shared" si="365"/>
        <v>0</v>
      </c>
      <c r="R685" s="169">
        <f t="shared" ref="R685:AP685" si="367">IF(R$2&gt;AnalysisPeriod,0,IF(R$2=MMFrequency3*$A685,MMCost3*CapacityDC*1000*(1+Inflation)^Q$2,0))</f>
        <v>0</v>
      </c>
      <c r="S685" s="169">
        <f t="shared" si="367"/>
        <v>0</v>
      </c>
      <c r="T685" s="169">
        <f t="shared" si="367"/>
        <v>0</v>
      </c>
      <c r="U685" s="169">
        <f t="shared" si="367"/>
        <v>0</v>
      </c>
      <c r="V685" s="169">
        <f t="shared" si="367"/>
        <v>0</v>
      </c>
      <c r="W685" s="169">
        <f t="shared" si="367"/>
        <v>0</v>
      </c>
      <c r="X685" s="169">
        <f t="shared" si="367"/>
        <v>0</v>
      </c>
      <c r="Y685" s="169">
        <f t="shared" si="367"/>
        <v>0</v>
      </c>
      <c r="Z685" s="169">
        <f t="shared" si="367"/>
        <v>0</v>
      </c>
      <c r="AA685" s="169">
        <f t="shared" si="367"/>
        <v>0</v>
      </c>
      <c r="AB685" s="169">
        <f t="shared" si="367"/>
        <v>0</v>
      </c>
      <c r="AC685" s="169">
        <f t="shared" si="367"/>
        <v>0</v>
      </c>
      <c r="AD685" s="169">
        <f t="shared" si="367"/>
        <v>0</v>
      </c>
      <c r="AE685" s="169">
        <f t="shared" si="367"/>
        <v>0</v>
      </c>
      <c r="AF685" s="169">
        <f t="shared" si="367"/>
        <v>0</v>
      </c>
      <c r="AG685" s="169">
        <f t="shared" si="367"/>
        <v>0</v>
      </c>
      <c r="AH685" s="169">
        <f t="shared" si="367"/>
        <v>0</v>
      </c>
      <c r="AI685" s="169">
        <f t="shared" si="367"/>
        <v>0</v>
      </c>
      <c r="AJ685" s="169">
        <f t="shared" si="367"/>
        <v>0</v>
      </c>
      <c r="AK685" s="169">
        <f t="shared" si="367"/>
        <v>0</v>
      </c>
      <c r="AL685" s="169">
        <f t="shared" si="367"/>
        <v>0</v>
      </c>
      <c r="AM685" s="169">
        <f t="shared" si="367"/>
        <v>0</v>
      </c>
      <c r="AN685" s="169">
        <f t="shared" si="367"/>
        <v>0</v>
      </c>
      <c r="AO685" s="169">
        <f t="shared" si="367"/>
        <v>0</v>
      </c>
      <c r="AP685" s="169">
        <f t="shared" si="367"/>
        <v>0</v>
      </c>
    </row>
    <row r="686" spans="1:42" x14ac:dyDescent="0.2">
      <c r="A686" s="20">
        <f t="shared" si="366"/>
        <v>8</v>
      </c>
      <c r="B686" s="233">
        <f t="shared" si="364"/>
        <v>0</v>
      </c>
      <c r="C686" s="169">
        <f t="shared" ref="C686:AP688" si="368">IF(C$2&gt;AnalysisPeriod,0,IF(C$2=MMFrequency3*$A686,MMCost3*CapacityDC*1000*(1+Inflation)^B$2,0))</f>
        <v>0</v>
      </c>
      <c r="D686" s="169">
        <f t="shared" si="368"/>
        <v>0</v>
      </c>
      <c r="E686" s="169">
        <f t="shared" si="368"/>
        <v>0</v>
      </c>
      <c r="F686" s="169">
        <f t="shared" si="368"/>
        <v>0</v>
      </c>
      <c r="G686" s="169">
        <f t="shared" si="368"/>
        <v>0</v>
      </c>
      <c r="H686" s="169">
        <f t="shared" si="368"/>
        <v>0</v>
      </c>
      <c r="I686" s="169">
        <f t="shared" si="368"/>
        <v>0</v>
      </c>
      <c r="J686" s="169">
        <f t="shared" si="368"/>
        <v>0</v>
      </c>
      <c r="K686" s="169">
        <f t="shared" si="368"/>
        <v>0</v>
      </c>
      <c r="L686" s="169">
        <f t="shared" si="368"/>
        <v>0</v>
      </c>
      <c r="M686" s="169">
        <f t="shared" si="368"/>
        <v>0</v>
      </c>
      <c r="N686" s="169">
        <f t="shared" si="368"/>
        <v>0</v>
      </c>
      <c r="O686" s="169">
        <f t="shared" si="368"/>
        <v>0</v>
      </c>
      <c r="P686" s="169">
        <f t="shared" si="368"/>
        <v>0</v>
      </c>
      <c r="Q686" s="169">
        <f t="shared" si="368"/>
        <v>0</v>
      </c>
      <c r="R686" s="169">
        <f t="shared" si="368"/>
        <v>0</v>
      </c>
      <c r="S686" s="169">
        <f t="shared" si="368"/>
        <v>0</v>
      </c>
      <c r="T686" s="169">
        <f t="shared" si="368"/>
        <v>0</v>
      </c>
      <c r="U686" s="169">
        <f t="shared" si="368"/>
        <v>0</v>
      </c>
      <c r="V686" s="169">
        <f t="shared" si="368"/>
        <v>0</v>
      </c>
      <c r="W686" s="169">
        <f t="shared" si="368"/>
        <v>0</v>
      </c>
      <c r="X686" s="169">
        <f t="shared" si="368"/>
        <v>0</v>
      </c>
      <c r="Y686" s="169">
        <f t="shared" si="368"/>
        <v>0</v>
      </c>
      <c r="Z686" s="169">
        <f t="shared" si="368"/>
        <v>0</v>
      </c>
      <c r="AA686" s="169">
        <f t="shared" si="368"/>
        <v>0</v>
      </c>
      <c r="AB686" s="169">
        <f t="shared" si="368"/>
        <v>0</v>
      </c>
      <c r="AC686" s="169">
        <f t="shared" si="368"/>
        <v>0</v>
      </c>
      <c r="AD686" s="169">
        <f t="shared" si="368"/>
        <v>0</v>
      </c>
      <c r="AE686" s="169">
        <f t="shared" si="368"/>
        <v>0</v>
      </c>
      <c r="AF686" s="169">
        <f t="shared" si="368"/>
        <v>0</v>
      </c>
      <c r="AG686" s="169">
        <f t="shared" si="368"/>
        <v>0</v>
      </c>
      <c r="AH686" s="169">
        <f t="shared" si="368"/>
        <v>0</v>
      </c>
      <c r="AI686" s="169">
        <f t="shared" si="368"/>
        <v>0</v>
      </c>
      <c r="AJ686" s="169">
        <f t="shared" si="368"/>
        <v>0</v>
      </c>
      <c r="AK686" s="169">
        <f t="shared" si="368"/>
        <v>0</v>
      </c>
      <c r="AL686" s="169">
        <f t="shared" si="368"/>
        <v>0</v>
      </c>
      <c r="AM686" s="169">
        <f t="shared" si="368"/>
        <v>0</v>
      </c>
      <c r="AN686" s="169">
        <f t="shared" si="368"/>
        <v>0</v>
      </c>
      <c r="AO686" s="169">
        <f t="shared" si="368"/>
        <v>0</v>
      </c>
      <c r="AP686" s="169">
        <f t="shared" si="368"/>
        <v>0</v>
      </c>
    </row>
    <row r="687" spans="1:42" x14ac:dyDescent="0.2">
      <c r="A687" s="20">
        <f>A686+1</f>
        <v>9</v>
      </c>
      <c r="B687" s="233">
        <f t="shared" si="364"/>
        <v>0</v>
      </c>
      <c r="C687" s="169">
        <f t="shared" si="368"/>
        <v>0</v>
      </c>
      <c r="D687" s="169">
        <f t="shared" si="368"/>
        <v>0</v>
      </c>
      <c r="E687" s="169">
        <f t="shared" si="368"/>
        <v>0</v>
      </c>
      <c r="F687" s="169">
        <f t="shared" si="368"/>
        <v>0</v>
      </c>
      <c r="G687" s="169">
        <f t="shared" si="368"/>
        <v>0</v>
      </c>
      <c r="H687" s="169">
        <f t="shared" si="368"/>
        <v>0</v>
      </c>
      <c r="I687" s="169">
        <f t="shared" si="368"/>
        <v>0</v>
      </c>
      <c r="J687" s="169">
        <f t="shared" si="368"/>
        <v>0</v>
      </c>
      <c r="K687" s="169">
        <f t="shared" si="368"/>
        <v>0</v>
      </c>
      <c r="L687" s="169">
        <f t="shared" si="368"/>
        <v>0</v>
      </c>
      <c r="M687" s="169">
        <f t="shared" si="368"/>
        <v>0</v>
      </c>
      <c r="N687" s="169">
        <f t="shared" si="368"/>
        <v>0</v>
      </c>
      <c r="O687" s="169">
        <f t="shared" si="368"/>
        <v>0</v>
      </c>
      <c r="P687" s="169">
        <f t="shared" si="368"/>
        <v>0</v>
      </c>
      <c r="Q687" s="169">
        <f t="shared" si="368"/>
        <v>0</v>
      </c>
      <c r="R687" s="169">
        <f t="shared" si="368"/>
        <v>0</v>
      </c>
      <c r="S687" s="169">
        <f t="shared" si="368"/>
        <v>0</v>
      </c>
      <c r="T687" s="169">
        <f t="shared" si="368"/>
        <v>0</v>
      </c>
      <c r="U687" s="169">
        <f t="shared" si="368"/>
        <v>0</v>
      </c>
      <c r="V687" s="169">
        <f t="shared" si="368"/>
        <v>0</v>
      </c>
      <c r="W687" s="169">
        <f t="shared" si="368"/>
        <v>0</v>
      </c>
      <c r="X687" s="169">
        <f t="shared" si="368"/>
        <v>0</v>
      </c>
      <c r="Y687" s="169">
        <f t="shared" si="368"/>
        <v>0</v>
      </c>
      <c r="Z687" s="169">
        <f t="shared" si="368"/>
        <v>0</v>
      </c>
      <c r="AA687" s="169">
        <f t="shared" si="368"/>
        <v>0</v>
      </c>
      <c r="AB687" s="169">
        <f t="shared" si="368"/>
        <v>0</v>
      </c>
      <c r="AC687" s="169">
        <f t="shared" si="368"/>
        <v>0</v>
      </c>
      <c r="AD687" s="169">
        <f t="shared" si="368"/>
        <v>0</v>
      </c>
      <c r="AE687" s="169">
        <f t="shared" si="368"/>
        <v>0</v>
      </c>
      <c r="AF687" s="169">
        <f t="shared" si="368"/>
        <v>0</v>
      </c>
      <c r="AG687" s="169">
        <f t="shared" si="368"/>
        <v>0</v>
      </c>
      <c r="AH687" s="169">
        <f t="shared" si="368"/>
        <v>0</v>
      </c>
      <c r="AI687" s="169">
        <f t="shared" si="368"/>
        <v>0</v>
      </c>
      <c r="AJ687" s="169">
        <f t="shared" si="368"/>
        <v>0</v>
      </c>
      <c r="AK687" s="169">
        <f t="shared" si="368"/>
        <v>0</v>
      </c>
      <c r="AL687" s="169">
        <f t="shared" si="368"/>
        <v>0</v>
      </c>
      <c r="AM687" s="169">
        <f t="shared" si="368"/>
        <v>0</v>
      </c>
      <c r="AN687" s="169">
        <f t="shared" si="368"/>
        <v>0</v>
      </c>
      <c r="AO687" s="169">
        <f t="shared" si="368"/>
        <v>0</v>
      </c>
      <c r="AP687" s="169">
        <f t="shared" si="368"/>
        <v>0</v>
      </c>
    </row>
    <row r="688" spans="1:42" x14ac:dyDescent="0.2">
      <c r="A688" s="20">
        <f t="shared" si="366"/>
        <v>10</v>
      </c>
      <c r="B688" s="233">
        <f t="shared" si="364"/>
        <v>0</v>
      </c>
      <c r="C688" s="170">
        <f t="shared" si="368"/>
        <v>0</v>
      </c>
      <c r="D688" s="170">
        <f t="shared" si="368"/>
        <v>0</v>
      </c>
      <c r="E688" s="170">
        <f t="shared" si="368"/>
        <v>0</v>
      </c>
      <c r="F688" s="170">
        <f t="shared" si="368"/>
        <v>0</v>
      </c>
      <c r="G688" s="170">
        <f t="shared" si="368"/>
        <v>0</v>
      </c>
      <c r="H688" s="170">
        <f t="shared" si="368"/>
        <v>0</v>
      </c>
      <c r="I688" s="170">
        <f t="shared" si="368"/>
        <v>0</v>
      </c>
      <c r="J688" s="170">
        <f t="shared" si="368"/>
        <v>0</v>
      </c>
      <c r="K688" s="170">
        <f t="shared" si="368"/>
        <v>0</v>
      </c>
      <c r="L688" s="170">
        <f t="shared" si="368"/>
        <v>0</v>
      </c>
      <c r="M688" s="170">
        <f t="shared" si="368"/>
        <v>0</v>
      </c>
      <c r="N688" s="170">
        <f t="shared" si="368"/>
        <v>0</v>
      </c>
      <c r="O688" s="170">
        <f t="shared" si="368"/>
        <v>0</v>
      </c>
      <c r="P688" s="170">
        <f t="shared" si="368"/>
        <v>0</v>
      </c>
      <c r="Q688" s="170">
        <f t="shared" si="368"/>
        <v>0</v>
      </c>
      <c r="R688" s="170">
        <f t="shared" si="368"/>
        <v>0</v>
      </c>
      <c r="S688" s="170">
        <f t="shared" si="368"/>
        <v>0</v>
      </c>
      <c r="T688" s="170">
        <f t="shared" si="368"/>
        <v>0</v>
      </c>
      <c r="U688" s="170">
        <f t="shared" si="368"/>
        <v>0</v>
      </c>
      <c r="V688" s="170">
        <f t="shared" si="368"/>
        <v>0</v>
      </c>
      <c r="W688" s="170">
        <f t="shared" si="368"/>
        <v>0</v>
      </c>
      <c r="X688" s="170">
        <f t="shared" si="368"/>
        <v>0</v>
      </c>
      <c r="Y688" s="170">
        <f t="shared" si="368"/>
        <v>0</v>
      </c>
      <c r="Z688" s="170">
        <f t="shared" si="368"/>
        <v>0</v>
      </c>
      <c r="AA688" s="170">
        <f t="shared" si="368"/>
        <v>0</v>
      </c>
      <c r="AB688" s="170">
        <f t="shared" si="368"/>
        <v>0</v>
      </c>
      <c r="AC688" s="170">
        <f t="shared" si="368"/>
        <v>0</v>
      </c>
      <c r="AD688" s="170">
        <f t="shared" si="368"/>
        <v>0</v>
      </c>
      <c r="AE688" s="170">
        <f t="shared" si="368"/>
        <v>0</v>
      </c>
      <c r="AF688" s="170">
        <f t="shared" si="368"/>
        <v>0</v>
      </c>
      <c r="AG688" s="170">
        <f t="shared" si="368"/>
        <v>0</v>
      </c>
      <c r="AH688" s="170">
        <f t="shared" si="368"/>
        <v>0</v>
      </c>
      <c r="AI688" s="170">
        <f t="shared" si="368"/>
        <v>0</v>
      </c>
      <c r="AJ688" s="170">
        <f t="shared" si="368"/>
        <v>0</v>
      </c>
      <c r="AK688" s="170">
        <f t="shared" si="368"/>
        <v>0</v>
      </c>
      <c r="AL688" s="170">
        <f t="shared" si="368"/>
        <v>0</v>
      </c>
      <c r="AM688" s="170">
        <f t="shared" si="368"/>
        <v>0</v>
      </c>
      <c r="AN688" s="170">
        <f t="shared" si="368"/>
        <v>0</v>
      </c>
      <c r="AO688" s="170">
        <f t="shared" si="368"/>
        <v>0</v>
      </c>
      <c r="AP688" s="170">
        <f t="shared" si="368"/>
        <v>0</v>
      </c>
    </row>
    <row r="689" spans="1:42" x14ac:dyDescent="0.2">
      <c r="A689" s="202" t="s">
        <v>53</v>
      </c>
      <c r="B689" s="169"/>
      <c r="C689" s="135">
        <f>SUM(C679:C688)</f>
        <v>0</v>
      </c>
      <c r="D689" s="135">
        <f t="shared" ref="D689:AP689" si="369">SUM(D679:D688)</f>
        <v>0</v>
      </c>
      <c r="E689" s="135">
        <f t="shared" si="369"/>
        <v>0</v>
      </c>
      <c r="F689" s="135">
        <f t="shared" si="369"/>
        <v>0</v>
      </c>
      <c r="G689" s="135">
        <f t="shared" si="369"/>
        <v>0</v>
      </c>
      <c r="H689" s="135">
        <f t="shared" si="369"/>
        <v>0</v>
      </c>
      <c r="I689" s="135">
        <f t="shared" si="369"/>
        <v>0</v>
      </c>
      <c r="J689" s="135">
        <f t="shared" si="369"/>
        <v>0</v>
      </c>
      <c r="K689" s="135">
        <f t="shared" si="369"/>
        <v>0</v>
      </c>
      <c r="L689" s="135">
        <f t="shared" si="369"/>
        <v>0</v>
      </c>
      <c r="M689" s="135">
        <f t="shared" si="369"/>
        <v>0</v>
      </c>
      <c r="N689" s="135">
        <f t="shared" si="369"/>
        <v>0</v>
      </c>
      <c r="O689" s="135">
        <f t="shared" si="369"/>
        <v>0</v>
      </c>
      <c r="P689" s="135">
        <f t="shared" si="369"/>
        <v>0</v>
      </c>
      <c r="Q689" s="135">
        <f t="shared" si="369"/>
        <v>0</v>
      </c>
      <c r="R689" s="135">
        <f t="shared" si="369"/>
        <v>0</v>
      </c>
      <c r="S689" s="135">
        <f t="shared" si="369"/>
        <v>0</v>
      </c>
      <c r="T689" s="135">
        <f t="shared" si="369"/>
        <v>0</v>
      </c>
      <c r="U689" s="135">
        <f t="shared" si="369"/>
        <v>0</v>
      </c>
      <c r="V689" s="135">
        <f t="shared" si="369"/>
        <v>0</v>
      </c>
      <c r="W689" s="135">
        <f t="shared" si="369"/>
        <v>0</v>
      </c>
      <c r="X689" s="135">
        <f t="shared" si="369"/>
        <v>0</v>
      </c>
      <c r="Y689" s="135">
        <f t="shared" si="369"/>
        <v>0</v>
      </c>
      <c r="Z689" s="135">
        <f t="shared" si="369"/>
        <v>0</v>
      </c>
      <c r="AA689" s="135">
        <f t="shared" si="369"/>
        <v>0</v>
      </c>
      <c r="AB689" s="135">
        <f t="shared" si="369"/>
        <v>0</v>
      </c>
      <c r="AC689" s="135">
        <f t="shared" si="369"/>
        <v>0</v>
      </c>
      <c r="AD689" s="135">
        <f t="shared" si="369"/>
        <v>0</v>
      </c>
      <c r="AE689" s="135">
        <f t="shared" si="369"/>
        <v>0</v>
      </c>
      <c r="AF689" s="135">
        <f t="shared" si="369"/>
        <v>0</v>
      </c>
      <c r="AG689" s="135">
        <f t="shared" si="369"/>
        <v>0</v>
      </c>
      <c r="AH689" s="135">
        <f t="shared" si="369"/>
        <v>0</v>
      </c>
      <c r="AI689" s="135">
        <f t="shared" si="369"/>
        <v>0</v>
      </c>
      <c r="AJ689" s="135">
        <f t="shared" si="369"/>
        <v>0</v>
      </c>
      <c r="AK689" s="135">
        <f t="shared" si="369"/>
        <v>0</v>
      </c>
      <c r="AL689" s="135">
        <f t="shared" si="369"/>
        <v>0</v>
      </c>
      <c r="AM689" s="135">
        <f t="shared" si="369"/>
        <v>0</v>
      </c>
      <c r="AN689" s="135">
        <f t="shared" si="369"/>
        <v>0</v>
      </c>
      <c r="AO689" s="135">
        <f t="shared" si="369"/>
        <v>0</v>
      </c>
      <c r="AP689" s="135">
        <f t="shared" si="369"/>
        <v>0</v>
      </c>
    </row>
    <row r="690" spans="1:42" x14ac:dyDescent="0.2">
      <c r="A690" s="20" t="s">
        <v>184</v>
      </c>
      <c r="B690" s="135"/>
      <c r="C690" s="135"/>
      <c r="D690" s="135"/>
      <c r="E690" s="135"/>
      <c r="F690" s="135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</row>
    <row r="691" spans="1:42" x14ac:dyDescent="0.2">
      <c r="A691" s="20">
        <v>1</v>
      </c>
      <c r="B691" s="233">
        <f t="shared" ref="B691:B700" si="370">SUM(C691:AP691)</f>
        <v>0</v>
      </c>
      <c r="C691" s="169">
        <f t="shared" ref="C691:AP691" si="371">IF(C$2&lt;=MMFrequency3*$A$679,$B$679/(MMFrequency3),0)</f>
        <v>0</v>
      </c>
      <c r="D691" s="169">
        <f t="shared" si="371"/>
        <v>0</v>
      </c>
      <c r="E691" s="169">
        <f t="shared" si="371"/>
        <v>0</v>
      </c>
      <c r="F691" s="169">
        <f t="shared" si="371"/>
        <v>0</v>
      </c>
      <c r="G691" s="169">
        <f t="shared" si="371"/>
        <v>0</v>
      </c>
      <c r="H691" s="169">
        <f t="shared" si="371"/>
        <v>0</v>
      </c>
      <c r="I691" s="169">
        <f t="shared" si="371"/>
        <v>0</v>
      </c>
      <c r="J691" s="169">
        <f t="shared" si="371"/>
        <v>0</v>
      </c>
      <c r="K691" s="169">
        <f t="shared" si="371"/>
        <v>0</v>
      </c>
      <c r="L691" s="169">
        <f t="shared" si="371"/>
        <v>0</v>
      </c>
      <c r="M691" s="169">
        <f t="shared" si="371"/>
        <v>0</v>
      </c>
      <c r="N691" s="169">
        <f t="shared" si="371"/>
        <v>0</v>
      </c>
      <c r="O691" s="169">
        <f t="shared" si="371"/>
        <v>0</v>
      </c>
      <c r="P691" s="169">
        <f t="shared" si="371"/>
        <v>0</v>
      </c>
      <c r="Q691" s="169">
        <f t="shared" si="371"/>
        <v>0</v>
      </c>
      <c r="R691" s="169">
        <f t="shared" si="371"/>
        <v>0</v>
      </c>
      <c r="S691" s="169">
        <f t="shared" si="371"/>
        <v>0</v>
      </c>
      <c r="T691" s="169">
        <f t="shared" si="371"/>
        <v>0</v>
      </c>
      <c r="U691" s="169">
        <f t="shared" si="371"/>
        <v>0</v>
      </c>
      <c r="V691" s="169">
        <f t="shared" si="371"/>
        <v>0</v>
      </c>
      <c r="W691" s="169">
        <f t="shared" si="371"/>
        <v>0</v>
      </c>
      <c r="X691" s="169">
        <f t="shared" si="371"/>
        <v>0</v>
      </c>
      <c r="Y691" s="169">
        <f t="shared" si="371"/>
        <v>0</v>
      </c>
      <c r="Z691" s="169">
        <f t="shared" si="371"/>
        <v>0</v>
      </c>
      <c r="AA691" s="169">
        <f t="shared" si="371"/>
        <v>0</v>
      </c>
      <c r="AB691" s="169">
        <f t="shared" si="371"/>
        <v>0</v>
      </c>
      <c r="AC691" s="169">
        <f t="shared" si="371"/>
        <v>0</v>
      </c>
      <c r="AD691" s="169">
        <f t="shared" si="371"/>
        <v>0</v>
      </c>
      <c r="AE691" s="169">
        <f t="shared" si="371"/>
        <v>0</v>
      </c>
      <c r="AF691" s="169">
        <f t="shared" si="371"/>
        <v>0</v>
      </c>
      <c r="AG691" s="169">
        <f t="shared" si="371"/>
        <v>0</v>
      </c>
      <c r="AH691" s="169">
        <f t="shared" si="371"/>
        <v>0</v>
      </c>
      <c r="AI691" s="169">
        <f t="shared" si="371"/>
        <v>0</v>
      </c>
      <c r="AJ691" s="169">
        <f t="shared" si="371"/>
        <v>0</v>
      </c>
      <c r="AK691" s="169">
        <f t="shared" si="371"/>
        <v>0</v>
      </c>
      <c r="AL691" s="169">
        <f t="shared" si="371"/>
        <v>0</v>
      </c>
      <c r="AM691" s="169">
        <f t="shared" si="371"/>
        <v>0</v>
      </c>
      <c r="AN691" s="169">
        <f t="shared" si="371"/>
        <v>0</v>
      </c>
      <c r="AO691" s="169">
        <f t="shared" si="371"/>
        <v>0</v>
      </c>
      <c r="AP691" s="169">
        <f t="shared" si="371"/>
        <v>0</v>
      </c>
    </row>
    <row r="692" spans="1:42" x14ac:dyDescent="0.2">
      <c r="A692" s="20">
        <f>A691+1</f>
        <v>2</v>
      </c>
      <c r="B692" s="233">
        <f t="shared" si="370"/>
        <v>0</v>
      </c>
      <c r="C692" s="169">
        <f t="shared" ref="C692:AP698" si="372">IF(AND(C$2&gt;MMFrequency3*$A679,C$2&lt;=MMFrequency3*$A680),$B680/(MMFrequency3),0)</f>
        <v>0</v>
      </c>
      <c r="D692" s="169">
        <f t="shared" si="372"/>
        <v>0</v>
      </c>
      <c r="E692" s="169">
        <f t="shared" si="372"/>
        <v>0</v>
      </c>
      <c r="F692" s="169">
        <f t="shared" si="372"/>
        <v>0</v>
      </c>
      <c r="G692" s="169">
        <f t="shared" si="372"/>
        <v>0</v>
      </c>
      <c r="H692" s="169">
        <f t="shared" si="372"/>
        <v>0</v>
      </c>
      <c r="I692" s="169">
        <f t="shared" si="372"/>
        <v>0</v>
      </c>
      <c r="J692" s="169">
        <f t="shared" si="372"/>
        <v>0</v>
      </c>
      <c r="K692" s="169">
        <f t="shared" si="372"/>
        <v>0</v>
      </c>
      <c r="L692" s="169">
        <f t="shared" si="372"/>
        <v>0</v>
      </c>
      <c r="M692" s="169">
        <f t="shared" si="372"/>
        <v>0</v>
      </c>
      <c r="N692" s="169">
        <f t="shared" si="372"/>
        <v>0</v>
      </c>
      <c r="O692" s="169">
        <f t="shared" si="372"/>
        <v>0</v>
      </c>
      <c r="P692" s="169">
        <f t="shared" si="372"/>
        <v>0</v>
      </c>
      <c r="Q692" s="169">
        <f t="shared" si="372"/>
        <v>0</v>
      </c>
      <c r="R692" s="169">
        <f t="shared" si="372"/>
        <v>0</v>
      </c>
      <c r="S692" s="169">
        <f t="shared" si="372"/>
        <v>0</v>
      </c>
      <c r="T692" s="169">
        <f t="shared" si="372"/>
        <v>0</v>
      </c>
      <c r="U692" s="169">
        <f t="shared" si="372"/>
        <v>0</v>
      </c>
      <c r="V692" s="169">
        <f t="shared" si="372"/>
        <v>0</v>
      </c>
      <c r="W692" s="169">
        <f t="shared" si="372"/>
        <v>0</v>
      </c>
      <c r="X692" s="169">
        <f t="shared" si="372"/>
        <v>0</v>
      </c>
      <c r="Y692" s="169">
        <f t="shared" si="372"/>
        <v>0</v>
      </c>
      <c r="Z692" s="169">
        <f t="shared" si="372"/>
        <v>0</v>
      </c>
      <c r="AA692" s="169">
        <f t="shared" si="372"/>
        <v>0</v>
      </c>
      <c r="AB692" s="169">
        <f t="shared" si="372"/>
        <v>0</v>
      </c>
      <c r="AC692" s="169">
        <f t="shared" si="372"/>
        <v>0</v>
      </c>
      <c r="AD692" s="169">
        <f t="shared" si="372"/>
        <v>0</v>
      </c>
      <c r="AE692" s="169">
        <f t="shared" si="372"/>
        <v>0</v>
      </c>
      <c r="AF692" s="169">
        <f t="shared" si="372"/>
        <v>0</v>
      </c>
      <c r="AG692" s="169">
        <f t="shared" si="372"/>
        <v>0</v>
      </c>
      <c r="AH692" s="169">
        <f t="shared" si="372"/>
        <v>0</v>
      </c>
      <c r="AI692" s="169">
        <f t="shared" si="372"/>
        <v>0</v>
      </c>
      <c r="AJ692" s="169">
        <f t="shared" si="372"/>
        <v>0</v>
      </c>
      <c r="AK692" s="169">
        <f t="shared" si="372"/>
        <v>0</v>
      </c>
      <c r="AL692" s="169">
        <f t="shared" si="372"/>
        <v>0</v>
      </c>
      <c r="AM692" s="169">
        <f t="shared" si="372"/>
        <v>0</v>
      </c>
      <c r="AN692" s="169">
        <f t="shared" si="372"/>
        <v>0</v>
      </c>
      <c r="AO692" s="169">
        <f t="shared" si="372"/>
        <v>0</v>
      </c>
      <c r="AP692" s="169">
        <f t="shared" si="372"/>
        <v>0</v>
      </c>
    </row>
    <row r="693" spans="1:42" x14ac:dyDescent="0.2">
      <c r="A693" s="20">
        <f t="shared" ref="A693:A698" si="373">A692+1</f>
        <v>3</v>
      </c>
      <c r="B693" s="233">
        <f t="shared" si="370"/>
        <v>0</v>
      </c>
      <c r="C693" s="169">
        <f t="shared" si="372"/>
        <v>0</v>
      </c>
      <c r="D693" s="169">
        <f t="shared" si="372"/>
        <v>0</v>
      </c>
      <c r="E693" s="169">
        <f t="shared" si="372"/>
        <v>0</v>
      </c>
      <c r="F693" s="169">
        <f t="shared" si="372"/>
        <v>0</v>
      </c>
      <c r="G693" s="169">
        <f t="shared" si="372"/>
        <v>0</v>
      </c>
      <c r="H693" s="169">
        <f t="shared" si="372"/>
        <v>0</v>
      </c>
      <c r="I693" s="169">
        <f t="shared" si="372"/>
        <v>0</v>
      </c>
      <c r="J693" s="169">
        <f t="shared" si="372"/>
        <v>0</v>
      </c>
      <c r="K693" s="169">
        <f t="shared" si="372"/>
        <v>0</v>
      </c>
      <c r="L693" s="169">
        <f t="shared" si="372"/>
        <v>0</v>
      </c>
      <c r="M693" s="169">
        <f t="shared" si="372"/>
        <v>0</v>
      </c>
      <c r="N693" s="169">
        <f t="shared" si="372"/>
        <v>0</v>
      </c>
      <c r="O693" s="169">
        <f t="shared" si="372"/>
        <v>0</v>
      </c>
      <c r="P693" s="169">
        <f t="shared" si="372"/>
        <v>0</v>
      </c>
      <c r="Q693" s="169">
        <f t="shared" si="372"/>
        <v>0</v>
      </c>
      <c r="R693" s="169">
        <f t="shared" si="372"/>
        <v>0</v>
      </c>
      <c r="S693" s="169">
        <f t="shared" si="372"/>
        <v>0</v>
      </c>
      <c r="T693" s="169">
        <f t="shared" si="372"/>
        <v>0</v>
      </c>
      <c r="U693" s="169">
        <f t="shared" si="372"/>
        <v>0</v>
      </c>
      <c r="V693" s="169">
        <f t="shared" si="372"/>
        <v>0</v>
      </c>
      <c r="W693" s="169">
        <f t="shared" si="372"/>
        <v>0</v>
      </c>
      <c r="X693" s="169">
        <f t="shared" si="372"/>
        <v>0</v>
      </c>
      <c r="Y693" s="169">
        <f t="shared" si="372"/>
        <v>0</v>
      </c>
      <c r="Z693" s="169">
        <f t="shared" si="372"/>
        <v>0</v>
      </c>
      <c r="AA693" s="169">
        <f t="shared" si="372"/>
        <v>0</v>
      </c>
      <c r="AB693" s="169">
        <f t="shared" si="372"/>
        <v>0</v>
      </c>
      <c r="AC693" s="169">
        <f t="shared" si="372"/>
        <v>0</v>
      </c>
      <c r="AD693" s="169">
        <f t="shared" si="372"/>
        <v>0</v>
      </c>
      <c r="AE693" s="169">
        <f t="shared" si="372"/>
        <v>0</v>
      </c>
      <c r="AF693" s="169">
        <f t="shared" si="372"/>
        <v>0</v>
      </c>
      <c r="AG693" s="169">
        <f t="shared" si="372"/>
        <v>0</v>
      </c>
      <c r="AH693" s="169">
        <f t="shared" si="372"/>
        <v>0</v>
      </c>
      <c r="AI693" s="169">
        <f t="shared" si="372"/>
        <v>0</v>
      </c>
      <c r="AJ693" s="169">
        <f t="shared" si="372"/>
        <v>0</v>
      </c>
      <c r="AK693" s="169">
        <f t="shared" si="372"/>
        <v>0</v>
      </c>
      <c r="AL693" s="169">
        <f t="shared" si="372"/>
        <v>0</v>
      </c>
      <c r="AM693" s="169">
        <f t="shared" si="372"/>
        <v>0</v>
      </c>
      <c r="AN693" s="169">
        <f t="shared" si="372"/>
        <v>0</v>
      </c>
      <c r="AO693" s="169">
        <f t="shared" si="372"/>
        <v>0</v>
      </c>
      <c r="AP693" s="169">
        <f t="shared" si="372"/>
        <v>0</v>
      </c>
    </row>
    <row r="694" spans="1:42" x14ac:dyDescent="0.2">
      <c r="A694" s="20">
        <f t="shared" si="373"/>
        <v>4</v>
      </c>
      <c r="B694" s="233">
        <f t="shared" si="370"/>
        <v>0</v>
      </c>
      <c r="C694" s="169">
        <f t="shared" si="372"/>
        <v>0</v>
      </c>
      <c r="D694" s="169">
        <f t="shared" si="372"/>
        <v>0</v>
      </c>
      <c r="E694" s="169">
        <f t="shared" si="372"/>
        <v>0</v>
      </c>
      <c r="F694" s="169">
        <f t="shared" si="372"/>
        <v>0</v>
      </c>
      <c r="G694" s="169">
        <f t="shared" si="372"/>
        <v>0</v>
      </c>
      <c r="H694" s="169">
        <f t="shared" si="372"/>
        <v>0</v>
      </c>
      <c r="I694" s="169">
        <f t="shared" si="372"/>
        <v>0</v>
      </c>
      <c r="J694" s="169">
        <f t="shared" si="372"/>
        <v>0</v>
      </c>
      <c r="K694" s="169">
        <f t="shared" si="372"/>
        <v>0</v>
      </c>
      <c r="L694" s="169">
        <f t="shared" si="372"/>
        <v>0</v>
      </c>
      <c r="M694" s="169">
        <f t="shared" si="372"/>
        <v>0</v>
      </c>
      <c r="N694" s="169">
        <f t="shared" si="372"/>
        <v>0</v>
      </c>
      <c r="O694" s="169">
        <f t="shared" si="372"/>
        <v>0</v>
      </c>
      <c r="P694" s="169">
        <f t="shared" si="372"/>
        <v>0</v>
      </c>
      <c r="Q694" s="169">
        <f t="shared" si="372"/>
        <v>0</v>
      </c>
      <c r="R694" s="169">
        <f t="shared" si="372"/>
        <v>0</v>
      </c>
      <c r="S694" s="169">
        <f t="shared" si="372"/>
        <v>0</v>
      </c>
      <c r="T694" s="169">
        <f t="shared" si="372"/>
        <v>0</v>
      </c>
      <c r="U694" s="169">
        <f t="shared" si="372"/>
        <v>0</v>
      </c>
      <c r="V694" s="169">
        <f t="shared" si="372"/>
        <v>0</v>
      </c>
      <c r="W694" s="169">
        <f t="shared" si="372"/>
        <v>0</v>
      </c>
      <c r="X694" s="169">
        <f t="shared" si="372"/>
        <v>0</v>
      </c>
      <c r="Y694" s="169">
        <f t="shared" si="372"/>
        <v>0</v>
      </c>
      <c r="Z694" s="169">
        <f t="shared" si="372"/>
        <v>0</v>
      </c>
      <c r="AA694" s="169">
        <f t="shared" si="372"/>
        <v>0</v>
      </c>
      <c r="AB694" s="169">
        <f t="shared" si="372"/>
        <v>0</v>
      </c>
      <c r="AC694" s="169">
        <f t="shared" si="372"/>
        <v>0</v>
      </c>
      <c r="AD694" s="169">
        <f t="shared" si="372"/>
        <v>0</v>
      </c>
      <c r="AE694" s="169">
        <f t="shared" si="372"/>
        <v>0</v>
      </c>
      <c r="AF694" s="169">
        <f t="shared" si="372"/>
        <v>0</v>
      </c>
      <c r="AG694" s="169">
        <f t="shared" si="372"/>
        <v>0</v>
      </c>
      <c r="AH694" s="169">
        <f t="shared" si="372"/>
        <v>0</v>
      </c>
      <c r="AI694" s="169">
        <f t="shared" si="372"/>
        <v>0</v>
      </c>
      <c r="AJ694" s="169">
        <f t="shared" si="372"/>
        <v>0</v>
      </c>
      <c r="AK694" s="169">
        <f t="shared" si="372"/>
        <v>0</v>
      </c>
      <c r="AL694" s="169">
        <f t="shared" si="372"/>
        <v>0</v>
      </c>
      <c r="AM694" s="169">
        <f t="shared" si="372"/>
        <v>0</v>
      </c>
      <c r="AN694" s="169">
        <f t="shared" si="372"/>
        <v>0</v>
      </c>
      <c r="AO694" s="169">
        <f t="shared" si="372"/>
        <v>0</v>
      </c>
      <c r="AP694" s="169">
        <f t="shared" si="372"/>
        <v>0</v>
      </c>
    </row>
    <row r="695" spans="1:42" x14ac:dyDescent="0.2">
      <c r="A695" s="20">
        <f t="shared" si="373"/>
        <v>5</v>
      </c>
      <c r="B695" s="233">
        <f t="shared" si="370"/>
        <v>0</v>
      </c>
      <c r="C695" s="169">
        <f t="shared" si="372"/>
        <v>0</v>
      </c>
      <c r="D695" s="169">
        <f t="shared" si="372"/>
        <v>0</v>
      </c>
      <c r="E695" s="169">
        <f t="shared" si="372"/>
        <v>0</v>
      </c>
      <c r="F695" s="169">
        <f t="shared" si="372"/>
        <v>0</v>
      </c>
      <c r="G695" s="169">
        <f t="shared" si="372"/>
        <v>0</v>
      </c>
      <c r="H695" s="169">
        <f t="shared" si="372"/>
        <v>0</v>
      </c>
      <c r="I695" s="169">
        <f t="shared" si="372"/>
        <v>0</v>
      </c>
      <c r="J695" s="169">
        <f t="shared" si="372"/>
        <v>0</v>
      </c>
      <c r="K695" s="169">
        <f t="shared" si="372"/>
        <v>0</v>
      </c>
      <c r="L695" s="169">
        <f t="shared" si="372"/>
        <v>0</v>
      </c>
      <c r="M695" s="169">
        <f t="shared" si="372"/>
        <v>0</v>
      </c>
      <c r="N695" s="169">
        <f t="shared" si="372"/>
        <v>0</v>
      </c>
      <c r="O695" s="169">
        <f t="shared" si="372"/>
        <v>0</v>
      </c>
      <c r="P695" s="169">
        <f t="shared" si="372"/>
        <v>0</v>
      </c>
      <c r="Q695" s="169">
        <f t="shared" si="372"/>
        <v>0</v>
      </c>
      <c r="R695" s="169">
        <f t="shared" si="372"/>
        <v>0</v>
      </c>
      <c r="S695" s="169">
        <f t="shared" si="372"/>
        <v>0</v>
      </c>
      <c r="T695" s="169">
        <f t="shared" si="372"/>
        <v>0</v>
      </c>
      <c r="U695" s="169">
        <f t="shared" si="372"/>
        <v>0</v>
      </c>
      <c r="V695" s="169">
        <f t="shared" si="372"/>
        <v>0</v>
      </c>
      <c r="W695" s="169">
        <f t="shared" si="372"/>
        <v>0</v>
      </c>
      <c r="X695" s="169">
        <f t="shared" si="372"/>
        <v>0</v>
      </c>
      <c r="Y695" s="169">
        <f t="shared" si="372"/>
        <v>0</v>
      </c>
      <c r="Z695" s="169">
        <f t="shared" si="372"/>
        <v>0</v>
      </c>
      <c r="AA695" s="169">
        <f t="shared" si="372"/>
        <v>0</v>
      </c>
      <c r="AB695" s="169">
        <f t="shared" si="372"/>
        <v>0</v>
      </c>
      <c r="AC695" s="169">
        <f t="shared" si="372"/>
        <v>0</v>
      </c>
      <c r="AD695" s="169">
        <f t="shared" si="372"/>
        <v>0</v>
      </c>
      <c r="AE695" s="169">
        <f t="shared" si="372"/>
        <v>0</v>
      </c>
      <c r="AF695" s="169">
        <f t="shared" si="372"/>
        <v>0</v>
      </c>
      <c r="AG695" s="169">
        <f t="shared" si="372"/>
        <v>0</v>
      </c>
      <c r="AH695" s="169">
        <f t="shared" si="372"/>
        <v>0</v>
      </c>
      <c r="AI695" s="169">
        <f t="shared" si="372"/>
        <v>0</v>
      </c>
      <c r="AJ695" s="169">
        <f t="shared" si="372"/>
        <v>0</v>
      </c>
      <c r="AK695" s="169">
        <f t="shared" si="372"/>
        <v>0</v>
      </c>
      <c r="AL695" s="169">
        <f t="shared" si="372"/>
        <v>0</v>
      </c>
      <c r="AM695" s="169">
        <f t="shared" si="372"/>
        <v>0</v>
      </c>
      <c r="AN695" s="169">
        <f t="shared" si="372"/>
        <v>0</v>
      </c>
      <c r="AO695" s="169">
        <f t="shared" si="372"/>
        <v>0</v>
      </c>
      <c r="AP695" s="169">
        <f t="shared" si="372"/>
        <v>0</v>
      </c>
    </row>
    <row r="696" spans="1:42" x14ac:dyDescent="0.2">
      <c r="A696" s="20">
        <f t="shared" si="373"/>
        <v>6</v>
      </c>
      <c r="B696" s="233">
        <f t="shared" si="370"/>
        <v>0</v>
      </c>
      <c r="C696" s="169">
        <f t="shared" si="372"/>
        <v>0</v>
      </c>
      <c r="D696" s="169">
        <f t="shared" si="372"/>
        <v>0</v>
      </c>
      <c r="E696" s="169">
        <f t="shared" si="372"/>
        <v>0</v>
      </c>
      <c r="F696" s="169">
        <f t="shared" si="372"/>
        <v>0</v>
      </c>
      <c r="G696" s="169">
        <f t="shared" si="372"/>
        <v>0</v>
      </c>
      <c r="H696" s="169">
        <f t="shared" si="372"/>
        <v>0</v>
      </c>
      <c r="I696" s="169">
        <f t="shared" si="372"/>
        <v>0</v>
      </c>
      <c r="J696" s="169">
        <f t="shared" si="372"/>
        <v>0</v>
      </c>
      <c r="K696" s="169">
        <f t="shared" si="372"/>
        <v>0</v>
      </c>
      <c r="L696" s="169">
        <f t="shared" si="372"/>
        <v>0</v>
      </c>
      <c r="M696" s="169">
        <f t="shared" si="372"/>
        <v>0</v>
      </c>
      <c r="N696" s="169">
        <f t="shared" si="372"/>
        <v>0</v>
      </c>
      <c r="O696" s="169">
        <f t="shared" si="372"/>
        <v>0</v>
      </c>
      <c r="P696" s="169">
        <f t="shared" si="372"/>
        <v>0</v>
      </c>
      <c r="Q696" s="169">
        <f t="shared" si="372"/>
        <v>0</v>
      </c>
      <c r="R696" s="169">
        <f t="shared" si="372"/>
        <v>0</v>
      </c>
      <c r="S696" s="169">
        <f t="shared" si="372"/>
        <v>0</v>
      </c>
      <c r="T696" s="169">
        <f t="shared" si="372"/>
        <v>0</v>
      </c>
      <c r="U696" s="169">
        <f t="shared" si="372"/>
        <v>0</v>
      </c>
      <c r="V696" s="169">
        <f t="shared" si="372"/>
        <v>0</v>
      </c>
      <c r="W696" s="169">
        <f t="shared" si="372"/>
        <v>0</v>
      </c>
      <c r="X696" s="169">
        <f t="shared" si="372"/>
        <v>0</v>
      </c>
      <c r="Y696" s="169">
        <f t="shared" si="372"/>
        <v>0</v>
      </c>
      <c r="Z696" s="169">
        <f t="shared" si="372"/>
        <v>0</v>
      </c>
      <c r="AA696" s="169">
        <f t="shared" si="372"/>
        <v>0</v>
      </c>
      <c r="AB696" s="169">
        <f t="shared" si="372"/>
        <v>0</v>
      </c>
      <c r="AC696" s="169">
        <f t="shared" si="372"/>
        <v>0</v>
      </c>
      <c r="AD696" s="169">
        <f t="shared" si="372"/>
        <v>0</v>
      </c>
      <c r="AE696" s="169">
        <f t="shared" si="372"/>
        <v>0</v>
      </c>
      <c r="AF696" s="169">
        <f t="shared" si="372"/>
        <v>0</v>
      </c>
      <c r="AG696" s="169">
        <f t="shared" si="372"/>
        <v>0</v>
      </c>
      <c r="AH696" s="169">
        <f t="shared" si="372"/>
        <v>0</v>
      </c>
      <c r="AI696" s="169">
        <f t="shared" si="372"/>
        <v>0</v>
      </c>
      <c r="AJ696" s="169">
        <f t="shared" si="372"/>
        <v>0</v>
      </c>
      <c r="AK696" s="169">
        <f t="shared" si="372"/>
        <v>0</v>
      </c>
      <c r="AL696" s="169">
        <f t="shared" si="372"/>
        <v>0</v>
      </c>
      <c r="AM696" s="169">
        <f t="shared" si="372"/>
        <v>0</v>
      </c>
      <c r="AN696" s="169">
        <f t="shared" si="372"/>
        <v>0</v>
      </c>
      <c r="AO696" s="169">
        <f t="shared" si="372"/>
        <v>0</v>
      </c>
      <c r="AP696" s="169">
        <f t="shared" si="372"/>
        <v>0</v>
      </c>
    </row>
    <row r="697" spans="1:42" x14ac:dyDescent="0.2">
      <c r="A697" s="20">
        <f t="shared" si="373"/>
        <v>7</v>
      </c>
      <c r="B697" s="233">
        <f t="shared" si="370"/>
        <v>0</v>
      </c>
      <c r="C697" s="169">
        <f t="shared" si="372"/>
        <v>0</v>
      </c>
      <c r="D697" s="169">
        <f t="shared" si="372"/>
        <v>0</v>
      </c>
      <c r="E697" s="169">
        <f t="shared" si="372"/>
        <v>0</v>
      </c>
      <c r="F697" s="169">
        <f t="shared" si="372"/>
        <v>0</v>
      </c>
      <c r="G697" s="169">
        <f t="shared" si="372"/>
        <v>0</v>
      </c>
      <c r="H697" s="169">
        <f t="shared" si="372"/>
        <v>0</v>
      </c>
      <c r="I697" s="169">
        <f t="shared" si="372"/>
        <v>0</v>
      </c>
      <c r="J697" s="169">
        <f t="shared" si="372"/>
        <v>0</v>
      </c>
      <c r="K697" s="169">
        <f t="shared" si="372"/>
        <v>0</v>
      </c>
      <c r="L697" s="169">
        <f t="shared" si="372"/>
        <v>0</v>
      </c>
      <c r="M697" s="169">
        <f t="shared" si="372"/>
        <v>0</v>
      </c>
      <c r="N697" s="169">
        <f t="shared" si="372"/>
        <v>0</v>
      </c>
      <c r="O697" s="169">
        <f t="shared" si="372"/>
        <v>0</v>
      </c>
      <c r="P697" s="169">
        <f t="shared" si="372"/>
        <v>0</v>
      </c>
      <c r="Q697" s="169">
        <f t="shared" si="372"/>
        <v>0</v>
      </c>
      <c r="R697" s="169">
        <f t="shared" si="372"/>
        <v>0</v>
      </c>
      <c r="S697" s="169">
        <f t="shared" si="372"/>
        <v>0</v>
      </c>
      <c r="T697" s="169">
        <f t="shared" si="372"/>
        <v>0</v>
      </c>
      <c r="U697" s="169">
        <f t="shared" si="372"/>
        <v>0</v>
      </c>
      <c r="V697" s="169">
        <f t="shared" si="372"/>
        <v>0</v>
      </c>
      <c r="W697" s="169">
        <f t="shared" si="372"/>
        <v>0</v>
      </c>
      <c r="X697" s="169">
        <f t="shared" si="372"/>
        <v>0</v>
      </c>
      <c r="Y697" s="169">
        <f t="shared" si="372"/>
        <v>0</v>
      </c>
      <c r="Z697" s="169">
        <f t="shared" si="372"/>
        <v>0</v>
      </c>
      <c r="AA697" s="169">
        <f t="shared" si="372"/>
        <v>0</v>
      </c>
      <c r="AB697" s="169">
        <f t="shared" si="372"/>
        <v>0</v>
      </c>
      <c r="AC697" s="169">
        <f t="shared" si="372"/>
        <v>0</v>
      </c>
      <c r="AD697" s="169">
        <f t="shared" si="372"/>
        <v>0</v>
      </c>
      <c r="AE697" s="169">
        <f t="shared" si="372"/>
        <v>0</v>
      </c>
      <c r="AF697" s="169">
        <f t="shared" si="372"/>
        <v>0</v>
      </c>
      <c r="AG697" s="169">
        <f t="shared" si="372"/>
        <v>0</v>
      </c>
      <c r="AH697" s="169">
        <f t="shared" si="372"/>
        <v>0</v>
      </c>
      <c r="AI697" s="169">
        <f t="shared" si="372"/>
        <v>0</v>
      </c>
      <c r="AJ697" s="169">
        <f t="shared" si="372"/>
        <v>0</v>
      </c>
      <c r="AK697" s="169">
        <f t="shared" si="372"/>
        <v>0</v>
      </c>
      <c r="AL697" s="169">
        <f t="shared" si="372"/>
        <v>0</v>
      </c>
      <c r="AM697" s="169">
        <f t="shared" si="372"/>
        <v>0</v>
      </c>
      <c r="AN697" s="169">
        <f t="shared" si="372"/>
        <v>0</v>
      </c>
      <c r="AO697" s="169">
        <f t="shared" si="372"/>
        <v>0</v>
      </c>
      <c r="AP697" s="169">
        <f t="shared" si="372"/>
        <v>0</v>
      </c>
    </row>
    <row r="698" spans="1:42" x14ac:dyDescent="0.2">
      <c r="A698" s="20">
        <f t="shared" si="373"/>
        <v>8</v>
      </c>
      <c r="B698" s="233">
        <f t="shared" si="370"/>
        <v>0</v>
      </c>
      <c r="C698" s="169">
        <f t="shared" si="372"/>
        <v>0</v>
      </c>
      <c r="D698" s="169">
        <f t="shared" si="372"/>
        <v>0</v>
      </c>
      <c r="E698" s="169">
        <f t="shared" si="372"/>
        <v>0</v>
      </c>
      <c r="F698" s="169">
        <f t="shared" si="372"/>
        <v>0</v>
      </c>
      <c r="G698" s="169">
        <f t="shared" si="372"/>
        <v>0</v>
      </c>
      <c r="H698" s="169">
        <f t="shared" si="372"/>
        <v>0</v>
      </c>
      <c r="I698" s="169">
        <f t="shared" si="372"/>
        <v>0</v>
      </c>
      <c r="J698" s="169">
        <f t="shared" si="372"/>
        <v>0</v>
      </c>
      <c r="K698" s="169">
        <f t="shared" si="372"/>
        <v>0</v>
      </c>
      <c r="L698" s="169">
        <f t="shared" si="372"/>
        <v>0</v>
      </c>
      <c r="M698" s="169">
        <f t="shared" si="372"/>
        <v>0</v>
      </c>
      <c r="N698" s="169">
        <f t="shared" si="372"/>
        <v>0</v>
      </c>
      <c r="O698" s="169">
        <f t="shared" si="372"/>
        <v>0</v>
      </c>
      <c r="P698" s="169">
        <f t="shared" si="372"/>
        <v>0</v>
      </c>
      <c r="Q698" s="169">
        <f t="shared" si="372"/>
        <v>0</v>
      </c>
      <c r="R698" s="169">
        <f t="shared" ref="R698:AP698" si="374">IF(AND(R$2&gt;MMFrequency3*$A685,R$2&lt;=MMFrequency3*$A686),$B686/(MMFrequency3),0)</f>
        <v>0</v>
      </c>
      <c r="S698" s="169">
        <f t="shared" si="374"/>
        <v>0</v>
      </c>
      <c r="T698" s="169">
        <f t="shared" si="374"/>
        <v>0</v>
      </c>
      <c r="U698" s="169">
        <f t="shared" si="374"/>
        <v>0</v>
      </c>
      <c r="V698" s="169">
        <f t="shared" si="374"/>
        <v>0</v>
      </c>
      <c r="W698" s="169">
        <f t="shared" si="374"/>
        <v>0</v>
      </c>
      <c r="X698" s="169">
        <f t="shared" si="374"/>
        <v>0</v>
      </c>
      <c r="Y698" s="169">
        <f t="shared" si="374"/>
        <v>0</v>
      </c>
      <c r="Z698" s="169">
        <f t="shared" si="374"/>
        <v>0</v>
      </c>
      <c r="AA698" s="169">
        <f t="shared" si="374"/>
        <v>0</v>
      </c>
      <c r="AB698" s="169">
        <f t="shared" si="374"/>
        <v>0</v>
      </c>
      <c r="AC698" s="169">
        <f t="shared" si="374"/>
        <v>0</v>
      </c>
      <c r="AD698" s="169">
        <f t="shared" si="374"/>
        <v>0</v>
      </c>
      <c r="AE698" s="169">
        <f t="shared" si="374"/>
        <v>0</v>
      </c>
      <c r="AF698" s="169">
        <f t="shared" si="374"/>
        <v>0</v>
      </c>
      <c r="AG698" s="169">
        <f t="shared" si="374"/>
        <v>0</v>
      </c>
      <c r="AH698" s="169">
        <f t="shared" si="374"/>
        <v>0</v>
      </c>
      <c r="AI698" s="169">
        <f t="shared" si="374"/>
        <v>0</v>
      </c>
      <c r="AJ698" s="169">
        <f t="shared" si="374"/>
        <v>0</v>
      </c>
      <c r="AK698" s="169">
        <f t="shared" si="374"/>
        <v>0</v>
      </c>
      <c r="AL698" s="169">
        <f t="shared" si="374"/>
        <v>0</v>
      </c>
      <c r="AM698" s="169">
        <f t="shared" si="374"/>
        <v>0</v>
      </c>
      <c r="AN698" s="169">
        <f t="shared" si="374"/>
        <v>0</v>
      </c>
      <c r="AO698" s="169">
        <f t="shared" si="374"/>
        <v>0</v>
      </c>
      <c r="AP698" s="169">
        <f t="shared" si="374"/>
        <v>0</v>
      </c>
    </row>
    <row r="699" spans="1:42" x14ac:dyDescent="0.2">
      <c r="A699" s="20">
        <f>A698+1</f>
        <v>9</v>
      </c>
      <c r="B699" s="233">
        <f t="shared" si="370"/>
        <v>0</v>
      </c>
      <c r="C699" s="169">
        <f t="shared" ref="C699:AP700" si="375">IF(AND(C$2&gt;MMFrequency3*$A686,C$2&lt;=MMFrequency3*$A687),$B687/(MMFrequency3),0)</f>
        <v>0</v>
      </c>
      <c r="D699" s="169">
        <f t="shared" si="375"/>
        <v>0</v>
      </c>
      <c r="E699" s="169">
        <f t="shared" si="375"/>
        <v>0</v>
      </c>
      <c r="F699" s="169">
        <f t="shared" si="375"/>
        <v>0</v>
      </c>
      <c r="G699" s="169">
        <f t="shared" si="375"/>
        <v>0</v>
      </c>
      <c r="H699" s="169">
        <f t="shared" si="375"/>
        <v>0</v>
      </c>
      <c r="I699" s="169">
        <f t="shared" si="375"/>
        <v>0</v>
      </c>
      <c r="J699" s="169">
        <f t="shared" si="375"/>
        <v>0</v>
      </c>
      <c r="K699" s="169">
        <f t="shared" si="375"/>
        <v>0</v>
      </c>
      <c r="L699" s="169">
        <f t="shared" si="375"/>
        <v>0</v>
      </c>
      <c r="M699" s="169">
        <f t="shared" si="375"/>
        <v>0</v>
      </c>
      <c r="N699" s="169">
        <f t="shared" si="375"/>
        <v>0</v>
      </c>
      <c r="O699" s="169">
        <f t="shared" si="375"/>
        <v>0</v>
      </c>
      <c r="P699" s="169">
        <f t="shared" si="375"/>
        <v>0</v>
      </c>
      <c r="Q699" s="169">
        <f t="shared" si="375"/>
        <v>0</v>
      </c>
      <c r="R699" s="169">
        <f t="shared" si="375"/>
        <v>0</v>
      </c>
      <c r="S699" s="169">
        <f t="shared" si="375"/>
        <v>0</v>
      </c>
      <c r="T699" s="169">
        <f t="shared" si="375"/>
        <v>0</v>
      </c>
      <c r="U699" s="169">
        <f t="shared" si="375"/>
        <v>0</v>
      </c>
      <c r="V699" s="169">
        <f t="shared" si="375"/>
        <v>0</v>
      </c>
      <c r="W699" s="169">
        <f t="shared" si="375"/>
        <v>0</v>
      </c>
      <c r="X699" s="169">
        <f t="shared" si="375"/>
        <v>0</v>
      </c>
      <c r="Y699" s="169">
        <f t="shared" si="375"/>
        <v>0</v>
      </c>
      <c r="Z699" s="169">
        <f t="shared" si="375"/>
        <v>0</v>
      </c>
      <c r="AA699" s="169">
        <f t="shared" si="375"/>
        <v>0</v>
      </c>
      <c r="AB699" s="169">
        <f t="shared" si="375"/>
        <v>0</v>
      </c>
      <c r="AC699" s="169">
        <f t="shared" si="375"/>
        <v>0</v>
      </c>
      <c r="AD699" s="169">
        <f t="shared" si="375"/>
        <v>0</v>
      </c>
      <c r="AE699" s="169">
        <f t="shared" si="375"/>
        <v>0</v>
      </c>
      <c r="AF699" s="169">
        <f t="shared" si="375"/>
        <v>0</v>
      </c>
      <c r="AG699" s="169">
        <f t="shared" si="375"/>
        <v>0</v>
      </c>
      <c r="AH699" s="169">
        <f t="shared" si="375"/>
        <v>0</v>
      </c>
      <c r="AI699" s="169">
        <f t="shared" si="375"/>
        <v>0</v>
      </c>
      <c r="AJ699" s="169">
        <f t="shared" si="375"/>
        <v>0</v>
      </c>
      <c r="AK699" s="169">
        <f t="shared" si="375"/>
        <v>0</v>
      </c>
      <c r="AL699" s="169">
        <f t="shared" si="375"/>
        <v>0</v>
      </c>
      <c r="AM699" s="169">
        <f t="shared" si="375"/>
        <v>0</v>
      </c>
      <c r="AN699" s="169">
        <f t="shared" si="375"/>
        <v>0</v>
      </c>
      <c r="AO699" s="169">
        <f t="shared" si="375"/>
        <v>0</v>
      </c>
      <c r="AP699" s="169">
        <f t="shared" si="375"/>
        <v>0</v>
      </c>
    </row>
    <row r="700" spans="1:42" x14ac:dyDescent="0.2">
      <c r="A700" s="20">
        <f t="shared" ref="A700" si="376">A699+1</f>
        <v>10</v>
      </c>
      <c r="B700" s="233">
        <f t="shared" si="370"/>
        <v>0</v>
      </c>
      <c r="C700" s="170">
        <f t="shared" si="375"/>
        <v>0</v>
      </c>
      <c r="D700" s="170">
        <f t="shared" si="375"/>
        <v>0</v>
      </c>
      <c r="E700" s="170">
        <f t="shared" si="375"/>
        <v>0</v>
      </c>
      <c r="F700" s="170">
        <f t="shared" si="375"/>
        <v>0</v>
      </c>
      <c r="G700" s="170">
        <f t="shared" si="375"/>
        <v>0</v>
      </c>
      <c r="H700" s="170">
        <f t="shared" si="375"/>
        <v>0</v>
      </c>
      <c r="I700" s="170">
        <f t="shared" si="375"/>
        <v>0</v>
      </c>
      <c r="J700" s="170">
        <f t="shared" si="375"/>
        <v>0</v>
      </c>
      <c r="K700" s="170">
        <f t="shared" si="375"/>
        <v>0</v>
      </c>
      <c r="L700" s="170">
        <f t="shared" si="375"/>
        <v>0</v>
      </c>
      <c r="M700" s="170">
        <f t="shared" si="375"/>
        <v>0</v>
      </c>
      <c r="N700" s="170">
        <f t="shared" si="375"/>
        <v>0</v>
      </c>
      <c r="O700" s="170">
        <f t="shared" si="375"/>
        <v>0</v>
      </c>
      <c r="P700" s="170">
        <f t="shared" si="375"/>
        <v>0</v>
      </c>
      <c r="Q700" s="170">
        <f t="shared" si="375"/>
        <v>0</v>
      </c>
      <c r="R700" s="170">
        <f t="shared" si="375"/>
        <v>0</v>
      </c>
      <c r="S700" s="170">
        <f t="shared" si="375"/>
        <v>0</v>
      </c>
      <c r="T700" s="170">
        <f t="shared" si="375"/>
        <v>0</v>
      </c>
      <c r="U700" s="170">
        <f t="shared" si="375"/>
        <v>0</v>
      </c>
      <c r="V700" s="170">
        <f t="shared" si="375"/>
        <v>0</v>
      </c>
      <c r="W700" s="170">
        <f t="shared" si="375"/>
        <v>0</v>
      </c>
      <c r="X700" s="170">
        <f t="shared" si="375"/>
        <v>0</v>
      </c>
      <c r="Y700" s="170">
        <f t="shared" si="375"/>
        <v>0</v>
      </c>
      <c r="Z700" s="170">
        <f t="shared" si="375"/>
        <v>0</v>
      </c>
      <c r="AA700" s="170">
        <f t="shared" si="375"/>
        <v>0</v>
      </c>
      <c r="AB700" s="170">
        <f t="shared" si="375"/>
        <v>0</v>
      </c>
      <c r="AC700" s="170">
        <f t="shared" si="375"/>
        <v>0</v>
      </c>
      <c r="AD700" s="170">
        <f t="shared" si="375"/>
        <v>0</v>
      </c>
      <c r="AE700" s="170">
        <f t="shared" si="375"/>
        <v>0</v>
      </c>
      <c r="AF700" s="170">
        <f t="shared" si="375"/>
        <v>0</v>
      </c>
      <c r="AG700" s="170">
        <f t="shared" si="375"/>
        <v>0</v>
      </c>
      <c r="AH700" s="170">
        <f t="shared" si="375"/>
        <v>0</v>
      </c>
      <c r="AI700" s="170">
        <f t="shared" si="375"/>
        <v>0</v>
      </c>
      <c r="AJ700" s="170">
        <f t="shared" si="375"/>
        <v>0</v>
      </c>
      <c r="AK700" s="170">
        <f t="shared" si="375"/>
        <v>0</v>
      </c>
      <c r="AL700" s="170">
        <f t="shared" si="375"/>
        <v>0</v>
      </c>
      <c r="AM700" s="170">
        <f t="shared" si="375"/>
        <v>0</v>
      </c>
      <c r="AN700" s="170">
        <f t="shared" si="375"/>
        <v>0</v>
      </c>
      <c r="AO700" s="170">
        <f t="shared" si="375"/>
        <v>0</v>
      </c>
      <c r="AP700" s="170">
        <f t="shared" si="375"/>
        <v>0</v>
      </c>
    </row>
    <row r="701" spans="1:42" x14ac:dyDescent="0.2">
      <c r="A701" s="202" t="s">
        <v>53</v>
      </c>
      <c r="B701" s="169"/>
      <c r="C701" s="135">
        <f>SUM(C691:C700)</f>
        <v>0</v>
      </c>
      <c r="D701" s="135">
        <f t="shared" ref="D701:AP701" si="377">SUM(D691:D700)</f>
        <v>0</v>
      </c>
      <c r="E701" s="135">
        <f t="shared" si="377"/>
        <v>0</v>
      </c>
      <c r="F701" s="135">
        <f t="shared" si="377"/>
        <v>0</v>
      </c>
      <c r="G701" s="135">
        <f t="shared" si="377"/>
        <v>0</v>
      </c>
      <c r="H701" s="135">
        <f t="shared" si="377"/>
        <v>0</v>
      </c>
      <c r="I701" s="135">
        <f t="shared" si="377"/>
        <v>0</v>
      </c>
      <c r="J701" s="135">
        <f t="shared" si="377"/>
        <v>0</v>
      </c>
      <c r="K701" s="135">
        <f t="shared" si="377"/>
        <v>0</v>
      </c>
      <c r="L701" s="135">
        <f t="shared" si="377"/>
        <v>0</v>
      </c>
      <c r="M701" s="135">
        <f t="shared" si="377"/>
        <v>0</v>
      </c>
      <c r="N701" s="135">
        <f t="shared" si="377"/>
        <v>0</v>
      </c>
      <c r="O701" s="135">
        <f t="shared" si="377"/>
        <v>0</v>
      </c>
      <c r="P701" s="135">
        <f t="shared" si="377"/>
        <v>0</v>
      </c>
      <c r="Q701" s="135">
        <f t="shared" si="377"/>
        <v>0</v>
      </c>
      <c r="R701" s="135">
        <f t="shared" si="377"/>
        <v>0</v>
      </c>
      <c r="S701" s="135">
        <f t="shared" si="377"/>
        <v>0</v>
      </c>
      <c r="T701" s="135">
        <f t="shared" si="377"/>
        <v>0</v>
      </c>
      <c r="U701" s="135">
        <f t="shared" si="377"/>
        <v>0</v>
      </c>
      <c r="V701" s="135">
        <f t="shared" si="377"/>
        <v>0</v>
      </c>
      <c r="W701" s="135">
        <f t="shared" si="377"/>
        <v>0</v>
      </c>
      <c r="X701" s="135">
        <f t="shared" si="377"/>
        <v>0</v>
      </c>
      <c r="Y701" s="135">
        <f t="shared" si="377"/>
        <v>0</v>
      </c>
      <c r="Z701" s="135">
        <f t="shared" si="377"/>
        <v>0</v>
      </c>
      <c r="AA701" s="135">
        <f t="shared" si="377"/>
        <v>0</v>
      </c>
      <c r="AB701" s="135">
        <f t="shared" si="377"/>
        <v>0</v>
      </c>
      <c r="AC701" s="135">
        <f t="shared" si="377"/>
        <v>0</v>
      </c>
      <c r="AD701" s="135">
        <f t="shared" si="377"/>
        <v>0</v>
      </c>
      <c r="AE701" s="135">
        <f t="shared" si="377"/>
        <v>0</v>
      </c>
      <c r="AF701" s="135">
        <f t="shared" si="377"/>
        <v>0</v>
      </c>
      <c r="AG701" s="135">
        <f t="shared" si="377"/>
        <v>0</v>
      </c>
      <c r="AH701" s="135">
        <f t="shared" si="377"/>
        <v>0</v>
      </c>
      <c r="AI701" s="135">
        <f t="shared" si="377"/>
        <v>0</v>
      </c>
      <c r="AJ701" s="135">
        <f t="shared" si="377"/>
        <v>0</v>
      </c>
      <c r="AK701" s="135">
        <f t="shared" si="377"/>
        <v>0</v>
      </c>
      <c r="AL701" s="135">
        <f t="shared" si="377"/>
        <v>0</v>
      </c>
      <c r="AM701" s="135">
        <f t="shared" si="377"/>
        <v>0</v>
      </c>
      <c r="AN701" s="135">
        <f t="shared" si="377"/>
        <v>0</v>
      </c>
      <c r="AO701" s="135">
        <f t="shared" si="377"/>
        <v>0</v>
      </c>
      <c r="AP701" s="135">
        <f t="shared" si="377"/>
        <v>0</v>
      </c>
    </row>
    <row r="702" spans="1:42" x14ac:dyDescent="0.2">
      <c r="B702" s="169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</row>
    <row r="703" spans="1:42" x14ac:dyDescent="0.2">
      <c r="A703" s="20" t="s">
        <v>185</v>
      </c>
      <c r="B703" s="169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</row>
    <row r="704" spans="1:42" x14ac:dyDescent="0.2">
      <c r="A704" s="167" t="s">
        <v>186</v>
      </c>
      <c r="B704" s="135">
        <f>B605+B611+B643+B675</f>
        <v>387206.93687500001</v>
      </c>
      <c r="C704" s="135">
        <f t="shared" ref="C704:AP704" si="378">C605+C611+C643+C675</f>
        <v>629837.19619335944</v>
      </c>
      <c r="D704" s="135">
        <f t="shared" si="378"/>
        <v>872551.68643218931</v>
      </c>
      <c r="E704" s="135">
        <f t="shared" si="378"/>
        <v>1115352.1057990049</v>
      </c>
      <c r="F704" s="135">
        <f t="shared" si="378"/>
        <v>1358240.1880123869</v>
      </c>
      <c r="G704" s="135">
        <f t="shared" si="378"/>
        <v>1601217.7030642214</v>
      </c>
      <c r="H704" s="135">
        <f t="shared" si="378"/>
        <v>1844286.4579986068</v>
      </c>
      <c r="I704" s="135">
        <f t="shared" si="378"/>
        <v>2087448.2977077933</v>
      </c>
      <c r="J704" s="135">
        <f t="shared" si="378"/>
        <v>2330705.1057455358</v>
      </c>
      <c r="K704" s="135">
        <f t="shared" si="378"/>
        <v>2574058.805158244</v>
      </c>
      <c r="L704" s="135">
        <f t="shared" si="378"/>
        <v>2817511.359334325</v>
      </c>
      <c r="M704" s="135">
        <f t="shared" si="378"/>
        <v>3061064.7728721178</v>
      </c>
      <c r="N704" s="135">
        <f t="shared" si="378"/>
        <v>359848.74896552722</v>
      </c>
      <c r="O704" s="135">
        <f t="shared" si="378"/>
        <v>651615.94290093344</v>
      </c>
      <c r="P704" s="135">
        <f t="shared" si="378"/>
        <v>943490.26621969789</v>
      </c>
      <c r="Q704" s="135">
        <f t="shared" si="378"/>
        <v>1235473.8974257964</v>
      </c>
      <c r="R704" s="135">
        <f t="shared" si="378"/>
        <v>1527569.0608665079</v>
      </c>
      <c r="S704" s="135">
        <f t="shared" si="378"/>
        <v>1819778.0277209112</v>
      </c>
      <c r="T704" s="135">
        <f t="shared" si="378"/>
        <v>2112103.1170100612</v>
      </c>
      <c r="U704" s="135">
        <f t="shared" si="378"/>
        <v>2404546.6966293296</v>
      </c>
      <c r="V704" s="135">
        <f t="shared" si="378"/>
        <v>2697111.1844034018</v>
      </c>
      <c r="W704" s="135">
        <f t="shared" si="378"/>
        <v>2996964.5102581792</v>
      </c>
      <c r="X704" s="135">
        <f t="shared" si="378"/>
        <v>3296943.7340413588</v>
      </c>
      <c r="Y704" s="135">
        <f t="shared" si="378"/>
        <v>3597051.4299297049</v>
      </c>
      <c r="Z704" s="135">
        <f t="shared" si="378"/>
        <v>376347.33996138244</v>
      </c>
      <c r="AA704" s="135">
        <f t="shared" si="378"/>
        <v>734116.62208426546</v>
      </c>
      <c r="AB704" s="135">
        <f t="shared" si="378"/>
        <v>1092022.4298891323</v>
      </c>
      <c r="AC704" s="135">
        <f t="shared" si="378"/>
        <v>1450067.5622573218</v>
      </c>
      <c r="AD704" s="135">
        <f t="shared" si="378"/>
        <v>1808254.8773178405</v>
      </c>
      <c r="AE704" s="135">
        <f t="shared" si="378"/>
        <v>2166587.2937303027</v>
      </c>
      <c r="AF704" s="135">
        <f t="shared" si="378"/>
        <v>2525067.7919960911</v>
      </c>
      <c r="AG704" s="135">
        <f t="shared" si="378"/>
        <v>2883699.4157983749</v>
      </c>
      <c r="AH704" s="135">
        <f t="shared" si="378"/>
        <v>3242485.2733716164</v>
      </c>
      <c r="AI704" s="135">
        <f t="shared" si="378"/>
        <v>3601428.538901234</v>
      </c>
      <c r="AJ704" s="135">
        <f t="shared" si="378"/>
        <v>3960532.4539540838</v>
      </c>
      <c r="AK704" s="135">
        <f t="shared" si="378"/>
        <v>4319800.3289404484</v>
      </c>
      <c r="AL704" s="135">
        <f t="shared" si="378"/>
        <v>469532.24880110752</v>
      </c>
      <c r="AM704" s="135">
        <f t="shared" si="378"/>
        <v>478329.64977906219</v>
      </c>
      <c r="AN704" s="135">
        <f t="shared" si="378"/>
        <v>487301.37008931278</v>
      </c>
      <c r="AO704" s="135">
        <f t="shared" si="378"/>
        <v>496451.01079080044</v>
      </c>
      <c r="AP704" s="135">
        <f t="shared" si="378"/>
        <v>0</v>
      </c>
    </row>
    <row r="705" spans="1:42" x14ac:dyDescent="0.2">
      <c r="A705" s="167" t="s">
        <v>185</v>
      </c>
      <c r="B705" s="169"/>
      <c r="C705" s="135">
        <f t="shared" ref="C705:AP705" si="379">IF(C$2&lt;=AnalysisPeriod,B704*InterestOnReserves,0)</f>
        <v>6776.1213953125007</v>
      </c>
      <c r="D705" s="135">
        <f t="shared" si="379"/>
        <v>11022.150933383791</v>
      </c>
      <c r="E705" s="135">
        <f t="shared" si="379"/>
        <v>15269.654512563315</v>
      </c>
      <c r="F705" s="135">
        <f t="shared" si="379"/>
        <v>19518.661851482586</v>
      </c>
      <c r="G705" s="135">
        <f t="shared" si="379"/>
        <v>23769.203290216774</v>
      </c>
      <c r="H705" s="135">
        <f t="shared" si="379"/>
        <v>28021.309803623877</v>
      </c>
      <c r="I705" s="135">
        <f t="shared" si="379"/>
        <v>32275.013014975622</v>
      </c>
      <c r="J705" s="135">
        <f t="shared" si="379"/>
        <v>36530.345209886385</v>
      </c>
      <c r="K705" s="135">
        <f t="shared" si="379"/>
        <v>40787.339350546878</v>
      </c>
      <c r="L705" s="135">
        <f t="shared" si="379"/>
        <v>45046.029090269272</v>
      </c>
      <c r="M705" s="135">
        <f t="shared" si="379"/>
        <v>49306.448788350688</v>
      </c>
      <c r="N705" s="135">
        <f t="shared" si="379"/>
        <v>53568.63352526207</v>
      </c>
      <c r="O705" s="135">
        <f t="shared" si="379"/>
        <v>6297.3531068967268</v>
      </c>
      <c r="P705" s="135">
        <f t="shared" si="379"/>
        <v>11403.279000766337</v>
      </c>
      <c r="Q705" s="135">
        <f t="shared" si="379"/>
        <v>16511.079658844716</v>
      </c>
      <c r="R705" s="135">
        <f t="shared" si="379"/>
        <v>21620.793204951438</v>
      </c>
      <c r="S705" s="135">
        <f t="shared" si="379"/>
        <v>26732.458565163892</v>
      </c>
      <c r="T705" s="135">
        <f t="shared" si="379"/>
        <v>31846.115485115948</v>
      </c>
      <c r="U705" s="135">
        <f t="shared" si="379"/>
        <v>36961.804547676074</v>
      </c>
      <c r="V705" s="135">
        <f t="shared" si="379"/>
        <v>42079.567191013273</v>
      </c>
      <c r="W705" s="135">
        <f t="shared" si="379"/>
        <v>47199.445727059538</v>
      </c>
      <c r="X705" s="135">
        <f t="shared" si="379"/>
        <v>52446.878929518141</v>
      </c>
      <c r="Y705" s="135">
        <f t="shared" si="379"/>
        <v>57696.515345723783</v>
      </c>
      <c r="Z705" s="135">
        <f t="shared" si="379"/>
        <v>62948.400023769842</v>
      </c>
      <c r="AA705" s="135">
        <f t="shared" si="379"/>
        <v>6586.0784493241936</v>
      </c>
      <c r="AB705" s="135">
        <f t="shared" si="379"/>
        <v>12847.040886474646</v>
      </c>
      <c r="AC705" s="135">
        <f t="shared" si="379"/>
        <v>19110.392523059818</v>
      </c>
      <c r="AD705" s="135">
        <f t="shared" si="379"/>
        <v>25376.182339503135</v>
      </c>
      <c r="AE705" s="135">
        <f t="shared" si="379"/>
        <v>31644.460353062212</v>
      </c>
      <c r="AF705" s="135">
        <f t="shared" si="379"/>
        <v>37915.277640280299</v>
      </c>
      <c r="AG705" s="135">
        <f t="shared" si="379"/>
        <v>44188.686359931598</v>
      </c>
      <c r="AH705" s="135">
        <f t="shared" si="379"/>
        <v>50464.739776471564</v>
      </c>
      <c r="AI705" s="135">
        <f t="shared" si="379"/>
        <v>56743.492284003289</v>
      </c>
      <c r="AJ705" s="135">
        <f t="shared" si="379"/>
        <v>63024.999430771604</v>
      </c>
      <c r="AK705" s="135">
        <f t="shared" si="379"/>
        <v>69309.317944196475</v>
      </c>
      <c r="AL705" s="135">
        <f t="shared" si="379"/>
        <v>75596.50575645786</v>
      </c>
      <c r="AM705" s="135">
        <f t="shared" si="379"/>
        <v>8216.8143540193832</v>
      </c>
      <c r="AN705" s="135">
        <f t="shared" si="379"/>
        <v>8370.7688711335886</v>
      </c>
      <c r="AO705" s="135">
        <f t="shared" si="379"/>
        <v>8527.773976562974</v>
      </c>
      <c r="AP705" s="135">
        <f t="shared" si="379"/>
        <v>8687.8926888390088</v>
      </c>
    </row>
  </sheetData>
  <pageMargins left="0.5" right="0.5" top="0.5" bottom="0.75" header="0.3" footer="0.3"/>
  <pageSetup scale="75" pageOrder="overThenDown" orientation="landscape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AP775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1.28515625" style="20" customWidth="1"/>
    <col min="2" max="2" width="14.85546875" style="20" customWidth="1"/>
    <col min="3" max="3" width="12.5703125" style="20" customWidth="1"/>
    <col min="4" max="9" width="11.5703125" style="20" customWidth="1"/>
    <col min="10" max="10" width="12.7109375" style="20" customWidth="1"/>
    <col min="11" max="31" width="11.5703125" style="20" customWidth="1"/>
    <col min="32" max="32" width="11.42578125" style="20" customWidth="1"/>
    <col min="33" max="42" width="11.5703125" style="20" customWidth="1"/>
    <col min="43" max="16384" width="9.140625" style="20"/>
  </cols>
  <sheetData>
    <row r="1" spans="1:42" ht="21" x14ac:dyDescent="0.35">
      <c r="A1" s="159" t="s">
        <v>26</v>
      </c>
    </row>
    <row r="2" spans="1:42" x14ac:dyDescent="0.2">
      <c r="A2" s="20" t="s">
        <v>31</v>
      </c>
      <c r="B2" s="160">
        <v>0</v>
      </c>
      <c r="C2" s="160">
        <f>B2+1</f>
        <v>1</v>
      </c>
      <c r="D2" s="160">
        <f t="shared" ref="D2:AP2" si="0">C2+1</f>
        <v>2</v>
      </c>
      <c r="E2" s="160">
        <f t="shared" si="0"/>
        <v>3</v>
      </c>
      <c r="F2" s="160">
        <f t="shared" si="0"/>
        <v>4</v>
      </c>
      <c r="G2" s="160">
        <f t="shared" si="0"/>
        <v>5</v>
      </c>
      <c r="H2" s="160">
        <f t="shared" si="0"/>
        <v>6</v>
      </c>
      <c r="I2" s="160">
        <f t="shared" si="0"/>
        <v>7</v>
      </c>
      <c r="J2" s="160">
        <f t="shared" si="0"/>
        <v>8</v>
      </c>
      <c r="K2" s="160">
        <f t="shared" si="0"/>
        <v>9</v>
      </c>
      <c r="L2" s="160">
        <f t="shared" si="0"/>
        <v>10</v>
      </c>
      <c r="M2" s="160">
        <f t="shared" si="0"/>
        <v>11</v>
      </c>
      <c r="N2" s="160">
        <f t="shared" si="0"/>
        <v>12</v>
      </c>
      <c r="O2" s="160">
        <f t="shared" si="0"/>
        <v>13</v>
      </c>
      <c r="P2" s="160">
        <f t="shared" si="0"/>
        <v>14</v>
      </c>
      <c r="Q2" s="160">
        <f t="shared" si="0"/>
        <v>15</v>
      </c>
      <c r="R2" s="160">
        <f t="shared" si="0"/>
        <v>16</v>
      </c>
      <c r="S2" s="160">
        <f t="shared" si="0"/>
        <v>17</v>
      </c>
      <c r="T2" s="160">
        <f t="shared" si="0"/>
        <v>18</v>
      </c>
      <c r="U2" s="160">
        <f t="shared" si="0"/>
        <v>19</v>
      </c>
      <c r="V2" s="160">
        <f t="shared" si="0"/>
        <v>20</v>
      </c>
      <c r="W2" s="160">
        <f t="shared" si="0"/>
        <v>21</v>
      </c>
      <c r="X2" s="160">
        <f t="shared" si="0"/>
        <v>22</v>
      </c>
      <c r="Y2" s="160">
        <f t="shared" si="0"/>
        <v>23</v>
      </c>
      <c r="Z2" s="160">
        <f t="shared" si="0"/>
        <v>24</v>
      </c>
      <c r="AA2" s="160">
        <f t="shared" si="0"/>
        <v>25</v>
      </c>
      <c r="AB2" s="160">
        <f t="shared" si="0"/>
        <v>26</v>
      </c>
      <c r="AC2" s="160">
        <f t="shared" si="0"/>
        <v>27</v>
      </c>
      <c r="AD2" s="160">
        <f t="shared" si="0"/>
        <v>28</v>
      </c>
      <c r="AE2" s="160">
        <f t="shared" si="0"/>
        <v>29</v>
      </c>
      <c r="AF2" s="160">
        <f>AE2+1</f>
        <v>30</v>
      </c>
      <c r="AG2" s="160">
        <f t="shared" si="0"/>
        <v>31</v>
      </c>
      <c r="AH2" s="160">
        <f t="shared" si="0"/>
        <v>32</v>
      </c>
      <c r="AI2" s="160">
        <f t="shared" si="0"/>
        <v>33</v>
      </c>
      <c r="AJ2" s="160">
        <f t="shared" si="0"/>
        <v>34</v>
      </c>
      <c r="AK2" s="160">
        <f t="shared" si="0"/>
        <v>35</v>
      </c>
      <c r="AL2" s="160">
        <f t="shared" si="0"/>
        <v>36</v>
      </c>
      <c r="AM2" s="160">
        <f>AL2+1</f>
        <v>37</v>
      </c>
      <c r="AN2" s="160">
        <f t="shared" si="0"/>
        <v>38</v>
      </c>
      <c r="AO2" s="160">
        <f t="shared" si="0"/>
        <v>39</v>
      </c>
      <c r="AP2" s="160">
        <f t="shared" si="0"/>
        <v>40</v>
      </c>
    </row>
    <row r="3" spans="1:42" x14ac:dyDescent="0.2"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</row>
    <row r="4" spans="1:42" x14ac:dyDescent="0.2">
      <c r="A4" s="162" t="s">
        <v>46</v>
      </c>
    </row>
    <row r="5" spans="1:42" x14ac:dyDescent="0.2">
      <c r="A5" s="163" t="s">
        <v>47</v>
      </c>
      <c r="C5" s="135">
        <f>IF(C$2&lt;=AnalysisPeriod,IF('Inputs &amp; Results'!$M$3="Annual Inputs",LOOKUP(C$2,'Inputs &amp; Results'!$L$9:$L$48,'Inputs &amp; Results'!$M$9:$M$48),'Inputs &amp; Results'!$M$5*CapacityAC*8760*(1-'Inputs &amp; Results'!$M$6)^(C$2-1)),0)</f>
        <v>16188480</v>
      </c>
      <c r="D5" s="135">
        <f>IF(D$2&lt;=AnalysisPeriod,IF('Inputs &amp; Results'!$M$3="Annual Inputs",LOOKUP(D$2,'Inputs &amp; Results'!$L$9:$L$48,'Inputs &amp; Results'!$M$9:$M$48),'Inputs &amp; Results'!$M$5*CapacityAC*8760*(1-'Inputs &amp; Results'!$M$6)^(D$2-1)),0)</f>
        <v>16107537.6</v>
      </c>
      <c r="E5" s="135">
        <f>IF(E$2&lt;=AnalysisPeriod,IF('Inputs &amp; Results'!$M$3="Annual Inputs",LOOKUP(E$2,'Inputs &amp; Results'!$L$9:$L$48,'Inputs &amp; Results'!$M$9:$M$48),'Inputs &amp; Results'!$M$5*CapacityAC*8760*(1-'Inputs &amp; Results'!$M$6)^(E$2-1)),0)</f>
        <v>16026999.912</v>
      </c>
      <c r="F5" s="135">
        <f>IF(F$2&lt;=AnalysisPeriod,IF('Inputs &amp; Results'!$M$3="Annual Inputs",LOOKUP(F$2,'Inputs &amp; Results'!$L$9:$L$48,'Inputs &amp; Results'!$M$9:$M$48),'Inputs &amp; Results'!$M$5*CapacityAC*8760*(1-'Inputs &amp; Results'!$M$6)^(F$2-1)),0)</f>
        <v>15946864.91244</v>
      </c>
      <c r="G5" s="135">
        <f>IF(G$2&lt;=AnalysisPeriod,IF('Inputs &amp; Results'!$M$3="Annual Inputs",LOOKUP(G$2,'Inputs &amp; Results'!$L$9:$L$48,'Inputs &amp; Results'!$M$9:$M$48),'Inputs &amp; Results'!$M$5*CapacityAC*8760*(1-'Inputs &amp; Results'!$M$6)^(G$2-1)),0)</f>
        <v>15867130.587877801</v>
      </c>
      <c r="H5" s="135">
        <f>IF(H$2&lt;=AnalysisPeriod,IF('Inputs &amp; Results'!$M$3="Annual Inputs",LOOKUP(H$2,'Inputs &amp; Results'!$L$9:$L$48,'Inputs &amp; Results'!$M$9:$M$48),'Inputs &amp; Results'!$M$5*CapacityAC*8760*(1-'Inputs &amp; Results'!$M$6)^(H$2-1)),0)</f>
        <v>15787794.934938412</v>
      </c>
      <c r="I5" s="135">
        <f>IF(I$2&lt;=AnalysisPeriod,IF('Inputs &amp; Results'!$M$3="Annual Inputs",LOOKUP(I$2,'Inputs &amp; Results'!$L$9:$L$48,'Inputs &amp; Results'!$M$9:$M$48),'Inputs &amp; Results'!$M$5*CapacityAC*8760*(1-'Inputs &amp; Results'!$M$6)^(I$2-1)),0)</f>
        <v>15708855.96026372</v>
      </c>
      <c r="J5" s="135">
        <f>IF(J$2&lt;=AnalysisPeriod,IF('Inputs &amp; Results'!$M$3="Annual Inputs",LOOKUP(J$2,'Inputs &amp; Results'!$L$9:$L$48,'Inputs &amp; Results'!$M$9:$M$48),'Inputs &amp; Results'!$M$5*CapacityAC*8760*(1-'Inputs &amp; Results'!$M$6)^(J$2-1)),0)</f>
        <v>15630311.680462401</v>
      </c>
      <c r="K5" s="135">
        <f>IF(K$2&lt;=AnalysisPeriod,IF('Inputs &amp; Results'!$M$3="Annual Inputs",LOOKUP(K$2,'Inputs &amp; Results'!$L$9:$L$48,'Inputs &amp; Results'!$M$9:$M$48),'Inputs &amp; Results'!$M$5*CapacityAC*8760*(1-'Inputs &amp; Results'!$M$6)^(K$2-1)),0)</f>
        <v>15552160.12206009</v>
      </c>
      <c r="L5" s="135">
        <f>IF(L$2&lt;=AnalysisPeriod,IF('Inputs &amp; Results'!$M$3="Annual Inputs",LOOKUP(L$2,'Inputs &amp; Results'!$L$9:$L$48,'Inputs &amp; Results'!$M$9:$M$48),'Inputs &amp; Results'!$M$5*CapacityAC*8760*(1-'Inputs &amp; Results'!$M$6)^(L$2-1)),0)</f>
        <v>15474399.321449788</v>
      </c>
      <c r="M5" s="135">
        <f>IF(M$2&lt;=AnalysisPeriod,IF('Inputs &amp; Results'!$M$3="Annual Inputs",LOOKUP(M$2,'Inputs &amp; Results'!$L$9:$L$48,'Inputs &amp; Results'!$M$9:$M$48),'Inputs &amp; Results'!$M$5*CapacityAC*8760*(1-'Inputs &amp; Results'!$M$6)^(M$2-1)),0)</f>
        <v>15397027.324842541</v>
      </c>
      <c r="N5" s="135">
        <f>IF(N$2&lt;=AnalysisPeriod,IF('Inputs &amp; Results'!$M$3="Annual Inputs",LOOKUP(N$2,'Inputs &amp; Results'!$L$9:$L$48,'Inputs &amp; Results'!$M$9:$M$48),'Inputs &amp; Results'!$M$5*CapacityAC*8760*(1-'Inputs &amp; Results'!$M$6)^(N$2-1)),0)</f>
        <v>15320042.188218327</v>
      </c>
      <c r="O5" s="135">
        <f>IF(O$2&lt;=AnalysisPeriod,IF('Inputs &amp; Results'!$M$3="Annual Inputs",LOOKUP(O$2,'Inputs &amp; Results'!$L$9:$L$48,'Inputs &amp; Results'!$M$9:$M$48),'Inputs &amp; Results'!$M$5*CapacityAC*8760*(1-'Inputs &amp; Results'!$M$6)^(O$2-1)),0)</f>
        <v>15243441.977277236</v>
      </c>
      <c r="P5" s="135">
        <f>IF(P$2&lt;=AnalysisPeriod,IF('Inputs &amp; Results'!$M$3="Annual Inputs",LOOKUP(P$2,'Inputs &amp; Results'!$L$9:$L$48,'Inputs &amp; Results'!$M$9:$M$48),'Inputs &amp; Results'!$M$5*CapacityAC*8760*(1-'Inputs &amp; Results'!$M$6)^(P$2-1)),0)</f>
        <v>15167224.767390851</v>
      </c>
      <c r="Q5" s="135">
        <f>IF(Q$2&lt;=AnalysisPeriod,IF('Inputs &amp; Results'!$M$3="Annual Inputs",LOOKUP(Q$2,'Inputs &amp; Results'!$L$9:$L$48,'Inputs &amp; Results'!$M$9:$M$48),'Inputs &amp; Results'!$M$5*CapacityAC*8760*(1-'Inputs &amp; Results'!$M$6)^(Q$2-1)),0)</f>
        <v>15091388.643553898</v>
      </c>
      <c r="R5" s="135">
        <f>IF(R$2&lt;=AnalysisPeriod,IF('Inputs &amp; Results'!$M$3="Annual Inputs",LOOKUP(R$2,'Inputs &amp; Results'!$L$9:$L$48,'Inputs &amp; Results'!$M$9:$M$48),'Inputs &amp; Results'!$M$5*CapacityAC*8760*(1-'Inputs &amp; Results'!$M$6)^(R$2-1)),0)</f>
        <v>15015931.700336127</v>
      </c>
      <c r="S5" s="135">
        <f>IF(S$2&lt;=AnalysisPeriod,IF('Inputs &amp; Results'!$M$3="Annual Inputs",LOOKUP(S$2,'Inputs &amp; Results'!$L$9:$L$48,'Inputs &amp; Results'!$M$9:$M$48),'Inputs &amp; Results'!$M$5*CapacityAC*8760*(1-'Inputs &amp; Results'!$M$6)^(S$2-1)),0)</f>
        <v>14940852.041834446</v>
      </c>
      <c r="T5" s="135">
        <f>IF(T$2&lt;=AnalysisPeriod,IF('Inputs &amp; Results'!$M$3="Annual Inputs",LOOKUP(T$2,'Inputs &amp; Results'!$L$9:$L$48,'Inputs &amp; Results'!$M$9:$M$48),'Inputs &amp; Results'!$M$5*CapacityAC*8760*(1-'Inputs &amp; Results'!$M$6)^(T$2-1)),0)</f>
        <v>14866147.781625275</v>
      </c>
      <c r="U5" s="135">
        <f>IF(U$2&lt;=AnalysisPeriod,IF('Inputs &amp; Results'!$M$3="Annual Inputs",LOOKUP(U$2,'Inputs &amp; Results'!$L$9:$L$48,'Inputs &amp; Results'!$M$9:$M$48),'Inputs &amp; Results'!$M$5*CapacityAC*8760*(1-'Inputs &amp; Results'!$M$6)^(U$2-1)),0)</f>
        <v>14791817.042717148</v>
      </c>
      <c r="V5" s="135">
        <f>IF(V$2&lt;=AnalysisPeriod,IF('Inputs &amp; Results'!$M$3="Annual Inputs",LOOKUP(V$2,'Inputs &amp; Results'!$L$9:$L$48,'Inputs &amp; Results'!$M$9:$M$48),'Inputs &amp; Results'!$M$5*CapacityAC*8760*(1-'Inputs &amp; Results'!$M$6)^(V$2-1)),0)</f>
        <v>14717857.957503561</v>
      </c>
      <c r="W5" s="135">
        <f>IF(W$2&lt;=AnalysisPeriod,IF('Inputs &amp; Results'!$M$3="Annual Inputs",LOOKUP(W$2,'Inputs &amp; Results'!$L$9:$L$48,'Inputs &amp; Results'!$M$9:$M$48),'Inputs &amp; Results'!$M$5*CapacityAC*8760*(1-'Inputs &amp; Results'!$M$6)^(W$2-1)),0)</f>
        <v>14644268.667716045</v>
      </c>
      <c r="X5" s="135">
        <f>IF(X$2&lt;=AnalysisPeriod,IF('Inputs &amp; Results'!$M$3="Annual Inputs",LOOKUP(X$2,'Inputs &amp; Results'!$L$9:$L$48,'Inputs &amp; Results'!$M$9:$M$48),'Inputs &amp; Results'!$M$5*CapacityAC*8760*(1-'Inputs &amp; Results'!$M$6)^(X$2-1)),0)</f>
        <v>14571047.324377464</v>
      </c>
      <c r="Y5" s="135">
        <f>IF(Y$2&lt;=AnalysisPeriod,IF('Inputs &amp; Results'!$M$3="Annual Inputs",LOOKUP(Y$2,'Inputs &amp; Results'!$L$9:$L$48,'Inputs &amp; Results'!$M$9:$M$48),'Inputs &amp; Results'!$M$5*CapacityAC*8760*(1-'Inputs &amp; Results'!$M$6)^(Y$2-1)),0)</f>
        <v>14498192.087755578</v>
      </c>
      <c r="Z5" s="135">
        <f>IF(Z$2&lt;=AnalysisPeriod,IF('Inputs &amp; Results'!$M$3="Annual Inputs",LOOKUP(Z$2,'Inputs &amp; Results'!$L$9:$L$48,'Inputs &amp; Results'!$M$9:$M$48),'Inputs &amp; Results'!$M$5*CapacityAC*8760*(1-'Inputs &amp; Results'!$M$6)^(Z$2-1)),0)</f>
        <v>14425701.127316799</v>
      </c>
      <c r="AA5" s="135">
        <f>IF(AA$2&lt;=AnalysisPeriod,IF('Inputs &amp; Results'!$M$3="Annual Inputs",LOOKUP(AA$2,'Inputs &amp; Results'!$L$9:$L$48,'Inputs &amp; Results'!$M$9:$M$48),'Inputs &amp; Results'!$M$5*CapacityAC*8760*(1-'Inputs &amp; Results'!$M$6)^(AA$2-1)),0)</f>
        <v>14353572.621680215</v>
      </c>
      <c r="AB5" s="135">
        <f>IF(AB$2&lt;=AnalysisPeriod,IF('Inputs &amp; Results'!$M$3="Annual Inputs",LOOKUP(AB$2,'Inputs &amp; Results'!$L$9:$L$48,'Inputs &amp; Results'!$M$9:$M$48),'Inputs &amp; Results'!$M$5*CapacityAC*8760*(1-'Inputs &amp; Results'!$M$6)^(AB$2-1)),0)</f>
        <v>14281804.758571815</v>
      </c>
      <c r="AC5" s="135">
        <f>IF(AC$2&lt;=AnalysisPeriod,IF('Inputs &amp; Results'!$M$3="Annual Inputs",LOOKUP(AC$2,'Inputs &amp; Results'!$L$9:$L$48,'Inputs &amp; Results'!$M$9:$M$48),'Inputs &amp; Results'!$M$5*CapacityAC*8760*(1-'Inputs &amp; Results'!$M$6)^(AC$2-1)),0)</f>
        <v>14210395.734778956</v>
      </c>
      <c r="AD5" s="135">
        <f>IF(AD$2&lt;=AnalysisPeriod,IF('Inputs &amp; Results'!$M$3="Annual Inputs",LOOKUP(AD$2,'Inputs &amp; Results'!$L$9:$L$48,'Inputs &amp; Results'!$M$9:$M$48),'Inputs &amp; Results'!$M$5*CapacityAC*8760*(1-'Inputs &amp; Results'!$M$6)^(AD$2-1)),0)</f>
        <v>14139343.75610506</v>
      </c>
      <c r="AE5" s="135">
        <f>IF(AE$2&lt;=AnalysisPeriod,IF('Inputs &amp; Results'!$M$3="Annual Inputs",LOOKUP(AE$2,'Inputs &amp; Results'!$L$9:$L$48,'Inputs &amp; Results'!$M$9:$M$48),'Inputs &amp; Results'!$M$5*CapacityAC*8760*(1-'Inputs &amp; Results'!$M$6)^(AE$2-1)),0)</f>
        <v>14068647.037324537</v>
      </c>
      <c r="AF5" s="135">
        <f>IF(AF$2&lt;=AnalysisPeriod,IF('Inputs &amp; Results'!$M$3="Annual Inputs",LOOKUP(AF$2,'Inputs &amp; Results'!$L$9:$L$48,'Inputs &amp; Results'!$M$9:$M$48),'Inputs &amp; Results'!$M$5*CapacityAC*8760*(1-'Inputs &amp; Results'!$M$6)^(AF$2-1)),0)</f>
        <v>13998303.802137915</v>
      </c>
      <c r="AG5" s="135">
        <f>IF(AG$2&lt;=AnalysisPeriod,IF('Inputs &amp; Results'!$M$3="Annual Inputs",LOOKUP(AG$2,'Inputs &amp; Results'!$L$9:$L$48,'Inputs &amp; Results'!$M$9:$M$48),'Inputs &amp; Results'!$M$5*CapacityAC*8760*(1-'Inputs &amp; Results'!$M$6)^(AG$2-1)),0)</f>
        <v>13928312.283127224</v>
      </c>
      <c r="AH5" s="135">
        <f>IF(AH$2&lt;=AnalysisPeriod,IF('Inputs &amp; Results'!$M$3="Annual Inputs",LOOKUP(AH$2,'Inputs &amp; Results'!$L$9:$L$48,'Inputs &amp; Results'!$M$9:$M$48),'Inputs &amp; Results'!$M$5*CapacityAC*8760*(1-'Inputs &amp; Results'!$M$6)^(AH$2-1)),0)</f>
        <v>13858670.721711587</v>
      </c>
      <c r="AI5" s="135">
        <f>IF(AI$2&lt;=AnalysisPeriod,IF('Inputs &amp; Results'!$M$3="Annual Inputs",LOOKUP(AI$2,'Inputs &amp; Results'!$L$9:$L$48,'Inputs &amp; Results'!$M$9:$M$48),'Inputs &amp; Results'!$M$5*CapacityAC*8760*(1-'Inputs &amp; Results'!$M$6)^(AI$2-1)),0)</f>
        <v>13789377.368103029</v>
      </c>
      <c r="AJ5" s="135">
        <f>IF(AJ$2&lt;=AnalysisPeriod,IF('Inputs &amp; Results'!$M$3="Annual Inputs",LOOKUP(AJ$2,'Inputs &amp; Results'!$L$9:$L$48,'Inputs &amp; Results'!$M$9:$M$48),'Inputs &amp; Results'!$M$5*CapacityAC*8760*(1-'Inputs &amp; Results'!$M$6)^(AJ$2-1)),0)</f>
        <v>13720430.481262514</v>
      </c>
      <c r="AK5" s="135">
        <f>IF(AK$2&lt;=AnalysisPeriod,IF('Inputs &amp; Results'!$M$3="Annual Inputs",LOOKUP(AK$2,'Inputs &amp; Results'!$L$9:$L$48,'Inputs &amp; Results'!$M$9:$M$48),'Inputs &amp; Results'!$M$5*CapacityAC*8760*(1-'Inputs &amp; Results'!$M$6)^(AK$2-1)),0)</f>
        <v>13651828.328856202</v>
      </c>
      <c r="AL5" s="135">
        <f>IF(AL$2&lt;=AnalysisPeriod,IF('Inputs &amp; Results'!$M$3="Annual Inputs",LOOKUP(AL$2,'Inputs &amp; Results'!$L$9:$L$48,'Inputs &amp; Results'!$M$9:$M$48),'Inputs &amp; Results'!$M$5*CapacityAC*8760*(1-'Inputs &amp; Results'!$M$6)^(AL$2-1)),0)</f>
        <v>13583569.187211921</v>
      </c>
      <c r="AM5" s="135">
        <f>IF(AM$2&lt;=AnalysisPeriod,IF('Inputs &amp; Results'!$M$3="Annual Inputs",LOOKUP(AM$2,'Inputs &amp; Results'!$L$9:$L$48,'Inputs &amp; Results'!$M$9:$M$48),'Inputs &amp; Results'!$M$5*CapacityAC*8760*(1-'Inputs &amp; Results'!$M$6)^(AM$2-1)),0)</f>
        <v>13515651.341275861</v>
      </c>
      <c r="AN5" s="135">
        <f>IF(AN$2&lt;=AnalysisPeriod,IF('Inputs &amp; Results'!$M$3="Annual Inputs",LOOKUP(AN$2,'Inputs &amp; Results'!$L$9:$L$48,'Inputs &amp; Results'!$M$9:$M$48),'Inputs &amp; Results'!$M$5*CapacityAC*8760*(1-'Inputs &amp; Results'!$M$6)^(AN$2-1)),0)</f>
        <v>13448073.084569484</v>
      </c>
      <c r="AO5" s="135">
        <f>IF(AO$2&lt;=AnalysisPeriod,IF('Inputs &amp; Results'!$M$3="Annual Inputs",LOOKUP(AO$2,'Inputs &amp; Results'!$L$9:$L$48,'Inputs &amp; Results'!$M$9:$M$48),'Inputs &amp; Results'!$M$5*CapacityAC*8760*(1-'Inputs &amp; Results'!$M$6)^(AO$2-1)),0)</f>
        <v>13380832.719146635</v>
      </c>
      <c r="AP5" s="135">
        <f>IF(AP$2&lt;=AnalysisPeriod,IF('Inputs &amp; Results'!$M$3="Annual Inputs",LOOKUP(AP$2,'Inputs &amp; Results'!$L$9:$L$48,'Inputs &amp; Results'!$M$9:$M$48),'Inputs &amp; Results'!$M$5*CapacityAC*8760*(1-'Inputs &amp; Results'!$M$6)^(AP$2-1)),0)</f>
        <v>13313928.555550903</v>
      </c>
    </row>
    <row r="6" spans="1:42" x14ac:dyDescent="0.2"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</row>
    <row r="7" spans="1:42" x14ac:dyDescent="0.2">
      <c r="A7" s="162" t="s">
        <v>242</v>
      </c>
      <c r="C7" s="164"/>
      <c r="D7" s="164"/>
      <c r="E7" s="164"/>
      <c r="F7" s="164"/>
      <c r="G7" s="164"/>
      <c r="H7" s="164"/>
      <c r="I7" s="164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</row>
    <row r="8" spans="1:42" x14ac:dyDescent="0.2">
      <c r="A8" s="165" t="s">
        <v>75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</row>
    <row r="9" spans="1:42" x14ac:dyDescent="0.2">
      <c r="A9" s="20" t="s">
        <v>76</v>
      </c>
      <c r="C9" s="135"/>
      <c r="D9" s="166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</row>
    <row r="10" spans="1:42" x14ac:dyDescent="0.2">
      <c r="A10" s="167" t="s">
        <v>47</v>
      </c>
      <c r="C10" s="135">
        <f>C5</f>
        <v>16188480</v>
      </c>
      <c r="D10" s="135">
        <f>D5</f>
        <v>16107537.6</v>
      </c>
      <c r="E10" s="135">
        <f>E5</f>
        <v>16026999.912</v>
      </c>
      <c r="F10" s="135">
        <f t="shared" ref="F10:AP10" si="1">F5</f>
        <v>15946864.91244</v>
      </c>
      <c r="G10" s="135">
        <f t="shared" si="1"/>
        <v>15867130.587877801</v>
      </c>
      <c r="H10" s="135">
        <f t="shared" si="1"/>
        <v>15787794.934938412</v>
      </c>
      <c r="I10" s="135">
        <f t="shared" si="1"/>
        <v>15708855.96026372</v>
      </c>
      <c r="J10" s="135">
        <f t="shared" si="1"/>
        <v>15630311.680462401</v>
      </c>
      <c r="K10" s="135">
        <f t="shared" si="1"/>
        <v>15552160.12206009</v>
      </c>
      <c r="L10" s="135">
        <f t="shared" si="1"/>
        <v>15474399.321449788</v>
      </c>
      <c r="M10" s="135">
        <f t="shared" si="1"/>
        <v>15397027.324842541</v>
      </c>
      <c r="N10" s="135">
        <f t="shared" si="1"/>
        <v>15320042.188218327</v>
      </c>
      <c r="O10" s="135">
        <f t="shared" si="1"/>
        <v>15243441.977277236</v>
      </c>
      <c r="P10" s="135">
        <f t="shared" si="1"/>
        <v>15167224.767390851</v>
      </c>
      <c r="Q10" s="135">
        <f t="shared" si="1"/>
        <v>15091388.643553898</v>
      </c>
      <c r="R10" s="135">
        <f t="shared" si="1"/>
        <v>15015931.700336127</v>
      </c>
      <c r="S10" s="135">
        <f t="shared" si="1"/>
        <v>14940852.041834446</v>
      </c>
      <c r="T10" s="135">
        <f t="shared" si="1"/>
        <v>14866147.781625275</v>
      </c>
      <c r="U10" s="135">
        <f t="shared" si="1"/>
        <v>14791817.042717148</v>
      </c>
      <c r="V10" s="135">
        <f t="shared" si="1"/>
        <v>14717857.957503561</v>
      </c>
      <c r="W10" s="135">
        <f t="shared" si="1"/>
        <v>14644268.667716045</v>
      </c>
      <c r="X10" s="135">
        <f t="shared" si="1"/>
        <v>14571047.324377464</v>
      </c>
      <c r="Y10" s="135">
        <f t="shared" si="1"/>
        <v>14498192.087755578</v>
      </c>
      <c r="Z10" s="135">
        <f t="shared" si="1"/>
        <v>14425701.127316799</v>
      </c>
      <c r="AA10" s="135">
        <f t="shared" si="1"/>
        <v>14353572.621680215</v>
      </c>
      <c r="AB10" s="135">
        <f t="shared" si="1"/>
        <v>14281804.758571815</v>
      </c>
      <c r="AC10" s="135">
        <f t="shared" si="1"/>
        <v>14210395.734778956</v>
      </c>
      <c r="AD10" s="135">
        <f t="shared" si="1"/>
        <v>14139343.75610506</v>
      </c>
      <c r="AE10" s="135">
        <f t="shared" si="1"/>
        <v>14068647.037324537</v>
      </c>
      <c r="AF10" s="135">
        <f t="shared" si="1"/>
        <v>13998303.802137915</v>
      </c>
      <c r="AG10" s="135">
        <f t="shared" si="1"/>
        <v>13928312.283127224</v>
      </c>
      <c r="AH10" s="135">
        <f t="shared" si="1"/>
        <v>13858670.721711587</v>
      </c>
      <c r="AI10" s="135">
        <f t="shared" si="1"/>
        <v>13789377.368103029</v>
      </c>
      <c r="AJ10" s="135">
        <f t="shared" si="1"/>
        <v>13720430.481262514</v>
      </c>
      <c r="AK10" s="135">
        <f t="shared" si="1"/>
        <v>13651828.328856202</v>
      </c>
      <c r="AL10" s="135">
        <f t="shared" si="1"/>
        <v>13583569.187211921</v>
      </c>
      <c r="AM10" s="135">
        <f t="shared" si="1"/>
        <v>13515651.341275861</v>
      </c>
      <c r="AN10" s="135">
        <f t="shared" si="1"/>
        <v>13448073.084569484</v>
      </c>
      <c r="AO10" s="135">
        <f t="shared" si="1"/>
        <v>13380832.719146635</v>
      </c>
      <c r="AP10" s="135">
        <f t="shared" si="1"/>
        <v>13313928.555550903</v>
      </c>
    </row>
    <row r="11" spans="1:42" x14ac:dyDescent="0.2">
      <c r="A11" s="167" t="s">
        <v>48</v>
      </c>
      <c r="C11" s="168">
        <f t="shared" ref="C11:AP11" si="2">LeveragedFlipPPAPrice*(1+LeveragedFlipPPAPriceEsc)^B2</f>
        <v>27.83099393537988</v>
      </c>
      <c r="D11" s="168">
        <f t="shared" si="2"/>
        <v>28.10930387473368</v>
      </c>
      <c r="E11" s="168">
        <f t="shared" si="2"/>
        <v>28.390396913481016</v>
      </c>
      <c r="F11" s="168">
        <f t="shared" si="2"/>
        <v>28.674300882615825</v>
      </c>
      <c r="G11" s="168">
        <f t="shared" si="2"/>
        <v>28.961043891441985</v>
      </c>
      <c r="H11" s="168">
        <f t="shared" si="2"/>
        <v>29.250654330356401</v>
      </c>
      <c r="I11" s="168">
        <f t="shared" si="2"/>
        <v>29.543160873659971</v>
      </c>
      <c r="J11" s="168">
        <f t="shared" si="2"/>
        <v>29.838592482396564</v>
      </c>
      <c r="K11" s="168">
        <f t="shared" si="2"/>
        <v>30.136978407220536</v>
      </c>
      <c r="L11" s="168">
        <f t="shared" si="2"/>
        <v>30.438348191292743</v>
      </c>
      <c r="M11" s="168">
        <f t="shared" si="2"/>
        <v>30.742731673205672</v>
      </c>
      <c r="N11" s="168">
        <f t="shared" si="2"/>
        <v>31.050158989937721</v>
      </c>
      <c r="O11" s="168">
        <f t="shared" si="2"/>
        <v>31.360660579837102</v>
      </c>
      <c r="P11" s="168">
        <f t="shared" si="2"/>
        <v>31.674267185635472</v>
      </c>
      <c r="Q11" s="168">
        <f t="shared" si="2"/>
        <v>31.991009857491832</v>
      </c>
      <c r="R11" s="168">
        <f t="shared" si="2"/>
        <v>32.310919956066741</v>
      </c>
      <c r="S11" s="168">
        <f t="shared" si="2"/>
        <v>32.634029155627417</v>
      </c>
      <c r="T11" s="168">
        <f t="shared" si="2"/>
        <v>32.960369447183695</v>
      </c>
      <c r="U11" s="168">
        <f t="shared" si="2"/>
        <v>33.28997314165553</v>
      </c>
      <c r="V11" s="168">
        <f t="shared" si="2"/>
        <v>33.622872873072083</v>
      </c>
      <c r="W11" s="168">
        <f t="shared" si="2"/>
        <v>33.959101601802807</v>
      </c>
      <c r="X11" s="168">
        <f t="shared" si="2"/>
        <v>34.298692617820826</v>
      </c>
      <c r="Y11" s="168">
        <f t="shared" si="2"/>
        <v>34.641679543999047</v>
      </c>
      <c r="Z11" s="168">
        <f t="shared" si="2"/>
        <v>34.988096339439032</v>
      </c>
      <c r="AA11" s="168">
        <f t="shared" si="2"/>
        <v>35.33797730283343</v>
      </c>
      <c r="AB11" s="168">
        <f t="shared" si="2"/>
        <v>35.691357075861767</v>
      </c>
      <c r="AC11" s="168">
        <f t="shared" si="2"/>
        <v>36.048270646620381</v>
      </c>
      <c r="AD11" s="168">
        <f t="shared" si="2"/>
        <v>36.408753353086574</v>
      </c>
      <c r="AE11" s="168">
        <f t="shared" si="2"/>
        <v>36.772840886617445</v>
      </c>
      <c r="AF11" s="168">
        <f t="shared" si="2"/>
        <v>37.140569295483623</v>
      </c>
      <c r="AG11" s="168">
        <f t="shared" si="2"/>
        <v>37.511974988438467</v>
      </c>
      <c r="AH11" s="168">
        <f t="shared" si="2"/>
        <v>37.887094738322837</v>
      </c>
      <c r="AI11" s="168">
        <f t="shared" si="2"/>
        <v>38.265965685706071</v>
      </c>
      <c r="AJ11" s="168">
        <f t="shared" si="2"/>
        <v>38.648625342563136</v>
      </c>
      <c r="AK11" s="168">
        <f t="shared" si="2"/>
        <v>39.035111595988766</v>
      </c>
      <c r="AL11" s="168">
        <f t="shared" si="2"/>
        <v>39.425462711948647</v>
      </c>
      <c r="AM11" s="168">
        <f t="shared" si="2"/>
        <v>39.819717339068141</v>
      </c>
      <c r="AN11" s="168">
        <f t="shared" si="2"/>
        <v>40.217914512458819</v>
      </c>
      <c r="AO11" s="168">
        <f t="shared" si="2"/>
        <v>40.620093657583411</v>
      </c>
      <c r="AP11" s="168">
        <f t="shared" si="2"/>
        <v>41.026294594159232</v>
      </c>
    </row>
    <row r="12" spans="1:42" x14ac:dyDescent="0.2">
      <c r="A12" s="167" t="s">
        <v>74</v>
      </c>
      <c r="C12" s="135">
        <f t="shared" ref="C12:AP12" si="3">C10*C11/100</f>
        <v>4505414.8870301852</v>
      </c>
      <c r="D12" s="135">
        <f t="shared" si="3"/>
        <v>4527716.6907209847</v>
      </c>
      <c r="E12" s="135">
        <f t="shared" si="3"/>
        <v>4550128.8883400531</v>
      </c>
      <c r="F12" s="135">
        <f t="shared" si="3"/>
        <v>4572652.0263373367</v>
      </c>
      <c r="G12" s="135">
        <f t="shared" si="3"/>
        <v>4595286.6538677067</v>
      </c>
      <c r="H12" s="135">
        <f t="shared" si="3"/>
        <v>4618033.3228043513</v>
      </c>
      <c r="I12" s="135">
        <f t="shared" si="3"/>
        <v>4640892.5877522342</v>
      </c>
      <c r="J12" s="135">
        <f t="shared" si="3"/>
        <v>4663865.0060616061</v>
      </c>
      <c r="K12" s="135">
        <f t="shared" si="3"/>
        <v>4686951.1378416121</v>
      </c>
      <c r="L12" s="135">
        <f t="shared" si="3"/>
        <v>4710151.5459739277</v>
      </c>
      <c r="M12" s="135">
        <f t="shared" si="3"/>
        <v>4733466.7961264998</v>
      </c>
      <c r="N12" s="135">
        <f t="shared" si="3"/>
        <v>4756897.4567673244</v>
      </c>
      <c r="O12" s="135">
        <f t="shared" si="3"/>
        <v>4780444.0991783235</v>
      </c>
      <c r="P12" s="135">
        <f t="shared" si="3"/>
        <v>4804107.2974692564</v>
      </c>
      <c r="Q12" s="135">
        <f t="shared" si="3"/>
        <v>4827887.6285917303</v>
      </c>
      <c r="R12" s="135">
        <f t="shared" si="3"/>
        <v>4851785.6723532574</v>
      </c>
      <c r="S12" s="135">
        <f t="shared" si="3"/>
        <v>4875802.0114314072</v>
      </c>
      <c r="T12" s="135">
        <f t="shared" si="3"/>
        <v>4899937.2313879933</v>
      </c>
      <c r="U12" s="135">
        <f t="shared" si="3"/>
        <v>4924191.9206833635</v>
      </c>
      <c r="V12" s="135">
        <f t="shared" si="3"/>
        <v>4948566.670690746</v>
      </c>
      <c r="W12" s="135">
        <f t="shared" si="3"/>
        <v>4973062.0757106664</v>
      </c>
      <c r="X12" s="135">
        <f t="shared" si="3"/>
        <v>4997678.7329854323</v>
      </c>
      <c r="Y12" s="135">
        <f t="shared" si="3"/>
        <v>5022417.2427137122</v>
      </c>
      <c r="Z12" s="135">
        <f t="shared" si="3"/>
        <v>5047278.2080651447</v>
      </c>
      <c r="AA12" s="135">
        <f t="shared" si="3"/>
        <v>5072262.2351950677</v>
      </c>
      <c r="AB12" s="135">
        <f t="shared" si="3"/>
        <v>5097369.9332592841</v>
      </c>
      <c r="AC12" s="135">
        <f t="shared" si="3"/>
        <v>5122601.9144289168</v>
      </c>
      <c r="AD12" s="135">
        <f t="shared" si="3"/>
        <v>5147958.7939053383</v>
      </c>
      <c r="AE12" s="135">
        <f t="shared" si="3"/>
        <v>5173441.189935171</v>
      </c>
      <c r="AF12" s="135">
        <f t="shared" si="3"/>
        <v>5199049.7238253513</v>
      </c>
      <c r="AG12" s="135">
        <f t="shared" si="3"/>
        <v>5224785.0199582865</v>
      </c>
      <c r="AH12" s="135">
        <f t="shared" si="3"/>
        <v>5250647.7058070786</v>
      </c>
      <c r="AI12" s="135">
        <f t="shared" si="3"/>
        <v>5276638.4119508239</v>
      </c>
      <c r="AJ12" s="135">
        <f t="shared" si="3"/>
        <v>5302757.7720899815</v>
      </c>
      <c r="AK12" s="135">
        <f t="shared" si="3"/>
        <v>5329006.4230618272</v>
      </c>
      <c r="AL12" s="135">
        <f t="shared" si="3"/>
        <v>5355385.004855982</v>
      </c>
      <c r="AM12" s="135">
        <f t="shared" si="3"/>
        <v>5381894.1606300203</v>
      </c>
      <c r="AN12" s="135">
        <f t="shared" si="3"/>
        <v>5408534.5367251383</v>
      </c>
      <c r="AO12" s="135">
        <f t="shared" si="3"/>
        <v>5435306.782681928</v>
      </c>
      <c r="AP12" s="135">
        <f t="shared" si="3"/>
        <v>5462211.5512562022</v>
      </c>
    </row>
    <row r="13" spans="1:42" x14ac:dyDescent="0.2">
      <c r="A13" s="20" t="s">
        <v>77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</row>
    <row r="14" spans="1:42" x14ac:dyDescent="0.2">
      <c r="A14" s="167" t="str">
        <f>'Inputs &amp; Results'!A65</f>
        <v>Federal</v>
      </c>
      <c r="C14" s="169">
        <f t="shared" ref="C14:AP14" si="4">IF(PBIFedDebtSwitch="Yes",C587,0)</f>
        <v>0</v>
      </c>
      <c r="D14" s="169">
        <f t="shared" si="4"/>
        <v>0</v>
      </c>
      <c r="E14" s="169">
        <f t="shared" si="4"/>
        <v>0</v>
      </c>
      <c r="F14" s="169">
        <f t="shared" si="4"/>
        <v>0</v>
      </c>
      <c r="G14" s="169">
        <f t="shared" si="4"/>
        <v>0</v>
      </c>
      <c r="H14" s="169">
        <f t="shared" si="4"/>
        <v>0</v>
      </c>
      <c r="I14" s="169">
        <f t="shared" si="4"/>
        <v>0</v>
      </c>
      <c r="J14" s="169">
        <f t="shared" si="4"/>
        <v>0</v>
      </c>
      <c r="K14" s="169">
        <f t="shared" si="4"/>
        <v>0</v>
      </c>
      <c r="L14" s="169">
        <f t="shared" si="4"/>
        <v>0</v>
      </c>
      <c r="M14" s="169">
        <f t="shared" si="4"/>
        <v>0</v>
      </c>
      <c r="N14" s="169">
        <f t="shared" si="4"/>
        <v>0</v>
      </c>
      <c r="O14" s="169">
        <f t="shared" si="4"/>
        <v>0</v>
      </c>
      <c r="P14" s="169">
        <f t="shared" si="4"/>
        <v>0</v>
      </c>
      <c r="Q14" s="169">
        <f t="shared" si="4"/>
        <v>0</v>
      </c>
      <c r="R14" s="169">
        <f t="shared" si="4"/>
        <v>0</v>
      </c>
      <c r="S14" s="169">
        <f t="shared" si="4"/>
        <v>0</v>
      </c>
      <c r="T14" s="169">
        <f t="shared" si="4"/>
        <v>0</v>
      </c>
      <c r="U14" s="169">
        <f t="shared" si="4"/>
        <v>0</v>
      </c>
      <c r="V14" s="169">
        <f t="shared" si="4"/>
        <v>0</v>
      </c>
      <c r="W14" s="169">
        <f t="shared" si="4"/>
        <v>0</v>
      </c>
      <c r="X14" s="169">
        <f t="shared" si="4"/>
        <v>0</v>
      </c>
      <c r="Y14" s="169">
        <f t="shared" si="4"/>
        <v>0</v>
      </c>
      <c r="Z14" s="169">
        <f t="shared" si="4"/>
        <v>0</v>
      </c>
      <c r="AA14" s="169">
        <f t="shared" si="4"/>
        <v>0</v>
      </c>
      <c r="AB14" s="169">
        <f t="shared" si="4"/>
        <v>0</v>
      </c>
      <c r="AC14" s="169">
        <f t="shared" si="4"/>
        <v>0</v>
      </c>
      <c r="AD14" s="169">
        <f t="shared" si="4"/>
        <v>0</v>
      </c>
      <c r="AE14" s="169">
        <f t="shared" si="4"/>
        <v>0</v>
      </c>
      <c r="AF14" s="169">
        <f t="shared" si="4"/>
        <v>0</v>
      </c>
      <c r="AG14" s="169">
        <f t="shared" si="4"/>
        <v>0</v>
      </c>
      <c r="AH14" s="169">
        <f t="shared" si="4"/>
        <v>0</v>
      </c>
      <c r="AI14" s="169">
        <f t="shared" si="4"/>
        <v>0</v>
      </c>
      <c r="AJ14" s="169">
        <f t="shared" si="4"/>
        <v>0</v>
      </c>
      <c r="AK14" s="169">
        <f t="shared" si="4"/>
        <v>0</v>
      </c>
      <c r="AL14" s="169">
        <f t="shared" si="4"/>
        <v>0</v>
      </c>
      <c r="AM14" s="169">
        <f t="shared" si="4"/>
        <v>0</v>
      </c>
      <c r="AN14" s="169">
        <f t="shared" si="4"/>
        <v>0</v>
      </c>
      <c r="AO14" s="169">
        <f t="shared" si="4"/>
        <v>0</v>
      </c>
      <c r="AP14" s="169">
        <f t="shared" si="4"/>
        <v>0</v>
      </c>
    </row>
    <row r="15" spans="1:42" x14ac:dyDescent="0.2">
      <c r="A15" s="167" t="str">
        <f>'Inputs &amp; Results'!A66</f>
        <v>State</v>
      </c>
      <c r="C15" s="169">
        <f t="shared" ref="C15:AP15" si="5">IF(PBIStateDebtSwitch="Yes",C591,0)</f>
        <v>0</v>
      </c>
      <c r="D15" s="169">
        <f t="shared" si="5"/>
        <v>0</v>
      </c>
      <c r="E15" s="169">
        <f t="shared" si="5"/>
        <v>0</v>
      </c>
      <c r="F15" s="169">
        <f t="shared" si="5"/>
        <v>0</v>
      </c>
      <c r="G15" s="169">
        <f t="shared" si="5"/>
        <v>0</v>
      </c>
      <c r="H15" s="169">
        <f t="shared" si="5"/>
        <v>0</v>
      </c>
      <c r="I15" s="169">
        <f t="shared" si="5"/>
        <v>0</v>
      </c>
      <c r="J15" s="169">
        <f t="shared" si="5"/>
        <v>0</v>
      </c>
      <c r="K15" s="169">
        <f t="shared" si="5"/>
        <v>0</v>
      </c>
      <c r="L15" s="169">
        <f t="shared" si="5"/>
        <v>0</v>
      </c>
      <c r="M15" s="169">
        <f t="shared" si="5"/>
        <v>0</v>
      </c>
      <c r="N15" s="169">
        <f t="shared" si="5"/>
        <v>0</v>
      </c>
      <c r="O15" s="169">
        <f t="shared" si="5"/>
        <v>0</v>
      </c>
      <c r="P15" s="169">
        <f t="shared" si="5"/>
        <v>0</v>
      </c>
      <c r="Q15" s="169">
        <f t="shared" si="5"/>
        <v>0</v>
      </c>
      <c r="R15" s="169">
        <f t="shared" si="5"/>
        <v>0</v>
      </c>
      <c r="S15" s="169">
        <f t="shared" si="5"/>
        <v>0</v>
      </c>
      <c r="T15" s="169">
        <f t="shared" si="5"/>
        <v>0</v>
      </c>
      <c r="U15" s="169">
        <f t="shared" si="5"/>
        <v>0</v>
      </c>
      <c r="V15" s="169">
        <f t="shared" si="5"/>
        <v>0</v>
      </c>
      <c r="W15" s="169">
        <f t="shared" si="5"/>
        <v>0</v>
      </c>
      <c r="X15" s="169">
        <f t="shared" si="5"/>
        <v>0</v>
      </c>
      <c r="Y15" s="169">
        <f t="shared" si="5"/>
        <v>0</v>
      </c>
      <c r="Z15" s="169">
        <f t="shared" si="5"/>
        <v>0</v>
      </c>
      <c r="AA15" s="169">
        <f t="shared" si="5"/>
        <v>0</v>
      </c>
      <c r="AB15" s="169">
        <f t="shared" si="5"/>
        <v>0</v>
      </c>
      <c r="AC15" s="169">
        <f t="shared" si="5"/>
        <v>0</v>
      </c>
      <c r="AD15" s="169">
        <f t="shared" si="5"/>
        <v>0</v>
      </c>
      <c r="AE15" s="169">
        <f t="shared" si="5"/>
        <v>0</v>
      </c>
      <c r="AF15" s="169">
        <f t="shared" si="5"/>
        <v>0</v>
      </c>
      <c r="AG15" s="169">
        <f t="shared" si="5"/>
        <v>0</v>
      </c>
      <c r="AH15" s="169">
        <f t="shared" si="5"/>
        <v>0</v>
      </c>
      <c r="AI15" s="169">
        <f t="shared" si="5"/>
        <v>0</v>
      </c>
      <c r="AJ15" s="169">
        <f t="shared" si="5"/>
        <v>0</v>
      </c>
      <c r="AK15" s="169">
        <f t="shared" si="5"/>
        <v>0</v>
      </c>
      <c r="AL15" s="169">
        <f t="shared" si="5"/>
        <v>0</v>
      </c>
      <c r="AM15" s="169">
        <f t="shared" si="5"/>
        <v>0</v>
      </c>
      <c r="AN15" s="169">
        <f t="shared" si="5"/>
        <v>0</v>
      </c>
      <c r="AO15" s="169">
        <f t="shared" si="5"/>
        <v>0</v>
      </c>
      <c r="AP15" s="169">
        <f t="shared" si="5"/>
        <v>0</v>
      </c>
    </row>
    <row r="16" spans="1:42" x14ac:dyDescent="0.2">
      <c r="A16" s="167" t="str">
        <f>'Inputs &amp; Results'!A67</f>
        <v>Utility</v>
      </c>
      <c r="C16" s="169">
        <f t="shared" ref="C16:AP16" si="6">IF(PBIUtilityDebtSwitch="Yes",C595,0)</f>
        <v>0</v>
      </c>
      <c r="D16" s="169">
        <f t="shared" si="6"/>
        <v>0</v>
      </c>
      <c r="E16" s="169">
        <f t="shared" si="6"/>
        <v>0</v>
      </c>
      <c r="F16" s="169">
        <f t="shared" si="6"/>
        <v>0</v>
      </c>
      <c r="G16" s="169">
        <f t="shared" si="6"/>
        <v>0</v>
      </c>
      <c r="H16" s="169">
        <f t="shared" si="6"/>
        <v>0</v>
      </c>
      <c r="I16" s="169">
        <f t="shared" si="6"/>
        <v>0</v>
      </c>
      <c r="J16" s="169">
        <f t="shared" si="6"/>
        <v>0</v>
      </c>
      <c r="K16" s="169">
        <f t="shared" si="6"/>
        <v>0</v>
      </c>
      <c r="L16" s="169">
        <f t="shared" si="6"/>
        <v>0</v>
      </c>
      <c r="M16" s="169">
        <f t="shared" si="6"/>
        <v>0</v>
      </c>
      <c r="N16" s="169">
        <f t="shared" si="6"/>
        <v>0</v>
      </c>
      <c r="O16" s="169">
        <f t="shared" si="6"/>
        <v>0</v>
      </c>
      <c r="P16" s="169">
        <f t="shared" si="6"/>
        <v>0</v>
      </c>
      <c r="Q16" s="169">
        <f t="shared" si="6"/>
        <v>0</v>
      </c>
      <c r="R16" s="169">
        <f t="shared" si="6"/>
        <v>0</v>
      </c>
      <c r="S16" s="169">
        <f t="shared" si="6"/>
        <v>0</v>
      </c>
      <c r="T16" s="169">
        <f t="shared" si="6"/>
        <v>0</v>
      </c>
      <c r="U16" s="169">
        <f t="shared" si="6"/>
        <v>0</v>
      </c>
      <c r="V16" s="169">
        <f t="shared" si="6"/>
        <v>0</v>
      </c>
      <c r="W16" s="169">
        <f t="shared" si="6"/>
        <v>0</v>
      </c>
      <c r="X16" s="169">
        <f t="shared" si="6"/>
        <v>0</v>
      </c>
      <c r="Y16" s="169">
        <f t="shared" si="6"/>
        <v>0</v>
      </c>
      <c r="Z16" s="169">
        <f t="shared" si="6"/>
        <v>0</v>
      </c>
      <c r="AA16" s="169">
        <f t="shared" si="6"/>
        <v>0</v>
      </c>
      <c r="AB16" s="169">
        <f t="shared" si="6"/>
        <v>0</v>
      </c>
      <c r="AC16" s="169">
        <f t="shared" si="6"/>
        <v>0</v>
      </c>
      <c r="AD16" s="169">
        <f t="shared" si="6"/>
        <v>0</v>
      </c>
      <c r="AE16" s="169">
        <f t="shared" si="6"/>
        <v>0</v>
      </c>
      <c r="AF16" s="169">
        <f t="shared" si="6"/>
        <v>0</v>
      </c>
      <c r="AG16" s="169">
        <f t="shared" si="6"/>
        <v>0</v>
      </c>
      <c r="AH16" s="169">
        <f t="shared" si="6"/>
        <v>0</v>
      </c>
      <c r="AI16" s="169">
        <f t="shared" si="6"/>
        <v>0</v>
      </c>
      <c r="AJ16" s="169">
        <f t="shared" si="6"/>
        <v>0</v>
      </c>
      <c r="AK16" s="169">
        <f t="shared" si="6"/>
        <v>0</v>
      </c>
      <c r="AL16" s="169">
        <f t="shared" si="6"/>
        <v>0</v>
      </c>
      <c r="AM16" s="169">
        <f t="shared" si="6"/>
        <v>0</v>
      </c>
      <c r="AN16" s="169">
        <f t="shared" si="6"/>
        <v>0</v>
      </c>
      <c r="AO16" s="169">
        <f t="shared" si="6"/>
        <v>0</v>
      </c>
      <c r="AP16" s="169">
        <f t="shared" si="6"/>
        <v>0</v>
      </c>
    </row>
    <row r="17" spans="1:42" x14ac:dyDescent="0.2">
      <c r="A17" s="167" t="str">
        <f>'Inputs &amp; Results'!A68</f>
        <v>Other</v>
      </c>
      <c r="C17" s="170">
        <f t="shared" ref="C17:AP17" si="7">IF(PBIOtherDebtSwitch="Yes",C599,0)</f>
        <v>0</v>
      </c>
      <c r="D17" s="170">
        <f t="shared" si="7"/>
        <v>0</v>
      </c>
      <c r="E17" s="170">
        <f t="shared" si="7"/>
        <v>0</v>
      </c>
      <c r="F17" s="170">
        <f t="shared" si="7"/>
        <v>0</v>
      </c>
      <c r="G17" s="170">
        <f t="shared" si="7"/>
        <v>0</v>
      </c>
      <c r="H17" s="170">
        <f t="shared" si="7"/>
        <v>0</v>
      </c>
      <c r="I17" s="170">
        <f t="shared" si="7"/>
        <v>0</v>
      </c>
      <c r="J17" s="170">
        <f t="shared" si="7"/>
        <v>0</v>
      </c>
      <c r="K17" s="170">
        <f t="shared" si="7"/>
        <v>0</v>
      </c>
      <c r="L17" s="170">
        <f t="shared" si="7"/>
        <v>0</v>
      </c>
      <c r="M17" s="170">
        <f t="shared" si="7"/>
        <v>0</v>
      </c>
      <c r="N17" s="170">
        <f t="shared" si="7"/>
        <v>0</v>
      </c>
      <c r="O17" s="170">
        <f t="shared" si="7"/>
        <v>0</v>
      </c>
      <c r="P17" s="170">
        <f t="shared" si="7"/>
        <v>0</v>
      </c>
      <c r="Q17" s="170">
        <f t="shared" si="7"/>
        <v>0</v>
      </c>
      <c r="R17" s="170">
        <f t="shared" si="7"/>
        <v>0</v>
      </c>
      <c r="S17" s="170">
        <f t="shared" si="7"/>
        <v>0</v>
      </c>
      <c r="T17" s="170">
        <f t="shared" si="7"/>
        <v>0</v>
      </c>
      <c r="U17" s="170">
        <f t="shared" si="7"/>
        <v>0</v>
      </c>
      <c r="V17" s="170">
        <f t="shared" si="7"/>
        <v>0</v>
      </c>
      <c r="W17" s="170">
        <f t="shared" si="7"/>
        <v>0</v>
      </c>
      <c r="X17" s="170">
        <f t="shared" si="7"/>
        <v>0</v>
      </c>
      <c r="Y17" s="170">
        <f t="shared" si="7"/>
        <v>0</v>
      </c>
      <c r="Z17" s="170">
        <f t="shared" si="7"/>
        <v>0</v>
      </c>
      <c r="AA17" s="170">
        <f t="shared" si="7"/>
        <v>0</v>
      </c>
      <c r="AB17" s="170">
        <f t="shared" si="7"/>
        <v>0</v>
      </c>
      <c r="AC17" s="170">
        <f t="shared" si="7"/>
        <v>0</v>
      </c>
      <c r="AD17" s="170">
        <f t="shared" si="7"/>
        <v>0</v>
      </c>
      <c r="AE17" s="170">
        <f t="shared" si="7"/>
        <v>0</v>
      </c>
      <c r="AF17" s="170">
        <f t="shared" si="7"/>
        <v>0</v>
      </c>
      <c r="AG17" s="170">
        <f t="shared" si="7"/>
        <v>0</v>
      </c>
      <c r="AH17" s="170">
        <f t="shared" si="7"/>
        <v>0</v>
      </c>
      <c r="AI17" s="170">
        <f t="shared" si="7"/>
        <v>0</v>
      </c>
      <c r="AJ17" s="170">
        <f t="shared" si="7"/>
        <v>0</v>
      </c>
      <c r="AK17" s="170">
        <f t="shared" si="7"/>
        <v>0</v>
      </c>
      <c r="AL17" s="170">
        <f t="shared" si="7"/>
        <v>0</v>
      </c>
      <c r="AM17" s="170">
        <f t="shared" si="7"/>
        <v>0</v>
      </c>
      <c r="AN17" s="170">
        <f t="shared" si="7"/>
        <v>0</v>
      </c>
      <c r="AO17" s="170">
        <f t="shared" si="7"/>
        <v>0</v>
      </c>
      <c r="AP17" s="170">
        <f t="shared" si="7"/>
        <v>0</v>
      </c>
    </row>
    <row r="18" spans="1:42" x14ac:dyDescent="0.2">
      <c r="A18" s="167" t="s">
        <v>78</v>
      </c>
      <c r="C18" s="171">
        <f>SUM(C14:C17)</f>
        <v>0</v>
      </c>
      <c r="D18" s="171">
        <f t="shared" ref="D18:AP18" si="8">SUM(D14:D17)</f>
        <v>0</v>
      </c>
      <c r="E18" s="171">
        <f t="shared" si="8"/>
        <v>0</v>
      </c>
      <c r="F18" s="171">
        <f t="shared" si="8"/>
        <v>0</v>
      </c>
      <c r="G18" s="171">
        <f t="shared" si="8"/>
        <v>0</v>
      </c>
      <c r="H18" s="171">
        <f t="shared" si="8"/>
        <v>0</v>
      </c>
      <c r="I18" s="171">
        <f t="shared" si="8"/>
        <v>0</v>
      </c>
      <c r="J18" s="171">
        <f t="shared" si="8"/>
        <v>0</v>
      </c>
      <c r="K18" s="171">
        <f t="shared" si="8"/>
        <v>0</v>
      </c>
      <c r="L18" s="171">
        <f t="shared" si="8"/>
        <v>0</v>
      </c>
      <c r="M18" s="171">
        <f t="shared" si="8"/>
        <v>0</v>
      </c>
      <c r="N18" s="171">
        <f t="shared" si="8"/>
        <v>0</v>
      </c>
      <c r="O18" s="171">
        <f t="shared" si="8"/>
        <v>0</v>
      </c>
      <c r="P18" s="171">
        <f t="shared" si="8"/>
        <v>0</v>
      </c>
      <c r="Q18" s="171">
        <f t="shared" si="8"/>
        <v>0</v>
      </c>
      <c r="R18" s="171">
        <f t="shared" si="8"/>
        <v>0</v>
      </c>
      <c r="S18" s="171">
        <f t="shared" si="8"/>
        <v>0</v>
      </c>
      <c r="T18" s="171">
        <f t="shared" si="8"/>
        <v>0</v>
      </c>
      <c r="U18" s="171">
        <f t="shared" si="8"/>
        <v>0</v>
      </c>
      <c r="V18" s="171">
        <f t="shared" si="8"/>
        <v>0</v>
      </c>
      <c r="W18" s="171">
        <f t="shared" si="8"/>
        <v>0</v>
      </c>
      <c r="X18" s="171">
        <f t="shared" si="8"/>
        <v>0</v>
      </c>
      <c r="Y18" s="171">
        <f t="shared" si="8"/>
        <v>0</v>
      </c>
      <c r="Z18" s="171">
        <f t="shared" si="8"/>
        <v>0</v>
      </c>
      <c r="AA18" s="171">
        <f t="shared" si="8"/>
        <v>0</v>
      </c>
      <c r="AB18" s="171">
        <f t="shared" si="8"/>
        <v>0</v>
      </c>
      <c r="AC18" s="171">
        <f t="shared" si="8"/>
        <v>0</v>
      </c>
      <c r="AD18" s="171">
        <f t="shared" si="8"/>
        <v>0</v>
      </c>
      <c r="AE18" s="171">
        <f t="shared" si="8"/>
        <v>0</v>
      </c>
      <c r="AF18" s="171">
        <f t="shared" si="8"/>
        <v>0</v>
      </c>
      <c r="AG18" s="171">
        <f t="shared" si="8"/>
        <v>0</v>
      </c>
      <c r="AH18" s="171">
        <f t="shared" si="8"/>
        <v>0</v>
      </c>
      <c r="AI18" s="171">
        <f t="shared" si="8"/>
        <v>0</v>
      </c>
      <c r="AJ18" s="171">
        <f t="shared" si="8"/>
        <v>0</v>
      </c>
      <c r="AK18" s="171">
        <f t="shared" si="8"/>
        <v>0</v>
      </c>
      <c r="AL18" s="171">
        <f t="shared" si="8"/>
        <v>0</v>
      </c>
      <c r="AM18" s="171">
        <f t="shared" si="8"/>
        <v>0</v>
      </c>
      <c r="AN18" s="171">
        <f t="shared" si="8"/>
        <v>0</v>
      </c>
      <c r="AO18" s="171">
        <f t="shared" si="8"/>
        <v>0</v>
      </c>
      <c r="AP18" s="171">
        <f t="shared" si="8"/>
        <v>0</v>
      </c>
    </row>
    <row r="19" spans="1:42" x14ac:dyDescent="0.2">
      <c r="A19" s="163" t="s">
        <v>138</v>
      </c>
      <c r="C19" s="170">
        <f t="shared" ref="C19:AP19" si="9">IF(C2=AnalysisPeriod,SalvageValue*PreFinancingInstalledCostTotal,0)</f>
        <v>0</v>
      </c>
      <c r="D19" s="170">
        <f t="shared" si="9"/>
        <v>0</v>
      </c>
      <c r="E19" s="170">
        <f t="shared" si="9"/>
        <v>0</v>
      </c>
      <c r="F19" s="170">
        <f t="shared" si="9"/>
        <v>0</v>
      </c>
      <c r="G19" s="170">
        <f t="shared" si="9"/>
        <v>0</v>
      </c>
      <c r="H19" s="170">
        <f t="shared" si="9"/>
        <v>0</v>
      </c>
      <c r="I19" s="170">
        <f t="shared" si="9"/>
        <v>0</v>
      </c>
      <c r="J19" s="170">
        <f t="shared" si="9"/>
        <v>0</v>
      </c>
      <c r="K19" s="170">
        <f t="shared" si="9"/>
        <v>0</v>
      </c>
      <c r="L19" s="170">
        <f t="shared" si="9"/>
        <v>0</v>
      </c>
      <c r="M19" s="170">
        <f t="shared" si="9"/>
        <v>0</v>
      </c>
      <c r="N19" s="170">
        <f t="shared" si="9"/>
        <v>0</v>
      </c>
      <c r="O19" s="170">
        <f t="shared" si="9"/>
        <v>0</v>
      </c>
      <c r="P19" s="170">
        <f t="shared" si="9"/>
        <v>0</v>
      </c>
      <c r="Q19" s="170">
        <f t="shared" si="9"/>
        <v>0</v>
      </c>
      <c r="R19" s="170">
        <f t="shared" si="9"/>
        <v>0</v>
      </c>
      <c r="S19" s="170">
        <f t="shared" si="9"/>
        <v>0</v>
      </c>
      <c r="T19" s="170">
        <f t="shared" si="9"/>
        <v>0</v>
      </c>
      <c r="U19" s="170">
        <f t="shared" si="9"/>
        <v>0</v>
      </c>
      <c r="V19" s="170">
        <f t="shared" si="9"/>
        <v>0</v>
      </c>
      <c r="W19" s="170">
        <f t="shared" si="9"/>
        <v>0</v>
      </c>
      <c r="X19" s="170">
        <f t="shared" si="9"/>
        <v>0</v>
      </c>
      <c r="Y19" s="170">
        <f t="shared" si="9"/>
        <v>0</v>
      </c>
      <c r="Z19" s="170">
        <f t="shared" si="9"/>
        <v>0</v>
      </c>
      <c r="AA19" s="170">
        <f t="shared" si="9"/>
        <v>0</v>
      </c>
      <c r="AB19" s="170">
        <f t="shared" si="9"/>
        <v>0</v>
      </c>
      <c r="AC19" s="170">
        <f t="shared" si="9"/>
        <v>0</v>
      </c>
      <c r="AD19" s="170">
        <f t="shared" si="9"/>
        <v>0</v>
      </c>
      <c r="AE19" s="170">
        <f t="shared" si="9"/>
        <v>0</v>
      </c>
      <c r="AF19" s="170">
        <f t="shared" si="9"/>
        <v>0</v>
      </c>
      <c r="AG19" s="170">
        <f t="shared" si="9"/>
        <v>0</v>
      </c>
      <c r="AH19" s="170">
        <f t="shared" si="9"/>
        <v>0</v>
      </c>
      <c r="AI19" s="170">
        <f t="shared" si="9"/>
        <v>0</v>
      </c>
      <c r="AJ19" s="170">
        <f t="shared" si="9"/>
        <v>0</v>
      </c>
      <c r="AK19" s="170">
        <f t="shared" si="9"/>
        <v>0</v>
      </c>
      <c r="AL19" s="170">
        <f t="shared" si="9"/>
        <v>0</v>
      </c>
      <c r="AM19" s="170">
        <f t="shared" si="9"/>
        <v>0</v>
      </c>
      <c r="AN19" s="170">
        <f t="shared" si="9"/>
        <v>0</v>
      </c>
      <c r="AO19" s="170">
        <f t="shared" si="9"/>
        <v>0</v>
      </c>
      <c r="AP19" s="170">
        <f t="shared" si="9"/>
        <v>4022715</v>
      </c>
    </row>
    <row r="20" spans="1:42" x14ac:dyDescent="0.2">
      <c r="A20" s="163" t="s">
        <v>238</v>
      </c>
      <c r="C20" s="135">
        <f t="shared" ref="C20:AP20" si="10">C12+C18+C19</f>
        <v>4505414.8870301852</v>
      </c>
      <c r="D20" s="135">
        <f t="shared" si="10"/>
        <v>4527716.6907209847</v>
      </c>
      <c r="E20" s="135">
        <f t="shared" si="10"/>
        <v>4550128.8883400531</v>
      </c>
      <c r="F20" s="135">
        <f t="shared" si="10"/>
        <v>4572652.0263373367</v>
      </c>
      <c r="G20" s="135">
        <f t="shared" si="10"/>
        <v>4595286.6538677067</v>
      </c>
      <c r="H20" s="135">
        <f t="shared" si="10"/>
        <v>4618033.3228043513</v>
      </c>
      <c r="I20" s="135">
        <f t="shared" si="10"/>
        <v>4640892.5877522342</v>
      </c>
      <c r="J20" s="135">
        <f t="shared" si="10"/>
        <v>4663865.0060616061</v>
      </c>
      <c r="K20" s="135">
        <f t="shared" si="10"/>
        <v>4686951.1378416121</v>
      </c>
      <c r="L20" s="135">
        <f t="shared" si="10"/>
        <v>4710151.5459739277</v>
      </c>
      <c r="M20" s="135">
        <f t="shared" si="10"/>
        <v>4733466.7961264998</v>
      </c>
      <c r="N20" s="135">
        <f t="shared" si="10"/>
        <v>4756897.4567673244</v>
      </c>
      <c r="O20" s="135">
        <f t="shared" si="10"/>
        <v>4780444.0991783235</v>
      </c>
      <c r="P20" s="135">
        <f t="shared" si="10"/>
        <v>4804107.2974692564</v>
      </c>
      <c r="Q20" s="135">
        <f t="shared" si="10"/>
        <v>4827887.6285917303</v>
      </c>
      <c r="R20" s="135">
        <f t="shared" si="10"/>
        <v>4851785.6723532574</v>
      </c>
      <c r="S20" s="135">
        <f t="shared" si="10"/>
        <v>4875802.0114314072</v>
      </c>
      <c r="T20" s="135">
        <f t="shared" si="10"/>
        <v>4899937.2313879933</v>
      </c>
      <c r="U20" s="135">
        <f t="shared" si="10"/>
        <v>4924191.9206833635</v>
      </c>
      <c r="V20" s="135">
        <f t="shared" si="10"/>
        <v>4948566.670690746</v>
      </c>
      <c r="W20" s="135">
        <f t="shared" si="10"/>
        <v>4973062.0757106664</v>
      </c>
      <c r="X20" s="135">
        <f t="shared" si="10"/>
        <v>4997678.7329854323</v>
      </c>
      <c r="Y20" s="135">
        <f t="shared" si="10"/>
        <v>5022417.2427137122</v>
      </c>
      <c r="Z20" s="135">
        <f t="shared" si="10"/>
        <v>5047278.2080651447</v>
      </c>
      <c r="AA20" s="135">
        <f t="shared" si="10"/>
        <v>5072262.2351950677</v>
      </c>
      <c r="AB20" s="135">
        <f t="shared" si="10"/>
        <v>5097369.9332592841</v>
      </c>
      <c r="AC20" s="135">
        <f t="shared" si="10"/>
        <v>5122601.9144289168</v>
      </c>
      <c r="AD20" s="135">
        <f t="shared" si="10"/>
        <v>5147958.7939053383</v>
      </c>
      <c r="AE20" s="135">
        <f t="shared" si="10"/>
        <v>5173441.189935171</v>
      </c>
      <c r="AF20" s="135">
        <f t="shared" si="10"/>
        <v>5199049.7238253513</v>
      </c>
      <c r="AG20" s="135">
        <f t="shared" si="10"/>
        <v>5224785.0199582865</v>
      </c>
      <c r="AH20" s="135">
        <f t="shared" si="10"/>
        <v>5250647.7058070786</v>
      </c>
      <c r="AI20" s="135">
        <f t="shared" si="10"/>
        <v>5276638.4119508239</v>
      </c>
      <c r="AJ20" s="135">
        <f t="shared" si="10"/>
        <v>5302757.7720899815</v>
      </c>
      <c r="AK20" s="135">
        <f t="shared" si="10"/>
        <v>5329006.4230618272</v>
      </c>
      <c r="AL20" s="135">
        <f t="shared" si="10"/>
        <v>5355385.004855982</v>
      </c>
      <c r="AM20" s="135">
        <f t="shared" si="10"/>
        <v>5381894.1606300203</v>
      </c>
      <c r="AN20" s="135">
        <f t="shared" si="10"/>
        <v>5408534.5367251383</v>
      </c>
      <c r="AO20" s="135">
        <f t="shared" si="10"/>
        <v>5435306.782681928</v>
      </c>
      <c r="AP20" s="135">
        <f t="shared" si="10"/>
        <v>9484926.5512562022</v>
      </c>
    </row>
    <row r="21" spans="1:42" x14ac:dyDescent="0.2">
      <c r="A21" s="167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</row>
    <row r="22" spans="1:42" x14ac:dyDescent="0.2">
      <c r="A22" s="165" t="s">
        <v>49</v>
      </c>
      <c r="C22" s="135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</row>
    <row r="23" spans="1:42" x14ac:dyDescent="0.2">
      <c r="A23" s="20" t="s">
        <v>5</v>
      </c>
      <c r="C23" s="135">
        <f t="shared" ref="C23:AP23" si="11">IF(C$2&lt;=AnalysisPeriod,OMFixedAnnual*(1+Inflation+OMFixedAnnualRealEsc)^B$2,0)</f>
        <v>10000</v>
      </c>
      <c r="D23" s="135">
        <f t="shared" si="11"/>
        <v>10250</v>
      </c>
      <c r="E23" s="135">
        <f t="shared" si="11"/>
        <v>10506.25</v>
      </c>
      <c r="F23" s="135">
        <f t="shared" si="11"/>
        <v>10768.906249999998</v>
      </c>
      <c r="G23" s="135">
        <f t="shared" si="11"/>
        <v>11038.128906249998</v>
      </c>
      <c r="H23" s="135">
        <f t="shared" si="11"/>
        <v>11314.082128906246</v>
      </c>
      <c r="I23" s="135">
        <f t="shared" si="11"/>
        <v>11596.934182128902</v>
      </c>
      <c r="J23" s="135">
        <f t="shared" si="11"/>
        <v>11886.857536682124</v>
      </c>
      <c r="K23" s="135">
        <f t="shared" si="11"/>
        <v>12184.028975099178</v>
      </c>
      <c r="L23" s="135">
        <f t="shared" si="11"/>
        <v>12488.629699476654</v>
      </c>
      <c r="M23" s="135">
        <f t="shared" si="11"/>
        <v>12800.845441963571</v>
      </c>
      <c r="N23" s="135">
        <f t="shared" si="11"/>
        <v>13120.866578012659</v>
      </c>
      <c r="O23" s="135">
        <f t="shared" si="11"/>
        <v>13448.888242462976</v>
      </c>
      <c r="P23" s="135">
        <f t="shared" si="11"/>
        <v>13785.110448524549</v>
      </c>
      <c r="Q23" s="135">
        <f t="shared" si="11"/>
        <v>14129.738209737661</v>
      </c>
      <c r="R23" s="135">
        <f t="shared" si="11"/>
        <v>14482.981664981105</v>
      </c>
      <c r="S23" s="135">
        <f t="shared" si="11"/>
        <v>14845.056206605632</v>
      </c>
      <c r="T23" s="135">
        <f t="shared" si="11"/>
        <v>15216.18261177077</v>
      </c>
      <c r="U23" s="135">
        <f t="shared" si="11"/>
        <v>15596.587177065039</v>
      </c>
      <c r="V23" s="135">
        <f t="shared" si="11"/>
        <v>15986.501856491666</v>
      </c>
      <c r="W23" s="135">
        <f t="shared" si="11"/>
        <v>16386.164402903956</v>
      </c>
      <c r="X23" s="135">
        <f t="shared" si="11"/>
        <v>16795.818512976552</v>
      </c>
      <c r="Y23" s="135">
        <f t="shared" si="11"/>
        <v>17215.713975800965</v>
      </c>
      <c r="Z23" s="135">
        <f t="shared" si="11"/>
        <v>17646.106825195991</v>
      </c>
      <c r="AA23" s="135">
        <f t="shared" si="11"/>
        <v>18087.259495825889</v>
      </c>
      <c r="AB23" s="135">
        <f t="shared" si="11"/>
        <v>18539.440983221535</v>
      </c>
      <c r="AC23" s="135">
        <f t="shared" si="11"/>
        <v>19002.927007802071</v>
      </c>
      <c r="AD23" s="135">
        <f t="shared" si="11"/>
        <v>19478.000182997122</v>
      </c>
      <c r="AE23" s="135">
        <f t="shared" si="11"/>
        <v>19964.950187572049</v>
      </c>
      <c r="AF23" s="135">
        <f t="shared" si="11"/>
        <v>20464.073942261351</v>
      </c>
      <c r="AG23" s="135">
        <f t="shared" si="11"/>
        <v>20975.675790817881</v>
      </c>
      <c r="AH23" s="135">
        <f t="shared" si="11"/>
        <v>21500.067685588332</v>
      </c>
      <c r="AI23" s="135">
        <f t="shared" si="11"/>
        <v>22037.569377728036</v>
      </c>
      <c r="AJ23" s="135">
        <f t="shared" si="11"/>
        <v>22588.508612171237</v>
      </c>
      <c r="AK23" s="135">
        <f t="shared" si="11"/>
        <v>23153.221327475516</v>
      </c>
      <c r="AL23" s="135">
        <f t="shared" si="11"/>
        <v>23732.051860662403</v>
      </c>
      <c r="AM23" s="135">
        <f t="shared" si="11"/>
        <v>24325.353157178964</v>
      </c>
      <c r="AN23" s="135">
        <f t="shared" si="11"/>
        <v>24933.486986108433</v>
      </c>
      <c r="AO23" s="135">
        <f t="shared" si="11"/>
        <v>25556.824160761142</v>
      </c>
      <c r="AP23" s="135">
        <f t="shared" si="11"/>
        <v>26195.744764780171</v>
      </c>
    </row>
    <row r="24" spans="1:42" x14ac:dyDescent="0.2">
      <c r="A24" s="20" t="s">
        <v>7</v>
      </c>
    </row>
    <row r="25" spans="1:42" x14ac:dyDescent="0.2">
      <c r="A25" s="167" t="s">
        <v>51</v>
      </c>
      <c r="C25" s="135">
        <f t="shared" ref="C25:AP25" si="12">IF(C$2&lt;=AnalysisPeriod,CapacityDC,0)</f>
        <v>10000</v>
      </c>
      <c r="D25" s="135">
        <f t="shared" si="12"/>
        <v>10000</v>
      </c>
      <c r="E25" s="135">
        <f t="shared" si="12"/>
        <v>10000</v>
      </c>
      <c r="F25" s="135">
        <f t="shared" si="12"/>
        <v>10000</v>
      </c>
      <c r="G25" s="135">
        <f t="shared" si="12"/>
        <v>10000</v>
      </c>
      <c r="H25" s="135">
        <f t="shared" si="12"/>
        <v>10000</v>
      </c>
      <c r="I25" s="135">
        <f t="shared" si="12"/>
        <v>10000</v>
      </c>
      <c r="J25" s="135">
        <f t="shared" si="12"/>
        <v>10000</v>
      </c>
      <c r="K25" s="135">
        <f t="shared" si="12"/>
        <v>10000</v>
      </c>
      <c r="L25" s="135">
        <f t="shared" si="12"/>
        <v>10000</v>
      </c>
      <c r="M25" s="135">
        <f t="shared" si="12"/>
        <v>10000</v>
      </c>
      <c r="N25" s="135">
        <f t="shared" si="12"/>
        <v>10000</v>
      </c>
      <c r="O25" s="135">
        <f t="shared" si="12"/>
        <v>10000</v>
      </c>
      <c r="P25" s="135">
        <f t="shared" si="12"/>
        <v>10000</v>
      </c>
      <c r="Q25" s="135">
        <f t="shared" si="12"/>
        <v>10000</v>
      </c>
      <c r="R25" s="135">
        <f t="shared" si="12"/>
        <v>10000</v>
      </c>
      <c r="S25" s="135">
        <f t="shared" si="12"/>
        <v>10000</v>
      </c>
      <c r="T25" s="135">
        <f t="shared" si="12"/>
        <v>10000</v>
      </c>
      <c r="U25" s="135">
        <f t="shared" si="12"/>
        <v>10000</v>
      </c>
      <c r="V25" s="135">
        <f t="shared" si="12"/>
        <v>10000</v>
      </c>
      <c r="W25" s="135">
        <f t="shared" si="12"/>
        <v>10000</v>
      </c>
      <c r="X25" s="135">
        <f t="shared" si="12"/>
        <v>10000</v>
      </c>
      <c r="Y25" s="135">
        <f t="shared" si="12"/>
        <v>10000</v>
      </c>
      <c r="Z25" s="135">
        <f t="shared" si="12"/>
        <v>10000</v>
      </c>
      <c r="AA25" s="135">
        <f t="shared" si="12"/>
        <v>10000</v>
      </c>
      <c r="AB25" s="135">
        <f t="shared" si="12"/>
        <v>10000</v>
      </c>
      <c r="AC25" s="135">
        <f t="shared" si="12"/>
        <v>10000</v>
      </c>
      <c r="AD25" s="135">
        <f t="shared" si="12"/>
        <v>10000</v>
      </c>
      <c r="AE25" s="135">
        <f t="shared" si="12"/>
        <v>10000</v>
      </c>
      <c r="AF25" s="135">
        <f t="shared" si="12"/>
        <v>10000</v>
      </c>
      <c r="AG25" s="135">
        <f t="shared" si="12"/>
        <v>10000</v>
      </c>
      <c r="AH25" s="135">
        <f t="shared" si="12"/>
        <v>10000</v>
      </c>
      <c r="AI25" s="135">
        <f t="shared" si="12"/>
        <v>10000</v>
      </c>
      <c r="AJ25" s="135">
        <f t="shared" si="12"/>
        <v>10000</v>
      </c>
      <c r="AK25" s="135">
        <f t="shared" si="12"/>
        <v>10000</v>
      </c>
      <c r="AL25" s="135">
        <f t="shared" si="12"/>
        <v>10000</v>
      </c>
      <c r="AM25" s="135">
        <f t="shared" si="12"/>
        <v>10000</v>
      </c>
      <c r="AN25" s="135">
        <f t="shared" si="12"/>
        <v>10000</v>
      </c>
      <c r="AO25" s="135">
        <f t="shared" si="12"/>
        <v>10000</v>
      </c>
      <c r="AP25" s="135">
        <f t="shared" si="12"/>
        <v>10000</v>
      </c>
    </row>
    <row r="26" spans="1:42" x14ac:dyDescent="0.2">
      <c r="A26" s="167" t="s">
        <v>52</v>
      </c>
      <c r="C26" s="168">
        <f t="shared" ref="C26:AP26" si="13">IF(C$2&lt;=AnalysisPeriod,OMCapacity*(1+Inflation+OMCapacityRealEsc)^B$2,0)</f>
        <v>22</v>
      </c>
      <c r="D26" s="168">
        <f t="shared" si="13"/>
        <v>22.494999999999997</v>
      </c>
      <c r="E26" s="168">
        <f t="shared" si="13"/>
        <v>23.001137499999999</v>
      </c>
      <c r="F26" s="168">
        <f t="shared" si="13"/>
        <v>23.518663093749996</v>
      </c>
      <c r="G26" s="168">
        <f t="shared" si="13"/>
        <v>24.047833013359369</v>
      </c>
      <c r="H26" s="168">
        <f t="shared" si="13"/>
        <v>24.588909256159958</v>
      </c>
      <c r="I26" s="168">
        <f t="shared" si="13"/>
        <v>25.142159714423553</v>
      </c>
      <c r="J26" s="168">
        <f t="shared" si="13"/>
        <v>25.70785830799808</v>
      </c>
      <c r="K26" s="168">
        <f t="shared" si="13"/>
        <v>26.286285119928035</v>
      </c>
      <c r="L26" s="168">
        <f t="shared" si="13"/>
        <v>26.877726535126413</v>
      </c>
      <c r="M26" s="168">
        <f t="shared" si="13"/>
        <v>27.482475382166754</v>
      </c>
      <c r="N26" s="168">
        <f t="shared" si="13"/>
        <v>28.100831078265504</v>
      </c>
      <c r="O26" s="168">
        <f t="shared" si="13"/>
        <v>28.73309977752648</v>
      </c>
      <c r="P26" s="168">
        <f t="shared" si="13"/>
        <v>29.379594522520826</v>
      </c>
      <c r="Q26" s="168">
        <f t="shared" si="13"/>
        <v>30.040635399277544</v>
      </c>
      <c r="R26" s="168">
        <f t="shared" si="13"/>
        <v>30.716549695761287</v>
      </c>
      <c r="S26" s="168">
        <f t="shared" si="13"/>
        <v>31.407672063915907</v>
      </c>
      <c r="T26" s="168">
        <f t="shared" si="13"/>
        <v>32.114344685354013</v>
      </c>
      <c r="U26" s="168">
        <f t="shared" si="13"/>
        <v>32.836917440774478</v>
      </c>
      <c r="V26" s="168">
        <f t="shared" si="13"/>
        <v>33.575748083191904</v>
      </c>
      <c r="W26" s="168">
        <f t="shared" si="13"/>
        <v>34.331202415063721</v>
      </c>
      <c r="X26" s="168">
        <f t="shared" si="13"/>
        <v>35.103654469402656</v>
      </c>
      <c r="Y26" s="168">
        <f t="shared" si="13"/>
        <v>35.89348669496421</v>
      </c>
      <c r="Z26" s="168">
        <f t="shared" si="13"/>
        <v>36.701090145600901</v>
      </c>
      <c r="AA26" s="168">
        <f t="shared" si="13"/>
        <v>37.526864673876915</v>
      </c>
      <c r="AB26" s="168">
        <f t="shared" si="13"/>
        <v>38.37121912903914</v>
      </c>
      <c r="AC26" s="168">
        <f t="shared" si="13"/>
        <v>39.234571559442522</v>
      </c>
      <c r="AD26" s="168">
        <f t="shared" si="13"/>
        <v>40.117349419529972</v>
      </c>
      <c r="AE26" s="168">
        <f t="shared" si="13"/>
        <v>41.019989781469398</v>
      </c>
      <c r="AF26" s="168">
        <f t="shared" si="13"/>
        <v>41.942939551552463</v>
      </c>
      <c r="AG26" s="168">
        <f t="shared" si="13"/>
        <v>42.886655691462394</v>
      </c>
      <c r="AH26" s="168">
        <f t="shared" si="13"/>
        <v>43.851605444520295</v>
      </c>
      <c r="AI26" s="168">
        <f t="shared" si="13"/>
        <v>44.838266567021989</v>
      </c>
      <c r="AJ26" s="168">
        <f t="shared" si="13"/>
        <v>45.847127564779981</v>
      </c>
      <c r="AK26" s="168">
        <f t="shared" si="13"/>
        <v>46.878687934987525</v>
      </c>
      <c r="AL26" s="168">
        <f t="shared" si="13"/>
        <v>47.933458413524747</v>
      </c>
      <c r="AM26" s="168">
        <f t="shared" si="13"/>
        <v>49.011961227829048</v>
      </c>
      <c r="AN26" s="168">
        <f t="shared" si="13"/>
        <v>50.114730355455208</v>
      </c>
      <c r="AO26" s="168">
        <f t="shared" si="13"/>
        <v>51.242311788452945</v>
      </c>
      <c r="AP26" s="168">
        <f t="shared" si="13"/>
        <v>52.395263803693133</v>
      </c>
    </row>
    <row r="27" spans="1:42" x14ac:dyDescent="0.2">
      <c r="A27" s="167" t="s">
        <v>53</v>
      </c>
      <c r="C27" s="135">
        <f>C25*C26</f>
        <v>220000</v>
      </c>
      <c r="D27" s="135">
        <f t="shared" ref="D27:AP27" si="14">D25*D26</f>
        <v>224949.99999999997</v>
      </c>
      <c r="E27" s="135">
        <f t="shared" si="14"/>
        <v>230011.375</v>
      </c>
      <c r="F27" s="135">
        <f t="shared" si="14"/>
        <v>235186.63093749995</v>
      </c>
      <c r="G27" s="135">
        <f t="shared" si="14"/>
        <v>240478.3301335937</v>
      </c>
      <c r="H27" s="135">
        <f t="shared" si="14"/>
        <v>245889.09256159959</v>
      </c>
      <c r="I27" s="135">
        <f t="shared" si="14"/>
        <v>251421.59714423554</v>
      </c>
      <c r="J27" s="135">
        <f t="shared" si="14"/>
        <v>257078.5830799808</v>
      </c>
      <c r="K27" s="135">
        <f t="shared" si="14"/>
        <v>262862.85119928035</v>
      </c>
      <c r="L27" s="135">
        <f t="shared" si="14"/>
        <v>268777.26535126416</v>
      </c>
      <c r="M27" s="135">
        <f t="shared" si="14"/>
        <v>274824.75382166752</v>
      </c>
      <c r="N27" s="135">
        <f t="shared" si="14"/>
        <v>281008.31078265503</v>
      </c>
      <c r="O27" s="135">
        <f t="shared" si="14"/>
        <v>287330.99777526478</v>
      </c>
      <c r="P27" s="135">
        <f t="shared" si="14"/>
        <v>293795.94522520824</v>
      </c>
      <c r="Q27" s="135">
        <f t="shared" si="14"/>
        <v>300406.35399277543</v>
      </c>
      <c r="R27" s="135">
        <f t="shared" si="14"/>
        <v>307165.49695761286</v>
      </c>
      <c r="S27" s="135">
        <f t="shared" si="14"/>
        <v>314076.72063915909</v>
      </c>
      <c r="T27" s="135">
        <f t="shared" si="14"/>
        <v>321143.44685354014</v>
      </c>
      <c r="U27" s="135">
        <f t="shared" si="14"/>
        <v>328369.17440774478</v>
      </c>
      <c r="V27" s="135">
        <f t="shared" si="14"/>
        <v>335757.48083191906</v>
      </c>
      <c r="W27" s="135">
        <f t="shared" si="14"/>
        <v>343312.02415063721</v>
      </c>
      <c r="X27" s="135">
        <f t="shared" si="14"/>
        <v>351036.54469402658</v>
      </c>
      <c r="Y27" s="135">
        <f t="shared" si="14"/>
        <v>358934.86694964208</v>
      </c>
      <c r="Z27" s="135">
        <f t="shared" si="14"/>
        <v>367010.90145600901</v>
      </c>
      <c r="AA27" s="135">
        <f t="shared" si="14"/>
        <v>375268.64673876914</v>
      </c>
      <c r="AB27" s="135">
        <f t="shared" si="14"/>
        <v>383712.19129039138</v>
      </c>
      <c r="AC27" s="135">
        <f t="shared" si="14"/>
        <v>392345.71559442522</v>
      </c>
      <c r="AD27" s="135">
        <f t="shared" si="14"/>
        <v>401173.49419529975</v>
      </c>
      <c r="AE27" s="135">
        <f t="shared" si="14"/>
        <v>410199.89781469398</v>
      </c>
      <c r="AF27" s="135">
        <f t="shared" si="14"/>
        <v>419429.39551552461</v>
      </c>
      <c r="AG27" s="135">
        <f t="shared" si="14"/>
        <v>428866.55691462394</v>
      </c>
      <c r="AH27" s="135">
        <f t="shared" si="14"/>
        <v>438516.05444520293</v>
      </c>
      <c r="AI27" s="135">
        <f t="shared" si="14"/>
        <v>448382.66567021987</v>
      </c>
      <c r="AJ27" s="135">
        <f t="shared" si="14"/>
        <v>458471.27564779983</v>
      </c>
      <c r="AK27" s="135">
        <f t="shared" si="14"/>
        <v>468786.87934987526</v>
      </c>
      <c r="AL27" s="135">
        <f t="shared" si="14"/>
        <v>479334.58413524745</v>
      </c>
      <c r="AM27" s="135">
        <f t="shared" si="14"/>
        <v>490119.6122782905</v>
      </c>
      <c r="AN27" s="135">
        <f t="shared" si="14"/>
        <v>501147.30355455208</v>
      </c>
      <c r="AO27" s="135">
        <f t="shared" si="14"/>
        <v>512423.11788452946</v>
      </c>
      <c r="AP27" s="135">
        <f t="shared" si="14"/>
        <v>523952.63803693134</v>
      </c>
    </row>
    <row r="28" spans="1:42" x14ac:dyDescent="0.2">
      <c r="A28" s="20" t="s">
        <v>9</v>
      </c>
    </row>
    <row r="29" spans="1:42" x14ac:dyDescent="0.2">
      <c r="A29" s="167" t="s">
        <v>55</v>
      </c>
      <c r="C29" s="135">
        <f>C5/1000</f>
        <v>16188.48</v>
      </c>
      <c r="D29" s="135">
        <f t="shared" ref="D29:AP29" si="15">D5/1000</f>
        <v>16107.5376</v>
      </c>
      <c r="E29" s="135">
        <f t="shared" si="15"/>
        <v>16026.999912000001</v>
      </c>
      <c r="F29" s="135">
        <f t="shared" si="15"/>
        <v>15946.86491244</v>
      </c>
      <c r="G29" s="135">
        <f t="shared" si="15"/>
        <v>15867.1305878778</v>
      </c>
      <c r="H29" s="135">
        <f t="shared" si="15"/>
        <v>15787.794934938413</v>
      </c>
      <c r="I29" s="135">
        <f t="shared" si="15"/>
        <v>15708.85596026372</v>
      </c>
      <c r="J29" s="135">
        <f t="shared" si="15"/>
        <v>15630.311680462401</v>
      </c>
      <c r="K29" s="135">
        <f t="shared" si="15"/>
        <v>15552.16012206009</v>
      </c>
      <c r="L29" s="135">
        <f t="shared" si="15"/>
        <v>15474.399321449788</v>
      </c>
      <c r="M29" s="135">
        <f t="shared" si="15"/>
        <v>15397.02732484254</v>
      </c>
      <c r="N29" s="135">
        <f t="shared" si="15"/>
        <v>15320.042188218327</v>
      </c>
      <c r="O29" s="135">
        <f t="shared" si="15"/>
        <v>15243.441977277236</v>
      </c>
      <c r="P29" s="135">
        <f t="shared" si="15"/>
        <v>15167.224767390851</v>
      </c>
      <c r="Q29" s="135">
        <f t="shared" si="15"/>
        <v>15091.388643553897</v>
      </c>
      <c r="R29" s="135">
        <f t="shared" si="15"/>
        <v>15015.931700336127</v>
      </c>
      <c r="S29" s="135">
        <f t="shared" si="15"/>
        <v>14940.852041834445</v>
      </c>
      <c r="T29" s="135">
        <f t="shared" si="15"/>
        <v>14866.147781625275</v>
      </c>
      <c r="U29" s="135">
        <f t="shared" si="15"/>
        <v>14791.817042717148</v>
      </c>
      <c r="V29" s="135">
        <f t="shared" si="15"/>
        <v>14717.85795750356</v>
      </c>
      <c r="W29" s="135">
        <f t="shared" si="15"/>
        <v>14644.268667716045</v>
      </c>
      <c r="X29" s="135">
        <f t="shared" si="15"/>
        <v>14571.047324377465</v>
      </c>
      <c r="Y29" s="135">
        <f t="shared" si="15"/>
        <v>14498.192087755579</v>
      </c>
      <c r="Z29" s="135">
        <f t="shared" si="15"/>
        <v>14425.701127316799</v>
      </c>
      <c r="AA29" s="135">
        <f t="shared" si="15"/>
        <v>14353.572621680216</v>
      </c>
      <c r="AB29" s="135">
        <f t="shared" si="15"/>
        <v>14281.804758571814</v>
      </c>
      <c r="AC29" s="135">
        <f t="shared" si="15"/>
        <v>14210.395734778956</v>
      </c>
      <c r="AD29" s="135">
        <f t="shared" si="15"/>
        <v>14139.34375610506</v>
      </c>
      <c r="AE29" s="135">
        <f t="shared" si="15"/>
        <v>14068.647037324537</v>
      </c>
      <c r="AF29" s="135">
        <f t="shared" si="15"/>
        <v>13998.303802137914</v>
      </c>
      <c r="AG29" s="135">
        <f t="shared" si="15"/>
        <v>13928.312283127225</v>
      </c>
      <c r="AH29" s="135">
        <f t="shared" si="15"/>
        <v>13858.670721711587</v>
      </c>
      <c r="AI29" s="135">
        <f t="shared" si="15"/>
        <v>13789.377368103029</v>
      </c>
      <c r="AJ29" s="135">
        <f t="shared" si="15"/>
        <v>13720.430481262514</v>
      </c>
      <c r="AK29" s="135">
        <f t="shared" si="15"/>
        <v>13651.828328856202</v>
      </c>
      <c r="AL29" s="135">
        <f t="shared" si="15"/>
        <v>13583.569187211922</v>
      </c>
      <c r="AM29" s="135">
        <f t="shared" si="15"/>
        <v>13515.651341275861</v>
      </c>
      <c r="AN29" s="135">
        <f t="shared" si="15"/>
        <v>13448.073084569483</v>
      </c>
      <c r="AO29" s="135">
        <f t="shared" si="15"/>
        <v>13380.832719146636</v>
      </c>
      <c r="AP29" s="135">
        <f t="shared" si="15"/>
        <v>13313.928555550903</v>
      </c>
    </row>
    <row r="30" spans="1:42" x14ac:dyDescent="0.2">
      <c r="A30" s="167" t="s">
        <v>56</v>
      </c>
      <c r="C30" s="168">
        <f t="shared" ref="C30:AP30" si="16">IF(C$2&lt;=AnalysisPeriod,OMVariable*(1+Inflation+OMVariableRealEsc)^B$2,0)</f>
        <v>3.5</v>
      </c>
      <c r="D30" s="168">
        <f t="shared" si="16"/>
        <v>3.5524999999999998</v>
      </c>
      <c r="E30" s="168">
        <f t="shared" si="16"/>
        <v>3.605787499999999</v>
      </c>
      <c r="F30" s="168">
        <f t="shared" si="16"/>
        <v>3.6598743124999986</v>
      </c>
      <c r="G30" s="168">
        <f t="shared" si="16"/>
        <v>3.7147724271874978</v>
      </c>
      <c r="H30" s="168">
        <f t="shared" si="16"/>
        <v>3.77049401359531</v>
      </c>
      <c r="I30" s="168">
        <f t="shared" si="16"/>
        <v>3.8270514237992388</v>
      </c>
      <c r="J30" s="168">
        <f t="shared" si="16"/>
        <v>3.884457195156227</v>
      </c>
      <c r="K30" s="168">
        <f t="shared" si="16"/>
        <v>3.9427240530835701</v>
      </c>
      <c r="L30" s="168">
        <f t="shared" si="16"/>
        <v>4.0018649138798228</v>
      </c>
      <c r="M30" s="168">
        <f t="shared" si="16"/>
        <v>4.0618928875880203</v>
      </c>
      <c r="N30" s="168">
        <f t="shared" si="16"/>
        <v>4.1228212809018396</v>
      </c>
      <c r="O30" s="168">
        <f t="shared" si="16"/>
        <v>4.1846636001153668</v>
      </c>
      <c r="P30" s="168">
        <f t="shared" si="16"/>
        <v>4.2474335541170962</v>
      </c>
      <c r="Q30" s="168">
        <f t="shared" si="16"/>
        <v>4.3111450574288517</v>
      </c>
      <c r="R30" s="168">
        <f t="shared" si="16"/>
        <v>4.3758122332902847</v>
      </c>
      <c r="S30" s="168">
        <f t="shared" si="16"/>
        <v>4.4414494167896379</v>
      </c>
      <c r="T30" s="168">
        <f t="shared" si="16"/>
        <v>4.5080711580414814</v>
      </c>
      <c r="U30" s="168">
        <f t="shared" si="16"/>
        <v>4.5756922254121033</v>
      </c>
      <c r="V30" s="168">
        <f t="shared" si="16"/>
        <v>4.6443276087932848</v>
      </c>
      <c r="W30" s="168">
        <f t="shared" si="16"/>
        <v>4.7139925229251824</v>
      </c>
      <c r="X30" s="168">
        <f t="shared" si="16"/>
        <v>4.7847024107690599</v>
      </c>
      <c r="Y30" s="168">
        <f t="shared" si="16"/>
        <v>4.8564729469305945</v>
      </c>
      <c r="Z30" s="168">
        <f t="shared" si="16"/>
        <v>4.9293200411345532</v>
      </c>
      <c r="AA30" s="168">
        <f t="shared" si="16"/>
        <v>5.0032598417515715</v>
      </c>
      <c r="AB30" s="168">
        <f t="shared" si="16"/>
        <v>5.0783087393778441</v>
      </c>
      <c r="AC30" s="168">
        <f t="shared" si="16"/>
        <v>5.1544833704685109</v>
      </c>
      <c r="AD30" s="168">
        <f t="shared" si="16"/>
        <v>5.2318006210255383</v>
      </c>
      <c r="AE30" s="168">
        <f t="shared" si="16"/>
        <v>5.31027763034092</v>
      </c>
      <c r="AF30" s="168">
        <f t="shared" si="16"/>
        <v>5.3899317947960341</v>
      </c>
      <c r="AG30" s="168">
        <f t="shared" si="16"/>
        <v>5.4707807717179726</v>
      </c>
      <c r="AH30" s="168">
        <f t="shared" si="16"/>
        <v>5.552842483293742</v>
      </c>
      <c r="AI30" s="168">
        <f t="shared" si="16"/>
        <v>5.6361351205431474</v>
      </c>
      <c r="AJ30" s="168">
        <f t="shared" si="16"/>
        <v>5.7206771473512932</v>
      </c>
      <c r="AK30" s="168">
        <f t="shared" si="16"/>
        <v>5.8064873045615624</v>
      </c>
      <c r="AL30" s="168">
        <f t="shared" si="16"/>
        <v>5.8935846141299848</v>
      </c>
      <c r="AM30" s="168">
        <f t="shared" si="16"/>
        <v>5.9819883833419345</v>
      </c>
      <c r="AN30" s="168">
        <f t="shared" si="16"/>
        <v>6.0717182090920616</v>
      </c>
      <c r="AO30" s="168">
        <f t="shared" si="16"/>
        <v>6.1627939822284423</v>
      </c>
      <c r="AP30" s="168">
        <f t="shared" si="16"/>
        <v>6.2552358919618678</v>
      </c>
    </row>
    <row r="31" spans="1:42" x14ac:dyDescent="0.2">
      <c r="A31" s="167" t="s">
        <v>53</v>
      </c>
      <c r="C31" s="171">
        <f>C29*C30</f>
        <v>56659.68</v>
      </c>
      <c r="D31" s="171">
        <f t="shared" ref="D31:AP31" si="17">D29*D30</f>
        <v>57222.027323999995</v>
      </c>
      <c r="E31" s="171">
        <f t="shared" si="17"/>
        <v>57789.95594519069</v>
      </c>
      <c r="F31" s="171">
        <f t="shared" si="17"/>
        <v>58363.521257946697</v>
      </c>
      <c r="G31" s="171">
        <f t="shared" si="17"/>
        <v>58942.779206431806</v>
      </c>
      <c r="H31" s="171">
        <f t="shared" si="17"/>
        <v>59527.786290055643</v>
      </c>
      <c r="I31" s="171">
        <f t="shared" si="17"/>
        <v>60118.599568984428</v>
      </c>
      <c r="J31" s="171">
        <f t="shared" si="17"/>
        <v>60715.276669706589</v>
      </c>
      <c r="K31" s="171">
        <f t="shared" si="17"/>
        <v>61317.87579065343</v>
      </c>
      <c r="L31" s="171">
        <f t="shared" si="17"/>
        <v>61926.455707875641</v>
      </c>
      <c r="M31" s="171">
        <f t="shared" si="17"/>
        <v>62541.075780776315</v>
      </c>
      <c r="N31" s="171">
        <f t="shared" si="17"/>
        <v>63161.795957900504</v>
      </c>
      <c r="O31" s="171">
        <f t="shared" si="17"/>
        <v>63788.676782782662</v>
      </c>
      <c r="P31" s="171">
        <f t="shared" si="17"/>
        <v>64421.779399851774</v>
      </c>
      <c r="Q31" s="171">
        <f t="shared" si="17"/>
        <v>65061.165560395282</v>
      </c>
      <c r="R31" s="171">
        <f t="shared" si="17"/>
        <v>65706.897628582214</v>
      </c>
      <c r="S31" s="171">
        <f t="shared" si="17"/>
        <v>66359.03858754586</v>
      </c>
      <c r="T31" s="171">
        <f t="shared" si="17"/>
        <v>67017.652045527255</v>
      </c>
      <c r="U31" s="171">
        <f t="shared" si="17"/>
        <v>67682.802242079109</v>
      </c>
      <c r="V31" s="171">
        <f t="shared" si="17"/>
        <v>68354.554054331733</v>
      </c>
      <c r="W31" s="171">
        <f t="shared" si="17"/>
        <v>69032.973003320963</v>
      </c>
      <c r="X31" s="171">
        <f t="shared" si="17"/>
        <v>69718.125260378918</v>
      </c>
      <c r="Y31" s="171">
        <f t="shared" si="17"/>
        <v>70410.07765358816</v>
      </c>
      <c r="Z31" s="171">
        <f t="shared" si="17"/>
        <v>71108.897674300009</v>
      </c>
      <c r="AA31" s="171">
        <f t="shared" si="17"/>
        <v>71814.65348371744</v>
      </c>
      <c r="AB31" s="171">
        <f t="shared" si="17"/>
        <v>72527.413919543324</v>
      </c>
      <c r="AC31" s="171">
        <f t="shared" si="17"/>
        <v>73247.248502694783</v>
      </c>
      <c r="AD31" s="171">
        <f t="shared" si="17"/>
        <v>73974.227444084012</v>
      </c>
      <c r="AE31" s="171">
        <f t="shared" si="17"/>
        <v>74708.421651466546</v>
      </c>
      <c r="AF31" s="171">
        <f t="shared" si="17"/>
        <v>75449.902736357355</v>
      </c>
      <c r="AG31" s="171">
        <f t="shared" si="17"/>
        <v>76198.743021015674</v>
      </c>
      <c r="AH31" s="171">
        <f t="shared" si="17"/>
        <v>76955.015545499249</v>
      </c>
      <c r="AI31" s="171">
        <f t="shared" si="17"/>
        <v>77718.794074788311</v>
      </c>
      <c r="AJ31" s="171">
        <f t="shared" si="17"/>
        <v>78490.153105980571</v>
      </c>
      <c r="AK31" s="171">
        <f t="shared" si="17"/>
        <v>79269.167875557425</v>
      </c>
      <c r="AL31" s="171">
        <f t="shared" si="17"/>
        <v>80055.914366722325</v>
      </c>
      <c r="AM31" s="171">
        <f t="shared" si="17"/>
        <v>80850.469316812043</v>
      </c>
      <c r="AN31" s="171">
        <f t="shared" si="17"/>
        <v>81652.910224781386</v>
      </c>
      <c r="AO31" s="171">
        <f t="shared" si="17"/>
        <v>82463.315358762338</v>
      </c>
      <c r="AP31" s="171">
        <f t="shared" si="17"/>
        <v>83281.763763698036</v>
      </c>
    </row>
    <row r="32" spans="1:42" x14ac:dyDescent="0.2">
      <c r="A32" s="163" t="s">
        <v>22</v>
      </c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</row>
    <row r="33" spans="1:42" x14ac:dyDescent="0.2">
      <c r="A33" s="172" t="s">
        <v>257</v>
      </c>
      <c r="C33" s="169">
        <f>IF(C$2&lt;=AnalysisPeriod,'Inputs &amp; Results'!$J$6,0)</f>
        <v>40227150</v>
      </c>
      <c r="D33" s="169">
        <f>IF(D$2&lt;=AnalysisPeriod,'Inputs &amp; Results'!$J$6,0)</f>
        <v>40227150</v>
      </c>
      <c r="E33" s="169">
        <f>IF(E$2&lt;=AnalysisPeriod,'Inputs &amp; Results'!$J$6,0)</f>
        <v>40227150</v>
      </c>
      <c r="F33" s="169">
        <f>IF(F$2&lt;=AnalysisPeriod,'Inputs &amp; Results'!$J$6,0)</f>
        <v>40227150</v>
      </c>
      <c r="G33" s="169">
        <f>IF(G$2&lt;=AnalysisPeriod,'Inputs &amp; Results'!$J$6,0)</f>
        <v>40227150</v>
      </c>
      <c r="H33" s="169">
        <f>IF(H$2&lt;=AnalysisPeriod,'Inputs &amp; Results'!$J$6,0)</f>
        <v>40227150</v>
      </c>
      <c r="I33" s="169">
        <f>IF(I$2&lt;=AnalysisPeriod,'Inputs &amp; Results'!$J$6,0)</f>
        <v>40227150</v>
      </c>
      <c r="J33" s="169">
        <f>IF(J$2&lt;=AnalysisPeriod,'Inputs &amp; Results'!$J$6,0)</f>
        <v>40227150</v>
      </c>
      <c r="K33" s="169">
        <f>IF(K$2&lt;=AnalysisPeriod,'Inputs &amp; Results'!$J$6,0)</f>
        <v>40227150</v>
      </c>
      <c r="L33" s="169">
        <f>IF(L$2&lt;=AnalysisPeriod,'Inputs &amp; Results'!$J$6,0)</f>
        <v>40227150</v>
      </c>
      <c r="M33" s="169">
        <f>IF(M$2&lt;=AnalysisPeriod,'Inputs &amp; Results'!$J$6,0)</f>
        <v>40227150</v>
      </c>
      <c r="N33" s="169">
        <f>IF(N$2&lt;=AnalysisPeriod,'Inputs &amp; Results'!$J$6,0)</f>
        <v>40227150</v>
      </c>
      <c r="O33" s="169">
        <f>IF(O$2&lt;=AnalysisPeriod,'Inputs &amp; Results'!$J$6,0)</f>
        <v>40227150</v>
      </c>
      <c r="P33" s="169">
        <f>IF(P$2&lt;=AnalysisPeriod,'Inputs &amp; Results'!$J$6,0)</f>
        <v>40227150</v>
      </c>
      <c r="Q33" s="169">
        <f>IF(Q$2&lt;=AnalysisPeriod,'Inputs &amp; Results'!$J$6,0)</f>
        <v>40227150</v>
      </c>
      <c r="R33" s="169">
        <f>IF(R$2&lt;=AnalysisPeriod,'Inputs &amp; Results'!$J$6,0)</f>
        <v>40227150</v>
      </c>
      <c r="S33" s="169">
        <f>IF(S$2&lt;=AnalysisPeriod,'Inputs &amp; Results'!$J$6,0)</f>
        <v>40227150</v>
      </c>
      <c r="T33" s="169">
        <f>IF(T$2&lt;=AnalysisPeriod,'Inputs &amp; Results'!$J$6,0)</f>
        <v>40227150</v>
      </c>
      <c r="U33" s="169">
        <f>IF(U$2&lt;=AnalysisPeriod,'Inputs &amp; Results'!$J$6,0)</f>
        <v>40227150</v>
      </c>
      <c r="V33" s="169">
        <f>IF(V$2&lt;=AnalysisPeriod,'Inputs &amp; Results'!$J$6,0)</f>
        <v>40227150</v>
      </c>
      <c r="W33" s="169">
        <f>IF(W$2&lt;=AnalysisPeriod,'Inputs &amp; Results'!$J$6,0)</f>
        <v>40227150</v>
      </c>
      <c r="X33" s="169">
        <f>IF(X$2&lt;=AnalysisPeriod,'Inputs &amp; Results'!$J$6,0)</f>
        <v>40227150</v>
      </c>
      <c r="Y33" s="169">
        <f>IF(Y$2&lt;=AnalysisPeriod,'Inputs &amp; Results'!$J$6,0)</f>
        <v>40227150</v>
      </c>
      <c r="Z33" s="169">
        <f>IF(Z$2&lt;=AnalysisPeriod,'Inputs &amp; Results'!$J$6,0)</f>
        <v>40227150</v>
      </c>
      <c r="AA33" s="169">
        <f>IF(AA$2&lt;=AnalysisPeriod,'Inputs &amp; Results'!$J$6,0)</f>
        <v>40227150</v>
      </c>
      <c r="AB33" s="169">
        <f>IF(AB$2&lt;=AnalysisPeriod,'Inputs &amp; Results'!$J$6,0)</f>
        <v>40227150</v>
      </c>
      <c r="AC33" s="169">
        <f>IF(AC$2&lt;=AnalysisPeriod,'Inputs &amp; Results'!$J$6,0)</f>
        <v>40227150</v>
      </c>
      <c r="AD33" s="169">
        <f>IF(AD$2&lt;=AnalysisPeriod,'Inputs &amp; Results'!$J$6,0)</f>
        <v>40227150</v>
      </c>
      <c r="AE33" s="169">
        <f>IF(AE$2&lt;=AnalysisPeriod,'Inputs &amp; Results'!$J$6,0)</f>
        <v>40227150</v>
      </c>
      <c r="AF33" s="169">
        <f>IF(AF$2&lt;=AnalysisPeriod,'Inputs &amp; Results'!$J$6,0)</f>
        <v>40227150</v>
      </c>
      <c r="AG33" s="169">
        <f>IF(AG$2&lt;=AnalysisPeriod,'Inputs &amp; Results'!$J$6,0)</f>
        <v>40227150</v>
      </c>
      <c r="AH33" s="169">
        <f>IF(AH$2&lt;=AnalysisPeriod,'Inputs &amp; Results'!$J$6,0)</f>
        <v>40227150</v>
      </c>
      <c r="AI33" s="169">
        <f>IF(AI$2&lt;=AnalysisPeriod,'Inputs &amp; Results'!$J$6,0)</f>
        <v>40227150</v>
      </c>
      <c r="AJ33" s="169">
        <f>IF(AJ$2&lt;=AnalysisPeriod,'Inputs &amp; Results'!$J$6,0)</f>
        <v>40227150</v>
      </c>
      <c r="AK33" s="169">
        <f>IF(AK$2&lt;=AnalysisPeriod,'Inputs &amp; Results'!$J$6,0)</f>
        <v>40227150</v>
      </c>
      <c r="AL33" s="169">
        <f>IF(AL$2&lt;=AnalysisPeriod,'Inputs &amp; Results'!$J$6,0)</f>
        <v>40227150</v>
      </c>
      <c r="AM33" s="169">
        <f>IF(AM$2&lt;=AnalysisPeriod,'Inputs &amp; Results'!$J$6,0)</f>
        <v>40227150</v>
      </c>
      <c r="AN33" s="169">
        <f>IF(AN$2&lt;=AnalysisPeriod,'Inputs &amp; Results'!$J$6,0)</f>
        <v>40227150</v>
      </c>
      <c r="AO33" s="169">
        <f>IF(AO$2&lt;=AnalysisPeriod,'Inputs &amp; Results'!$J$6,0)</f>
        <v>40227150</v>
      </c>
      <c r="AP33" s="169">
        <f>IF(AP$2&lt;=AnalysisPeriod,'Inputs &amp; Results'!$J$6,0)</f>
        <v>40227150</v>
      </c>
    </row>
    <row r="34" spans="1:42" x14ac:dyDescent="0.2">
      <c r="A34" s="172" t="s">
        <v>258</v>
      </c>
      <c r="C34" s="173">
        <f>IF(D$2&lt;=AnalysisPeriod,'Inputs &amp; Results'!$J$7,0)</f>
        <v>0.95</v>
      </c>
      <c r="D34" s="173">
        <f>'Inputs &amp; Results'!$J$7</f>
        <v>0.95</v>
      </c>
      <c r="E34" s="173">
        <f>'Inputs &amp; Results'!$J$7</f>
        <v>0.95</v>
      </c>
      <c r="F34" s="173">
        <f>'Inputs &amp; Results'!$J$7</f>
        <v>0.95</v>
      </c>
      <c r="G34" s="173">
        <f>'Inputs &amp; Results'!$J$7</f>
        <v>0.95</v>
      </c>
      <c r="H34" s="173">
        <f>'Inputs &amp; Results'!$J$7</f>
        <v>0.95</v>
      </c>
      <c r="I34" s="173">
        <f>'Inputs &amp; Results'!$J$7</f>
        <v>0.95</v>
      </c>
      <c r="J34" s="173">
        <f>'Inputs &amp; Results'!$J$7</f>
        <v>0.95</v>
      </c>
      <c r="K34" s="173">
        <f>'Inputs &amp; Results'!$J$7</f>
        <v>0.95</v>
      </c>
      <c r="L34" s="173">
        <f>'Inputs &amp; Results'!$J$7</f>
        <v>0.95</v>
      </c>
      <c r="M34" s="173">
        <f>'Inputs &amp; Results'!$J$7</f>
        <v>0.95</v>
      </c>
      <c r="N34" s="173">
        <f>'Inputs &amp; Results'!$J$7</f>
        <v>0.95</v>
      </c>
      <c r="O34" s="173">
        <f>'Inputs &amp; Results'!$J$7</f>
        <v>0.95</v>
      </c>
      <c r="P34" s="173">
        <f>'Inputs &amp; Results'!$J$7</f>
        <v>0.95</v>
      </c>
      <c r="Q34" s="173">
        <f>'Inputs &amp; Results'!$J$7</f>
        <v>0.95</v>
      </c>
      <c r="R34" s="173">
        <f>'Inputs &amp; Results'!$J$7</f>
        <v>0.95</v>
      </c>
      <c r="S34" s="173">
        <f>'Inputs &amp; Results'!$J$7</f>
        <v>0.95</v>
      </c>
      <c r="T34" s="173">
        <f>'Inputs &amp; Results'!$J$7</f>
        <v>0.95</v>
      </c>
      <c r="U34" s="173">
        <f>'Inputs &amp; Results'!$J$7</f>
        <v>0.95</v>
      </c>
      <c r="V34" s="173">
        <f>'Inputs &amp; Results'!$J$7</f>
        <v>0.95</v>
      </c>
      <c r="W34" s="173">
        <f>'Inputs &amp; Results'!$J$7</f>
        <v>0.95</v>
      </c>
      <c r="X34" s="173">
        <f>'Inputs &amp; Results'!$J$7</f>
        <v>0.95</v>
      </c>
      <c r="Y34" s="173">
        <f>'Inputs &amp; Results'!$J$7</f>
        <v>0.95</v>
      </c>
      <c r="Z34" s="173">
        <f>'Inputs &amp; Results'!$J$7</f>
        <v>0.95</v>
      </c>
      <c r="AA34" s="173">
        <f>'Inputs &amp; Results'!$J$7</f>
        <v>0.95</v>
      </c>
      <c r="AB34" s="173">
        <f>'Inputs &amp; Results'!$J$7</f>
        <v>0.95</v>
      </c>
      <c r="AC34" s="173">
        <f>'Inputs &amp; Results'!$J$7</f>
        <v>0.95</v>
      </c>
      <c r="AD34" s="173">
        <f>'Inputs &amp; Results'!$J$7</f>
        <v>0.95</v>
      </c>
      <c r="AE34" s="173">
        <f>'Inputs &amp; Results'!$J$7</f>
        <v>0.95</v>
      </c>
      <c r="AF34" s="173">
        <f>'Inputs &amp; Results'!$J$7</f>
        <v>0.95</v>
      </c>
      <c r="AG34" s="173">
        <f>'Inputs &amp; Results'!$J$7</f>
        <v>0.95</v>
      </c>
      <c r="AH34" s="173">
        <f>'Inputs &amp; Results'!$J$7</f>
        <v>0.95</v>
      </c>
      <c r="AI34" s="173">
        <f>'Inputs &amp; Results'!$J$7</f>
        <v>0.95</v>
      </c>
      <c r="AJ34" s="173">
        <f>'Inputs &amp; Results'!$J$7</f>
        <v>0.95</v>
      </c>
      <c r="AK34" s="173">
        <f>'Inputs &amp; Results'!$J$7</f>
        <v>0.95</v>
      </c>
      <c r="AL34" s="173">
        <f>'Inputs &amp; Results'!$J$7</f>
        <v>0.95</v>
      </c>
      <c r="AM34" s="173">
        <f>'Inputs &amp; Results'!$J$7</f>
        <v>0.95</v>
      </c>
      <c r="AN34" s="173">
        <f>'Inputs &amp; Results'!$J$7</f>
        <v>0.95</v>
      </c>
      <c r="AO34" s="173">
        <f>'Inputs &amp; Results'!$J$7</f>
        <v>0.95</v>
      </c>
      <c r="AP34" s="173">
        <f>'Inputs &amp; Results'!$J$7</f>
        <v>0.95</v>
      </c>
    </row>
    <row r="35" spans="1:42" x14ac:dyDescent="0.2">
      <c r="A35" s="172" t="s">
        <v>308</v>
      </c>
      <c r="C35" s="169">
        <f>C33*C34</f>
        <v>38215792.5</v>
      </c>
      <c r="D35" s="169">
        <f>D33*D34</f>
        <v>38215792.5</v>
      </c>
      <c r="E35" s="169">
        <f t="shared" ref="E35:G35" si="18">E33*E34</f>
        <v>38215792.5</v>
      </c>
      <c r="F35" s="169">
        <f t="shared" si="18"/>
        <v>38215792.5</v>
      </c>
      <c r="G35" s="169">
        <f t="shared" si="18"/>
        <v>38215792.5</v>
      </c>
      <c r="H35" s="169">
        <f t="shared" ref="H35" si="19">H33*H34</f>
        <v>38215792.5</v>
      </c>
      <c r="I35" s="169">
        <f t="shared" ref="I35:J35" si="20">I33*I34</f>
        <v>38215792.5</v>
      </c>
      <c r="J35" s="169">
        <f t="shared" si="20"/>
        <v>38215792.5</v>
      </c>
      <c r="K35" s="169">
        <f t="shared" ref="K35" si="21">K33*K34</f>
        <v>38215792.5</v>
      </c>
      <c r="L35" s="169">
        <f>L33*L34</f>
        <v>38215792.5</v>
      </c>
      <c r="M35" s="169">
        <f t="shared" ref="M35" si="22">M33*M34</f>
        <v>38215792.5</v>
      </c>
      <c r="N35" s="169">
        <f t="shared" ref="N35" si="23">N33*N34</f>
        <v>38215792.5</v>
      </c>
      <c r="O35" s="169">
        <f t="shared" ref="O35" si="24">O33*O34</f>
        <v>38215792.5</v>
      </c>
      <c r="P35" s="169">
        <f t="shared" ref="P35" si="25">P33*P34</f>
        <v>38215792.5</v>
      </c>
      <c r="Q35" s="169">
        <f t="shared" ref="Q35" si="26">Q33*Q34</f>
        <v>38215792.5</v>
      </c>
      <c r="R35" s="169">
        <f t="shared" ref="R35" si="27">R33*R34</f>
        <v>38215792.5</v>
      </c>
      <c r="S35" s="169">
        <f>S33*S34</f>
        <v>38215792.5</v>
      </c>
      <c r="T35" s="169">
        <f t="shared" ref="T35" si="28">T33*T34</f>
        <v>38215792.5</v>
      </c>
      <c r="U35" s="169">
        <f t="shared" ref="U35" si="29">U33*U34</f>
        <v>38215792.5</v>
      </c>
      <c r="V35" s="169">
        <f t="shared" ref="V35" si="30">V33*V34</f>
        <v>38215792.5</v>
      </c>
      <c r="W35" s="169">
        <f t="shared" ref="W35" si="31">W33*W34</f>
        <v>38215792.5</v>
      </c>
      <c r="X35" s="169">
        <f t="shared" ref="X35" si="32">X33*X34</f>
        <v>38215792.5</v>
      </c>
      <c r="Y35" s="169">
        <f>Y33*Y34</f>
        <v>38215792.5</v>
      </c>
      <c r="Z35" s="169">
        <f t="shared" ref="Z35" si="33">Z33*Z34</f>
        <v>38215792.5</v>
      </c>
      <c r="AA35" s="169">
        <f t="shared" ref="AA35" si="34">AA33*AA34</f>
        <v>38215792.5</v>
      </c>
      <c r="AB35" s="169">
        <f t="shared" ref="AB35" si="35">AB33*AB34</f>
        <v>38215792.5</v>
      </c>
      <c r="AC35" s="169">
        <f t="shared" ref="AC35" si="36">AC33*AC34</f>
        <v>38215792.5</v>
      </c>
      <c r="AD35" s="169">
        <f t="shared" ref="AD35" si="37">AD33*AD34</f>
        <v>38215792.5</v>
      </c>
      <c r="AE35" s="169">
        <f t="shared" ref="AE35" si="38">AE33*AE34</f>
        <v>38215792.5</v>
      </c>
      <c r="AF35" s="169">
        <f t="shared" ref="AF35" si="39">AF33*AF34</f>
        <v>38215792.5</v>
      </c>
      <c r="AG35" s="169">
        <f>AG33*AG34</f>
        <v>38215792.5</v>
      </c>
      <c r="AH35" s="169">
        <f t="shared" ref="AH35" si="40">AH33*AH34</f>
        <v>38215792.5</v>
      </c>
      <c r="AI35" s="169">
        <f t="shared" ref="AI35" si="41">AI33*AI34</f>
        <v>38215792.5</v>
      </c>
      <c r="AJ35" s="169">
        <f t="shared" ref="AJ35" si="42">AJ33*AJ34</f>
        <v>38215792.5</v>
      </c>
      <c r="AK35" s="169">
        <f t="shared" ref="AK35" si="43">AK33*AK34</f>
        <v>38215792.5</v>
      </c>
      <c r="AL35" s="169">
        <f t="shared" ref="AL35" si="44">AL33*AL34</f>
        <v>38215792.5</v>
      </c>
      <c r="AM35" s="169">
        <f t="shared" ref="AM35" si="45">AM33*AM34</f>
        <v>38215792.5</v>
      </c>
      <c r="AN35" s="169">
        <f>AN33*AN34</f>
        <v>38215792.5</v>
      </c>
      <c r="AO35" s="169">
        <f t="shared" ref="AO35" si="46">AO33*AO34</f>
        <v>38215792.5</v>
      </c>
      <c r="AP35" s="169">
        <f t="shared" ref="AP35" si="47">AP33*AP34</f>
        <v>38215792.5</v>
      </c>
    </row>
    <row r="36" spans="1:42" x14ac:dyDescent="0.2">
      <c r="A36" s="172" t="s">
        <v>260</v>
      </c>
      <c r="C36" s="174">
        <v>1</v>
      </c>
      <c r="D36" s="175">
        <f>MAX(C36-'Inputs &amp; Results'!$J$9,0)</f>
        <v>0.95</v>
      </c>
      <c r="E36" s="175">
        <f>MAX(D36-'Inputs &amp; Results'!$J$9,0)</f>
        <v>0.89999999999999991</v>
      </c>
      <c r="F36" s="175">
        <f>MAX(E36-'Inputs &amp; Results'!$J$9,0)</f>
        <v>0.84999999999999987</v>
      </c>
      <c r="G36" s="175">
        <f>MAX(F36-'Inputs &amp; Results'!$J$9,0)</f>
        <v>0.79999999999999982</v>
      </c>
      <c r="H36" s="175">
        <f>MAX(G36-'Inputs &amp; Results'!$J$9,0)</f>
        <v>0.74999999999999978</v>
      </c>
      <c r="I36" s="175">
        <f>MAX(H36-'Inputs &amp; Results'!$J$9,0)</f>
        <v>0.69999999999999973</v>
      </c>
      <c r="J36" s="175">
        <f>MAX(I36-'Inputs &amp; Results'!$J$9,0)</f>
        <v>0.64999999999999969</v>
      </c>
      <c r="K36" s="175">
        <f>MAX(J36-'Inputs &amp; Results'!$J$9,0)</f>
        <v>0.59999999999999964</v>
      </c>
      <c r="L36" s="175">
        <f>MAX(K36-'Inputs &amp; Results'!$J$9,0)</f>
        <v>0.5499999999999996</v>
      </c>
      <c r="M36" s="175">
        <f>MAX(L36-'Inputs &amp; Results'!$J$9,0)</f>
        <v>0.49999999999999961</v>
      </c>
      <c r="N36" s="175">
        <f>MAX(M36-'Inputs &amp; Results'!$J$9,0)</f>
        <v>0.44999999999999962</v>
      </c>
      <c r="O36" s="175">
        <f>MAX(N36-'Inputs &amp; Results'!$J$9,0)</f>
        <v>0.39999999999999963</v>
      </c>
      <c r="P36" s="175">
        <f>MAX(O36-'Inputs &amp; Results'!$J$9,0)</f>
        <v>0.34999999999999964</v>
      </c>
      <c r="Q36" s="175">
        <f>MAX(P36-'Inputs &amp; Results'!$J$9,0)</f>
        <v>0.29999999999999966</v>
      </c>
      <c r="R36" s="175">
        <f>MAX(Q36-'Inputs &amp; Results'!$J$9,0)</f>
        <v>0.24999999999999967</v>
      </c>
      <c r="S36" s="175">
        <f>MAX(R36-'Inputs &amp; Results'!$J$9,0)</f>
        <v>0.19999999999999968</v>
      </c>
      <c r="T36" s="175">
        <f>MAX(S36-'Inputs &amp; Results'!$J$9,0)</f>
        <v>0.14999999999999969</v>
      </c>
      <c r="U36" s="175">
        <f>MAX(T36-'Inputs &amp; Results'!$J$9,0)</f>
        <v>9.9999999999999686E-2</v>
      </c>
      <c r="V36" s="175">
        <f>MAX(U36-'Inputs &amp; Results'!$J$9,0)</f>
        <v>4.9999999999999684E-2</v>
      </c>
      <c r="W36" s="175">
        <f>MAX(V36-'Inputs &amp; Results'!$J$9,0)</f>
        <v>0</v>
      </c>
      <c r="X36" s="175">
        <f>MAX(W36-'Inputs &amp; Results'!$J$9,0)</f>
        <v>0</v>
      </c>
      <c r="Y36" s="175">
        <f>MAX(X36-'Inputs &amp; Results'!$J$9,0)</f>
        <v>0</v>
      </c>
      <c r="Z36" s="175">
        <f>MAX(Y36-'Inputs &amp; Results'!$J$9,0)</f>
        <v>0</v>
      </c>
      <c r="AA36" s="175">
        <f>MAX(Z36-'Inputs &amp; Results'!$J$9,0)</f>
        <v>0</v>
      </c>
      <c r="AB36" s="175">
        <f>MAX(AA36-'Inputs &amp; Results'!$J$9,0)</f>
        <v>0</v>
      </c>
      <c r="AC36" s="175">
        <f>MAX(AB36-'Inputs &amp; Results'!$J$9,0)</f>
        <v>0</v>
      </c>
      <c r="AD36" s="175">
        <f>MAX(AC36-'Inputs &amp; Results'!$J$9,0)</f>
        <v>0</v>
      </c>
      <c r="AE36" s="175">
        <f>MAX(AD36-'Inputs &amp; Results'!$J$9,0)</f>
        <v>0</v>
      </c>
      <c r="AF36" s="175">
        <f>MAX(AE36-'Inputs &amp; Results'!$J$9,0)</f>
        <v>0</v>
      </c>
      <c r="AG36" s="175">
        <f>MAX(AF36-'Inputs &amp; Results'!$J$9,0)</f>
        <v>0</v>
      </c>
      <c r="AH36" s="175">
        <f>MAX(AG36-'Inputs &amp; Results'!$J$9,0)</f>
        <v>0</v>
      </c>
      <c r="AI36" s="175">
        <f>MAX(AH36-'Inputs &amp; Results'!$J$9,0)</f>
        <v>0</v>
      </c>
      <c r="AJ36" s="175">
        <f>MAX(AI36-'Inputs &amp; Results'!$J$9,0)</f>
        <v>0</v>
      </c>
      <c r="AK36" s="175">
        <f>MAX(AJ36-'Inputs &amp; Results'!$J$9,0)</f>
        <v>0</v>
      </c>
      <c r="AL36" s="175">
        <f>MAX(AK36-'Inputs &amp; Results'!$J$9,0)</f>
        <v>0</v>
      </c>
      <c r="AM36" s="175">
        <f>MAX(AL36-'Inputs &amp; Results'!$J$9,0)</f>
        <v>0</v>
      </c>
      <c r="AN36" s="175">
        <f>MAX(AM36-'Inputs &amp; Results'!$J$9,0)</f>
        <v>0</v>
      </c>
      <c r="AO36" s="175">
        <f>MAX(AN36-'Inputs &amp; Results'!$J$9,0)</f>
        <v>0</v>
      </c>
      <c r="AP36" s="175">
        <f>MAX(AO36-'Inputs &amp; Results'!$J$9,0)</f>
        <v>0</v>
      </c>
    </row>
    <row r="37" spans="1:42" x14ac:dyDescent="0.2">
      <c r="A37" s="172" t="s">
        <v>262</v>
      </c>
      <c r="C37" s="169">
        <f>C35*C36</f>
        <v>38215792.5</v>
      </c>
      <c r="D37" s="169">
        <f>D35*D36</f>
        <v>36305002.875</v>
      </c>
      <c r="E37" s="169">
        <f t="shared" ref="E37:G37" si="48">E35*E36</f>
        <v>34394213.25</v>
      </c>
      <c r="F37" s="169">
        <f t="shared" si="48"/>
        <v>32483423.624999996</v>
      </c>
      <c r="G37" s="169">
        <f t="shared" si="48"/>
        <v>30572633.999999993</v>
      </c>
      <c r="H37" s="169">
        <f t="shared" ref="H37" si="49">H35*H36</f>
        <v>28661844.374999993</v>
      </c>
      <c r="I37" s="169">
        <f t="shared" ref="I37:J37" si="50">I35*I36</f>
        <v>26751054.749999989</v>
      </c>
      <c r="J37" s="169">
        <f t="shared" si="50"/>
        <v>24840265.124999989</v>
      </c>
      <c r="K37" s="169">
        <f t="shared" ref="K37" si="51">K35*K36</f>
        <v>22929475.499999985</v>
      </c>
      <c r="L37" s="169">
        <f>L35*L36</f>
        <v>21018685.874999985</v>
      </c>
      <c r="M37" s="169">
        <f t="shared" ref="M37" si="52">M35*M36</f>
        <v>19107896.249999985</v>
      </c>
      <c r="N37" s="169">
        <f t="shared" ref="N37" si="53">N35*N36</f>
        <v>17197106.624999985</v>
      </c>
      <c r="O37" s="169">
        <f t="shared" ref="O37" si="54">O35*O36</f>
        <v>15286316.999999985</v>
      </c>
      <c r="P37" s="169">
        <f t="shared" ref="P37" si="55">P35*P36</f>
        <v>13375527.374999987</v>
      </c>
      <c r="Q37" s="169">
        <f t="shared" ref="Q37" si="56">Q35*Q36</f>
        <v>11464737.749999987</v>
      </c>
      <c r="R37" s="169">
        <f t="shared" ref="R37" si="57">R35*R36</f>
        <v>9553948.124999987</v>
      </c>
      <c r="S37" s="169">
        <f>S35*S36</f>
        <v>7643158.4999999879</v>
      </c>
      <c r="T37" s="169">
        <f t="shared" ref="T37" si="58">T35*T36</f>
        <v>5732368.8749999879</v>
      </c>
      <c r="U37" s="169">
        <f t="shared" ref="U37" si="59">U35*U36</f>
        <v>3821579.2499999879</v>
      </c>
      <c r="V37" s="169">
        <f t="shared" ref="V37" si="60">V35*V36</f>
        <v>1910789.6249999879</v>
      </c>
      <c r="W37" s="169">
        <f t="shared" ref="W37" si="61">W35*W36</f>
        <v>0</v>
      </c>
      <c r="X37" s="169">
        <f t="shared" ref="X37" si="62">X35*X36</f>
        <v>0</v>
      </c>
      <c r="Y37" s="169">
        <f>Y35*Y36</f>
        <v>0</v>
      </c>
      <c r="Z37" s="169">
        <f t="shared" ref="Z37" si="63">Z35*Z36</f>
        <v>0</v>
      </c>
      <c r="AA37" s="169">
        <f t="shared" ref="AA37" si="64">AA35*AA36</f>
        <v>0</v>
      </c>
      <c r="AB37" s="169">
        <f t="shared" ref="AB37" si="65">AB35*AB36</f>
        <v>0</v>
      </c>
      <c r="AC37" s="169">
        <f t="shared" ref="AC37" si="66">AC35*AC36</f>
        <v>0</v>
      </c>
      <c r="AD37" s="169">
        <f t="shared" ref="AD37" si="67">AD35*AD36</f>
        <v>0</v>
      </c>
      <c r="AE37" s="169">
        <f t="shared" ref="AE37" si="68">AE35*AE36</f>
        <v>0</v>
      </c>
      <c r="AF37" s="169">
        <f t="shared" ref="AF37" si="69">AF35*AF36</f>
        <v>0</v>
      </c>
      <c r="AG37" s="169">
        <f>AG35*AG36</f>
        <v>0</v>
      </c>
      <c r="AH37" s="169">
        <f t="shared" ref="AH37" si="70">AH35*AH36</f>
        <v>0</v>
      </c>
      <c r="AI37" s="169">
        <f t="shared" ref="AI37" si="71">AI35*AI36</f>
        <v>0</v>
      </c>
      <c r="AJ37" s="169">
        <f t="shared" ref="AJ37" si="72">AJ35*AJ36</f>
        <v>0</v>
      </c>
      <c r="AK37" s="169">
        <f t="shared" ref="AK37" si="73">AK35*AK36</f>
        <v>0</v>
      </c>
      <c r="AL37" s="169">
        <f t="shared" ref="AL37" si="74">AL35*AL36</f>
        <v>0</v>
      </c>
      <c r="AM37" s="169">
        <f t="shared" ref="AM37" si="75">AM35*AM36</f>
        <v>0</v>
      </c>
      <c r="AN37" s="169">
        <f>AN35*AN36</f>
        <v>0</v>
      </c>
      <c r="AO37" s="169">
        <f t="shared" ref="AO37" si="76">AO35*AO36</f>
        <v>0</v>
      </c>
      <c r="AP37" s="169">
        <f t="shared" ref="AP37" si="77">AP35*AP36</f>
        <v>0</v>
      </c>
    </row>
    <row r="38" spans="1:42" x14ac:dyDescent="0.2">
      <c r="A38" s="172" t="s">
        <v>261</v>
      </c>
      <c r="C38" s="173">
        <f t="shared" ref="C38:AP38" si="78">PropertyTaxRate</f>
        <v>7.4999999999999997E-3</v>
      </c>
      <c r="D38" s="173">
        <f t="shared" si="78"/>
        <v>7.4999999999999997E-3</v>
      </c>
      <c r="E38" s="173">
        <f t="shared" si="78"/>
        <v>7.4999999999999997E-3</v>
      </c>
      <c r="F38" s="173">
        <f t="shared" si="78"/>
        <v>7.4999999999999997E-3</v>
      </c>
      <c r="G38" s="173">
        <f t="shared" si="78"/>
        <v>7.4999999999999997E-3</v>
      </c>
      <c r="H38" s="173">
        <f t="shared" si="78"/>
        <v>7.4999999999999997E-3</v>
      </c>
      <c r="I38" s="173">
        <f t="shared" si="78"/>
        <v>7.4999999999999997E-3</v>
      </c>
      <c r="J38" s="173">
        <f t="shared" si="78"/>
        <v>7.4999999999999997E-3</v>
      </c>
      <c r="K38" s="173">
        <f t="shared" si="78"/>
        <v>7.4999999999999997E-3</v>
      </c>
      <c r="L38" s="173">
        <f t="shared" si="78"/>
        <v>7.4999999999999997E-3</v>
      </c>
      <c r="M38" s="173">
        <f t="shared" si="78"/>
        <v>7.4999999999999997E-3</v>
      </c>
      <c r="N38" s="173">
        <f t="shared" si="78"/>
        <v>7.4999999999999997E-3</v>
      </c>
      <c r="O38" s="173">
        <f t="shared" si="78"/>
        <v>7.4999999999999997E-3</v>
      </c>
      <c r="P38" s="173">
        <f t="shared" si="78"/>
        <v>7.4999999999999997E-3</v>
      </c>
      <c r="Q38" s="173">
        <f t="shared" si="78"/>
        <v>7.4999999999999997E-3</v>
      </c>
      <c r="R38" s="173">
        <f t="shared" si="78"/>
        <v>7.4999999999999997E-3</v>
      </c>
      <c r="S38" s="173">
        <f t="shared" si="78"/>
        <v>7.4999999999999997E-3</v>
      </c>
      <c r="T38" s="173">
        <f t="shared" si="78"/>
        <v>7.4999999999999997E-3</v>
      </c>
      <c r="U38" s="173">
        <f t="shared" si="78"/>
        <v>7.4999999999999997E-3</v>
      </c>
      <c r="V38" s="173">
        <f t="shared" si="78"/>
        <v>7.4999999999999997E-3</v>
      </c>
      <c r="W38" s="173">
        <f t="shared" si="78"/>
        <v>7.4999999999999997E-3</v>
      </c>
      <c r="X38" s="173">
        <f t="shared" si="78"/>
        <v>7.4999999999999997E-3</v>
      </c>
      <c r="Y38" s="173">
        <f t="shared" si="78"/>
        <v>7.4999999999999997E-3</v>
      </c>
      <c r="Z38" s="173">
        <f t="shared" si="78"/>
        <v>7.4999999999999997E-3</v>
      </c>
      <c r="AA38" s="173">
        <f t="shared" si="78"/>
        <v>7.4999999999999997E-3</v>
      </c>
      <c r="AB38" s="173">
        <f t="shared" si="78"/>
        <v>7.4999999999999997E-3</v>
      </c>
      <c r="AC38" s="173">
        <f t="shared" si="78"/>
        <v>7.4999999999999997E-3</v>
      </c>
      <c r="AD38" s="173">
        <f t="shared" si="78"/>
        <v>7.4999999999999997E-3</v>
      </c>
      <c r="AE38" s="173">
        <f t="shared" si="78"/>
        <v>7.4999999999999997E-3</v>
      </c>
      <c r="AF38" s="173">
        <f t="shared" si="78"/>
        <v>7.4999999999999997E-3</v>
      </c>
      <c r="AG38" s="173">
        <f t="shared" si="78"/>
        <v>7.4999999999999997E-3</v>
      </c>
      <c r="AH38" s="173">
        <f t="shared" si="78"/>
        <v>7.4999999999999997E-3</v>
      </c>
      <c r="AI38" s="173">
        <f t="shared" si="78"/>
        <v>7.4999999999999997E-3</v>
      </c>
      <c r="AJ38" s="173">
        <f t="shared" si="78"/>
        <v>7.4999999999999997E-3</v>
      </c>
      <c r="AK38" s="173">
        <f t="shared" si="78"/>
        <v>7.4999999999999997E-3</v>
      </c>
      <c r="AL38" s="173">
        <f t="shared" si="78"/>
        <v>7.4999999999999997E-3</v>
      </c>
      <c r="AM38" s="173">
        <f t="shared" si="78"/>
        <v>7.4999999999999997E-3</v>
      </c>
      <c r="AN38" s="173">
        <f t="shared" si="78"/>
        <v>7.4999999999999997E-3</v>
      </c>
      <c r="AO38" s="173">
        <f t="shared" si="78"/>
        <v>7.4999999999999997E-3</v>
      </c>
      <c r="AP38" s="173">
        <f t="shared" si="78"/>
        <v>7.4999999999999997E-3</v>
      </c>
    </row>
    <row r="39" spans="1:42" x14ac:dyDescent="0.2">
      <c r="A39" s="172" t="s">
        <v>22</v>
      </c>
      <c r="C39" s="135">
        <f>C37*C38</f>
        <v>286618.44374999998</v>
      </c>
      <c r="D39" s="135">
        <f>D37*D38</f>
        <v>272287.52156249998</v>
      </c>
      <c r="E39" s="135">
        <f t="shared" ref="E39:G39" si="79">E37*E38</f>
        <v>257956.59937499999</v>
      </c>
      <c r="F39" s="135">
        <f t="shared" si="79"/>
        <v>243625.67718749997</v>
      </c>
      <c r="G39" s="135">
        <f t="shared" si="79"/>
        <v>229294.75499999995</v>
      </c>
      <c r="H39" s="135">
        <f t="shared" ref="H39" si="80">H37*H38</f>
        <v>214963.83281249992</v>
      </c>
      <c r="I39" s="135">
        <f t="shared" ref="I39:J39" si="81">I37*I38</f>
        <v>200632.9106249999</v>
      </c>
      <c r="J39" s="135">
        <f t="shared" si="81"/>
        <v>186301.98843749991</v>
      </c>
      <c r="K39" s="135">
        <f t="shared" ref="K39" si="82">K37*K38</f>
        <v>171971.06624999989</v>
      </c>
      <c r="L39" s="135">
        <f>L37*L38</f>
        <v>157640.14406249989</v>
      </c>
      <c r="M39" s="135">
        <f t="shared" ref="M39" si="83">M37*M38</f>
        <v>143309.22187499987</v>
      </c>
      <c r="N39" s="135">
        <f t="shared" ref="N39" si="84">N37*N38</f>
        <v>128978.29968749988</v>
      </c>
      <c r="O39" s="135">
        <f t="shared" ref="O39" si="85">O37*O38</f>
        <v>114647.37749999989</v>
      </c>
      <c r="P39" s="135">
        <f t="shared" ref="P39" si="86">P37*P38</f>
        <v>100316.45531249989</v>
      </c>
      <c r="Q39" s="135">
        <f t="shared" ref="Q39" si="87">Q37*Q38</f>
        <v>85985.5331249999</v>
      </c>
      <c r="R39" s="135">
        <f t="shared" ref="R39" si="88">R37*R38</f>
        <v>71654.610937499892</v>
      </c>
      <c r="S39" s="135">
        <f>S37*S38</f>
        <v>57323.688749999907</v>
      </c>
      <c r="T39" s="135">
        <f t="shared" ref="T39" si="89">T37*T38</f>
        <v>42992.766562499906</v>
      </c>
      <c r="U39" s="135">
        <f t="shared" ref="U39" si="90">U37*U38</f>
        <v>28661.84437499991</v>
      </c>
      <c r="V39" s="135">
        <f t="shared" ref="V39" si="91">V37*V38</f>
        <v>14330.922187499909</v>
      </c>
      <c r="W39" s="135">
        <f t="shared" ref="W39" si="92">W37*W38</f>
        <v>0</v>
      </c>
      <c r="X39" s="135">
        <f t="shared" ref="X39" si="93">X37*X38</f>
        <v>0</v>
      </c>
      <c r="Y39" s="135">
        <f>Y37*Y38</f>
        <v>0</v>
      </c>
      <c r="Z39" s="135">
        <f t="shared" ref="Z39" si="94">Z37*Z38</f>
        <v>0</v>
      </c>
      <c r="AA39" s="135">
        <f t="shared" ref="AA39" si="95">AA37*AA38</f>
        <v>0</v>
      </c>
      <c r="AB39" s="135">
        <f t="shared" ref="AB39" si="96">AB37*AB38</f>
        <v>0</v>
      </c>
      <c r="AC39" s="135">
        <f t="shared" ref="AC39" si="97">AC37*AC38</f>
        <v>0</v>
      </c>
      <c r="AD39" s="135">
        <f t="shared" ref="AD39" si="98">AD37*AD38</f>
        <v>0</v>
      </c>
      <c r="AE39" s="135">
        <f t="shared" ref="AE39" si="99">AE37*AE38</f>
        <v>0</v>
      </c>
      <c r="AF39" s="135">
        <f t="shared" ref="AF39" si="100">AF37*AF38</f>
        <v>0</v>
      </c>
      <c r="AG39" s="135">
        <f>AG37*AG38</f>
        <v>0</v>
      </c>
      <c r="AH39" s="135">
        <f t="shared" ref="AH39" si="101">AH37*AH38</f>
        <v>0</v>
      </c>
      <c r="AI39" s="135">
        <f t="shared" ref="AI39" si="102">AI37*AI38</f>
        <v>0</v>
      </c>
      <c r="AJ39" s="135">
        <f t="shared" ref="AJ39" si="103">AJ37*AJ38</f>
        <v>0</v>
      </c>
      <c r="AK39" s="135">
        <f t="shared" ref="AK39" si="104">AK37*AK38</f>
        <v>0</v>
      </c>
      <c r="AL39" s="135">
        <f t="shared" ref="AL39" si="105">AL37*AL38</f>
        <v>0</v>
      </c>
      <c r="AM39" s="135">
        <f t="shared" ref="AM39" si="106">AM37*AM38</f>
        <v>0</v>
      </c>
      <c r="AN39" s="135">
        <f>AN37*AN38</f>
        <v>0</v>
      </c>
      <c r="AO39" s="135">
        <f t="shared" ref="AO39" si="107">AO37*AO38</f>
        <v>0</v>
      </c>
      <c r="AP39" s="135">
        <f t="shared" ref="AP39" si="108">AP37*AP38</f>
        <v>0</v>
      </c>
    </row>
    <row r="40" spans="1:42" x14ac:dyDescent="0.2">
      <c r="A40" s="163" t="s">
        <v>126</v>
      </c>
      <c r="C40" s="170">
        <f>IF(C$2&lt;=AnalysisPeriod,PreFinancingInstalledCostTotal*'Inputs &amp; Results'!$J$12*(1+Inflation)^B$2,0)</f>
        <v>201135.75</v>
      </c>
      <c r="D40" s="170">
        <f>IF(D$2&lt;=AnalysisPeriod,PreFinancingInstalledCostTotal*'Inputs &amp; Results'!$J$12*(1+Inflation)^C$2,0)</f>
        <v>204152.78624999998</v>
      </c>
      <c r="E40" s="170">
        <f>IF(E$2&lt;=AnalysisPeriod,PreFinancingInstalledCostTotal*'Inputs &amp; Results'!$J$12*(1+Inflation)^D$2,0)</f>
        <v>207215.07804374993</v>
      </c>
      <c r="F40" s="170">
        <f>IF(F$2&lt;=AnalysisPeriod,PreFinancingInstalledCostTotal*'Inputs &amp; Results'!$J$12*(1+Inflation)^E$2,0)</f>
        <v>210323.30421440618</v>
      </c>
      <c r="G40" s="170">
        <f>IF(G$2&lt;=AnalysisPeriod,PreFinancingInstalledCostTotal*'Inputs &amp; Results'!$J$12*(1+Inflation)^F$2,0)</f>
        <v>213478.15377762224</v>
      </c>
      <c r="H40" s="170">
        <f>IF(H$2&lt;=AnalysisPeriod,PreFinancingInstalledCostTotal*'Inputs &amp; Results'!$J$12*(1+Inflation)^G$2,0)</f>
        <v>216680.32608428653</v>
      </c>
      <c r="I40" s="170">
        <f>IF(I$2&lt;=AnalysisPeriod,PreFinancingInstalledCostTotal*'Inputs &amp; Results'!$J$12*(1+Inflation)^H$2,0)</f>
        <v>219930.53097555079</v>
      </c>
      <c r="J40" s="170">
        <f>IF(J$2&lt;=AnalysisPeriod,PreFinancingInstalledCostTotal*'Inputs &amp; Results'!$J$12*(1+Inflation)^I$2,0)</f>
        <v>223229.488940184</v>
      </c>
      <c r="K40" s="170">
        <f>IF(K$2&lt;=AnalysisPeriod,PreFinancingInstalledCostTotal*'Inputs &amp; Results'!$J$12*(1+Inflation)^J$2,0)</f>
        <v>226577.93127428676</v>
      </c>
      <c r="L40" s="170">
        <f>IF(L$2&lt;=AnalysisPeriod,PreFinancingInstalledCostTotal*'Inputs &amp; Results'!$J$12*(1+Inflation)^K$2,0)</f>
        <v>229976.60024340104</v>
      </c>
      <c r="M40" s="170">
        <f>IF(M$2&lt;=AnalysisPeriod,PreFinancingInstalledCostTotal*'Inputs &amp; Results'!$J$12*(1+Inflation)^L$2,0)</f>
        <v>233426.24924705201</v>
      </c>
      <c r="N40" s="170">
        <f>IF(N$2&lt;=AnalysisPeriod,PreFinancingInstalledCostTotal*'Inputs &amp; Results'!$J$12*(1+Inflation)^M$2,0)</f>
        <v>236927.64298575779</v>
      </c>
      <c r="O40" s="170">
        <f>IF(O$2&lt;=AnalysisPeriod,PreFinancingInstalledCostTotal*'Inputs &amp; Results'!$J$12*(1+Inflation)^N$2,0)</f>
        <v>240481.55763054409</v>
      </c>
      <c r="P40" s="170">
        <f>IF(P$2&lt;=AnalysisPeriod,PreFinancingInstalledCostTotal*'Inputs &amp; Results'!$J$12*(1+Inflation)^O$2,0)</f>
        <v>244088.78099500225</v>
      </c>
      <c r="Q40" s="170">
        <f>IF(Q$2&lt;=AnalysisPeriod,PreFinancingInstalledCostTotal*'Inputs &amp; Results'!$J$12*(1+Inflation)^P$2,0)</f>
        <v>247750.1127099272</v>
      </c>
      <c r="R40" s="170">
        <f>IF(R$2&lt;=AnalysisPeriod,PreFinancingInstalledCostTotal*'Inputs &amp; Results'!$J$12*(1+Inflation)^Q$2,0)</f>
        <v>251466.36440057607</v>
      </c>
      <c r="S40" s="170">
        <f>IF(S$2&lt;=AnalysisPeriod,PreFinancingInstalledCostTotal*'Inputs &amp; Results'!$J$12*(1+Inflation)^R$2,0)</f>
        <v>255238.35986658468</v>
      </c>
      <c r="T40" s="170">
        <f>IF(T$2&lt;=AnalysisPeriod,PreFinancingInstalledCostTotal*'Inputs &amp; Results'!$J$12*(1+Inflation)^S$2,0)</f>
        <v>259066.93526458342</v>
      </c>
      <c r="U40" s="170">
        <f>IF(U$2&lt;=AnalysisPeriod,PreFinancingInstalledCostTotal*'Inputs &amp; Results'!$J$12*(1+Inflation)^T$2,0)</f>
        <v>262952.93929355213</v>
      </c>
      <c r="V40" s="170">
        <f>IF(V$2&lt;=AnalysisPeriod,PreFinancingInstalledCostTotal*'Inputs &amp; Results'!$J$12*(1+Inflation)^U$2,0)</f>
        <v>266897.23338295543</v>
      </c>
      <c r="W40" s="170">
        <f>IF(W$2&lt;=AnalysisPeriod,PreFinancingInstalledCostTotal*'Inputs &amp; Results'!$J$12*(1+Inflation)^V$2,0)</f>
        <v>270900.69188369968</v>
      </c>
      <c r="X40" s="170">
        <f>IF(X$2&lt;=AnalysisPeriod,PreFinancingInstalledCostTotal*'Inputs &amp; Results'!$J$12*(1+Inflation)^W$2,0)</f>
        <v>274964.20226195513</v>
      </c>
      <c r="Y40" s="170">
        <f>IF(Y$2&lt;=AnalysisPeriod,PreFinancingInstalledCostTotal*'Inputs &amp; Results'!$J$12*(1+Inflation)^X$2,0)</f>
        <v>279088.66529588442</v>
      </c>
      <c r="Z40" s="170">
        <f>IF(Z$2&lt;=AnalysisPeriod,PreFinancingInstalledCostTotal*'Inputs &amp; Results'!$J$12*(1+Inflation)^Y$2,0)</f>
        <v>283274.99527532264</v>
      </c>
      <c r="AA40" s="170">
        <f>IF(AA$2&lt;=AnalysisPeriod,PreFinancingInstalledCostTotal*'Inputs &amp; Results'!$J$12*(1+Inflation)^Z$2,0)</f>
        <v>287524.12020445243</v>
      </c>
      <c r="AB40" s="170">
        <f>IF(AB$2&lt;=AnalysisPeriod,PreFinancingInstalledCostTotal*'Inputs &amp; Results'!$J$12*(1+Inflation)^AA$2,0)</f>
        <v>291836.98200751923</v>
      </c>
      <c r="AC40" s="170">
        <f>IF(AC$2&lt;=AnalysisPeriod,PreFinancingInstalledCostTotal*'Inputs &amp; Results'!$J$12*(1+Inflation)^AB$2,0)</f>
        <v>296214.53673763195</v>
      </c>
      <c r="AD40" s="170">
        <f>IF(AD$2&lt;=AnalysisPeriod,PreFinancingInstalledCostTotal*'Inputs &amp; Results'!$J$12*(1+Inflation)^AC$2,0)</f>
        <v>300657.75478869642</v>
      </c>
      <c r="AE40" s="170">
        <f>IF(AE$2&lt;=AnalysisPeriod,PreFinancingInstalledCostTotal*'Inputs &amp; Results'!$J$12*(1+Inflation)^AD$2,0)</f>
        <v>305167.62111052679</v>
      </c>
      <c r="AF40" s="170">
        <f>IF(AF$2&lt;=AnalysisPeriod,PreFinancingInstalledCostTotal*'Inputs &amp; Results'!$J$12*(1+Inflation)^AE$2,0)</f>
        <v>309745.13542718469</v>
      </c>
      <c r="AG40" s="170">
        <f>IF(AG$2&lt;=AnalysisPeriod,PreFinancingInstalledCostTotal*'Inputs &amp; Results'!$J$12*(1+Inflation)^AF$2,0)</f>
        <v>314391.31245859235</v>
      </c>
      <c r="AH40" s="170">
        <f>IF(AH$2&lt;=AnalysisPeriod,PreFinancingInstalledCostTotal*'Inputs &amp; Results'!$J$12*(1+Inflation)^AG$2,0)</f>
        <v>319107.18214547122</v>
      </c>
      <c r="AI40" s="170">
        <f>IF(AI$2&lt;=AnalysisPeriod,PreFinancingInstalledCostTotal*'Inputs &amp; Results'!$J$12*(1+Inflation)^AH$2,0)</f>
        <v>323893.78987765324</v>
      </c>
      <c r="AJ40" s="170">
        <f>IF(AJ$2&lt;=AnalysisPeriod,PreFinancingInstalledCostTotal*'Inputs &amp; Results'!$J$12*(1+Inflation)^AI$2,0)</f>
        <v>328752.19672581798</v>
      </c>
      <c r="AK40" s="170">
        <f>IF(AK$2&lt;=AnalysisPeriod,PreFinancingInstalledCostTotal*'Inputs &amp; Results'!$J$12*(1+Inflation)^AJ$2,0)</f>
        <v>333683.4796767052</v>
      </c>
      <c r="AL40" s="170">
        <f>IF(AL$2&lt;=AnalysisPeriod,PreFinancingInstalledCostTotal*'Inputs &amp; Results'!$J$12*(1+Inflation)^AK$2,0)</f>
        <v>338688.73187185579</v>
      </c>
      <c r="AM40" s="170">
        <f>IF(AM$2&lt;=AnalysisPeriod,PreFinancingInstalledCostTotal*'Inputs &amp; Results'!$J$12*(1+Inflation)^AL$2,0)</f>
        <v>343769.06284993357</v>
      </c>
      <c r="AN40" s="170">
        <f>IF(AN$2&lt;=AnalysisPeriod,PreFinancingInstalledCostTotal*'Inputs &amp; Results'!$J$12*(1+Inflation)^AM$2,0)</f>
        <v>348925.59879268252</v>
      </c>
      <c r="AO40" s="170">
        <f>IF(AO$2&lt;=AnalysisPeriod,PreFinancingInstalledCostTotal*'Inputs &amp; Results'!$J$12*(1+Inflation)^AN$2,0)</f>
        <v>354159.48277457268</v>
      </c>
      <c r="AP40" s="170">
        <f>IF(AP$2&lt;=AnalysisPeriod,PreFinancingInstalledCostTotal*'Inputs &amp; Results'!$J$12*(1+Inflation)^AO$2,0)</f>
        <v>359471.87501619122</v>
      </c>
    </row>
    <row r="41" spans="1:42" x14ac:dyDescent="0.2">
      <c r="A41" s="20" t="s">
        <v>73</v>
      </c>
      <c r="C41" s="135">
        <f t="shared" ref="C41:AP41" si="109">C23+C27+C31+C39+C40</f>
        <v>774413.87375000003</v>
      </c>
      <c r="D41" s="135">
        <f t="shared" si="109"/>
        <v>768862.33513649995</v>
      </c>
      <c r="E41" s="135">
        <f t="shared" si="109"/>
        <v>763479.25836394064</v>
      </c>
      <c r="F41" s="135">
        <f t="shared" si="109"/>
        <v>758268.03984735277</v>
      </c>
      <c r="G41" s="135">
        <f t="shared" si="109"/>
        <v>753232.14702389773</v>
      </c>
      <c r="H41" s="135">
        <f t="shared" si="109"/>
        <v>748375.11987734796</v>
      </c>
      <c r="I41" s="135">
        <f t="shared" si="109"/>
        <v>743700.57249589951</v>
      </c>
      <c r="J41" s="135">
        <f t="shared" si="109"/>
        <v>739212.19466405339</v>
      </c>
      <c r="K41" s="135">
        <f t="shared" si="109"/>
        <v>734913.7534893197</v>
      </c>
      <c r="L41" s="135">
        <f t="shared" si="109"/>
        <v>730809.09506451734</v>
      </c>
      <c r="M41" s="135">
        <f t="shared" si="109"/>
        <v>726902.14616645931</v>
      </c>
      <c r="N41" s="135">
        <f t="shared" si="109"/>
        <v>723196.91599182587</v>
      </c>
      <c r="O41" s="135">
        <f t="shared" si="109"/>
        <v>719697.49793105444</v>
      </c>
      <c r="P41" s="135">
        <f t="shared" si="109"/>
        <v>716408.07138108672</v>
      </c>
      <c r="Q41" s="135">
        <f t="shared" si="109"/>
        <v>713332.90359783545</v>
      </c>
      <c r="R41" s="135">
        <f t="shared" si="109"/>
        <v>710476.35158925212</v>
      </c>
      <c r="S41" s="135">
        <f t="shared" si="109"/>
        <v>707842.8640498952</v>
      </c>
      <c r="T41" s="135">
        <f t="shared" si="109"/>
        <v>705436.98333792144</v>
      </c>
      <c r="U41" s="135">
        <f t="shared" si="109"/>
        <v>703263.34749544098</v>
      </c>
      <c r="V41" s="135">
        <f t="shared" si="109"/>
        <v>701326.69231319777</v>
      </c>
      <c r="W41" s="135">
        <f t="shared" si="109"/>
        <v>699631.8534405618</v>
      </c>
      <c r="X41" s="135">
        <f t="shared" si="109"/>
        <v>712514.69072933728</v>
      </c>
      <c r="Y41" s="135">
        <f t="shared" si="109"/>
        <v>725649.3238749156</v>
      </c>
      <c r="Z41" s="135">
        <f t="shared" si="109"/>
        <v>739040.90123082767</v>
      </c>
      <c r="AA41" s="135">
        <f t="shared" si="109"/>
        <v>752694.67992276489</v>
      </c>
      <c r="AB41" s="135">
        <f t="shared" si="109"/>
        <v>766616.0282006755</v>
      </c>
      <c r="AC41" s="135">
        <f t="shared" si="109"/>
        <v>780810.42784255394</v>
      </c>
      <c r="AD41" s="135">
        <f t="shared" si="109"/>
        <v>795283.47661107732</v>
      </c>
      <c r="AE41" s="135">
        <f t="shared" si="109"/>
        <v>810040.89076425927</v>
      </c>
      <c r="AF41" s="135">
        <f t="shared" si="109"/>
        <v>825088.507621328</v>
      </c>
      <c r="AG41" s="135">
        <f t="shared" si="109"/>
        <v>840432.2881850499</v>
      </c>
      <c r="AH41" s="135">
        <f t="shared" si="109"/>
        <v>856078.31982176169</v>
      </c>
      <c r="AI41" s="135">
        <f t="shared" si="109"/>
        <v>872032.81900038943</v>
      </c>
      <c r="AJ41" s="135">
        <f t="shared" si="109"/>
        <v>888302.13409176958</v>
      </c>
      <c r="AK41" s="135">
        <f t="shared" si="109"/>
        <v>904892.74822961341</v>
      </c>
      <c r="AL41" s="135">
        <f t="shared" si="109"/>
        <v>921811.28223448794</v>
      </c>
      <c r="AM41" s="135">
        <f t="shared" si="109"/>
        <v>939064.49760221504</v>
      </c>
      <c r="AN41" s="135">
        <f t="shared" si="109"/>
        <v>956659.29955812439</v>
      </c>
      <c r="AO41" s="135">
        <f t="shared" si="109"/>
        <v>974602.74017862557</v>
      </c>
      <c r="AP41" s="135">
        <f t="shared" si="109"/>
        <v>992902.02158160089</v>
      </c>
    </row>
    <row r="43" spans="1:42" ht="13.5" thickBot="1" x14ac:dyDescent="0.25">
      <c r="A43" s="165" t="s">
        <v>79</v>
      </c>
      <c r="C43" s="176">
        <f t="shared" ref="C43:AP43" si="110">C20-C41</f>
        <v>3731001.0132801849</v>
      </c>
      <c r="D43" s="176">
        <f t="shared" si="110"/>
        <v>3758854.3555844845</v>
      </c>
      <c r="E43" s="176">
        <f t="shared" si="110"/>
        <v>3786649.6299761124</v>
      </c>
      <c r="F43" s="176">
        <f t="shared" si="110"/>
        <v>3814383.9864899842</v>
      </c>
      <c r="G43" s="176">
        <f t="shared" si="110"/>
        <v>3842054.506843809</v>
      </c>
      <c r="H43" s="176">
        <f t="shared" si="110"/>
        <v>3869658.2029270036</v>
      </c>
      <c r="I43" s="176">
        <f t="shared" si="110"/>
        <v>3897192.0152563346</v>
      </c>
      <c r="J43" s="176">
        <f t="shared" si="110"/>
        <v>3924652.8113975525</v>
      </c>
      <c r="K43" s="176">
        <f t="shared" si="110"/>
        <v>3952037.3843522924</v>
      </c>
      <c r="L43" s="176">
        <f t="shared" si="110"/>
        <v>3979342.4509094106</v>
      </c>
      <c r="M43" s="176">
        <f t="shared" si="110"/>
        <v>4006564.6499600406</v>
      </c>
      <c r="N43" s="176">
        <f t="shared" si="110"/>
        <v>4033700.5407754984</v>
      </c>
      <c r="O43" s="176">
        <f t="shared" si="110"/>
        <v>4060746.6012472692</v>
      </c>
      <c r="P43" s="176">
        <f t="shared" si="110"/>
        <v>4087699.22608817</v>
      </c>
      <c r="Q43" s="176">
        <f t="shared" si="110"/>
        <v>4114554.7249938948</v>
      </c>
      <c r="R43" s="176">
        <f t="shared" si="110"/>
        <v>4141309.3207640052</v>
      </c>
      <c r="S43" s="176">
        <f t="shared" si="110"/>
        <v>4167959.147381512</v>
      </c>
      <c r="T43" s="176">
        <f t="shared" si="110"/>
        <v>4194500.2480500722</v>
      </c>
      <c r="U43" s="176">
        <f t="shared" si="110"/>
        <v>4220928.5731879221</v>
      </c>
      <c r="V43" s="176">
        <f t="shared" si="110"/>
        <v>4247239.978377548</v>
      </c>
      <c r="W43" s="176">
        <f t="shared" si="110"/>
        <v>4273430.222270105</v>
      </c>
      <c r="X43" s="176">
        <f t="shared" si="110"/>
        <v>4285164.0422560945</v>
      </c>
      <c r="Y43" s="176">
        <f t="shared" si="110"/>
        <v>4296767.9188387962</v>
      </c>
      <c r="Z43" s="176">
        <f t="shared" si="110"/>
        <v>4308237.3068343168</v>
      </c>
      <c r="AA43" s="176">
        <f t="shared" si="110"/>
        <v>4319567.5552723026</v>
      </c>
      <c r="AB43" s="176">
        <f t="shared" si="110"/>
        <v>4330753.9050586084</v>
      </c>
      <c r="AC43" s="176">
        <f t="shared" si="110"/>
        <v>4341791.4865863631</v>
      </c>
      <c r="AD43" s="176">
        <f t="shared" si="110"/>
        <v>4352675.3172942605</v>
      </c>
      <c r="AE43" s="176">
        <f t="shared" si="110"/>
        <v>4363400.2991709113</v>
      </c>
      <c r="AF43" s="176">
        <f t="shared" si="110"/>
        <v>4373961.216204023</v>
      </c>
      <c r="AG43" s="176">
        <f t="shared" si="110"/>
        <v>4384352.7317732368</v>
      </c>
      <c r="AH43" s="176">
        <f t="shared" si="110"/>
        <v>4394569.3859853167</v>
      </c>
      <c r="AI43" s="176">
        <f t="shared" si="110"/>
        <v>4404605.5929504344</v>
      </c>
      <c r="AJ43" s="176">
        <f t="shared" si="110"/>
        <v>4414455.6379982121</v>
      </c>
      <c r="AK43" s="176">
        <f t="shared" si="110"/>
        <v>4424113.6748322137</v>
      </c>
      <c r="AL43" s="176">
        <f t="shared" si="110"/>
        <v>4433573.722621494</v>
      </c>
      <c r="AM43" s="176">
        <f t="shared" si="110"/>
        <v>4442829.6630278053</v>
      </c>
      <c r="AN43" s="176">
        <f t="shared" si="110"/>
        <v>4451875.2371670138</v>
      </c>
      <c r="AO43" s="176">
        <f t="shared" si="110"/>
        <v>4460704.0425033029</v>
      </c>
      <c r="AP43" s="176">
        <f t="shared" si="110"/>
        <v>8492024.5296746008</v>
      </c>
    </row>
    <row r="44" spans="1:42" ht="13.5" thickTop="1" x14ac:dyDescent="0.2"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</row>
    <row r="45" spans="1:42" x14ac:dyDescent="0.2">
      <c r="A45" s="162" t="s">
        <v>243</v>
      </c>
      <c r="B45" s="101"/>
      <c r="C45" s="124"/>
      <c r="D45" s="124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</row>
    <row r="46" spans="1:42" x14ac:dyDescent="0.2">
      <c r="A46" s="165" t="s">
        <v>175</v>
      </c>
      <c r="B46" s="135"/>
      <c r="C46" s="135"/>
      <c r="D46" s="135"/>
      <c r="E46" s="135"/>
      <c r="F46" s="135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</row>
    <row r="47" spans="1:42" x14ac:dyDescent="0.2">
      <c r="A47" s="163" t="s">
        <v>112</v>
      </c>
      <c r="B47" s="135">
        <v>0</v>
      </c>
      <c r="C47" s="135">
        <f>C43</f>
        <v>3731001.0132801849</v>
      </c>
      <c r="D47" s="135">
        <f t="shared" ref="D47:F47" si="111">D43</f>
        <v>3758854.3555844845</v>
      </c>
      <c r="E47" s="135">
        <f t="shared" si="111"/>
        <v>3786649.6299761124</v>
      </c>
      <c r="F47" s="135">
        <f t="shared" si="111"/>
        <v>3814383.9864899842</v>
      </c>
      <c r="G47" s="135">
        <f t="shared" ref="G47:I47" si="112">G43</f>
        <v>3842054.506843809</v>
      </c>
      <c r="H47" s="135">
        <f t="shared" si="112"/>
        <v>3869658.2029270036</v>
      </c>
      <c r="I47" s="135">
        <f t="shared" si="112"/>
        <v>3897192.0152563346</v>
      </c>
      <c r="J47" s="135">
        <f t="shared" ref="J47:AP47" si="113">J43</f>
        <v>3924652.8113975525</v>
      </c>
      <c r="K47" s="135">
        <f t="shared" si="113"/>
        <v>3952037.3843522924</v>
      </c>
      <c r="L47" s="135">
        <f t="shared" si="113"/>
        <v>3979342.4509094106</v>
      </c>
      <c r="M47" s="135">
        <f t="shared" si="113"/>
        <v>4006564.6499600406</v>
      </c>
      <c r="N47" s="135">
        <f t="shared" si="113"/>
        <v>4033700.5407754984</v>
      </c>
      <c r="O47" s="135">
        <f t="shared" si="113"/>
        <v>4060746.6012472692</v>
      </c>
      <c r="P47" s="135">
        <f t="shared" si="113"/>
        <v>4087699.22608817</v>
      </c>
      <c r="Q47" s="135">
        <f t="shared" si="113"/>
        <v>4114554.7249938948</v>
      </c>
      <c r="R47" s="135">
        <f t="shared" si="113"/>
        <v>4141309.3207640052</v>
      </c>
      <c r="S47" s="135">
        <f t="shared" si="113"/>
        <v>4167959.147381512</v>
      </c>
      <c r="T47" s="135">
        <f t="shared" si="113"/>
        <v>4194500.2480500722</v>
      </c>
      <c r="U47" s="135">
        <f t="shared" si="113"/>
        <v>4220928.5731879221</v>
      </c>
      <c r="V47" s="135">
        <f t="shared" si="113"/>
        <v>4247239.978377548</v>
      </c>
      <c r="W47" s="135">
        <f t="shared" si="113"/>
        <v>4273430.222270105</v>
      </c>
      <c r="X47" s="135">
        <f t="shared" si="113"/>
        <v>4285164.0422560945</v>
      </c>
      <c r="Y47" s="135">
        <f t="shared" si="113"/>
        <v>4296767.9188387962</v>
      </c>
      <c r="Z47" s="135">
        <f t="shared" si="113"/>
        <v>4308237.3068343168</v>
      </c>
      <c r="AA47" s="135">
        <f t="shared" si="113"/>
        <v>4319567.5552723026</v>
      </c>
      <c r="AB47" s="135">
        <f t="shared" si="113"/>
        <v>4330753.9050586084</v>
      </c>
      <c r="AC47" s="135">
        <f t="shared" si="113"/>
        <v>4341791.4865863631</v>
      </c>
      <c r="AD47" s="135">
        <f t="shared" si="113"/>
        <v>4352675.3172942605</v>
      </c>
      <c r="AE47" s="135">
        <f t="shared" si="113"/>
        <v>4363400.2991709113</v>
      </c>
      <c r="AF47" s="135">
        <f t="shared" si="113"/>
        <v>4373961.216204023</v>
      </c>
      <c r="AG47" s="135">
        <f t="shared" si="113"/>
        <v>4384352.7317732368</v>
      </c>
      <c r="AH47" s="135">
        <f t="shared" si="113"/>
        <v>4394569.3859853167</v>
      </c>
      <c r="AI47" s="135">
        <f t="shared" si="113"/>
        <v>4404605.5929504344</v>
      </c>
      <c r="AJ47" s="135">
        <f t="shared" si="113"/>
        <v>4414455.6379982121</v>
      </c>
      <c r="AK47" s="135">
        <f t="shared" si="113"/>
        <v>4424113.6748322137</v>
      </c>
      <c r="AL47" s="135">
        <f t="shared" si="113"/>
        <v>4433573.722621494</v>
      </c>
      <c r="AM47" s="135">
        <f t="shared" si="113"/>
        <v>4442829.6630278053</v>
      </c>
      <c r="AN47" s="135">
        <f t="shared" si="113"/>
        <v>4451875.2371670138</v>
      </c>
      <c r="AO47" s="135">
        <f t="shared" si="113"/>
        <v>4460704.0425033029</v>
      </c>
      <c r="AP47" s="135">
        <f t="shared" si="113"/>
        <v>8492024.5296746008</v>
      </c>
    </row>
    <row r="48" spans="1:42" x14ac:dyDescent="0.2">
      <c r="A48" s="163" t="s">
        <v>197</v>
      </c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</row>
    <row r="49" spans="1:42" x14ac:dyDescent="0.2">
      <c r="A49" s="167" t="str">
        <f>A14</f>
        <v>Federal</v>
      </c>
      <c r="B49" s="135">
        <v>0</v>
      </c>
      <c r="C49" s="169">
        <f t="shared" ref="C49:AP49" si="114">IF(PBIFedDebtSwitch="Yes",0,C587)</f>
        <v>0</v>
      </c>
      <c r="D49" s="169">
        <f t="shared" si="114"/>
        <v>0</v>
      </c>
      <c r="E49" s="169">
        <f t="shared" si="114"/>
        <v>0</v>
      </c>
      <c r="F49" s="169">
        <f t="shared" si="114"/>
        <v>0</v>
      </c>
      <c r="G49" s="169">
        <f t="shared" si="114"/>
        <v>0</v>
      </c>
      <c r="H49" s="169">
        <f t="shared" si="114"/>
        <v>0</v>
      </c>
      <c r="I49" s="169">
        <f t="shared" si="114"/>
        <v>0</v>
      </c>
      <c r="J49" s="169">
        <f t="shared" si="114"/>
        <v>0</v>
      </c>
      <c r="K49" s="169">
        <f t="shared" si="114"/>
        <v>0</v>
      </c>
      <c r="L49" s="169">
        <f t="shared" si="114"/>
        <v>0</v>
      </c>
      <c r="M49" s="169">
        <f t="shared" si="114"/>
        <v>0</v>
      </c>
      <c r="N49" s="169">
        <f t="shared" si="114"/>
        <v>0</v>
      </c>
      <c r="O49" s="169">
        <f t="shared" si="114"/>
        <v>0</v>
      </c>
      <c r="P49" s="169">
        <f t="shared" si="114"/>
        <v>0</v>
      </c>
      <c r="Q49" s="169">
        <f t="shared" si="114"/>
        <v>0</v>
      </c>
      <c r="R49" s="169">
        <f t="shared" si="114"/>
        <v>0</v>
      </c>
      <c r="S49" s="169">
        <f t="shared" si="114"/>
        <v>0</v>
      </c>
      <c r="T49" s="169">
        <f t="shared" si="114"/>
        <v>0</v>
      </c>
      <c r="U49" s="169">
        <f t="shared" si="114"/>
        <v>0</v>
      </c>
      <c r="V49" s="169">
        <f t="shared" si="114"/>
        <v>0</v>
      </c>
      <c r="W49" s="169">
        <f t="shared" si="114"/>
        <v>0</v>
      </c>
      <c r="X49" s="169">
        <f t="shared" si="114"/>
        <v>0</v>
      </c>
      <c r="Y49" s="169">
        <f t="shared" si="114"/>
        <v>0</v>
      </c>
      <c r="Z49" s="169">
        <f t="shared" si="114"/>
        <v>0</v>
      </c>
      <c r="AA49" s="169">
        <f t="shared" si="114"/>
        <v>0</v>
      </c>
      <c r="AB49" s="169">
        <f t="shared" si="114"/>
        <v>0</v>
      </c>
      <c r="AC49" s="169">
        <f t="shared" si="114"/>
        <v>0</v>
      </c>
      <c r="AD49" s="169">
        <f t="shared" si="114"/>
        <v>0</v>
      </c>
      <c r="AE49" s="169">
        <f t="shared" si="114"/>
        <v>0</v>
      </c>
      <c r="AF49" s="169">
        <f t="shared" si="114"/>
        <v>0</v>
      </c>
      <c r="AG49" s="169">
        <f t="shared" si="114"/>
        <v>0</v>
      </c>
      <c r="AH49" s="169">
        <f t="shared" si="114"/>
        <v>0</v>
      </c>
      <c r="AI49" s="169">
        <f t="shared" si="114"/>
        <v>0</v>
      </c>
      <c r="AJ49" s="169">
        <f t="shared" si="114"/>
        <v>0</v>
      </c>
      <c r="AK49" s="169">
        <f t="shared" si="114"/>
        <v>0</v>
      </c>
      <c r="AL49" s="169">
        <f t="shared" si="114"/>
        <v>0</v>
      </c>
      <c r="AM49" s="169">
        <f t="shared" si="114"/>
        <v>0</v>
      </c>
      <c r="AN49" s="169">
        <f t="shared" si="114"/>
        <v>0</v>
      </c>
      <c r="AO49" s="169">
        <f t="shared" si="114"/>
        <v>0</v>
      </c>
      <c r="AP49" s="169">
        <f t="shared" si="114"/>
        <v>0</v>
      </c>
    </row>
    <row r="50" spans="1:42" x14ac:dyDescent="0.2">
      <c r="A50" s="167" t="str">
        <f t="shared" ref="A50:A52" si="115">A15</f>
        <v>State</v>
      </c>
      <c r="B50" s="135">
        <v>0</v>
      </c>
      <c r="C50" s="169">
        <f t="shared" ref="C50:AP50" si="116">IF(PBIStateDebtSwitch="Yes",0,C591)</f>
        <v>0</v>
      </c>
      <c r="D50" s="169">
        <f t="shared" si="116"/>
        <v>0</v>
      </c>
      <c r="E50" s="169">
        <f t="shared" si="116"/>
        <v>0</v>
      </c>
      <c r="F50" s="169">
        <f t="shared" si="116"/>
        <v>0</v>
      </c>
      <c r="G50" s="169">
        <f t="shared" si="116"/>
        <v>0</v>
      </c>
      <c r="H50" s="169">
        <f t="shared" si="116"/>
        <v>0</v>
      </c>
      <c r="I50" s="169">
        <f t="shared" si="116"/>
        <v>0</v>
      </c>
      <c r="J50" s="169">
        <f t="shared" si="116"/>
        <v>0</v>
      </c>
      <c r="K50" s="169">
        <f t="shared" si="116"/>
        <v>0</v>
      </c>
      <c r="L50" s="169">
        <f t="shared" si="116"/>
        <v>0</v>
      </c>
      <c r="M50" s="169">
        <f t="shared" si="116"/>
        <v>0</v>
      </c>
      <c r="N50" s="169">
        <f t="shared" si="116"/>
        <v>0</v>
      </c>
      <c r="O50" s="169">
        <f t="shared" si="116"/>
        <v>0</v>
      </c>
      <c r="P50" s="169">
        <f t="shared" si="116"/>
        <v>0</v>
      </c>
      <c r="Q50" s="169">
        <f t="shared" si="116"/>
        <v>0</v>
      </c>
      <c r="R50" s="169">
        <f t="shared" si="116"/>
        <v>0</v>
      </c>
      <c r="S50" s="169">
        <f t="shared" si="116"/>
        <v>0</v>
      </c>
      <c r="T50" s="169">
        <f t="shared" si="116"/>
        <v>0</v>
      </c>
      <c r="U50" s="169">
        <f t="shared" si="116"/>
        <v>0</v>
      </c>
      <c r="V50" s="169">
        <f t="shared" si="116"/>
        <v>0</v>
      </c>
      <c r="W50" s="169">
        <f t="shared" si="116"/>
        <v>0</v>
      </c>
      <c r="X50" s="169">
        <f t="shared" si="116"/>
        <v>0</v>
      </c>
      <c r="Y50" s="169">
        <f t="shared" si="116"/>
        <v>0</v>
      </c>
      <c r="Z50" s="169">
        <f t="shared" si="116"/>
        <v>0</v>
      </c>
      <c r="AA50" s="169">
        <f t="shared" si="116"/>
        <v>0</v>
      </c>
      <c r="AB50" s="169">
        <f t="shared" si="116"/>
        <v>0</v>
      </c>
      <c r="AC50" s="169">
        <f t="shared" si="116"/>
        <v>0</v>
      </c>
      <c r="AD50" s="169">
        <f t="shared" si="116"/>
        <v>0</v>
      </c>
      <c r="AE50" s="169">
        <f t="shared" si="116"/>
        <v>0</v>
      </c>
      <c r="AF50" s="169">
        <f t="shared" si="116"/>
        <v>0</v>
      </c>
      <c r="AG50" s="169">
        <f t="shared" si="116"/>
        <v>0</v>
      </c>
      <c r="AH50" s="169">
        <f t="shared" si="116"/>
        <v>0</v>
      </c>
      <c r="AI50" s="169">
        <f t="shared" si="116"/>
        <v>0</v>
      </c>
      <c r="AJ50" s="169">
        <f t="shared" si="116"/>
        <v>0</v>
      </c>
      <c r="AK50" s="169">
        <f t="shared" si="116"/>
        <v>0</v>
      </c>
      <c r="AL50" s="169">
        <f t="shared" si="116"/>
        <v>0</v>
      </c>
      <c r="AM50" s="169">
        <f t="shared" si="116"/>
        <v>0</v>
      </c>
      <c r="AN50" s="169">
        <f t="shared" si="116"/>
        <v>0</v>
      </c>
      <c r="AO50" s="169">
        <f t="shared" si="116"/>
        <v>0</v>
      </c>
      <c r="AP50" s="169">
        <f t="shared" si="116"/>
        <v>0</v>
      </c>
    </row>
    <row r="51" spans="1:42" x14ac:dyDescent="0.2">
      <c r="A51" s="167" t="str">
        <f t="shared" si="115"/>
        <v>Utility</v>
      </c>
      <c r="B51" s="135">
        <v>0</v>
      </c>
      <c r="C51" s="169">
        <f t="shared" ref="C51:AP51" si="117">IF(PBIUtilityDebtSwitch="Yes",0,C595)</f>
        <v>0</v>
      </c>
      <c r="D51" s="169">
        <f t="shared" si="117"/>
        <v>0</v>
      </c>
      <c r="E51" s="169">
        <f t="shared" si="117"/>
        <v>0</v>
      </c>
      <c r="F51" s="169">
        <f t="shared" si="117"/>
        <v>0</v>
      </c>
      <c r="G51" s="169">
        <f t="shared" si="117"/>
        <v>0</v>
      </c>
      <c r="H51" s="169">
        <f t="shared" si="117"/>
        <v>0</v>
      </c>
      <c r="I51" s="169">
        <f t="shared" si="117"/>
        <v>0</v>
      </c>
      <c r="J51" s="169">
        <f t="shared" si="117"/>
        <v>0</v>
      </c>
      <c r="K51" s="169">
        <f t="shared" si="117"/>
        <v>0</v>
      </c>
      <c r="L51" s="169">
        <f t="shared" si="117"/>
        <v>0</v>
      </c>
      <c r="M51" s="169">
        <f t="shared" si="117"/>
        <v>0</v>
      </c>
      <c r="N51" s="169">
        <f t="shared" si="117"/>
        <v>0</v>
      </c>
      <c r="O51" s="169">
        <f t="shared" si="117"/>
        <v>0</v>
      </c>
      <c r="P51" s="169">
        <f t="shared" si="117"/>
        <v>0</v>
      </c>
      <c r="Q51" s="169">
        <f t="shared" si="117"/>
        <v>0</v>
      </c>
      <c r="R51" s="169">
        <f t="shared" si="117"/>
        <v>0</v>
      </c>
      <c r="S51" s="169">
        <f t="shared" si="117"/>
        <v>0</v>
      </c>
      <c r="T51" s="169">
        <f t="shared" si="117"/>
        <v>0</v>
      </c>
      <c r="U51" s="169">
        <f t="shared" si="117"/>
        <v>0</v>
      </c>
      <c r="V51" s="169">
        <f t="shared" si="117"/>
        <v>0</v>
      </c>
      <c r="W51" s="169">
        <f t="shared" si="117"/>
        <v>0</v>
      </c>
      <c r="X51" s="169">
        <f t="shared" si="117"/>
        <v>0</v>
      </c>
      <c r="Y51" s="169">
        <f t="shared" si="117"/>
        <v>0</v>
      </c>
      <c r="Z51" s="169">
        <f t="shared" si="117"/>
        <v>0</v>
      </c>
      <c r="AA51" s="169">
        <f t="shared" si="117"/>
        <v>0</v>
      </c>
      <c r="AB51" s="169">
        <f t="shared" si="117"/>
        <v>0</v>
      </c>
      <c r="AC51" s="169">
        <f t="shared" si="117"/>
        <v>0</v>
      </c>
      <c r="AD51" s="169">
        <f t="shared" si="117"/>
        <v>0</v>
      </c>
      <c r="AE51" s="169">
        <f t="shared" si="117"/>
        <v>0</v>
      </c>
      <c r="AF51" s="169">
        <f t="shared" si="117"/>
        <v>0</v>
      </c>
      <c r="AG51" s="169">
        <f t="shared" si="117"/>
        <v>0</v>
      </c>
      <c r="AH51" s="169">
        <f t="shared" si="117"/>
        <v>0</v>
      </c>
      <c r="AI51" s="169">
        <f t="shared" si="117"/>
        <v>0</v>
      </c>
      <c r="AJ51" s="169">
        <f t="shared" si="117"/>
        <v>0</v>
      </c>
      <c r="AK51" s="169">
        <f t="shared" si="117"/>
        <v>0</v>
      </c>
      <c r="AL51" s="169">
        <f t="shared" si="117"/>
        <v>0</v>
      </c>
      <c r="AM51" s="169">
        <f t="shared" si="117"/>
        <v>0</v>
      </c>
      <c r="AN51" s="169">
        <f t="shared" si="117"/>
        <v>0</v>
      </c>
      <c r="AO51" s="169">
        <f t="shared" si="117"/>
        <v>0</v>
      </c>
      <c r="AP51" s="169">
        <f t="shared" si="117"/>
        <v>0</v>
      </c>
    </row>
    <row r="52" spans="1:42" x14ac:dyDescent="0.2">
      <c r="A52" s="167" t="str">
        <f t="shared" si="115"/>
        <v>Other</v>
      </c>
      <c r="B52" s="170">
        <v>0</v>
      </c>
      <c r="C52" s="170">
        <f t="shared" ref="C52:AP52" si="118">IF(PBIOtherDebtSwitch="Yes",0,C599)</f>
        <v>0</v>
      </c>
      <c r="D52" s="170">
        <f t="shared" si="118"/>
        <v>0</v>
      </c>
      <c r="E52" s="170">
        <f t="shared" si="118"/>
        <v>0</v>
      </c>
      <c r="F52" s="170">
        <f t="shared" si="118"/>
        <v>0</v>
      </c>
      <c r="G52" s="170">
        <f t="shared" si="118"/>
        <v>0</v>
      </c>
      <c r="H52" s="170">
        <f t="shared" si="118"/>
        <v>0</v>
      </c>
      <c r="I52" s="170">
        <f t="shared" si="118"/>
        <v>0</v>
      </c>
      <c r="J52" s="170">
        <f t="shared" si="118"/>
        <v>0</v>
      </c>
      <c r="K52" s="170">
        <f t="shared" si="118"/>
        <v>0</v>
      </c>
      <c r="L52" s="170">
        <f t="shared" si="118"/>
        <v>0</v>
      </c>
      <c r="M52" s="170">
        <f t="shared" si="118"/>
        <v>0</v>
      </c>
      <c r="N52" s="170">
        <f t="shared" si="118"/>
        <v>0</v>
      </c>
      <c r="O52" s="170">
        <f t="shared" si="118"/>
        <v>0</v>
      </c>
      <c r="P52" s="170">
        <f t="shared" si="118"/>
        <v>0</v>
      </c>
      <c r="Q52" s="170">
        <f t="shared" si="118"/>
        <v>0</v>
      </c>
      <c r="R52" s="170">
        <f t="shared" si="118"/>
        <v>0</v>
      </c>
      <c r="S52" s="170">
        <f t="shared" si="118"/>
        <v>0</v>
      </c>
      <c r="T52" s="170">
        <f t="shared" si="118"/>
        <v>0</v>
      </c>
      <c r="U52" s="170">
        <f t="shared" si="118"/>
        <v>0</v>
      </c>
      <c r="V52" s="170">
        <f t="shared" si="118"/>
        <v>0</v>
      </c>
      <c r="W52" s="170">
        <f t="shared" si="118"/>
        <v>0</v>
      </c>
      <c r="X52" s="170">
        <f t="shared" si="118"/>
        <v>0</v>
      </c>
      <c r="Y52" s="170">
        <f t="shared" si="118"/>
        <v>0</v>
      </c>
      <c r="Z52" s="170">
        <f t="shared" si="118"/>
        <v>0</v>
      </c>
      <c r="AA52" s="170">
        <f t="shared" si="118"/>
        <v>0</v>
      </c>
      <c r="AB52" s="170">
        <f t="shared" si="118"/>
        <v>0</v>
      </c>
      <c r="AC52" s="170">
        <f t="shared" si="118"/>
        <v>0</v>
      </c>
      <c r="AD52" s="170">
        <f t="shared" si="118"/>
        <v>0</v>
      </c>
      <c r="AE52" s="170">
        <f t="shared" si="118"/>
        <v>0</v>
      </c>
      <c r="AF52" s="170">
        <f t="shared" si="118"/>
        <v>0</v>
      </c>
      <c r="AG52" s="170">
        <f t="shared" si="118"/>
        <v>0</v>
      </c>
      <c r="AH52" s="170">
        <f t="shared" si="118"/>
        <v>0</v>
      </c>
      <c r="AI52" s="170">
        <f t="shared" si="118"/>
        <v>0</v>
      </c>
      <c r="AJ52" s="170">
        <f t="shared" si="118"/>
        <v>0</v>
      </c>
      <c r="AK52" s="170">
        <f t="shared" si="118"/>
        <v>0</v>
      </c>
      <c r="AL52" s="170">
        <f t="shared" si="118"/>
        <v>0</v>
      </c>
      <c r="AM52" s="170">
        <f t="shared" si="118"/>
        <v>0</v>
      </c>
      <c r="AN52" s="170">
        <f t="shared" si="118"/>
        <v>0</v>
      </c>
      <c r="AO52" s="170">
        <f t="shared" si="118"/>
        <v>0</v>
      </c>
      <c r="AP52" s="170">
        <f t="shared" si="118"/>
        <v>0</v>
      </c>
    </row>
    <row r="53" spans="1:42" x14ac:dyDescent="0.2">
      <c r="A53" s="167" t="s">
        <v>53</v>
      </c>
      <c r="B53" s="135">
        <f>SUM(B49:B52)</f>
        <v>0</v>
      </c>
      <c r="C53" s="135">
        <f>SUM(C49:C52)</f>
        <v>0</v>
      </c>
      <c r="D53" s="135">
        <f t="shared" ref="D53:AP53" si="119">SUM(D49:D52)</f>
        <v>0</v>
      </c>
      <c r="E53" s="135">
        <f t="shared" si="119"/>
        <v>0</v>
      </c>
      <c r="F53" s="135">
        <f t="shared" si="119"/>
        <v>0</v>
      </c>
      <c r="G53" s="135">
        <f t="shared" si="119"/>
        <v>0</v>
      </c>
      <c r="H53" s="135">
        <f t="shared" si="119"/>
        <v>0</v>
      </c>
      <c r="I53" s="135">
        <f t="shared" si="119"/>
        <v>0</v>
      </c>
      <c r="J53" s="135">
        <f t="shared" si="119"/>
        <v>0</v>
      </c>
      <c r="K53" s="135">
        <f t="shared" si="119"/>
        <v>0</v>
      </c>
      <c r="L53" s="135">
        <f t="shared" si="119"/>
        <v>0</v>
      </c>
      <c r="M53" s="135">
        <f t="shared" si="119"/>
        <v>0</v>
      </c>
      <c r="N53" s="135">
        <f t="shared" si="119"/>
        <v>0</v>
      </c>
      <c r="O53" s="135">
        <f t="shared" si="119"/>
        <v>0</v>
      </c>
      <c r="P53" s="135">
        <f t="shared" si="119"/>
        <v>0</v>
      </c>
      <c r="Q53" s="135">
        <f t="shared" si="119"/>
        <v>0</v>
      </c>
      <c r="R53" s="135">
        <f t="shared" si="119"/>
        <v>0</v>
      </c>
      <c r="S53" s="135">
        <f t="shared" si="119"/>
        <v>0</v>
      </c>
      <c r="T53" s="135">
        <f t="shared" si="119"/>
        <v>0</v>
      </c>
      <c r="U53" s="135">
        <f t="shared" si="119"/>
        <v>0</v>
      </c>
      <c r="V53" s="135">
        <f t="shared" si="119"/>
        <v>0</v>
      </c>
      <c r="W53" s="135">
        <f t="shared" si="119"/>
        <v>0</v>
      </c>
      <c r="X53" s="135">
        <f t="shared" si="119"/>
        <v>0</v>
      </c>
      <c r="Y53" s="135">
        <f t="shared" si="119"/>
        <v>0</v>
      </c>
      <c r="Z53" s="135">
        <f t="shared" si="119"/>
        <v>0</v>
      </c>
      <c r="AA53" s="135">
        <f t="shared" si="119"/>
        <v>0</v>
      </c>
      <c r="AB53" s="135">
        <f t="shared" si="119"/>
        <v>0</v>
      </c>
      <c r="AC53" s="135">
        <f t="shared" si="119"/>
        <v>0</v>
      </c>
      <c r="AD53" s="135">
        <f t="shared" si="119"/>
        <v>0</v>
      </c>
      <c r="AE53" s="135">
        <f t="shared" si="119"/>
        <v>0</v>
      </c>
      <c r="AF53" s="135">
        <f t="shared" si="119"/>
        <v>0</v>
      </c>
      <c r="AG53" s="135">
        <f t="shared" si="119"/>
        <v>0</v>
      </c>
      <c r="AH53" s="135">
        <f t="shared" si="119"/>
        <v>0</v>
      </c>
      <c r="AI53" s="135">
        <f t="shared" si="119"/>
        <v>0</v>
      </c>
      <c r="AJ53" s="135">
        <f t="shared" si="119"/>
        <v>0</v>
      </c>
      <c r="AK53" s="135">
        <f t="shared" si="119"/>
        <v>0</v>
      </c>
      <c r="AL53" s="135">
        <f t="shared" si="119"/>
        <v>0</v>
      </c>
      <c r="AM53" s="135">
        <f t="shared" si="119"/>
        <v>0</v>
      </c>
      <c r="AN53" s="135">
        <f t="shared" si="119"/>
        <v>0</v>
      </c>
      <c r="AO53" s="135">
        <f t="shared" si="119"/>
        <v>0</v>
      </c>
      <c r="AP53" s="135">
        <f t="shared" si="119"/>
        <v>0</v>
      </c>
    </row>
    <row r="54" spans="1:42" x14ac:dyDescent="0.2">
      <c r="A54" s="163" t="s">
        <v>121</v>
      </c>
      <c r="B54" s="135">
        <v>0</v>
      </c>
      <c r="C54" s="135">
        <f t="shared" ref="C54:AP54" si="120">C775</f>
        <v>29367.940740299098</v>
      </c>
      <c r="D54" s="135">
        <f t="shared" si="120"/>
        <v>33794.501200713072</v>
      </c>
      <c r="E54" s="135">
        <f t="shared" si="120"/>
        <v>38222.159336134631</v>
      </c>
      <c r="F54" s="135">
        <f t="shared" si="120"/>
        <v>42650.92639319937</v>
      </c>
      <c r="G54" s="135">
        <f t="shared" si="120"/>
        <v>47080.813797189818</v>
      </c>
      <c r="H54" s="135">
        <f t="shared" si="120"/>
        <v>51511.8331555806</v>
      </c>
      <c r="I54" s="135">
        <f t="shared" si="120"/>
        <v>55943.996261659493</v>
      </c>
      <c r="J54" s="135">
        <f t="shared" si="120"/>
        <v>60377.315098226289</v>
      </c>
      <c r="K54" s="135">
        <f t="shared" si="120"/>
        <v>64811.801841371205</v>
      </c>
      <c r="L54" s="135">
        <f t="shared" si="120"/>
        <v>69247.468864334194</v>
      </c>
      <c r="M54" s="135">
        <f t="shared" si="120"/>
        <v>73684.328741447462</v>
      </c>
      <c r="N54" s="135">
        <f t="shared" si="120"/>
        <v>78122.394252162732</v>
      </c>
      <c r="O54" s="135">
        <f t="shared" si="120"/>
        <v>30715.263160839462</v>
      </c>
      <c r="P54" s="135">
        <f t="shared" si="120"/>
        <v>35995.881993492687</v>
      </c>
      <c r="Q54" s="135">
        <f t="shared" si="120"/>
        <v>41277.746070404472</v>
      </c>
      <c r="R54" s="135">
        <f t="shared" si="120"/>
        <v>21620.793204951438</v>
      </c>
      <c r="S54" s="135">
        <f t="shared" si="120"/>
        <v>26732.458565163892</v>
      </c>
      <c r="T54" s="135">
        <f t="shared" si="120"/>
        <v>31846.115485115948</v>
      </c>
      <c r="U54" s="135">
        <f t="shared" si="120"/>
        <v>36961.804547676074</v>
      </c>
      <c r="V54" s="135">
        <f t="shared" si="120"/>
        <v>42079.567191013273</v>
      </c>
      <c r="W54" s="135">
        <f t="shared" si="120"/>
        <v>47199.445727059538</v>
      </c>
      <c r="X54" s="135">
        <f t="shared" si="120"/>
        <v>52446.878929518141</v>
      </c>
      <c r="Y54" s="135">
        <f t="shared" si="120"/>
        <v>57696.515345723783</v>
      </c>
      <c r="Z54" s="135">
        <f t="shared" si="120"/>
        <v>62948.400023769842</v>
      </c>
      <c r="AA54" s="135">
        <f t="shared" si="120"/>
        <v>6586.0784493241936</v>
      </c>
      <c r="AB54" s="135">
        <f t="shared" si="120"/>
        <v>12847.040886474646</v>
      </c>
      <c r="AC54" s="135">
        <f t="shared" si="120"/>
        <v>19110.392523059818</v>
      </c>
      <c r="AD54" s="135">
        <f t="shared" si="120"/>
        <v>25376.182339503135</v>
      </c>
      <c r="AE54" s="135">
        <f t="shared" si="120"/>
        <v>31644.460353062212</v>
      </c>
      <c r="AF54" s="135">
        <f t="shared" si="120"/>
        <v>37915.277640280299</v>
      </c>
      <c r="AG54" s="135">
        <f t="shared" si="120"/>
        <v>44188.686359931598</v>
      </c>
      <c r="AH54" s="135">
        <f t="shared" si="120"/>
        <v>50464.739776471564</v>
      </c>
      <c r="AI54" s="135">
        <f t="shared" si="120"/>
        <v>56743.492284003289</v>
      </c>
      <c r="AJ54" s="135">
        <f t="shared" si="120"/>
        <v>63024.999430771604</v>
      </c>
      <c r="AK54" s="135">
        <f t="shared" si="120"/>
        <v>69309.317944196475</v>
      </c>
      <c r="AL54" s="135">
        <f t="shared" si="120"/>
        <v>75596.50575645786</v>
      </c>
      <c r="AM54" s="135">
        <f t="shared" si="120"/>
        <v>8216.8143540193832</v>
      </c>
      <c r="AN54" s="135">
        <f t="shared" si="120"/>
        <v>8370.7688711335886</v>
      </c>
      <c r="AO54" s="135">
        <f t="shared" si="120"/>
        <v>8527.773976562974</v>
      </c>
      <c r="AP54" s="135">
        <f t="shared" si="120"/>
        <v>8687.8926888390088</v>
      </c>
    </row>
    <row r="55" spans="1:42" s="101" customFormat="1" x14ac:dyDescent="0.2">
      <c r="A55" s="243" t="s">
        <v>176</v>
      </c>
      <c r="B55" s="186">
        <v>0</v>
      </c>
      <c r="C55" s="186">
        <f>-C612</f>
        <v>-1813879.1376327234</v>
      </c>
      <c r="D55" s="186">
        <f>-D612</f>
        <v>-1754355.7994579498</v>
      </c>
      <c r="E55" s="186">
        <f t="shared" ref="E55:AP55" si="121">-E612</f>
        <v>-1688620.4144053103</v>
      </c>
      <c r="F55" s="186">
        <f t="shared" si="121"/>
        <v>-1616194.8823700899</v>
      </c>
      <c r="G55" s="186">
        <f t="shared" si="121"/>
        <v>-1536564.2140985662</v>
      </c>
      <c r="H55" s="186">
        <f t="shared" si="121"/>
        <v>-1449173.6762008723</v>
      </c>
      <c r="I55" s="186">
        <f t="shared" si="121"/>
        <v>-1353425.714989109</v>
      </c>
      <c r="J55" s="186">
        <f t="shared" si="121"/>
        <v>-1248676.6420015651</v>
      </c>
      <c r="K55" s="186">
        <f t="shared" si="121"/>
        <v>-1134233.0627456757</v>
      </c>
      <c r="L55" s="186">
        <f t="shared" si="121"/>
        <v>-1009348.0287611643</v>
      </c>
      <c r="M55" s="186">
        <f t="shared" si="121"/>
        <v>-873216.89156272251</v>
      </c>
      <c r="N55" s="186">
        <f t="shared" si="121"/>
        <v>-724972.83535997651</v>
      </c>
      <c r="O55" s="186">
        <f t="shared" si="121"/>
        <v>-563682.06366211164</v>
      </c>
      <c r="P55" s="186">
        <f t="shared" si="121"/>
        <v>-391094.50597528962</v>
      </c>
      <c r="Q55" s="186">
        <f t="shared" si="121"/>
        <v>-203584.1322527983</v>
      </c>
      <c r="R55" s="186">
        <f t="shared" si="121"/>
        <v>0</v>
      </c>
      <c r="S55" s="186">
        <f t="shared" si="121"/>
        <v>0</v>
      </c>
      <c r="T55" s="186">
        <f t="shared" si="121"/>
        <v>0</v>
      </c>
      <c r="U55" s="186">
        <f t="shared" si="121"/>
        <v>0</v>
      </c>
      <c r="V55" s="186">
        <f t="shared" si="121"/>
        <v>0</v>
      </c>
      <c r="W55" s="186">
        <f t="shared" si="121"/>
        <v>0</v>
      </c>
      <c r="X55" s="186">
        <f t="shared" si="121"/>
        <v>0</v>
      </c>
      <c r="Y55" s="186">
        <f t="shared" si="121"/>
        <v>0</v>
      </c>
      <c r="Z55" s="186">
        <f t="shared" si="121"/>
        <v>0</v>
      </c>
      <c r="AA55" s="186">
        <f t="shared" si="121"/>
        <v>0</v>
      </c>
      <c r="AB55" s="186">
        <f t="shared" si="121"/>
        <v>0</v>
      </c>
      <c r="AC55" s="186">
        <f t="shared" si="121"/>
        <v>0</v>
      </c>
      <c r="AD55" s="186">
        <f t="shared" si="121"/>
        <v>0</v>
      </c>
      <c r="AE55" s="186">
        <f t="shared" si="121"/>
        <v>0</v>
      </c>
      <c r="AF55" s="186">
        <f t="shared" si="121"/>
        <v>0</v>
      </c>
      <c r="AG55" s="186">
        <f t="shared" si="121"/>
        <v>0</v>
      </c>
      <c r="AH55" s="186">
        <f t="shared" si="121"/>
        <v>0</v>
      </c>
      <c r="AI55" s="186">
        <f t="shared" si="121"/>
        <v>0</v>
      </c>
      <c r="AJ55" s="186">
        <f t="shared" si="121"/>
        <v>0</v>
      </c>
      <c r="AK55" s="186">
        <f t="shared" si="121"/>
        <v>0</v>
      </c>
      <c r="AL55" s="186">
        <f t="shared" si="121"/>
        <v>0</v>
      </c>
      <c r="AM55" s="186">
        <f t="shared" si="121"/>
        <v>0</v>
      </c>
      <c r="AN55" s="186">
        <f t="shared" si="121"/>
        <v>0</v>
      </c>
      <c r="AO55" s="186">
        <f t="shared" si="121"/>
        <v>0</v>
      </c>
      <c r="AP55" s="186">
        <f t="shared" si="121"/>
        <v>0</v>
      </c>
    </row>
    <row r="56" spans="1:42" s="101" customFormat="1" x14ac:dyDescent="0.2">
      <c r="A56" s="243" t="s">
        <v>53</v>
      </c>
      <c r="B56" s="181">
        <f>B47+B53+B54+B55</f>
        <v>0</v>
      </c>
      <c r="C56" s="181">
        <f t="shared" ref="C56:AP56" si="122">C47+C53+C54+C55</f>
        <v>1946489.8163877605</v>
      </c>
      <c r="D56" s="181">
        <f t="shared" si="122"/>
        <v>2038293.0573272479</v>
      </c>
      <c r="E56" s="181">
        <f t="shared" si="122"/>
        <v>2136251.3749069367</v>
      </c>
      <c r="F56" s="181">
        <f t="shared" si="122"/>
        <v>2240840.0305130938</v>
      </c>
      <c r="G56" s="181">
        <f t="shared" si="122"/>
        <v>2352571.1065424327</v>
      </c>
      <c r="H56" s="181">
        <f t="shared" si="122"/>
        <v>2471996.3598817121</v>
      </c>
      <c r="I56" s="181">
        <f t="shared" si="122"/>
        <v>2599710.2965288851</v>
      </c>
      <c r="J56" s="181">
        <f t="shared" si="122"/>
        <v>2736353.4844942135</v>
      </c>
      <c r="K56" s="181">
        <f t="shared" si="122"/>
        <v>2882616.1234479882</v>
      </c>
      <c r="L56" s="181">
        <f t="shared" si="122"/>
        <v>3039241.8910125806</v>
      </c>
      <c r="M56" s="181">
        <f t="shared" si="122"/>
        <v>3207032.0871387655</v>
      </c>
      <c r="N56" s="181">
        <f t="shared" si="122"/>
        <v>3386850.0996676846</v>
      </c>
      <c r="O56" s="181">
        <f t="shared" si="122"/>
        <v>3527779.8007459971</v>
      </c>
      <c r="P56" s="181">
        <f t="shared" si="122"/>
        <v>3732600.6021063728</v>
      </c>
      <c r="Q56" s="181">
        <f t="shared" si="122"/>
        <v>3952248.3388115009</v>
      </c>
      <c r="R56" s="181">
        <f t="shared" si="122"/>
        <v>4162930.1139689567</v>
      </c>
      <c r="S56" s="181">
        <f t="shared" si="122"/>
        <v>4194691.6059466759</v>
      </c>
      <c r="T56" s="181">
        <f t="shared" si="122"/>
        <v>4226346.3635351881</v>
      </c>
      <c r="U56" s="181">
        <f t="shared" si="122"/>
        <v>4257890.377735598</v>
      </c>
      <c r="V56" s="181">
        <f t="shared" si="122"/>
        <v>4289319.5455685612</v>
      </c>
      <c r="W56" s="181">
        <f t="shared" si="122"/>
        <v>4320629.6679971647</v>
      </c>
      <c r="X56" s="181">
        <f t="shared" si="122"/>
        <v>4337610.9211856127</v>
      </c>
      <c r="Y56" s="181">
        <f t="shared" si="122"/>
        <v>4354464.4341845196</v>
      </c>
      <c r="Z56" s="181">
        <f t="shared" si="122"/>
        <v>4371185.7068580864</v>
      </c>
      <c r="AA56" s="181">
        <f t="shared" si="122"/>
        <v>4326153.6337216264</v>
      </c>
      <c r="AB56" s="181">
        <f t="shared" si="122"/>
        <v>4343600.9459450832</v>
      </c>
      <c r="AC56" s="181">
        <f t="shared" si="122"/>
        <v>4360901.8791094227</v>
      </c>
      <c r="AD56" s="181">
        <f t="shared" si="122"/>
        <v>4378051.4996337639</v>
      </c>
      <c r="AE56" s="181">
        <f t="shared" si="122"/>
        <v>4395044.7595239738</v>
      </c>
      <c r="AF56" s="181">
        <f t="shared" si="122"/>
        <v>4411876.4938443033</v>
      </c>
      <c r="AG56" s="181">
        <f t="shared" si="122"/>
        <v>4428541.4181331685</v>
      </c>
      <c r="AH56" s="181">
        <f t="shared" si="122"/>
        <v>4445034.1257617883</v>
      </c>
      <c r="AI56" s="181">
        <f t="shared" si="122"/>
        <v>4461349.0852344381</v>
      </c>
      <c r="AJ56" s="181">
        <f t="shared" si="122"/>
        <v>4477480.637428984</v>
      </c>
      <c r="AK56" s="181">
        <f t="shared" si="122"/>
        <v>4493422.9927764097</v>
      </c>
      <c r="AL56" s="181">
        <f t="shared" si="122"/>
        <v>4509170.2283779522</v>
      </c>
      <c r="AM56" s="181">
        <f t="shared" si="122"/>
        <v>4451046.4773818245</v>
      </c>
      <c r="AN56" s="181">
        <f t="shared" si="122"/>
        <v>4460246.006038147</v>
      </c>
      <c r="AO56" s="181">
        <f t="shared" si="122"/>
        <v>4469231.8164798655</v>
      </c>
      <c r="AP56" s="181">
        <f t="shared" si="122"/>
        <v>8500712.4223634396</v>
      </c>
    </row>
    <row r="57" spans="1:42" s="101" customFormat="1" x14ac:dyDescent="0.2">
      <c r="A57" s="243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</row>
    <row r="58" spans="1:42" s="101" customFormat="1" x14ac:dyDescent="0.2">
      <c r="A58" s="250" t="s">
        <v>168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</row>
    <row r="59" spans="1:42" s="101" customFormat="1" x14ac:dyDescent="0.2">
      <c r="A59" s="243" t="s">
        <v>169</v>
      </c>
      <c r="B59" s="181">
        <f>-LPFInstalledCostTotal+'Inputs &amp; Results'!C177+'Inputs &amp; Results'!C180</f>
        <v>-43661169.131477296</v>
      </c>
      <c r="C59" s="181">
        <v>0</v>
      </c>
      <c r="D59" s="181">
        <v>0</v>
      </c>
      <c r="E59" s="181">
        <v>0</v>
      </c>
      <c r="F59" s="181">
        <v>0</v>
      </c>
      <c r="G59" s="181">
        <v>0</v>
      </c>
      <c r="H59" s="181">
        <v>0</v>
      </c>
      <c r="I59" s="181">
        <v>0</v>
      </c>
      <c r="J59" s="181">
        <v>0</v>
      </c>
      <c r="K59" s="181">
        <v>0</v>
      </c>
      <c r="L59" s="181">
        <v>0</v>
      </c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181"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</row>
    <row r="60" spans="1:42" s="101" customFormat="1" x14ac:dyDescent="0.2">
      <c r="A60" s="243" t="s">
        <v>170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</row>
    <row r="61" spans="1:42" s="101" customFormat="1" x14ac:dyDescent="0.2">
      <c r="A61" s="234" t="s">
        <v>171</v>
      </c>
      <c r="B61" s="181">
        <f t="shared" ref="B61:AP61" si="123">-B667-B668</f>
        <v>-1290961.1054278056</v>
      </c>
      <c r="C61" s="181">
        <f t="shared" si="123"/>
        <v>-10316.052705296082</v>
      </c>
      <c r="D61" s="181">
        <f t="shared" si="123"/>
        <v>-10294.546070973389</v>
      </c>
      <c r="E61" s="181">
        <f t="shared" si="123"/>
        <v>-10271.983894026605</v>
      </c>
      <c r="F61" s="181">
        <f t="shared" si="123"/>
        <v>-10248.340871786932</v>
      </c>
      <c r="G61" s="181">
        <f t="shared" si="123"/>
        <v>-10223.591141923796</v>
      </c>
      <c r="H61" s="181">
        <f t="shared" si="123"/>
        <v>-10197.708270122763</v>
      </c>
      <c r="I61" s="181">
        <f t="shared" si="123"/>
        <v>-10170.665237487992</v>
      </c>
      <c r="J61" s="181">
        <f t="shared" si="123"/>
        <v>-10142.434427681379</v>
      </c>
      <c r="K61" s="181">
        <f t="shared" si="123"/>
        <v>-10112.987613747595</v>
      </c>
      <c r="L61" s="181">
        <f t="shared" si="123"/>
        <v>-10082.295944677666</v>
      </c>
      <c r="M61" s="181">
        <f t="shared" si="123"/>
        <v>-10050.329931651242</v>
      </c>
      <c r="N61" s="181">
        <f t="shared" si="123"/>
        <v>7762.8955975961871</v>
      </c>
      <c r="O61" s="181">
        <f t="shared" si="123"/>
        <v>-9982.4536447781138</v>
      </c>
      <c r="P61" s="181">
        <f t="shared" si="123"/>
        <v>-9946.4810761942063</v>
      </c>
      <c r="Q61" s="181">
        <f t="shared" si="123"/>
        <v>1415238.0806605571</v>
      </c>
      <c r="R61" s="181">
        <f t="shared" si="123"/>
        <v>0</v>
      </c>
      <c r="S61" s="181">
        <f t="shared" si="123"/>
        <v>0</v>
      </c>
      <c r="T61" s="181">
        <f t="shared" si="123"/>
        <v>0</v>
      </c>
      <c r="U61" s="181">
        <f t="shared" si="123"/>
        <v>0</v>
      </c>
      <c r="V61" s="181">
        <f t="shared" si="123"/>
        <v>0</v>
      </c>
      <c r="W61" s="181">
        <f t="shared" si="123"/>
        <v>0</v>
      </c>
      <c r="X61" s="181">
        <f t="shared" si="123"/>
        <v>0</v>
      </c>
      <c r="Y61" s="181">
        <f t="shared" si="123"/>
        <v>0</v>
      </c>
      <c r="Z61" s="181">
        <f t="shared" si="123"/>
        <v>0</v>
      </c>
      <c r="AA61" s="181">
        <f t="shared" si="123"/>
        <v>0</v>
      </c>
      <c r="AB61" s="181">
        <f t="shared" si="123"/>
        <v>0</v>
      </c>
      <c r="AC61" s="181">
        <f t="shared" si="123"/>
        <v>0</v>
      </c>
      <c r="AD61" s="181">
        <f t="shared" si="123"/>
        <v>0</v>
      </c>
      <c r="AE61" s="181">
        <f t="shared" si="123"/>
        <v>0</v>
      </c>
      <c r="AF61" s="181">
        <f t="shared" si="123"/>
        <v>0</v>
      </c>
      <c r="AG61" s="181">
        <f t="shared" si="123"/>
        <v>0</v>
      </c>
      <c r="AH61" s="181">
        <f t="shared" si="123"/>
        <v>0</v>
      </c>
      <c r="AI61" s="181">
        <f t="shared" si="123"/>
        <v>0</v>
      </c>
      <c r="AJ61" s="181">
        <f t="shared" si="123"/>
        <v>0</v>
      </c>
      <c r="AK61" s="181">
        <f t="shared" si="123"/>
        <v>0</v>
      </c>
      <c r="AL61" s="181">
        <f t="shared" si="123"/>
        <v>0</v>
      </c>
      <c r="AM61" s="181">
        <f t="shared" si="123"/>
        <v>0</v>
      </c>
      <c r="AN61" s="181">
        <f t="shared" si="123"/>
        <v>0</v>
      </c>
      <c r="AO61" s="181">
        <f t="shared" si="123"/>
        <v>0</v>
      </c>
      <c r="AP61" s="181">
        <f t="shared" si="123"/>
        <v>0</v>
      </c>
    </row>
    <row r="62" spans="1:42" s="101" customFormat="1" x14ac:dyDescent="0.2">
      <c r="A62" s="234" t="s">
        <v>177</v>
      </c>
      <c r="B62" s="181">
        <f t="shared" ref="B62:AP62" si="124">-B673-B674</f>
        <v>-387206.93687500001</v>
      </c>
      <c r="C62" s="181">
        <f t="shared" si="124"/>
        <v>2775.7693067500368</v>
      </c>
      <c r="D62" s="181">
        <f t="shared" si="124"/>
        <v>2691.5383862796589</v>
      </c>
      <c r="E62" s="181">
        <f t="shared" si="124"/>
        <v>2605.6092582939309</v>
      </c>
      <c r="F62" s="181">
        <f t="shared" si="124"/>
        <v>2517.9464117275202</v>
      </c>
      <c r="G62" s="181">
        <f t="shared" si="124"/>
        <v>2428.5135732748895</v>
      </c>
      <c r="H62" s="181">
        <f t="shared" si="124"/>
        <v>2337.2736907242215</v>
      </c>
      <c r="I62" s="181">
        <f t="shared" si="124"/>
        <v>2244.1889159230632</v>
      </c>
      <c r="J62" s="181">
        <f t="shared" si="124"/>
        <v>2149.2205873668427</v>
      </c>
      <c r="K62" s="181">
        <f t="shared" si="124"/>
        <v>2052.3292124011787</v>
      </c>
      <c r="L62" s="181">
        <f t="shared" si="124"/>
        <v>1953.4744490290177</v>
      </c>
      <c r="M62" s="181">
        <f t="shared" si="124"/>
        <v>1852.6150873167207</v>
      </c>
      <c r="N62" s="181">
        <f t="shared" si="124"/>
        <v>1749.7090303857112</v>
      </c>
      <c r="O62" s="181">
        <f t="shared" si="124"/>
        <v>1644.7132749838638</v>
      </c>
      <c r="P62" s="181">
        <f t="shared" si="124"/>
        <v>1537.5838916256325</v>
      </c>
      <c r="Q62" s="181">
        <f t="shared" si="124"/>
        <v>1428.2760042916634</v>
      </c>
      <c r="R62" s="181">
        <f t="shared" si="124"/>
        <v>1316.7437696784618</v>
      </c>
      <c r="S62" s="181">
        <f t="shared" si="124"/>
        <v>1202.9403559868806</v>
      </c>
      <c r="T62" s="181">
        <f t="shared" si="124"/>
        <v>1086.817921240232</v>
      </c>
      <c r="U62" s="181">
        <f t="shared" si="124"/>
        <v>968.3275911216042</v>
      </c>
      <c r="V62" s="181">
        <f t="shared" si="124"/>
        <v>847.41943631798495</v>
      </c>
      <c r="W62" s="181">
        <f t="shared" si="124"/>
        <v>-6441.4186443877406</v>
      </c>
      <c r="X62" s="181">
        <f t="shared" si="124"/>
        <v>-6567.316572789161</v>
      </c>
      <c r="Y62" s="181">
        <f t="shared" si="124"/>
        <v>-6695.7886779560358</v>
      </c>
      <c r="Z62" s="181">
        <f t="shared" si="124"/>
        <v>-6826.8893459686078</v>
      </c>
      <c r="AA62" s="181">
        <f t="shared" si="124"/>
        <v>-6960.6741389553063</v>
      </c>
      <c r="AB62" s="181">
        <f t="shared" si="124"/>
        <v>-7097.1998209392186</v>
      </c>
      <c r="AC62" s="181">
        <f t="shared" si="124"/>
        <v>-7236.524384261691</v>
      </c>
      <c r="AD62" s="181">
        <f t="shared" si="124"/>
        <v>-7378.7070765909739</v>
      </c>
      <c r="AE62" s="181">
        <f t="shared" si="124"/>
        <v>-7523.8084285343648</v>
      </c>
      <c r="AF62" s="181">
        <f t="shared" si="124"/>
        <v>-7671.8902818609495</v>
      </c>
      <c r="AG62" s="181">
        <f t="shared" si="124"/>
        <v>-7823.015818355896</v>
      </c>
      <c r="AH62" s="181">
        <f t="shared" si="124"/>
        <v>-7977.2495893138694</v>
      </c>
      <c r="AI62" s="181">
        <f t="shared" si="124"/>
        <v>-8134.6575456900755</v>
      </c>
      <c r="AJ62" s="181">
        <f t="shared" si="124"/>
        <v>-8295.3070689219167</v>
      </c>
      <c r="AK62" s="181">
        <f t="shared" si="124"/>
        <v>-8459.2670024372637</v>
      </c>
      <c r="AL62" s="181">
        <f t="shared" si="124"/>
        <v>-8626.607683863549</v>
      </c>
      <c r="AM62" s="181">
        <f t="shared" si="124"/>
        <v>-8797.4009779546759</v>
      </c>
      <c r="AN62" s="181">
        <f t="shared" si="124"/>
        <v>-8971.7203102505882</v>
      </c>
      <c r="AO62" s="181">
        <f t="shared" si="124"/>
        <v>-9149.6407014876604</v>
      </c>
      <c r="AP62" s="181">
        <f t="shared" si="124"/>
        <v>496451.01079080044</v>
      </c>
    </row>
    <row r="63" spans="1:42" s="101" customFormat="1" x14ac:dyDescent="0.2">
      <c r="A63" s="234" t="s">
        <v>293</v>
      </c>
      <c r="B63" s="124">
        <f>-B679-B680</f>
        <v>0</v>
      </c>
      <c r="C63" s="124">
        <f t="shared" ref="C63:AP63" si="125">-C679-C680</f>
        <v>-245406.02862510949</v>
      </c>
      <c r="D63" s="124">
        <f t="shared" si="125"/>
        <v>-245406.02862510949</v>
      </c>
      <c r="E63" s="124">
        <f t="shared" si="125"/>
        <v>-245406.02862510949</v>
      </c>
      <c r="F63" s="124">
        <f t="shared" si="125"/>
        <v>-245406.02862510949</v>
      </c>
      <c r="G63" s="124">
        <f t="shared" si="125"/>
        <v>-245406.02862510949</v>
      </c>
      <c r="H63" s="124">
        <f t="shared" si="125"/>
        <v>-245406.02862510949</v>
      </c>
      <c r="I63" s="124">
        <f t="shared" si="125"/>
        <v>-245406.02862510949</v>
      </c>
      <c r="J63" s="124">
        <f t="shared" si="125"/>
        <v>-245406.02862510949</v>
      </c>
      <c r="K63" s="124">
        <f t="shared" si="125"/>
        <v>-245406.02862510949</v>
      </c>
      <c r="L63" s="124">
        <f t="shared" si="125"/>
        <v>-245406.02862510949</v>
      </c>
      <c r="M63" s="124">
        <f t="shared" si="125"/>
        <v>-245406.02862510949</v>
      </c>
      <c r="N63" s="124">
        <f t="shared" si="125"/>
        <v>2699466.3148762044</v>
      </c>
      <c r="O63" s="124">
        <f t="shared" si="125"/>
        <v>-293411.90721039008</v>
      </c>
      <c r="P63" s="124">
        <f t="shared" si="125"/>
        <v>-293411.90721039008</v>
      </c>
      <c r="Q63" s="124">
        <f t="shared" si="125"/>
        <v>-293411.90721039008</v>
      </c>
      <c r="R63" s="124">
        <f t="shared" si="125"/>
        <v>-293411.90721039008</v>
      </c>
      <c r="S63" s="124">
        <f t="shared" si="125"/>
        <v>-293411.90721039008</v>
      </c>
      <c r="T63" s="124">
        <f t="shared" si="125"/>
        <v>-293411.90721039008</v>
      </c>
      <c r="U63" s="124">
        <f t="shared" si="125"/>
        <v>-293411.90721039008</v>
      </c>
      <c r="V63" s="124">
        <f t="shared" si="125"/>
        <v>-293411.90721039008</v>
      </c>
      <c r="W63" s="124">
        <f t="shared" si="125"/>
        <v>-293411.90721039008</v>
      </c>
      <c r="X63" s="124">
        <f t="shared" si="125"/>
        <v>-293411.90721039008</v>
      </c>
      <c r="Y63" s="124">
        <f t="shared" si="125"/>
        <v>-293411.90721039008</v>
      </c>
      <c r="Z63" s="124">
        <f t="shared" si="125"/>
        <v>3227530.9793142909</v>
      </c>
      <c r="AA63" s="124">
        <f t="shared" si="125"/>
        <v>-350808.60798392771</v>
      </c>
      <c r="AB63" s="124">
        <f t="shared" si="125"/>
        <v>-350808.60798392771</v>
      </c>
      <c r="AC63" s="124">
        <f t="shared" si="125"/>
        <v>-350808.60798392771</v>
      </c>
      <c r="AD63" s="124">
        <f t="shared" si="125"/>
        <v>-350808.60798392771</v>
      </c>
      <c r="AE63" s="124">
        <f t="shared" si="125"/>
        <v>-350808.60798392771</v>
      </c>
      <c r="AF63" s="124">
        <f t="shared" si="125"/>
        <v>-350808.60798392771</v>
      </c>
      <c r="AG63" s="124">
        <f t="shared" si="125"/>
        <v>-350808.60798392771</v>
      </c>
      <c r="AH63" s="124">
        <f t="shared" si="125"/>
        <v>-350808.60798392771</v>
      </c>
      <c r="AI63" s="124">
        <f t="shared" si="125"/>
        <v>-350808.60798392771</v>
      </c>
      <c r="AJ63" s="124">
        <f t="shared" si="125"/>
        <v>-350808.60798392771</v>
      </c>
      <c r="AK63" s="124">
        <f t="shared" si="125"/>
        <v>-350808.60798392771</v>
      </c>
      <c r="AL63" s="124">
        <f t="shared" si="125"/>
        <v>3858894.6878232048</v>
      </c>
      <c r="AM63" s="124">
        <f t="shared" si="125"/>
        <v>0</v>
      </c>
      <c r="AN63" s="124">
        <f t="shared" si="125"/>
        <v>0</v>
      </c>
      <c r="AO63" s="124">
        <f t="shared" si="125"/>
        <v>0</v>
      </c>
      <c r="AP63" s="124">
        <f t="shared" si="125"/>
        <v>0</v>
      </c>
    </row>
    <row r="64" spans="1:42" s="101" customFormat="1" x14ac:dyDescent="0.2">
      <c r="A64" s="234" t="s">
        <v>294</v>
      </c>
      <c r="B64" s="124">
        <f>-B711-B712</f>
        <v>0</v>
      </c>
      <c r="C64" s="124">
        <f t="shared" ref="C64:AP64" si="126">-C711-C712</f>
        <v>0</v>
      </c>
      <c r="D64" s="124">
        <f t="shared" si="126"/>
        <v>0</v>
      </c>
      <c r="E64" s="124">
        <f t="shared" si="126"/>
        <v>0</v>
      </c>
      <c r="F64" s="124">
        <f t="shared" si="126"/>
        <v>0</v>
      </c>
      <c r="G64" s="124">
        <f t="shared" si="126"/>
        <v>0</v>
      </c>
      <c r="H64" s="124">
        <f t="shared" si="126"/>
        <v>0</v>
      </c>
      <c r="I64" s="124">
        <f t="shared" si="126"/>
        <v>0</v>
      </c>
      <c r="J64" s="124">
        <f t="shared" si="126"/>
        <v>0</v>
      </c>
      <c r="K64" s="124">
        <f t="shared" si="126"/>
        <v>0</v>
      </c>
      <c r="L64" s="124">
        <f t="shared" si="126"/>
        <v>0</v>
      </c>
      <c r="M64" s="124">
        <f t="shared" si="126"/>
        <v>0</v>
      </c>
      <c r="N64" s="124">
        <f t="shared" si="126"/>
        <v>0</v>
      </c>
      <c r="O64" s="124">
        <f t="shared" si="126"/>
        <v>0</v>
      </c>
      <c r="P64" s="124">
        <f t="shared" si="126"/>
        <v>0</v>
      </c>
      <c r="Q64" s="124">
        <f t="shared" si="126"/>
        <v>0</v>
      </c>
      <c r="R64" s="124">
        <f t="shared" si="126"/>
        <v>0</v>
      </c>
      <c r="S64" s="124">
        <f t="shared" si="126"/>
        <v>0</v>
      </c>
      <c r="T64" s="124">
        <f t="shared" si="126"/>
        <v>0</v>
      </c>
      <c r="U64" s="124">
        <f t="shared" si="126"/>
        <v>0</v>
      </c>
      <c r="V64" s="124">
        <f t="shared" si="126"/>
        <v>0</v>
      </c>
      <c r="W64" s="124">
        <f t="shared" si="126"/>
        <v>0</v>
      </c>
      <c r="X64" s="124">
        <f t="shared" si="126"/>
        <v>0</v>
      </c>
      <c r="Y64" s="124">
        <f t="shared" si="126"/>
        <v>0</v>
      </c>
      <c r="Z64" s="124">
        <f t="shared" si="126"/>
        <v>0</v>
      </c>
      <c r="AA64" s="124">
        <f t="shared" si="126"/>
        <v>0</v>
      </c>
      <c r="AB64" s="124">
        <f t="shared" si="126"/>
        <v>0</v>
      </c>
      <c r="AC64" s="124">
        <f t="shared" si="126"/>
        <v>0</v>
      </c>
      <c r="AD64" s="124">
        <f t="shared" si="126"/>
        <v>0</v>
      </c>
      <c r="AE64" s="124">
        <f t="shared" si="126"/>
        <v>0</v>
      </c>
      <c r="AF64" s="124">
        <f t="shared" si="126"/>
        <v>0</v>
      </c>
      <c r="AG64" s="124">
        <f t="shared" si="126"/>
        <v>0</v>
      </c>
      <c r="AH64" s="124">
        <f t="shared" si="126"/>
        <v>0</v>
      </c>
      <c r="AI64" s="124">
        <f t="shared" si="126"/>
        <v>0</v>
      </c>
      <c r="AJ64" s="124">
        <f t="shared" si="126"/>
        <v>0</v>
      </c>
      <c r="AK64" s="124">
        <f t="shared" si="126"/>
        <v>0</v>
      </c>
      <c r="AL64" s="124">
        <f t="shared" si="126"/>
        <v>0</v>
      </c>
      <c r="AM64" s="124">
        <f t="shared" si="126"/>
        <v>0</v>
      </c>
      <c r="AN64" s="124">
        <f t="shared" si="126"/>
        <v>0</v>
      </c>
      <c r="AO64" s="124">
        <f t="shared" si="126"/>
        <v>0</v>
      </c>
      <c r="AP64" s="124">
        <f t="shared" si="126"/>
        <v>0</v>
      </c>
    </row>
    <row r="65" spans="1:42" s="101" customFormat="1" x14ac:dyDescent="0.2">
      <c r="A65" s="234" t="s">
        <v>295</v>
      </c>
      <c r="B65" s="186">
        <f>-B743-B744</f>
        <v>0</v>
      </c>
      <c r="C65" s="186">
        <f t="shared" ref="C65:AP65" si="127">-C743-C744</f>
        <v>0</v>
      </c>
      <c r="D65" s="186">
        <f t="shared" si="127"/>
        <v>0</v>
      </c>
      <c r="E65" s="186">
        <f t="shared" si="127"/>
        <v>0</v>
      </c>
      <c r="F65" s="186">
        <f t="shared" si="127"/>
        <v>0</v>
      </c>
      <c r="G65" s="186">
        <f t="shared" si="127"/>
        <v>0</v>
      </c>
      <c r="H65" s="186">
        <f t="shared" si="127"/>
        <v>0</v>
      </c>
      <c r="I65" s="186">
        <f t="shared" si="127"/>
        <v>0</v>
      </c>
      <c r="J65" s="186">
        <f t="shared" si="127"/>
        <v>0</v>
      </c>
      <c r="K65" s="186">
        <f t="shared" si="127"/>
        <v>0</v>
      </c>
      <c r="L65" s="186">
        <f t="shared" si="127"/>
        <v>0</v>
      </c>
      <c r="M65" s="186">
        <f t="shared" si="127"/>
        <v>0</v>
      </c>
      <c r="N65" s="186">
        <f t="shared" si="127"/>
        <v>0</v>
      </c>
      <c r="O65" s="186">
        <f t="shared" si="127"/>
        <v>0</v>
      </c>
      <c r="P65" s="186">
        <f t="shared" si="127"/>
        <v>0</v>
      </c>
      <c r="Q65" s="186">
        <f t="shared" si="127"/>
        <v>0</v>
      </c>
      <c r="R65" s="186">
        <f t="shared" si="127"/>
        <v>0</v>
      </c>
      <c r="S65" s="186">
        <f t="shared" si="127"/>
        <v>0</v>
      </c>
      <c r="T65" s="186">
        <f t="shared" si="127"/>
        <v>0</v>
      </c>
      <c r="U65" s="186">
        <f t="shared" si="127"/>
        <v>0</v>
      </c>
      <c r="V65" s="186">
        <f t="shared" si="127"/>
        <v>0</v>
      </c>
      <c r="W65" s="186">
        <f t="shared" si="127"/>
        <v>0</v>
      </c>
      <c r="X65" s="186">
        <f t="shared" si="127"/>
        <v>0</v>
      </c>
      <c r="Y65" s="186">
        <f t="shared" si="127"/>
        <v>0</v>
      </c>
      <c r="Z65" s="186">
        <f t="shared" si="127"/>
        <v>0</v>
      </c>
      <c r="AA65" s="186">
        <f t="shared" si="127"/>
        <v>0</v>
      </c>
      <c r="AB65" s="186">
        <f t="shared" si="127"/>
        <v>0</v>
      </c>
      <c r="AC65" s="186">
        <f t="shared" si="127"/>
        <v>0</v>
      </c>
      <c r="AD65" s="186">
        <f t="shared" si="127"/>
        <v>0</v>
      </c>
      <c r="AE65" s="186">
        <f t="shared" si="127"/>
        <v>0</v>
      </c>
      <c r="AF65" s="186">
        <f t="shared" si="127"/>
        <v>0</v>
      </c>
      <c r="AG65" s="186">
        <f t="shared" si="127"/>
        <v>0</v>
      </c>
      <c r="AH65" s="186">
        <f t="shared" si="127"/>
        <v>0</v>
      </c>
      <c r="AI65" s="186">
        <f t="shared" si="127"/>
        <v>0</v>
      </c>
      <c r="AJ65" s="186">
        <f t="shared" si="127"/>
        <v>0</v>
      </c>
      <c r="AK65" s="186">
        <f t="shared" si="127"/>
        <v>0</v>
      </c>
      <c r="AL65" s="186">
        <f t="shared" si="127"/>
        <v>0</v>
      </c>
      <c r="AM65" s="186">
        <f t="shared" si="127"/>
        <v>0</v>
      </c>
      <c r="AN65" s="186">
        <f t="shared" si="127"/>
        <v>0</v>
      </c>
      <c r="AO65" s="186">
        <f t="shared" si="127"/>
        <v>0</v>
      </c>
      <c r="AP65" s="186">
        <f t="shared" si="127"/>
        <v>0</v>
      </c>
    </row>
    <row r="66" spans="1:42" s="101" customFormat="1" x14ac:dyDescent="0.2">
      <c r="A66" s="234" t="s">
        <v>53</v>
      </c>
      <c r="B66" s="181">
        <f>SUM(B61:B65)</f>
        <v>-1678168.0423028055</v>
      </c>
      <c r="C66" s="181">
        <f t="shared" ref="C66:AP66" si="128">SUM(C61:C65)</f>
        <v>-252946.31202365554</v>
      </c>
      <c r="D66" s="181">
        <f t="shared" si="128"/>
        <v>-253009.03630980322</v>
      </c>
      <c r="E66" s="181">
        <f t="shared" si="128"/>
        <v>-253072.40326084217</v>
      </c>
      <c r="F66" s="181">
        <f t="shared" si="128"/>
        <v>-253136.42308516891</v>
      </c>
      <c r="G66" s="181">
        <f t="shared" si="128"/>
        <v>-253201.1061937584</v>
      </c>
      <c r="H66" s="181">
        <f t="shared" si="128"/>
        <v>-253266.46320450804</v>
      </c>
      <c r="I66" s="181">
        <f t="shared" si="128"/>
        <v>-253332.50494667442</v>
      </c>
      <c r="J66" s="181">
        <f t="shared" si="128"/>
        <v>-253399.24246542403</v>
      </c>
      <c r="K66" s="181">
        <f t="shared" si="128"/>
        <v>-253466.68702645591</v>
      </c>
      <c r="L66" s="181">
        <f t="shared" si="128"/>
        <v>-253534.85012075814</v>
      </c>
      <c r="M66" s="181">
        <f t="shared" si="128"/>
        <v>-253603.74346944402</v>
      </c>
      <c r="N66" s="181">
        <f t="shared" si="128"/>
        <v>2708978.9195041861</v>
      </c>
      <c r="O66" s="181">
        <f t="shared" si="128"/>
        <v>-301749.64758018433</v>
      </c>
      <c r="P66" s="181">
        <f t="shared" si="128"/>
        <v>-301820.80439495866</v>
      </c>
      <c r="Q66" s="181">
        <f t="shared" si="128"/>
        <v>1123254.4494544587</v>
      </c>
      <c r="R66" s="181">
        <f t="shared" si="128"/>
        <v>-292095.16344071162</v>
      </c>
      <c r="S66" s="181">
        <f t="shared" si="128"/>
        <v>-292208.9668544032</v>
      </c>
      <c r="T66" s="181">
        <f t="shared" si="128"/>
        <v>-292325.08928914985</v>
      </c>
      <c r="U66" s="181">
        <f t="shared" si="128"/>
        <v>-292443.57961926848</v>
      </c>
      <c r="V66" s="181">
        <f t="shared" si="128"/>
        <v>-292564.4877740721</v>
      </c>
      <c r="W66" s="181">
        <f t="shared" si="128"/>
        <v>-299853.32585477782</v>
      </c>
      <c r="X66" s="181">
        <f t="shared" si="128"/>
        <v>-299979.22378317924</v>
      </c>
      <c r="Y66" s="181">
        <f t="shared" si="128"/>
        <v>-300107.69588834612</v>
      </c>
      <c r="Z66" s="181">
        <f t="shared" si="128"/>
        <v>3220704.0899683223</v>
      </c>
      <c r="AA66" s="181">
        <f t="shared" si="128"/>
        <v>-357769.28212288301</v>
      </c>
      <c r="AB66" s="181">
        <f t="shared" si="128"/>
        <v>-357905.80780486693</v>
      </c>
      <c r="AC66" s="181">
        <f t="shared" si="128"/>
        <v>-358045.1323681894</v>
      </c>
      <c r="AD66" s="181">
        <f t="shared" si="128"/>
        <v>-358187.31506051868</v>
      </c>
      <c r="AE66" s="181">
        <f t="shared" si="128"/>
        <v>-358332.41641246207</v>
      </c>
      <c r="AF66" s="181">
        <f t="shared" si="128"/>
        <v>-358480.49826578866</v>
      </c>
      <c r="AG66" s="181">
        <f t="shared" si="128"/>
        <v>-358631.6238022836</v>
      </c>
      <c r="AH66" s="181">
        <f t="shared" si="128"/>
        <v>-358785.85757324158</v>
      </c>
      <c r="AI66" s="181">
        <f t="shared" si="128"/>
        <v>-358943.26552961778</v>
      </c>
      <c r="AJ66" s="181">
        <f t="shared" si="128"/>
        <v>-359103.91505284962</v>
      </c>
      <c r="AK66" s="181">
        <f t="shared" si="128"/>
        <v>-359267.87498636497</v>
      </c>
      <c r="AL66" s="181">
        <f t="shared" si="128"/>
        <v>3850268.0801393413</v>
      </c>
      <c r="AM66" s="181">
        <f t="shared" si="128"/>
        <v>-8797.4009779546759</v>
      </c>
      <c r="AN66" s="181">
        <f t="shared" si="128"/>
        <v>-8971.7203102505882</v>
      </c>
      <c r="AO66" s="181">
        <f t="shared" si="128"/>
        <v>-9149.6407014876604</v>
      </c>
      <c r="AP66" s="181">
        <f t="shared" si="128"/>
        <v>496451.01079080044</v>
      </c>
    </row>
    <row r="67" spans="1:42" s="101" customFormat="1" x14ac:dyDescent="0.2">
      <c r="A67" s="243" t="s">
        <v>187</v>
      </c>
    </row>
    <row r="68" spans="1:42" s="101" customFormat="1" x14ac:dyDescent="0.2">
      <c r="A68" s="234" t="s">
        <v>300</v>
      </c>
      <c r="B68" s="124">
        <f>B680</f>
        <v>0</v>
      </c>
      <c r="C68" s="124">
        <f t="shared" ref="C68:AP68" si="129">C680</f>
        <v>0</v>
      </c>
      <c r="D68" s="124">
        <f t="shared" si="129"/>
        <v>0</v>
      </c>
      <c r="E68" s="124">
        <f t="shared" si="129"/>
        <v>0</v>
      </c>
      <c r="F68" s="124">
        <f t="shared" si="129"/>
        <v>0</v>
      </c>
      <c r="G68" s="124">
        <f t="shared" si="129"/>
        <v>0</v>
      </c>
      <c r="H68" s="124">
        <f t="shared" si="129"/>
        <v>0</v>
      </c>
      <c r="I68" s="124">
        <f t="shared" si="129"/>
        <v>0</v>
      </c>
      <c r="J68" s="124">
        <f t="shared" si="129"/>
        <v>0</v>
      </c>
      <c r="K68" s="124">
        <f t="shared" si="129"/>
        <v>0</v>
      </c>
      <c r="L68" s="124">
        <f t="shared" si="129"/>
        <v>0</v>
      </c>
      <c r="M68" s="124">
        <f t="shared" si="129"/>
        <v>0</v>
      </c>
      <c r="N68" s="124">
        <f t="shared" si="129"/>
        <v>-2944872.3435013141</v>
      </c>
      <c r="O68" s="124">
        <f t="shared" si="129"/>
        <v>0</v>
      </c>
      <c r="P68" s="124">
        <f t="shared" si="129"/>
        <v>0</v>
      </c>
      <c r="Q68" s="124">
        <f t="shared" si="129"/>
        <v>0</v>
      </c>
      <c r="R68" s="124">
        <f t="shared" si="129"/>
        <v>0</v>
      </c>
      <c r="S68" s="124">
        <f t="shared" si="129"/>
        <v>0</v>
      </c>
      <c r="T68" s="124">
        <f t="shared" si="129"/>
        <v>0</v>
      </c>
      <c r="U68" s="124">
        <f t="shared" si="129"/>
        <v>0</v>
      </c>
      <c r="V68" s="124">
        <f t="shared" si="129"/>
        <v>0</v>
      </c>
      <c r="W68" s="124">
        <f t="shared" si="129"/>
        <v>0</v>
      </c>
      <c r="X68" s="124">
        <f t="shared" si="129"/>
        <v>0</v>
      </c>
      <c r="Y68" s="124">
        <f t="shared" si="129"/>
        <v>0</v>
      </c>
      <c r="Z68" s="124">
        <f t="shared" si="129"/>
        <v>-3520942.886524681</v>
      </c>
      <c r="AA68" s="124">
        <f t="shared" si="129"/>
        <v>0</v>
      </c>
      <c r="AB68" s="124">
        <f t="shared" si="129"/>
        <v>0</v>
      </c>
      <c r="AC68" s="124">
        <f t="shared" si="129"/>
        <v>0</v>
      </c>
      <c r="AD68" s="124">
        <f t="shared" si="129"/>
        <v>0</v>
      </c>
      <c r="AE68" s="124">
        <f t="shared" si="129"/>
        <v>0</v>
      </c>
      <c r="AF68" s="124">
        <f t="shared" si="129"/>
        <v>0</v>
      </c>
      <c r="AG68" s="124">
        <f t="shared" si="129"/>
        <v>0</v>
      </c>
      <c r="AH68" s="124">
        <f t="shared" si="129"/>
        <v>0</v>
      </c>
      <c r="AI68" s="124">
        <f t="shared" si="129"/>
        <v>0</v>
      </c>
      <c r="AJ68" s="124">
        <f t="shared" si="129"/>
        <v>0</v>
      </c>
      <c r="AK68" s="124">
        <f t="shared" si="129"/>
        <v>0</v>
      </c>
      <c r="AL68" s="124">
        <f t="shared" si="129"/>
        <v>-4209703.2958071325</v>
      </c>
      <c r="AM68" s="124">
        <f t="shared" si="129"/>
        <v>0</v>
      </c>
      <c r="AN68" s="124">
        <f t="shared" si="129"/>
        <v>0</v>
      </c>
      <c r="AO68" s="124">
        <f t="shared" si="129"/>
        <v>0</v>
      </c>
      <c r="AP68" s="124">
        <f t="shared" si="129"/>
        <v>0</v>
      </c>
    </row>
    <row r="69" spans="1:42" s="101" customFormat="1" x14ac:dyDescent="0.2">
      <c r="A69" s="234" t="s">
        <v>301</v>
      </c>
      <c r="B69" s="124">
        <f>B712</f>
        <v>0</v>
      </c>
      <c r="C69" s="124">
        <f t="shared" ref="C69:AP69" si="130">C712</f>
        <v>0</v>
      </c>
      <c r="D69" s="124">
        <f t="shared" si="130"/>
        <v>0</v>
      </c>
      <c r="E69" s="124">
        <f t="shared" si="130"/>
        <v>0</v>
      </c>
      <c r="F69" s="124">
        <f t="shared" si="130"/>
        <v>0</v>
      </c>
      <c r="G69" s="124">
        <f t="shared" si="130"/>
        <v>0</v>
      </c>
      <c r="H69" s="124">
        <f t="shared" si="130"/>
        <v>0</v>
      </c>
      <c r="I69" s="124">
        <f t="shared" si="130"/>
        <v>0</v>
      </c>
      <c r="J69" s="124">
        <f t="shared" si="130"/>
        <v>0</v>
      </c>
      <c r="K69" s="124">
        <f t="shared" si="130"/>
        <v>0</v>
      </c>
      <c r="L69" s="124">
        <f t="shared" si="130"/>
        <v>0</v>
      </c>
      <c r="M69" s="124">
        <f t="shared" si="130"/>
        <v>0</v>
      </c>
      <c r="N69" s="124">
        <f t="shared" si="130"/>
        <v>0</v>
      </c>
      <c r="O69" s="124">
        <f t="shared" si="130"/>
        <v>0</v>
      </c>
      <c r="P69" s="124">
        <f t="shared" si="130"/>
        <v>0</v>
      </c>
      <c r="Q69" s="124">
        <f t="shared" si="130"/>
        <v>0</v>
      </c>
      <c r="R69" s="124">
        <f t="shared" si="130"/>
        <v>0</v>
      </c>
      <c r="S69" s="124">
        <f t="shared" si="130"/>
        <v>0</v>
      </c>
      <c r="T69" s="124">
        <f t="shared" si="130"/>
        <v>0</v>
      </c>
      <c r="U69" s="124">
        <f t="shared" si="130"/>
        <v>0</v>
      </c>
      <c r="V69" s="124">
        <f t="shared" si="130"/>
        <v>0</v>
      </c>
      <c r="W69" s="124">
        <f t="shared" si="130"/>
        <v>0</v>
      </c>
      <c r="X69" s="124">
        <f t="shared" si="130"/>
        <v>0</v>
      </c>
      <c r="Y69" s="124">
        <f t="shared" si="130"/>
        <v>0</v>
      </c>
      <c r="Z69" s="124">
        <f t="shared" si="130"/>
        <v>0</v>
      </c>
      <c r="AA69" s="124">
        <f t="shared" si="130"/>
        <v>0</v>
      </c>
      <c r="AB69" s="124">
        <f t="shared" si="130"/>
        <v>0</v>
      </c>
      <c r="AC69" s="124">
        <f t="shared" si="130"/>
        <v>0</v>
      </c>
      <c r="AD69" s="124">
        <f t="shared" si="130"/>
        <v>0</v>
      </c>
      <c r="AE69" s="124">
        <f t="shared" si="130"/>
        <v>0</v>
      </c>
      <c r="AF69" s="124">
        <f t="shared" si="130"/>
        <v>0</v>
      </c>
      <c r="AG69" s="124">
        <f t="shared" si="130"/>
        <v>0</v>
      </c>
      <c r="AH69" s="124">
        <f t="shared" si="130"/>
        <v>0</v>
      </c>
      <c r="AI69" s="124">
        <f t="shared" si="130"/>
        <v>0</v>
      </c>
      <c r="AJ69" s="124">
        <f t="shared" si="130"/>
        <v>0</v>
      </c>
      <c r="AK69" s="124">
        <f t="shared" si="130"/>
        <v>0</v>
      </c>
      <c r="AL69" s="124">
        <f t="shared" si="130"/>
        <v>0</v>
      </c>
      <c r="AM69" s="124">
        <f t="shared" si="130"/>
        <v>0</v>
      </c>
      <c r="AN69" s="124">
        <f t="shared" si="130"/>
        <v>0</v>
      </c>
      <c r="AO69" s="124">
        <f t="shared" si="130"/>
        <v>0</v>
      </c>
      <c r="AP69" s="124">
        <f t="shared" si="130"/>
        <v>0</v>
      </c>
    </row>
    <row r="70" spans="1:42" s="101" customFormat="1" x14ac:dyDescent="0.2">
      <c r="A70" s="234" t="s">
        <v>302</v>
      </c>
      <c r="B70" s="186">
        <f>B744</f>
        <v>0</v>
      </c>
      <c r="C70" s="186">
        <f t="shared" ref="C70:AP70" si="131">C744</f>
        <v>0</v>
      </c>
      <c r="D70" s="186">
        <f t="shared" si="131"/>
        <v>0</v>
      </c>
      <c r="E70" s="186">
        <f t="shared" si="131"/>
        <v>0</v>
      </c>
      <c r="F70" s="186">
        <f t="shared" si="131"/>
        <v>0</v>
      </c>
      <c r="G70" s="186">
        <f t="shared" si="131"/>
        <v>0</v>
      </c>
      <c r="H70" s="186">
        <f t="shared" si="131"/>
        <v>0</v>
      </c>
      <c r="I70" s="186">
        <f t="shared" si="131"/>
        <v>0</v>
      </c>
      <c r="J70" s="186">
        <f t="shared" si="131"/>
        <v>0</v>
      </c>
      <c r="K70" s="186">
        <f t="shared" si="131"/>
        <v>0</v>
      </c>
      <c r="L70" s="186">
        <f t="shared" si="131"/>
        <v>0</v>
      </c>
      <c r="M70" s="186">
        <f t="shared" si="131"/>
        <v>0</v>
      </c>
      <c r="N70" s="186">
        <f t="shared" si="131"/>
        <v>0</v>
      </c>
      <c r="O70" s="186">
        <f t="shared" si="131"/>
        <v>0</v>
      </c>
      <c r="P70" s="186">
        <f t="shared" si="131"/>
        <v>0</v>
      </c>
      <c r="Q70" s="186">
        <f t="shared" si="131"/>
        <v>0</v>
      </c>
      <c r="R70" s="186">
        <f t="shared" si="131"/>
        <v>0</v>
      </c>
      <c r="S70" s="186">
        <f t="shared" si="131"/>
        <v>0</v>
      </c>
      <c r="T70" s="186">
        <f t="shared" si="131"/>
        <v>0</v>
      </c>
      <c r="U70" s="186">
        <f t="shared" si="131"/>
        <v>0</v>
      </c>
      <c r="V70" s="186">
        <f t="shared" si="131"/>
        <v>0</v>
      </c>
      <c r="W70" s="186">
        <f t="shared" si="131"/>
        <v>0</v>
      </c>
      <c r="X70" s="186">
        <f t="shared" si="131"/>
        <v>0</v>
      </c>
      <c r="Y70" s="186">
        <f t="shared" si="131"/>
        <v>0</v>
      </c>
      <c r="Z70" s="186">
        <f t="shared" si="131"/>
        <v>0</v>
      </c>
      <c r="AA70" s="186">
        <f t="shared" si="131"/>
        <v>0</v>
      </c>
      <c r="AB70" s="186">
        <f t="shared" si="131"/>
        <v>0</v>
      </c>
      <c r="AC70" s="186">
        <f t="shared" si="131"/>
        <v>0</v>
      </c>
      <c r="AD70" s="186">
        <f t="shared" si="131"/>
        <v>0</v>
      </c>
      <c r="AE70" s="186">
        <f t="shared" si="131"/>
        <v>0</v>
      </c>
      <c r="AF70" s="186">
        <f t="shared" si="131"/>
        <v>0</v>
      </c>
      <c r="AG70" s="186">
        <f t="shared" si="131"/>
        <v>0</v>
      </c>
      <c r="AH70" s="186">
        <f t="shared" si="131"/>
        <v>0</v>
      </c>
      <c r="AI70" s="186">
        <f t="shared" si="131"/>
        <v>0</v>
      </c>
      <c r="AJ70" s="186">
        <f t="shared" si="131"/>
        <v>0</v>
      </c>
      <c r="AK70" s="186">
        <f t="shared" si="131"/>
        <v>0</v>
      </c>
      <c r="AL70" s="186">
        <f t="shared" si="131"/>
        <v>0</v>
      </c>
      <c r="AM70" s="186">
        <f t="shared" si="131"/>
        <v>0</v>
      </c>
      <c r="AN70" s="186">
        <f t="shared" si="131"/>
        <v>0</v>
      </c>
      <c r="AO70" s="186">
        <f t="shared" si="131"/>
        <v>0</v>
      </c>
      <c r="AP70" s="186">
        <f t="shared" si="131"/>
        <v>0</v>
      </c>
    </row>
    <row r="71" spans="1:42" s="101" customFormat="1" x14ac:dyDescent="0.2">
      <c r="A71" s="234" t="s">
        <v>53</v>
      </c>
      <c r="B71" s="245">
        <f>SUM(B68:B70)</f>
        <v>0</v>
      </c>
      <c r="C71" s="245">
        <f t="shared" ref="C71:AP71" si="132">SUM(C68:C70)</f>
        <v>0</v>
      </c>
      <c r="D71" s="245">
        <f t="shared" si="132"/>
        <v>0</v>
      </c>
      <c r="E71" s="245">
        <f t="shared" si="132"/>
        <v>0</v>
      </c>
      <c r="F71" s="245">
        <f t="shared" si="132"/>
        <v>0</v>
      </c>
      <c r="G71" s="245">
        <f t="shared" si="132"/>
        <v>0</v>
      </c>
      <c r="H71" s="245">
        <f t="shared" si="132"/>
        <v>0</v>
      </c>
      <c r="I71" s="245">
        <f t="shared" si="132"/>
        <v>0</v>
      </c>
      <c r="J71" s="245">
        <f t="shared" si="132"/>
        <v>0</v>
      </c>
      <c r="K71" s="245">
        <f t="shared" si="132"/>
        <v>0</v>
      </c>
      <c r="L71" s="245">
        <f t="shared" si="132"/>
        <v>0</v>
      </c>
      <c r="M71" s="245">
        <f t="shared" si="132"/>
        <v>0</v>
      </c>
      <c r="N71" s="245">
        <f t="shared" si="132"/>
        <v>-2944872.3435013141</v>
      </c>
      <c r="O71" s="245">
        <f t="shared" si="132"/>
        <v>0</v>
      </c>
      <c r="P71" s="245">
        <f t="shared" si="132"/>
        <v>0</v>
      </c>
      <c r="Q71" s="245">
        <f t="shared" si="132"/>
        <v>0</v>
      </c>
      <c r="R71" s="245">
        <f t="shared" si="132"/>
        <v>0</v>
      </c>
      <c r="S71" s="245">
        <f t="shared" si="132"/>
        <v>0</v>
      </c>
      <c r="T71" s="245">
        <f t="shared" si="132"/>
        <v>0</v>
      </c>
      <c r="U71" s="245">
        <f t="shared" si="132"/>
        <v>0</v>
      </c>
      <c r="V71" s="245">
        <f t="shared" si="132"/>
        <v>0</v>
      </c>
      <c r="W71" s="245">
        <f t="shared" si="132"/>
        <v>0</v>
      </c>
      <c r="X71" s="245">
        <f t="shared" si="132"/>
        <v>0</v>
      </c>
      <c r="Y71" s="245">
        <f t="shared" si="132"/>
        <v>0</v>
      </c>
      <c r="Z71" s="245">
        <f t="shared" si="132"/>
        <v>-3520942.886524681</v>
      </c>
      <c r="AA71" s="245">
        <f t="shared" si="132"/>
        <v>0</v>
      </c>
      <c r="AB71" s="245">
        <f t="shared" si="132"/>
        <v>0</v>
      </c>
      <c r="AC71" s="245">
        <f t="shared" si="132"/>
        <v>0</v>
      </c>
      <c r="AD71" s="245">
        <f t="shared" si="132"/>
        <v>0</v>
      </c>
      <c r="AE71" s="245">
        <f t="shared" si="132"/>
        <v>0</v>
      </c>
      <c r="AF71" s="245">
        <f t="shared" si="132"/>
        <v>0</v>
      </c>
      <c r="AG71" s="245">
        <f t="shared" si="132"/>
        <v>0</v>
      </c>
      <c r="AH71" s="245">
        <f t="shared" si="132"/>
        <v>0</v>
      </c>
      <c r="AI71" s="245">
        <f t="shared" si="132"/>
        <v>0</v>
      </c>
      <c r="AJ71" s="245">
        <f t="shared" si="132"/>
        <v>0</v>
      </c>
      <c r="AK71" s="245">
        <f t="shared" si="132"/>
        <v>0</v>
      </c>
      <c r="AL71" s="245">
        <f t="shared" si="132"/>
        <v>-4209703.2958071325</v>
      </c>
      <c r="AM71" s="245">
        <f t="shared" si="132"/>
        <v>0</v>
      </c>
      <c r="AN71" s="245">
        <f t="shared" si="132"/>
        <v>0</v>
      </c>
      <c r="AO71" s="245">
        <f t="shared" si="132"/>
        <v>0</v>
      </c>
      <c r="AP71" s="245">
        <f t="shared" si="132"/>
        <v>0</v>
      </c>
    </row>
    <row r="72" spans="1:42" s="101" customFormat="1" x14ac:dyDescent="0.2">
      <c r="A72" s="243" t="s">
        <v>53</v>
      </c>
      <c r="B72" s="181">
        <f>B59+B66+B71</f>
        <v>-45339337.173780099</v>
      </c>
      <c r="C72" s="181">
        <f t="shared" ref="C72:AP72" si="133">C59+C66+C71</f>
        <v>-252946.31202365554</v>
      </c>
      <c r="D72" s="181">
        <f t="shared" si="133"/>
        <v>-253009.03630980322</v>
      </c>
      <c r="E72" s="181">
        <f t="shared" si="133"/>
        <v>-253072.40326084217</v>
      </c>
      <c r="F72" s="181">
        <f t="shared" si="133"/>
        <v>-253136.42308516891</v>
      </c>
      <c r="G72" s="181">
        <f t="shared" si="133"/>
        <v>-253201.1061937584</v>
      </c>
      <c r="H72" s="181">
        <f t="shared" si="133"/>
        <v>-253266.46320450804</v>
      </c>
      <c r="I72" s="181">
        <f t="shared" si="133"/>
        <v>-253332.50494667442</v>
      </c>
      <c r="J72" s="181">
        <f t="shared" si="133"/>
        <v>-253399.24246542403</v>
      </c>
      <c r="K72" s="181">
        <f t="shared" si="133"/>
        <v>-253466.68702645591</v>
      </c>
      <c r="L72" s="181">
        <f t="shared" si="133"/>
        <v>-253534.85012075814</v>
      </c>
      <c r="M72" s="181">
        <f t="shared" si="133"/>
        <v>-253603.74346944402</v>
      </c>
      <c r="N72" s="181">
        <f t="shared" si="133"/>
        <v>-235893.42399712792</v>
      </c>
      <c r="O72" s="181">
        <f t="shared" si="133"/>
        <v>-301749.64758018433</v>
      </c>
      <c r="P72" s="181">
        <f t="shared" si="133"/>
        <v>-301820.80439495866</v>
      </c>
      <c r="Q72" s="181">
        <f t="shared" si="133"/>
        <v>1123254.4494544587</v>
      </c>
      <c r="R72" s="181">
        <f t="shared" si="133"/>
        <v>-292095.16344071162</v>
      </c>
      <c r="S72" s="181">
        <f t="shared" si="133"/>
        <v>-292208.9668544032</v>
      </c>
      <c r="T72" s="181">
        <f t="shared" si="133"/>
        <v>-292325.08928914985</v>
      </c>
      <c r="U72" s="181">
        <f t="shared" si="133"/>
        <v>-292443.57961926848</v>
      </c>
      <c r="V72" s="181">
        <f t="shared" si="133"/>
        <v>-292564.4877740721</v>
      </c>
      <c r="W72" s="181">
        <f t="shared" si="133"/>
        <v>-299853.32585477782</v>
      </c>
      <c r="X72" s="181">
        <f t="shared" si="133"/>
        <v>-299979.22378317924</v>
      </c>
      <c r="Y72" s="181">
        <f t="shared" si="133"/>
        <v>-300107.69588834612</v>
      </c>
      <c r="Z72" s="181">
        <f t="shared" si="133"/>
        <v>-300238.79655635869</v>
      </c>
      <c r="AA72" s="181">
        <f t="shared" si="133"/>
        <v>-357769.28212288301</v>
      </c>
      <c r="AB72" s="181">
        <f t="shared" si="133"/>
        <v>-357905.80780486693</v>
      </c>
      <c r="AC72" s="181">
        <f t="shared" si="133"/>
        <v>-358045.1323681894</v>
      </c>
      <c r="AD72" s="181">
        <f t="shared" si="133"/>
        <v>-358187.31506051868</v>
      </c>
      <c r="AE72" s="181">
        <f t="shared" si="133"/>
        <v>-358332.41641246207</v>
      </c>
      <c r="AF72" s="181">
        <f t="shared" si="133"/>
        <v>-358480.49826578866</v>
      </c>
      <c r="AG72" s="181">
        <f t="shared" si="133"/>
        <v>-358631.6238022836</v>
      </c>
      <c r="AH72" s="181">
        <f t="shared" si="133"/>
        <v>-358785.85757324158</v>
      </c>
      <c r="AI72" s="181">
        <f t="shared" si="133"/>
        <v>-358943.26552961778</v>
      </c>
      <c r="AJ72" s="181">
        <f t="shared" si="133"/>
        <v>-359103.91505284962</v>
      </c>
      <c r="AK72" s="181">
        <f t="shared" si="133"/>
        <v>-359267.87498636497</v>
      </c>
      <c r="AL72" s="181">
        <f t="shared" si="133"/>
        <v>-359435.2156677912</v>
      </c>
      <c r="AM72" s="181">
        <f t="shared" si="133"/>
        <v>-8797.4009779546759</v>
      </c>
      <c r="AN72" s="181">
        <f t="shared" si="133"/>
        <v>-8971.7203102505882</v>
      </c>
      <c r="AO72" s="181">
        <f t="shared" si="133"/>
        <v>-9149.6407014876604</v>
      </c>
      <c r="AP72" s="181">
        <f t="shared" si="133"/>
        <v>496451.01079080044</v>
      </c>
    </row>
    <row r="73" spans="1:42" s="101" customFormat="1" x14ac:dyDescent="0.2">
      <c r="A73" s="243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</row>
    <row r="74" spans="1:42" s="101" customFormat="1" x14ac:dyDescent="0.2">
      <c r="A74" s="250" t="s">
        <v>172</v>
      </c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</row>
    <row r="75" spans="1:42" s="101" customFormat="1" x14ac:dyDescent="0.2">
      <c r="A75" s="243" t="s">
        <v>189</v>
      </c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</row>
    <row r="76" spans="1:42" s="101" customFormat="1" x14ac:dyDescent="0.2">
      <c r="A76" s="234" t="s">
        <v>190</v>
      </c>
      <c r="B76" s="181">
        <f>'Inputs &amp; Results'!C194+'Inputs &amp; Results'!C195</f>
        <v>0</v>
      </c>
      <c r="C76" s="181">
        <v>0</v>
      </c>
      <c r="D76" s="181">
        <v>0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181"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181"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</row>
    <row r="77" spans="1:42" s="101" customFormat="1" x14ac:dyDescent="0.2">
      <c r="A77" s="234" t="s">
        <v>166</v>
      </c>
      <c r="B77" s="186">
        <f>'Inputs &amp; Results'!C196</f>
        <v>0</v>
      </c>
      <c r="C77" s="186">
        <v>0</v>
      </c>
      <c r="D77" s="186">
        <v>0</v>
      </c>
      <c r="E77" s="186">
        <v>0</v>
      </c>
      <c r="F77" s="186">
        <v>0</v>
      </c>
      <c r="G77" s="186">
        <v>0</v>
      </c>
      <c r="H77" s="186">
        <v>0</v>
      </c>
      <c r="I77" s="186">
        <v>0</v>
      </c>
      <c r="J77" s="186">
        <v>0</v>
      </c>
      <c r="K77" s="186">
        <v>0</v>
      </c>
      <c r="L77" s="186">
        <v>0</v>
      </c>
      <c r="M77" s="186">
        <v>0</v>
      </c>
      <c r="N77" s="186">
        <v>0</v>
      </c>
      <c r="O77" s="186">
        <v>0</v>
      </c>
      <c r="P77" s="186">
        <v>0</v>
      </c>
      <c r="Q77" s="186">
        <v>0</v>
      </c>
      <c r="R77" s="186">
        <v>0</v>
      </c>
      <c r="S77" s="186">
        <v>0</v>
      </c>
      <c r="T77" s="186">
        <v>0</v>
      </c>
      <c r="U77" s="186">
        <v>0</v>
      </c>
      <c r="V77" s="186">
        <v>0</v>
      </c>
      <c r="W77" s="186">
        <v>0</v>
      </c>
      <c r="X77" s="186">
        <v>0</v>
      </c>
      <c r="Y77" s="186">
        <v>0</v>
      </c>
      <c r="Z77" s="186">
        <v>0</v>
      </c>
      <c r="AA77" s="186">
        <v>0</v>
      </c>
      <c r="AB77" s="186">
        <v>0</v>
      </c>
      <c r="AC77" s="186">
        <v>0</v>
      </c>
      <c r="AD77" s="186">
        <v>0</v>
      </c>
      <c r="AE77" s="186">
        <v>0</v>
      </c>
      <c r="AF77" s="186">
        <v>0</v>
      </c>
      <c r="AG77" s="186">
        <v>0</v>
      </c>
      <c r="AH77" s="186">
        <v>0</v>
      </c>
      <c r="AI77" s="186">
        <v>0</v>
      </c>
      <c r="AJ77" s="186">
        <v>0</v>
      </c>
      <c r="AK77" s="186">
        <v>0</v>
      </c>
      <c r="AL77" s="186">
        <v>0</v>
      </c>
      <c r="AM77" s="186">
        <v>0</v>
      </c>
      <c r="AN77" s="186">
        <v>0</v>
      </c>
      <c r="AO77" s="186">
        <v>0</v>
      </c>
      <c r="AP77" s="186">
        <v>0</v>
      </c>
    </row>
    <row r="78" spans="1:42" s="101" customFormat="1" x14ac:dyDescent="0.2">
      <c r="A78" s="234" t="s">
        <v>53</v>
      </c>
      <c r="B78" s="181">
        <f>SUM(B76:B77)</f>
        <v>0</v>
      </c>
      <c r="C78" s="181">
        <f t="shared" ref="C78:F78" si="134">SUM(C76:C77)</f>
        <v>0</v>
      </c>
      <c r="D78" s="181">
        <f t="shared" si="134"/>
        <v>0</v>
      </c>
      <c r="E78" s="181">
        <f t="shared" si="134"/>
        <v>0</v>
      </c>
      <c r="F78" s="181">
        <f t="shared" si="134"/>
        <v>0</v>
      </c>
      <c r="G78" s="181">
        <f t="shared" ref="G78" si="135">SUM(G76:G77)</f>
        <v>0</v>
      </c>
      <c r="H78" s="181">
        <f t="shared" ref="H78" si="136">SUM(H76:H77)</f>
        <v>0</v>
      </c>
      <c r="I78" s="181">
        <f t="shared" ref="I78" si="137">SUM(I76:I77)</f>
        <v>0</v>
      </c>
      <c r="J78" s="181">
        <f t="shared" ref="J78" si="138">SUM(J76:J77)</f>
        <v>0</v>
      </c>
      <c r="K78" s="181">
        <f t="shared" ref="K78" si="139">SUM(K76:K77)</f>
        <v>0</v>
      </c>
      <c r="L78" s="181">
        <f t="shared" ref="L78" si="140">SUM(L76:L77)</f>
        <v>0</v>
      </c>
      <c r="M78" s="181">
        <f t="shared" ref="M78" si="141">SUM(M76:M77)</f>
        <v>0</v>
      </c>
      <c r="N78" s="181">
        <f t="shared" ref="N78" si="142">SUM(N76:N77)</f>
        <v>0</v>
      </c>
      <c r="O78" s="181">
        <f t="shared" ref="O78" si="143">SUM(O76:O77)</f>
        <v>0</v>
      </c>
      <c r="P78" s="181">
        <f t="shared" ref="P78" si="144">SUM(P76:P77)</f>
        <v>0</v>
      </c>
      <c r="Q78" s="181">
        <f t="shared" ref="Q78" si="145">SUM(Q76:Q77)</f>
        <v>0</v>
      </c>
      <c r="R78" s="181">
        <f t="shared" ref="R78" si="146">SUM(R76:R77)</f>
        <v>0</v>
      </c>
      <c r="S78" s="181">
        <f t="shared" ref="S78" si="147">SUM(S76:S77)</f>
        <v>0</v>
      </c>
      <c r="T78" s="181">
        <f t="shared" ref="T78" si="148">SUM(T76:T77)</f>
        <v>0</v>
      </c>
      <c r="U78" s="181">
        <f t="shared" ref="U78" si="149">SUM(U76:U77)</f>
        <v>0</v>
      </c>
      <c r="V78" s="181">
        <f t="shared" ref="V78" si="150">SUM(V76:V77)</f>
        <v>0</v>
      </c>
      <c r="W78" s="181">
        <f t="shared" ref="W78" si="151">SUM(W76:W77)</f>
        <v>0</v>
      </c>
      <c r="X78" s="181">
        <f t="shared" ref="X78" si="152">SUM(X76:X77)</f>
        <v>0</v>
      </c>
      <c r="Y78" s="181">
        <f t="shared" ref="Y78" si="153">SUM(Y76:Y77)</f>
        <v>0</v>
      </c>
      <c r="Z78" s="181">
        <f t="shared" ref="Z78" si="154">SUM(Z76:Z77)</f>
        <v>0</v>
      </c>
      <c r="AA78" s="181">
        <f t="shared" ref="AA78" si="155">SUM(AA76:AA77)</f>
        <v>0</v>
      </c>
      <c r="AB78" s="181">
        <f t="shared" ref="AB78" si="156">SUM(AB76:AB77)</f>
        <v>0</v>
      </c>
      <c r="AC78" s="181">
        <f t="shared" ref="AC78" si="157">SUM(AC76:AC77)</f>
        <v>0</v>
      </c>
      <c r="AD78" s="181">
        <f t="shared" ref="AD78" si="158">SUM(AD76:AD77)</f>
        <v>0</v>
      </c>
      <c r="AE78" s="181">
        <f t="shared" ref="AE78" si="159">SUM(AE76:AE77)</f>
        <v>0</v>
      </c>
      <c r="AF78" s="181">
        <f t="shared" ref="AF78" si="160">SUM(AF76:AF77)</f>
        <v>0</v>
      </c>
      <c r="AG78" s="181">
        <f t="shared" ref="AG78" si="161">SUM(AG76:AG77)</f>
        <v>0</v>
      </c>
      <c r="AH78" s="181">
        <f t="shared" ref="AH78" si="162">SUM(AH76:AH77)</f>
        <v>0</v>
      </c>
      <c r="AI78" s="181">
        <f t="shared" ref="AI78" si="163">SUM(AI76:AI77)</f>
        <v>0</v>
      </c>
      <c r="AJ78" s="181">
        <f t="shared" ref="AJ78" si="164">SUM(AJ76:AJ77)</f>
        <v>0</v>
      </c>
      <c r="AK78" s="181">
        <f t="shared" ref="AK78" si="165">SUM(AK76:AK77)</f>
        <v>0</v>
      </c>
      <c r="AL78" s="181">
        <f t="shared" ref="AL78" si="166">SUM(AL76:AL77)</f>
        <v>0</v>
      </c>
      <c r="AM78" s="181">
        <f t="shared" ref="AM78" si="167">SUM(AM76:AM77)</f>
        <v>0</v>
      </c>
      <c r="AN78" s="181">
        <f t="shared" ref="AN78" si="168">SUM(AN76:AN77)</f>
        <v>0</v>
      </c>
      <c r="AO78" s="181">
        <f t="shared" ref="AO78" si="169">SUM(AO76:AO77)</f>
        <v>0</v>
      </c>
      <c r="AP78" s="181">
        <f t="shared" ref="AP78" si="170">SUM(AP76:AP77)</f>
        <v>0</v>
      </c>
    </row>
    <row r="79" spans="1:42" s="101" customFormat="1" x14ac:dyDescent="0.2">
      <c r="A79" s="243" t="s">
        <v>310</v>
      </c>
      <c r="B79" s="181">
        <f>'Inputs &amp; Results'!$C$192</f>
        <v>21934445.075293351</v>
      </c>
      <c r="C79" s="181">
        <v>0</v>
      </c>
      <c r="D79" s="181">
        <v>0</v>
      </c>
      <c r="E79" s="181">
        <v>0</v>
      </c>
      <c r="F79" s="181">
        <v>0</v>
      </c>
      <c r="G79" s="181">
        <v>0</v>
      </c>
      <c r="H79" s="181">
        <v>0</v>
      </c>
      <c r="I79" s="181">
        <v>0</v>
      </c>
      <c r="J79" s="181">
        <v>0</v>
      </c>
      <c r="K79" s="181">
        <v>0</v>
      </c>
      <c r="L79" s="181">
        <v>0</v>
      </c>
      <c r="M79" s="181">
        <v>0</v>
      </c>
      <c r="N79" s="181">
        <v>0</v>
      </c>
      <c r="O79" s="181">
        <v>0</v>
      </c>
      <c r="P79" s="181">
        <v>0</v>
      </c>
      <c r="Q79" s="181">
        <v>0</v>
      </c>
      <c r="R79" s="181">
        <v>0</v>
      </c>
      <c r="S79" s="181">
        <v>0</v>
      </c>
      <c r="T79" s="181">
        <v>0</v>
      </c>
      <c r="U79" s="181">
        <v>0</v>
      </c>
      <c r="V79" s="181">
        <v>0</v>
      </c>
      <c r="W79" s="181">
        <v>0</v>
      </c>
      <c r="X79" s="181">
        <v>0</v>
      </c>
      <c r="Y79" s="181">
        <v>0</v>
      </c>
      <c r="Z79" s="181">
        <v>0</v>
      </c>
      <c r="AA79" s="181">
        <v>0</v>
      </c>
      <c r="AB79" s="181">
        <v>0</v>
      </c>
      <c r="AC79" s="181">
        <v>0</v>
      </c>
      <c r="AD79" s="181">
        <v>0</v>
      </c>
      <c r="AE79" s="181">
        <v>0</v>
      </c>
      <c r="AF79" s="181">
        <v>0</v>
      </c>
      <c r="AG79" s="181">
        <v>0</v>
      </c>
      <c r="AH79" s="181">
        <v>0</v>
      </c>
      <c r="AI79" s="181">
        <v>0</v>
      </c>
      <c r="AJ79" s="181">
        <v>0</v>
      </c>
      <c r="AK79" s="181">
        <v>0</v>
      </c>
      <c r="AL79" s="181">
        <v>0</v>
      </c>
      <c r="AM79" s="181">
        <v>0</v>
      </c>
      <c r="AN79" s="181">
        <v>0</v>
      </c>
      <c r="AO79" s="181">
        <v>0</v>
      </c>
      <c r="AP79" s="181">
        <v>0</v>
      </c>
    </row>
    <row r="80" spans="1:42" s="101" customFormat="1" x14ac:dyDescent="0.2">
      <c r="A80" s="243" t="s">
        <v>173</v>
      </c>
      <c r="B80" s="186">
        <f>'Inputs &amp; Results'!C193</f>
        <v>23404892.098486755</v>
      </c>
      <c r="C80" s="186">
        <f>C608</f>
        <v>-768043.0732228877</v>
      </c>
      <c r="D80" s="186">
        <f t="shared" ref="D80:AP80" si="171">D608</f>
        <v>-848198.51680825348</v>
      </c>
      <c r="E80" s="186">
        <f t="shared" si="171"/>
        <v>-934522.99400283978</v>
      </c>
      <c r="F80" s="186">
        <f t="shared" si="171"/>
        <v>-1027492.4938261134</v>
      </c>
      <c r="G80" s="186">
        <f t="shared" si="171"/>
        <v>-1127619.8438412109</v>
      </c>
      <c r="H80" s="186">
        <f t="shared" si="171"/>
        <v>-1235457.5640227525</v>
      </c>
      <c r="I80" s="186">
        <f t="shared" si="171"/>
        <v>-1351600.9417747613</v>
      </c>
      <c r="J80" s="186">
        <f t="shared" si="171"/>
        <v>-1476691.3452372812</v>
      </c>
      <c r="K80" s="186">
        <f t="shared" si="171"/>
        <v>-1611419.7933485333</v>
      </c>
      <c r="L80" s="186">
        <f t="shared" si="171"/>
        <v>-1756530.8025605399</v>
      </c>
      <c r="M80" s="186">
        <f t="shared" si="171"/>
        <v>-1912826.5316483369</v>
      </c>
      <c r="N80" s="186">
        <f t="shared" si="171"/>
        <v>-2081171.2477143854</v>
      </c>
      <c r="O80" s="186">
        <f t="shared" si="171"/>
        <v>-2226936.2282170579</v>
      </c>
      <c r="P80" s="186">
        <f t="shared" si="171"/>
        <v>-2419488.6931934361</v>
      </c>
      <c r="Q80" s="186">
        <f t="shared" si="171"/>
        <v>-2626892.0290683159</v>
      </c>
      <c r="R80" s="186">
        <f t="shared" si="171"/>
        <v>0</v>
      </c>
      <c r="S80" s="186">
        <f t="shared" si="171"/>
        <v>0</v>
      </c>
      <c r="T80" s="186">
        <f t="shared" si="171"/>
        <v>0</v>
      </c>
      <c r="U80" s="186">
        <f t="shared" si="171"/>
        <v>0</v>
      </c>
      <c r="V80" s="186">
        <f t="shared" si="171"/>
        <v>0</v>
      </c>
      <c r="W80" s="186">
        <f t="shared" si="171"/>
        <v>0</v>
      </c>
      <c r="X80" s="186">
        <f t="shared" si="171"/>
        <v>0</v>
      </c>
      <c r="Y80" s="186">
        <f t="shared" si="171"/>
        <v>0</v>
      </c>
      <c r="Z80" s="186">
        <f t="shared" si="171"/>
        <v>0</v>
      </c>
      <c r="AA80" s="186">
        <f t="shared" si="171"/>
        <v>0</v>
      </c>
      <c r="AB80" s="186">
        <f t="shared" si="171"/>
        <v>0</v>
      </c>
      <c r="AC80" s="186">
        <f t="shared" si="171"/>
        <v>0</v>
      </c>
      <c r="AD80" s="186">
        <f t="shared" si="171"/>
        <v>0</v>
      </c>
      <c r="AE80" s="186">
        <f t="shared" si="171"/>
        <v>0</v>
      </c>
      <c r="AF80" s="186">
        <f t="shared" si="171"/>
        <v>0</v>
      </c>
      <c r="AG80" s="186">
        <f t="shared" si="171"/>
        <v>0</v>
      </c>
      <c r="AH80" s="186">
        <f t="shared" si="171"/>
        <v>0</v>
      </c>
      <c r="AI80" s="186">
        <f t="shared" si="171"/>
        <v>0</v>
      </c>
      <c r="AJ80" s="186">
        <f t="shared" si="171"/>
        <v>0</v>
      </c>
      <c r="AK80" s="186">
        <f t="shared" si="171"/>
        <v>0</v>
      </c>
      <c r="AL80" s="186">
        <f t="shared" si="171"/>
        <v>0</v>
      </c>
      <c r="AM80" s="186">
        <f t="shared" si="171"/>
        <v>0</v>
      </c>
      <c r="AN80" s="186">
        <f t="shared" si="171"/>
        <v>0</v>
      </c>
      <c r="AO80" s="186">
        <f t="shared" si="171"/>
        <v>0</v>
      </c>
      <c r="AP80" s="186">
        <f t="shared" si="171"/>
        <v>0</v>
      </c>
    </row>
    <row r="81" spans="1:42" s="101" customFormat="1" x14ac:dyDescent="0.2">
      <c r="A81" s="243" t="s">
        <v>53</v>
      </c>
      <c r="B81" s="186">
        <f>SUM(B78:B80)</f>
        <v>45339337.173780106</v>
      </c>
      <c r="C81" s="249">
        <f>SUM(C78:C80)</f>
        <v>-768043.0732228877</v>
      </c>
      <c r="D81" s="249">
        <f t="shared" ref="D81:AP81" si="172">SUM(D78:D80)</f>
        <v>-848198.51680825348</v>
      </c>
      <c r="E81" s="249">
        <f t="shared" si="172"/>
        <v>-934522.99400283978</v>
      </c>
      <c r="F81" s="249">
        <f t="shared" si="172"/>
        <v>-1027492.4938261134</v>
      </c>
      <c r="G81" s="249">
        <f t="shared" si="172"/>
        <v>-1127619.8438412109</v>
      </c>
      <c r="H81" s="249">
        <f t="shared" si="172"/>
        <v>-1235457.5640227525</v>
      </c>
      <c r="I81" s="249">
        <f t="shared" si="172"/>
        <v>-1351600.9417747613</v>
      </c>
      <c r="J81" s="249">
        <f t="shared" si="172"/>
        <v>-1476691.3452372812</v>
      </c>
      <c r="K81" s="249">
        <f t="shared" si="172"/>
        <v>-1611419.7933485333</v>
      </c>
      <c r="L81" s="249">
        <f t="shared" si="172"/>
        <v>-1756530.8025605399</v>
      </c>
      <c r="M81" s="249">
        <f t="shared" si="172"/>
        <v>-1912826.5316483369</v>
      </c>
      <c r="N81" s="249">
        <f t="shared" si="172"/>
        <v>-2081171.2477143854</v>
      </c>
      <c r="O81" s="249">
        <f t="shared" si="172"/>
        <v>-2226936.2282170579</v>
      </c>
      <c r="P81" s="249">
        <f t="shared" si="172"/>
        <v>-2419488.6931934361</v>
      </c>
      <c r="Q81" s="249">
        <f t="shared" si="172"/>
        <v>-2626892.0290683159</v>
      </c>
      <c r="R81" s="249">
        <f t="shared" si="172"/>
        <v>0</v>
      </c>
      <c r="S81" s="249">
        <f t="shared" si="172"/>
        <v>0</v>
      </c>
      <c r="T81" s="249">
        <f t="shared" si="172"/>
        <v>0</v>
      </c>
      <c r="U81" s="249">
        <f t="shared" si="172"/>
        <v>0</v>
      </c>
      <c r="V81" s="249">
        <f t="shared" si="172"/>
        <v>0</v>
      </c>
      <c r="W81" s="249">
        <f t="shared" si="172"/>
        <v>0</v>
      </c>
      <c r="X81" s="249">
        <f t="shared" si="172"/>
        <v>0</v>
      </c>
      <c r="Y81" s="249">
        <f t="shared" si="172"/>
        <v>0</v>
      </c>
      <c r="Z81" s="249">
        <f t="shared" si="172"/>
        <v>0</v>
      </c>
      <c r="AA81" s="249">
        <f t="shared" si="172"/>
        <v>0</v>
      </c>
      <c r="AB81" s="249">
        <f t="shared" si="172"/>
        <v>0</v>
      </c>
      <c r="AC81" s="249">
        <f t="shared" si="172"/>
        <v>0</v>
      </c>
      <c r="AD81" s="249">
        <f t="shared" si="172"/>
        <v>0</v>
      </c>
      <c r="AE81" s="249">
        <f t="shared" si="172"/>
        <v>0</v>
      </c>
      <c r="AF81" s="249">
        <f t="shared" si="172"/>
        <v>0</v>
      </c>
      <c r="AG81" s="249">
        <f t="shared" si="172"/>
        <v>0</v>
      </c>
      <c r="AH81" s="249">
        <f t="shared" si="172"/>
        <v>0</v>
      </c>
      <c r="AI81" s="249">
        <f t="shared" si="172"/>
        <v>0</v>
      </c>
      <c r="AJ81" s="249">
        <f t="shared" si="172"/>
        <v>0</v>
      </c>
      <c r="AK81" s="249">
        <f t="shared" si="172"/>
        <v>0</v>
      </c>
      <c r="AL81" s="249">
        <f t="shared" si="172"/>
        <v>0</v>
      </c>
      <c r="AM81" s="249">
        <f t="shared" si="172"/>
        <v>0</v>
      </c>
      <c r="AN81" s="249">
        <f t="shared" si="172"/>
        <v>0</v>
      </c>
      <c r="AO81" s="249">
        <f t="shared" si="172"/>
        <v>0</v>
      </c>
      <c r="AP81" s="249">
        <f t="shared" si="172"/>
        <v>0</v>
      </c>
    </row>
    <row r="82" spans="1:42" s="101" customFormat="1" ht="13.5" thickBot="1" x14ac:dyDescent="0.25">
      <c r="A82" s="250" t="s">
        <v>174</v>
      </c>
      <c r="B82" s="339">
        <f t="shared" ref="B82:AP82" si="173">B56+B72+B81</f>
        <v>0</v>
      </c>
      <c r="C82" s="339">
        <f t="shared" si="173"/>
        <v>925500.43114121724</v>
      </c>
      <c r="D82" s="339">
        <f t="shared" si="173"/>
        <v>937085.50420919131</v>
      </c>
      <c r="E82" s="339">
        <f t="shared" si="173"/>
        <v>948655.97764325468</v>
      </c>
      <c r="F82" s="339">
        <f t="shared" si="173"/>
        <v>960211.11360181146</v>
      </c>
      <c r="G82" s="339">
        <f t="shared" si="173"/>
        <v>971750.15650746319</v>
      </c>
      <c r="H82" s="339">
        <f t="shared" si="173"/>
        <v>983272.33265445149</v>
      </c>
      <c r="I82" s="339">
        <f t="shared" si="173"/>
        <v>994776.84980744962</v>
      </c>
      <c r="J82" s="339">
        <f t="shared" si="173"/>
        <v>1006262.8967915084</v>
      </c>
      <c r="K82" s="339">
        <f t="shared" si="173"/>
        <v>1017729.6430729988</v>
      </c>
      <c r="L82" s="339">
        <f t="shared" si="173"/>
        <v>1029176.2383312825</v>
      </c>
      <c r="M82" s="339">
        <f t="shared" si="173"/>
        <v>1040601.8120209845</v>
      </c>
      <c r="N82" s="339">
        <f t="shared" si="173"/>
        <v>1069785.4279561713</v>
      </c>
      <c r="O82" s="339">
        <f t="shared" si="173"/>
        <v>999093.92494875472</v>
      </c>
      <c r="P82" s="339">
        <f t="shared" si="173"/>
        <v>1011291.1045179782</v>
      </c>
      <c r="Q82" s="339">
        <f t="shared" si="173"/>
        <v>2448610.7591976435</v>
      </c>
      <c r="R82" s="339">
        <f t="shared" si="173"/>
        <v>3870834.950528245</v>
      </c>
      <c r="S82" s="339">
        <f t="shared" si="173"/>
        <v>3902482.6390922726</v>
      </c>
      <c r="T82" s="339">
        <f t="shared" si="173"/>
        <v>3934021.2742460384</v>
      </c>
      <c r="U82" s="339">
        <f t="shared" si="173"/>
        <v>3965446.7981163296</v>
      </c>
      <c r="V82" s="339">
        <f t="shared" si="173"/>
        <v>3996755.057794489</v>
      </c>
      <c r="W82" s="339">
        <f t="shared" si="173"/>
        <v>4020776.3421423868</v>
      </c>
      <c r="X82" s="339">
        <f t="shared" si="173"/>
        <v>4037631.6974024335</v>
      </c>
      <c r="Y82" s="339">
        <f t="shared" si="173"/>
        <v>4054356.7382961735</v>
      </c>
      <c r="Z82" s="339">
        <f t="shared" si="173"/>
        <v>4070946.9103017277</v>
      </c>
      <c r="AA82" s="339">
        <f t="shared" si="173"/>
        <v>3968384.3515987433</v>
      </c>
      <c r="AB82" s="339">
        <f t="shared" si="173"/>
        <v>3985695.1381402165</v>
      </c>
      <c r="AC82" s="339">
        <f t="shared" si="173"/>
        <v>4002856.7467412334</v>
      </c>
      <c r="AD82" s="339">
        <f t="shared" si="173"/>
        <v>4019864.1845732452</v>
      </c>
      <c r="AE82" s="339">
        <f t="shared" si="173"/>
        <v>4036712.3431115118</v>
      </c>
      <c r="AF82" s="339">
        <f t="shared" si="173"/>
        <v>4053395.9955785144</v>
      </c>
      <c r="AG82" s="339">
        <f t="shared" si="173"/>
        <v>4069909.7943308847</v>
      </c>
      <c r="AH82" s="339">
        <f t="shared" si="173"/>
        <v>4086248.2681885469</v>
      </c>
      <c r="AI82" s="339">
        <f t="shared" si="173"/>
        <v>4102405.8197048204</v>
      </c>
      <c r="AJ82" s="339">
        <f t="shared" si="173"/>
        <v>4118376.7223761342</v>
      </c>
      <c r="AK82" s="339">
        <f t="shared" si="173"/>
        <v>4134155.1177900448</v>
      </c>
      <c r="AL82" s="339">
        <f t="shared" si="173"/>
        <v>4149735.012710161</v>
      </c>
      <c r="AM82" s="339">
        <f t="shared" si="173"/>
        <v>4442249.0764038702</v>
      </c>
      <c r="AN82" s="339">
        <f t="shared" si="173"/>
        <v>4451274.2857278967</v>
      </c>
      <c r="AO82" s="339">
        <f t="shared" si="173"/>
        <v>4460082.1757783778</v>
      </c>
      <c r="AP82" s="339">
        <f t="shared" si="173"/>
        <v>8997163.4331542403</v>
      </c>
    </row>
    <row r="83" spans="1:42" ht="13.5" thickTop="1" x14ac:dyDescent="0.2">
      <c r="B83" s="135"/>
      <c r="C83" s="135"/>
      <c r="D83" s="135"/>
      <c r="E83" s="135"/>
      <c r="F83" s="135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</row>
    <row r="84" spans="1:42" x14ac:dyDescent="0.2">
      <c r="A84" s="162" t="s">
        <v>229</v>
      </c>
      <c r="B84" s="135"/>
      <c r="C84" s="135"/>
      <c r="D84" s="135"/>
      <c r="E84" s="135"/>
      <c r="F84" s="135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</row>
    <row r="85" spans="1:42" x14ac:dyDescent="0.2">
      <c r="A85" s="178" t="s">
        <v>198</v>
      </c>
      <c r="B85" s="135"/>
      <c r="C85" s="135"/>
      <c r="D85" s="135"/>
      <c r="E85" s="135"/>
      <c r="F85" s="135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</row>
    <row r="86" spans="1:42" x14ac:dyDescent="0.2">
      <c r="A86" s="163" t="s">
        <v>199</v>
      </c>
      <c r="B86" s="169">
        <f>-B79</f>
        <v>-21934445.075293351</v>
      </c>
      <c r="C86" s="169">
        <f t="shared" ref="C86:G86" si="174">-C79</f>
        <v>0</v>
      </c>
      <c r="D86" s="169">
        <f t="shared" si="174"/>
        <v>0</v>
      </c>
      <c r="E86" s="169">
        <f t="shared" si="174"/>
        <v>0</v>
      </c>
      <c r="F86" s="169">
        <f t="shared" si="174"/>
        <v>0</v>
      </c>
      <c r="G86" s="169">
        <f t="shared" si="174"/>
        <v>0</v>
      </c>
      <c r="H86" s="169">
        <f t="shared" ref="H86:AP86" si="175">-H79</f>
        <v>0</v>
      </c>
      <c r="I86" s="169">
        <f t="shared" si="175"/>
        <v>0</v>
      </c>
      <c r="J86" s="169">
        <f t="shared" si="175"/>
        <v>0</v>
      </c>
      <c r="K86" s="169">
        <f t="shared" si="175"/>
        <v>0</v>
      </c>
      <c r="L86" s="169">
        <f t="shared" si="175"/>
        <v>0</v>
      </c>
      <c r="M86" s="169">
        <f t="shared" si="175"/>
        <v>0</v>
      </c>
      <c r="N86" s="169">
        <f t="shared" si="175"/>
        <v>0</v>
      </c>
      <c r="O86" s="169">
        <f t="shared" si="175"/>
        <v>0</v>
      </c>
      <c r="P86" s="169">
        <f t="shared" si="175"/>
        <v>0</v>
      </c>
      <c r="Q86" s="169">
        <f t="shared" si="175"/>
        <v>0</v>
      </c>
      <c r="R86" s="169">
        <f t="shared" si="175"/>
        <v>0</v>
      </c>
      <c r="S86" s="169">
        <f t="shared" si="175"/>
        <v>0</v>
      </c>
      <c r="T86" s="169">
        <f t="shared" si="175"/>
        <v>0</v>
      </c>
      <c r="U86" s="169">
        <f t="shared" si="175"/>
        <v>0</v>
      </c>
      <c r="V86" s="169">
        <f t="shared" si="175"/>
        <v>0</v>
      </c>
      <c r="W86" s="169">
        <f t="shared" si="175"/>
        <v>0</v>
      </c>
      <c r="X86" s="169">
        <f t="shared" si="175"/>
        <v>0</v>
      </c>
      <c r="Y86" s="169">
        <f t="shared" si="175"/>
        <v>0</v>
      </c>
      <c r="Z86" s="169">
        <f t="shared" si="175"/>
        <v>0</v>
      </c>
      <c r="AA86" s="169">
        <f t="shared" si="175"/>
        <v>0</v>
      </c>
      <c r="AB86" s="169">
        <f t="shared" si="175"/>
        <v>0</v>
      </c>
      <c r="AC86" s="169">
        <f t="shared" si="175"/>
        <v>0</v>
      </c>
      <c r="AD86" s="169">
        <f t="shared" si="175"/>
        <v>0</v>
      </c>
      <c r="AE86" s="169">
        <f t="shared" si="175"/>
        <v>0</v>
      </c>
      <c r="AF86" s="169">
        <f t="shared" si="175"/>
        <v>0</v>
      </c>
      <c r="AG86" s="169">
        <f t="shared" si="175"/>
        <v>0</v>
      </c>
      <c r="AH86" s="169">
        <f t="shared" si="175"/>
        <v>0</v>
      </c>
      <c r="AI86" s="169">
        <f t="shared" si="175"/>
        <v>0</v>
      </c>
      <c r="AJ86" s="169">
        <f t="shared" si="175"/>
        <v>0</v>
      </c>
      <c r="AK86" s="169">
        <f t="shared" si="175"/>
        <v>0</v>
      </c>
      <c r="AL86" s="169">
        <f t="shared" si="175"/>
        <v>0</v>
      </c>
      <c r="AM86" s="169">
        <f t="shared" si="175"/>
        <v>0</v>
      </c>
      <c r="AN86" s="169">
        <f t="shared" si="175"/>
        <v>0</v>
      </c>
      <c r="AO86" s="169">
        <f t="shared" si="175"/>
        <v>0</v>
      </c>
      <c r="AP86" s="169">
        <f t="shared" si="175"/>
        <v>0</v>
      </c>
    </row>
    <row r="87" spans="1:42" x14ac:dyDescent="0.2">
      <c r="A87" s="163" t="s">
        <v>200</v>
      </c>
      <c r="B87" s="170">
        <f>B82</f>
        <v>0</v>
      </c>
      <c r="C87" s="170">
        <f t="shared" ref="C87:G87" si="176">C82</f>
        <v>925500.43114121724</v>
      </c>
      <c r="D87" s="170">
        <f t="shared" si="176"/>
        <v>937085.50420919131</v>
      </c>
      <c r="E87" s="170">
        <f t="shared" si="176"/>
        <v>948655.97764325468</v>
      </c>
      <c r="F87" s="170">
        <f t="shared" si="176"/>
        <v>960211.11360181146</v>
      </c>
      <c r="G87" s="170">
        <f t="shared" si="176"/>
        <v>971750.15650746319</v>
      </c>
      <c r="H87" s="170">
        <f t="shared" ref="H87:AP87" si="177">H82</f>
        <v>983272.33265445149</v>
      </c>
      <c r="I87" s="170">
        <f t="shared" si="177"/>
        <v>994776.84980744962</v>
      </c>
      <c r="J87" s="170">
        <f t="shared" si="177"/>
        <v>1006262.8967915084</v>
      </c>
      <c r="K87" s="170">
        <f t="shared" si="177"/>
        <v>1017729.6430729988</v>
      </c>
      <c r="L87" s="170">
        <f t="shared" si="177"/>
        <v>1029176.2383312825</v>
      </c>
      <c r="M87" s="170">
        <f t="shared" si="177"/>
        <v>1040601.8120209845</v>
      </c>
      <c r="N87" s="170">
        <f t="shared" si="177"/>
        <v>1069785.4279561713</v>
      </c>
      <c r="O87" s="170">
        <f t="shared" si="177"/>
        <v>999093.92494875472</v>
      </c>
      <c r="P87" s="170">
        <f t="shared" si="177"/>
        <v>1011291.1045179782</v>
      </c>
      <c r="Q87" s="170">
        <f t="shared" si="177"/>
        <v>2448610.7591976435</v>
      </c>
      <c r="R87" s="170">
        <f t="shared" si="177"/>
        <v>3870834.950528245</v>
      </c>
      <c r="S87" s="170">
        <f t="shared" si="177"/>
        <v>3902482.6390922726</v>
      </c>
      <c r="T87" s="170">
        <f t="shared" si="177"/>
        <v>3934021.2742460384</v>
      </c>
      <c r="U87" s="170">
        <f t="shared" si="177"/>
        <v>3965446.7981163296</v>
      </c>
      <c r="V87" s="170">
        <f t="shared" si="177"/>
        <v>3996755.057794489</v>
      </c>
      <c r="W87" s="170">
        <f t="shared" si="177"/>
        <v>4020776.3421423868</v>
      </c>
      <c r="X87" s="170">
        <f t="shared" si="177"/>
        <v>4037631.6974024335</v>
      </c>
      <c r="Y87" s="170">
        <f t="shared" si="177"/>
        <v>4054356.7382961735</v>
      </c>
      <c r="Z87" s="170">
        <f t="shared" si="177"/>
        <v>4070946.9103017277</v>
      </c>
      <c r="AA87" s="170">
        <f t="shared" si="177"/>
        <v>3968384.3515987433</v>
      </c>
      <c r="AB87" s="170">
        <f t="shared" si="177"/>
        <v>3985695.1381402165</v>
      </c>
      <c r="AC87" s="170">
        <f t="shared" si="177"/>
        <v>4002856.7467412334</v>
      </c>
      <c r="AD87" s="170">
        <f t="shared" si="177"/>
        <v>4019864.1845732452</v>
      </c>
      <c r="AE87" s="170">
        <f t="shared" si="177"/>
        <v>4036712.3431115118</v>
      </c>
      <c r="AF87" s="170">
        <f t="shared" si="177"/>
        <v>4053395.9955785144</v>
      </c>
      <c r="AG87" s="170">
        <f t="shared" si="177"/>
        <v>4069909.7943308847</v>
      </c>
      <c r="AH87" s="170">
        <f t="shared" si="177"/>
        <v>4086248.2681885469</v>
      </c>
      <c r="AI87" s="170">
        <f t="shared" si="177"/>
        <v>4102405.8197048204</v>
      </c>
      <c r="AJ87" s="170">
        <f t="shared" si="177"/>
        <v>4118376.7223761342</v>
      </c>
      <c r="AK87" s="170">
        <f t="shared" si="177"/>
        <v>4134155.1177900448</v>
      </c>
      <c r="AL87" s="170">
        <f t="shared" si="177"/>
        <v>4149735.012710161</v>
      </c>
      <c r="AM87" s="170">
        <f t="shared" si="177"/>
        <v>4442249.0764038702</v>
      </c>
      <c r="AN87" s="170">
        <f t="shared" si="177"/>
        <v>4451274.2857278967</v>
      </c>
      <c r="AO87" s="170">
        <f t="shared" si="177"/>
        <v>4460082.1757783778</v>
      </c>
      <c r="AP87" s="170">
        <f t="shared" si="177"/>
        <v>8997163.4331542403</v>
      </c>
    </row>
    <row r="88" spans="1:42" x14ac:dyDescent="0.2">
      <c r="A88" s="163" t="s">
        <v>53</v>
      </c>
      <c r="B88" s="135">
        <f>SUM(B86:B87)</f>
        <v>-21934445.075293351</v>
      </c>
      <c r="C88" s="135">
        <f t="shared" ref="C88:G88" si="178">SUM(C86:C87)</f>
        <v>925500.43114121724</v>
      </c>
      <c r="D88" s="135">
        <f t="shared" si="178"/>
        <v>937085.50420919131</v>
      </c>
      <c r="E88" s="135">
        <f t="shared" si="178"/>
        <v>948655.97764325468</v>
      </c>
      <c r="F88" s="135">
        <f t="shared" si="178"/>
        <v>960211.11360181146</v>
      </c>
      <c r="G88" s="135">
        <f t="shared" si="178"/>
        <v>971750.15650746319</v>
      </c>
      <c r="H88" s="135">
        <f t="shared" ref="H88" si="179">SUM(H86:H87)</f>
        <v>983272.33265445149</v>
      </c>
      <c r="I88" s="135">
        <f t="shared" ref="I88" si="180">SUM(I86:I87)</f>
        <v>994776.84980744962</v>
      </c>
      <c r="J88" s="135">
        <f t="shared" ref="J88" si="181">SUM(J86:J87)</f>
        <v>1006262.8967915084</v>
      </c>
      <c r="K88" s="135">
        <f t="shared" ref="K88:L88" si="182">SUM(K86:K87)</f>
        <v>1017729.6430729988</v>
      </c>
      <c r="L88" s="135">
        <f t="shared" si="182"/>
        <v>1029176.2383312825</v>
      </c>
      <c r="M88" s="135">
        <f t="shared" ref="M88" si="183">SUM(M86:M87)</f>
        <v>1040601.8120209845</v>
      </c>
      <c r="N88" s="135">
        <f t="shared" ref="N88" si="184">SUM(N86:N87)</f>
        <v>1069785.4279561713</v>
      </c>
      <c r="O88" s="135">
        <f t="shared" ref="O88" si="185">SUM(O86:O87)</f>
        <v>999093.92494875472</v>
      </c>
      <c r="P88" s="135">
        <f t="shared" ref="P88:Q88" si="186">SUM(P86:P87)</f>
        <v>1011291.1045179782</v>
      </c>
      <c r="Q88" s="135">
        <f t="shared" si="186"/>
        <v>2448610.7591976435</v>
      </c>
      <c r="R88" s="135">
        <f t="shared" ref="R88" si="187">SUM(R86:R87)</f>
        <v>3870834.950528245</v>
      </c>
      <c r="S88" s="135">
        <f t="shared" ref="S88" si="188">SUM(S86:S87)</f>
        <v>3902482.6390922726</v>
      </c>
      <c r="T88" s="135">
        <f t="shared" ref="T88" si="189">SUM(T86:T87)</f>
        <v>3934021.2742460384</v>
      </c>
      <c r="U88" s="135">
        <f t="shared" ref="U88:V88" si="190">SUM(U86:U87)</f>
        <v>3965446.7981163296</v>
      </c>
      <c r="V88" s="135">
        <f t="shared" si="190"/>
        <v>3996755.057794489</v>
      </c>
      <c r="W88" s="135">
        <f t="shared" ref="W88" si="191">SUM(W86:W87)</f>
        <v>4020776.3421423868</v>
      </c>
      <c r="X88" s="135">
        <f t="shared" ref="X88" si="192">SUM(X86:X87)</f>
        <v>4037631.6974024335</v>
      </c>
      <c r="Y88" s="135">
        <f t="shared" ref="Y88" si="193">SUM(Y86:Y87)</f>
        <v>4054356.7382961735</v>
      </c>
      <c r="Z88" s="135">
        <f t="shared" ref="Z88:AA88" si="194">SUM(Z86:Z87)</f>
        <v>4070946.9103017277</v>
      </c>
      <c r="AA88" s="135">
        <f t="shared" si="194"/>
        <v>3968384.3515987433</v>
      </c>
      <c r="AB88" s="135">
        <f t="shared" ref="AB88" si="195">SUM(AB86:AB87)</f>
        <v>3985695.1381402165</v>
      </c>
      <c r="AC88" s="135">
        <f t="shared" ref="AC88" si="196">SUM(AC86:AC87)</f>
        <v>4002856.7467412334</v>
      </c>
      <c r="AD88" s="135">
        <f t="shared" ref="AD88" si="197">SUM(AD86:AD87)</f>
        <v>4019864.1845732452</v>
      </c>
      <c r="AE88" s="135">
        <f t="shared" ref="AE88:AF88" si="198">SUM(AE86:AE87)</f>
        <v>4036712.3431115118</v>
      </c>
      <c r="AF88" s="135">
        <f t="shared" si="198"/>
        <v>4053395.9955785144</v>
      </c>
      <c r="AG88" s="135">
        <f t="shared" ref="AG88" si="199">SUM(AG86:AG87)</f>
        <v>4069909.7943308847</v>
      </c>
      <c r="AH88" s="135">
        <f t="shared" ref="AH88" si="200">SUM(AH86:AH87)</f>
        <v>4086248.2681885469</v>
      </c>
      <c r="AI88" s="135">
        <f t="shared" ref="AI88" si="201">SUM(AI86:AI87)</f>
        <v>4102405.8197048204</v>
      </c>
      <c r="AJ88" s="135">
        <f t="shared" ref="AJ88:AK88" si="202">SUM(AJ86:AJ87)</f>
        <v>4118376.7223761342</v>
      </c>
      <c r="AK88" s="135">
        <f t="shared" si="202"/>
        <v>4134155.1177900448</v>
      </c>
      <c r="AL88" s="135">
        <f t="shared" ref="AL88" si="203">SUM(AL86:AL87)</f>
        <v>4149735.012710161</v>
      </c>
      <c r="AM88" s="135">
        <f t="shared" ref="AM88" si="204">SUM(AM86:AM87)</f>
        <v>4442249.0764038702</v>
      </c>
      <c r="AN88" s="135">
        <f t="shared" ref="AN88" si="205">SUM(AN86:AN87)</f>
        <v>4451274.2857278967</v>
      </c>
      <c r="AO88" s="135">
        <f t="shared" ref="AO88:AP88" si="206">SUM(AO86:AO87)</f>
        <v>4460082.1757783778</v>
      </c>
      <c r="AP88" s="135">
        <f t="shared" si="206"/>
        <v>8997163.4331542403</v>
      </c>
    </row>
    <row r="89" spans="1:42" x14ac:dyDescent="0.2">
      <c r="A89" s="163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</row>
    <row r="90" spans="1:42" x14ac:dyDescent="0.2">
      <c r="A90" s="163" t="s">
        <v>323</v>
      </c>
      <c r="B90" s="184">
        <f>ROUND(IF(ISERROR(IRR($B88:B$88)),0,IRR($B88:B$88)),4)</f>
        <v>0</v>
      </c>
      <c r="C90" s="184">
        <f>ROUND(IF(ISERROR(IRR($B88:C$88)),0,IRR($B88:C$88)),4)</f>
        <v>-0.95779999999999998</v>
      </c>
      <c r="D90" s="184">
        <f>ROUND(IF(ISERROR(IRR($B88:D$88)),0,IRR($B88:D$88)),4)</f>
        <v>-0.77110000000000001</v>
      </c>
      <c r="E90" s="184">
        <f>ROUND(IF(ISERROR(IRR($B88:E$88)),0,IRR($B88:E$88)),4)</f>
        <v>-0.59250000000000003</v>
      </c>
      <c r="F90" s="184">
        <f>ROUND(IF(ISERROR(IRR($B88:F$88)),0,IRR($B88:F$88)),4)</f>
        <v>-0.45760000000000001</v>
      </c>
      <c r="G90" s="184">
        <f>ROUND(IF(ISERROR(IRR($B88:G$88)),0,IRR($B88:G$88)),4)</f>
        <v>-0.35849999999999999</v>
      </c>
      <c r="H90" s="184">
        <f>ROUND(IF(ISERROR(IRR($B88:H$88)),0,IRR($B88:H$88)),4)</f>
        <v>-0.2848</v>
      </c>
      <c r="I90" s="184">
        <f>ROUND(IF(ISERROR(IRR($B88:I$88)),0,IRR($B88:I$88)),4)</f>
        <v>-0.22889999999999999</v>
      </c>
      <c r="J90" s="184">
        <f>ROUND(IF(ISERROR(IRR($B88:J$88)),0,IRR($B88:J$88)),4)</f>
        <v>-0.18540000000000001</v>
      </c>
      <c r="K90" s="184">
        <f>ROUND(IF(ISERROR(IRR($B88:K$88)),0,IRR($B88:K$88)),4)</f>
        <v>-0.15110000000000001</v>
      </c>
      <c r="L90" s="184">
        <f>ROUND(IF(ISERROR(IRR($B88:L$88)),0,IRR($B88:L$88)),4)</f>
        <v>-0.1235</v>
      </c>
      <c r="M90" s="184">
        <f>ROUND(IF(ISERROR(IRR($B88:M$88)),0,IRR($B88:M$88)),4)</f>
        <v>-0.10100000000000001</v>
      </c>
      <c r="N90" s="184">
        <f>ROUND(IF(ISERROR(IRR($B88:N$88)),0,IRR($B88:N$88)),4)</f>
        <v>-8.2100000000000006E-2</v>
      </c>
      <c r="O90" s="184">
        <f>ROUND(IF(ISERROR(IRR($B88:O$88)),0,IRR($B88:O$88)),4)</f>
        <v>-6.7500000000000004E-2</v>
      </c>
      <c r="P90" s="184">
        <f>ROUND(IF(ISERROR(IRR($B88:P$88)),0,IRR($B88:P$88)),4)</f>
        <v>-5.4899999999999997E-2</v>
      </c>
      <c r="Q90" s="184">
        <f>ROUND(IF(ISERROR(IRR($B88:Q$88)),0,IRR($B88:Q$88)),4)</f>
        <v>-3.1899999999999998E-2</v>
      </c>
      <c r="R90" s="184">
        <f>ROUND(IF(ISERROR(IRR($B88:R$88)),0,IRR($B88:R$88)),4)</f>
        <v>-7.9000000000000008E-3</v>
      </c>
      <c r="S90" s="184">
        <f>ROUND(IF(ISERROR(IRR($B88:S$88)),0,IRR($B88:S$88)),4)</f>
        <v>8.6E-3</v>
      </c>
      <c r="T90" s="184">
        <f>ROUND(IF(ISERROR(IRR($B88:T$88)),0,IRR($B88:T$88)),4)</f>
        <v>2.0899999999999998E-2</v>
      </c>
      <c r="U90" s="184">
        <f>ROUND(IF(ISERROR(IRR($B88:U$88)),0,IRR($B88:U$88)),4)</f>
        <v>3.0599999999999999E-2</v>
      </c>
      <c r="V90" s="184">
        <f>ROUND(IF(ISERROR(IRR($B88:V$88)),0,IRR($B88:V$88)),4)</f>
        <v>3.8300000000000001E-2</v>
      </c>
      <c r="W90" s="184">
        <f>ROUND(IF(ISERROR(IRR($B88:W$88)),0,IRR($B88:W$88)),4)</f>
        <v>4.4699999999999997E-2</v>
      </c>
      <c r="X90" s="184">
        <f>ROUND(IF(ISERROR(IRR($B88:X$88)),0,IRR($B88:X$88)),4)</f>
        <v>0.05</v>
      </c>
      <c r="Y90" s="184">
        <f>ROUND(IF(ISERROR(IRR($B88:Y$88)),0,IRR($B88:Y$88)),4)</f>
        <v>5.45E-2</v>
      </c>
      <c r="Z90" s="184">
        <f>ROUND(IF(ISERROR(IRR($B88:Z$88)),0,IRR($B88:Z$88)),4)</f>
        <v>5.8299999999999998E-2</v>
      </c>
      <c r="AA90" s="184">
        <f>ROUND(IF(ISERROR(IRR($B88:AA$88)),0,IRR($B88:AA$88)),4)</f>
        <v>6.1499999999999999E-2</v>
      </c>
      <c r="AB90" s="184">
        <f>ROUND(IF(ISERROR(IRR($B88:AB$88)),0,IRR($B88:AB$88)),4)</f>
        <v>6.4199999999999993E-2</v>
      </c>
      <c r="AC90" s="184">
        <f>ROUND(IF(ISERROR(IRR($B88:AC$88)),0,IRR($B88:AC$88)),4)</f>
        <v>6.6600000000000006E-2</v>
      </c>
      <c r="AD90" s="184">
        <f>ROUND(IF(ISERROR(IRR($B88:AD$88)),0,IRR($B88:AD$88)),4)</f>
        <v>6.8699999999999997E-2</v>
      </c>
      <c r="AE90" s="184">
        <f>ROUND(IF(ISERROR(IRR($B88:AE$88)),0,IRR($B88:AE$88)),4)</f>
        <v>7.0499999999999993E-2</v>
      </c>
      <c r="AF90" s="184">
        <f>ROUND(IF(ISERROR(IRR($B88:AF$88)),0,IRR($B88:AF$88)),4)</f>
        <v>7.2099999999999997E-2</v>
      </c>
      <c r="AG90" s="184">
        <f>ROUND(IF(ISERROR(IRR($B88:AG$88)),0,IRR($B88:AG$88)),4)</f>
        <v>7.3599999999999999E-2</v>
      </c>
      <c r="AH90" s="184">
        <f>ROUND(IF(ISERROR(IRR($B88:AH$88)),0,IRR($B88:AH$88)),4)</f>
        <v>7.4800000000000005E-2</v>
      </c>
      <c r="AI90" s="184">
        <f>ROUND(IF(ISERROR(IRR($B88:AI$88)),0,IRR($B88:AI$88)),4)</f>
        <v>7.5999999999999998E-2</v>
      </c>
      <c r="AJ90" s="184">
        <f>ROUND(IF(ISERROR(IRR($B88:AJ$88)),0,IRR($B88:AJ$88)),4)</f>
        <v>7.6999999999999999E-2</v>
      </c>
      <c r="AK90" s="184">
        <f>ROUND(IF(ISERROR(IRR($B88:AK$88)),0,IRR($B88:AK$88)),4)</f>
        <v>7.7899999999999997E-2</v>
      </c>
      <c r="AL90" s="184">
        <f>ROUND(IF(ISERROR(IRR($B88:AL$88)),0,IRR($B88:AL$88)),4)</f>
        <v>7.8700000000000006E-2</v>
      </c>
      <c r="AM90" s="184">
        <f>ROUND(IF(ISERROR(IRR($B88:AM$88)),0,IRR($B88:AM$88)),4)</f>
        <v>7.9500000000000001E-2</v>
      </c>
      <c r="AN90" s="184">
        <f>ROUND(IF(ISERROR(IRR($B88:AN$88)),0,IRR($B88:AN$88)),4)</f>
        <v>8.0199999999999994E-2</v>
      </c>
      <c r="AO90" s="184">
        <f>ROUND(IF(ISERROR(IRR($B88:AO$88)),0,IRR($B88:AO$88)),4)</f>
        <v>8.0799999999999997E-2</v>
      </c>
      <c r="AP90" s="184">
        <f>ROUND(IF(ISERROR(IRR($B88:AP$88)),0,IRR($B88:AP$88)),4)</f>
        <v>8.1900000000000001E-2</v>
      </c>
    </row>
    <row r="91" spans="1:42" x14ac:dyDescent="0.2">
      <c r="A91" s="163" t="s">
        <v>324</v>
      </c>
      <c r="B91" s="230">
        <f>B88</f>
        <v>-21934445.075293351</v>
      </c>
      <c r="C91" s="230">
        <f>NPV(DiscountRate,$C88:C88)+$B$88</f>
        <v>-21077500.231644075</v>
      </c>
      <c r="D91" s="230">
        <f>NPV(DiscountRate,$C88:D88)+$B$88</f>
        <v>-20274100.450943466</v>
      </c>
      <c r="E91" s="230">
        <f>NPV(DiscountRate,$C88:E88)+$B$88</f>
        <v>-19521026.750253741</v>
      </c>
      <c r="F91" s="230">
        <f>NPV(DiscountRate,$C88:F88)+$B$88</f>
        <v>-18815242.916769482</v>
      </c>
      <c r="G91" s="230">
        <f>NPV(DiscountRate,$C88:G88)+$B$88</f>
        <v>-18153886.088535585</v>
      </c>
      <c r="H91" s="230">
        <f>NPV(DiscountRate,$C88:H88)+$B$88</f>
        <v>-17534257.729542248</v>
      </c>
      <c r="I91" s="230">
        <f>NPV(DiscountRate,$C88:I88)+$B$88</f>
        <v>-16953814.99225048</v>
      </c>
      <c r="J91" s="230">
        <f>NPV(DiscountRate,$C88:J88)+$B$88</f>
        <v>-16410162.459485205</v>
      </c>
      <c r="K91" s="230">
        <f>NPV(DiscountRate,$C88:K88)+$B$88</f>
        <v>-15901044.256718868</v>
      </c>
      <c r="L91" s="230">
        <f>NPV(DiscountRate,$C88:L88)+$B$88</f>
        <v>-15424336.525032327</v>
      </c>
      <c r="M91" s="230">
        <f>NPV(DiscountRate,$C88:M88)+$B$88</f>
        <v>-14978040.244460806</v>
      </c>
      <c r="N91" s="230">
        <f>NPV(DiscountRate,$C88:N88)+$B$88</f>
        <v>-14553213.732220421</v>
      </c>
      <c r="O91" s="230">
        <f>NPV(DiscountRate,$C88:O88)+$B$88</f>
        <v>-14185848.969464146</v>
      </c>
      <c r="P91" s="230">
        <f>NPV(DiscountRate,$C88:P88)+$B$88</f>
        <v>-13841543.746898655</v>
      </c>
      <c r="Q91" s="230">
        <f>NPV(DiscountRate,$C88:Q88)+$B$88</f>
        <v>-13069639.516371367</v>
      </c>
      <c r="R91" s="230">
        <f>NPV(DiscountRate,$C88:R88)+$B$88</f>
        <v>-11939779.692810183</v>
      </c>
      <c r="S91" s="230">
        <f>NPV(DiscountRate,$C88:S88)+$B$88</f>
        <v>-10885059.80190892</v>
      </c>
      <c r="T91" s="230">
        <f>NPV(DiscountRate,$C88:T88)+$B$88</f>
        <v>-9900574.7975067981</v>
      </c>
      <c r="U91" s="230">
        <f>NPV(DiscountRate,$C88:U88)+$B$88</f>
        <v>-8981732.9352474231</v>
      </c>
      <c r="V91" s="230">
        <f>NPV(DiscountRate,$C88:V88)+$B$88</f>
        <v>-8124236.3021645192</v>
      </c>
      <c r="W91" s="230">
        <f>NPV(DiscountRate,$C88:W88)+$B$88</f>
        <v>-7325485.9719985109</v>
      </c>
      <c r="X91" s="230">
        <f>NPV(DiscountRate,$C88:X88)+$B$88</f>
        <v>-6582801.9503631443</v>
      </c>
      <c r="Y91" s="230">
        <f>NPV(DiscountRate,$C88:Y88)+$B$88</f>
        <v>-5892283.0298654437</v>
      </c>
      <c r="Z91" s="230">
        <f>NPV(DiscountRate,$C88:Z88)+$B$88</f>
        <v>-5250297.3999031689</v>
      </c>
      <c r="AA91" s="230">
        <f>NPV(DiscountRate,$C88:AA88)+$B$88</f>
        <v>-4670842.2309935316</v>
      </c>
      <c r="AB91" s="230">
        <f>NPV(DiscountRate,$C88:AB88)+$B$88</f>
        <v>-4131969.2183149941</v>
      </c>
      <c r="AC91" s="230">
        <f>NPV(DiscountRate,$C88:AC88)+$B$88</f>
        <v>-3630864.3179157563</v>
      </c>
      <c r="AD91" s="230">
        <f>NPV(DiscountRate,$C88:AD88)+$B$88</f>
        <v>-3164906.9036291242</v>
      </c>
      <c r="AE91" s="230">
        <f>NPV(DiscountRate,$C88:AE88)+$B$88</f>
        <v>-2731656.5823055021</v>
      </c>
      <c r="AF91" s="230">
        <f>NPV(DiscountRate,$C88:AF88)+$B$88</f>
        <v>-2328840.9004968628</v>
      </c>
      <c r="AG91" s="230">
        <f>NPV(DiscountRate,$C88:AG88)+$B$88</f>
        <v>-1954343.8828312047</v>
      </c>
      <c r="AH91" s="230">
        <f>NPV(DiscountRate,$C88:AH88)+$B$88</f>
        <v>-1606195.3462838605</v>
      </c>
      <c r="AI91" s="230">
        <f>NPV(DiscountRate,$C88:AI88)+$B$88</f>
        <v>-1282560.938261196</v>
      </c>
      <c r="AJ91" s="230">
        <f>NPV(DiscountRate,$C88:AJ88)+$B$88</f>
        <v>-981732.84987675771</v>
      </c>
      <c r="AK91" s="230">
        <f>NPV(DiscountRate,$C88:AK88)+$B$88</f>
        <v>-702121.15903651714</v>
      </c>
      <c r="AL91" s="230">
        <f>NPV(DiscountRate,$C88:AL88)+$B$88</f>
        <v>-442245.76097312197</v>
      </c>
      <c r="AM91" s="230">
        <f>NPV(DiscountRate,$C88:AM88)+$B$88</f>
        <v>-184658.75408051163</v>
      </c>
      <c r="AN91" s="230">
        <f>NPV(DiscountRate,$C88:AN88)+$B$88</f>
        <v>54332.301609154791</v>
      </c>
      <c r="AO91" s="230">
        <f>NPV(DiscountRate,$C88:AO88)+$B$88</f>
        <v>276058.18636800349</v>
      </c>
      <c r="AP91" s="230">
        <f>NPV(DiscountRate,$C88:AP88)+$B$88</f>
        <v>690206.01625137031</v>
      </c>
    </row>
    <row r="92" spans="1:42" x14ac:dyDescent="0.2">
      <c r="A92" s="163"/>
      <c r="B92" s="135"/>
      <c r="C92" s="135"/>
      <c r="D92" s="135"/>
      <c r="E92" s="135"/>
      <c r="F92" s="135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</row>
    <row r="93" spans="1:42" x14ac:dyDescent="0.2">
      <c r="A93" s="178" t="s">
        <v>203</v>
      </c>
      <c r="B93" s="135"/>
      <c r="C93" s="135"/>
      <c r="D93" s="135"/>
      <c r="E93" s="135"/>
      <c r="F93" s="135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</row>
    <row r="94" spans="1:42" s="101" customFormat="1" x14ac:dyDescent="0.2">
      <c r="A94" s="180" t="s">
        <v>204</v>
      </c>
      <c r="B94" s="181"/>
      <c r="C94" s="181"/>
      <c r="D94" s="181"/>
      <c r="E94" s="181"/>
      <c r="F94" s="181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</row>
    <row r="95" spans="1:42" x14ac:dyDescent="0.2">
      <c r="A95" s="167" t="s">
        <v>199</v>
      </c>
      <c r="B95" s="169">
        <f>B86</f>
        <v>-21934445.075293351</v>
      </c>
      <c r="C95" s="169">
        <f t="shared" ref="C95:AP95" si="207">C86</f>
        <v>0</v>
      </c>
      <c r="D95" s="169">
        <f t="shared" si="207"/>
        <v>0</v>
      </c>
      <c r="E95" s="169">
        <f t="shared" si="207"/>
        <v>0</v>
      </c>
      <c r="F95" s="169">
        <f t="shared" si="207"/>
        <v>0</v>
      </c>
      <c r="G95" s="169">
        <f t="shared" si="207"/>
        <v>0</v>
      </c>
      <c r="H95" s="169">
        <f t="shared" si="207"/>
        <v>0</v>
      </c>
      <c r="I95" s="169">
        <f t="shared" si="207"/>
        <v>0</v>
      </c>
      <c r="J95" s="169">
        <f t="shared" si="207"/>
        <v>0</v>
      </c>
      <c r="K95" s="169">
        <f t="shared" si="207"/>
        <v>0</v>
      </c>
      <c r="L95" s="169">
        <f t="shared" si="207"/>
        <v>0</v>
      </c>
      <c r="M95" s="169">
        <f t="shared" si="207"/>
        <v>0</v>
      </c>
      <c r="N95" s="169">
        <f t="shared" si="207"/>
        <v>0</v>
      </c>
      <c r="O95" s="169">
        <f t="shared" si="207"/>
        <v>0</v>
      </c>
      <c r="P95" s="169">
        <f t="shared" si="207"/>
        <v>0</v>
      </c>
      <c r="Q95" s="169">
        <f t="shared" si="207"/>
        <v>0</v>
      </c>
      <c r="R95" s="169">
        <f t="shared" si="207"/>
        <v>0</v>
      </c>
      <c r="S95" s="169">
        <f t="shared" si="207"/>
        <v>0</v>
      </c>
      <c r="T95" s="169">
        <f t="shared" si="207"/>
        <v>0</v>
      </c>
      <c r="U95" s="169">
        <f t="shared" si="207"/>
        <v>0</v>
      </c>
      <c r="V95" s="169">
        <f t="shared" si="207"/>
        <v>0</v>
      </c>
      <c r="W95" s="169">
        <f t="shared" si="207"/>
        <v>0</v>
      </c>
      <c r="X95" s="169">
        <f t="shared" si="207"/>
        <v>0</v>
      </c>
      <c r="Y95" s="169">
        <f t="shared" si="207"/>
        <v>0</v>
      </c>
      <c r="Z95" s="169">
        <f t="shared" si="207"/>
        <v>0</v>
      </c>
      <c r="AA95" s="169">
        <f t="shared" si="207"/>
        <v>0</v>
      </c>
      <c r="AB95" s="169">
        <f t="shared" si="207"/>
        <v>0</v>
      </c>
      <c r="AC95" s="169">
        <f t="shared" si="207"/>
        <v>0</v>
      </c>
      <c r="AD95" s="169">
        <f t="shared" si="207"/>
        <v>0</v>
      </c>
      <c r="AE95" s="169">
        <f t="shared" si="207"/>
        <v>0</v>
      </c>
      <c r="AF95" s="169">
        <f t="shared" si="207"/>
        <v>0</v>
      </c>
      <c r="AG95" s="169">
        <f t="shared" si="207"/>
        <v>0</v>
      </c>
      <c r="AH95" s="169">
        <f t="shared" si="207"/>
        <v>0</v>
      </c>
      <c r="AI95" s="169">
        <f t="shared" si="207"/>
        <v>0</v>
      </c>
      <c r="AJ95" s="169">
        <f t="shared" si="207"/>
        <v>0</v>
      </c>
      <c r="AK95" s="169">
        <f t="shared" si="207"/>
        <v>0</v>
      </c>
      <c r="AL95" s="169">
        <f t="shared" si="207"/>
        <v>0</v>
      </c>
      <c r="AM95" s="169">
        <f t="shared" si="207"/>
        <v>0</v>
      </c>
      <c r="AN95" s="169">
        <f t="shared" si="207"/>
        <v>0</v>
      </c>
      <c r="AO95" s="169">
        <f t="shared" si="207"/>
        <v>0</v>
      </c>
      <c r="AP95" s="169">
        <f t="shared" si="207"/>
        <v>0</v>
      </c>
    </row>
    <row r="96" spans="1:42" x14ac:dyDescent="0.2">
      <c r="A96" s="167" t="s">
        <v>200</v>
      </c>
      <c r="B96" s="170">
        <f>B87</f>
        <v>0</v>
      </c>
      <c r="C96" s="170">
        <f t="shared" ref="C96:AP96" si="208">C87</f>
        <v>925500.43114121724</v>
      </c>
      <c r="D96" s="170">
        <f t="shared" si="208"/>
        <v>937085.50420919131</v>
      </c>
      <c r="E96" s="170">
        <f t="shared" si="208"/>
        <v>948655.97764325468</v>
      </c>
      <c r="F96" s="170">
        <f t="shared" si="208"/>
        <v>960211.11360181146</v>
      </c>
      <c r="G96" s="170">
        <f t="shared" si="208"/>
        <v>971750.15650746319</v>
      </c>
      <c r="H96" s="170">
        <f t="shared" si="208"/>
        <v>983272.33265445149</v>
      </c>
      <c r="I96" s="170">
        <f t="shared" si="208"/>
        <v>994776.84980744962</v>
      </c>
      <c r="J96" s="170">
        <f t="shared" si="208"/>
        <v>1006262.8967915084</v>
      </c>
      <c r="K96" s="170">
        <f t="shared" si="208"/>
        <v>1017729.6430729988</v>
      </c>
      <c r="L96" s="170">
        <f t="shared" si="208"/>
        <v>1029176.2383312825</v>
      </c>
      <c r="M96" s="170">
        <f t="shared" si="208"/>
        <v>1040601.8120209845</v>
      </c>
      <c r="N96" s="170">
        <f t="shared" si="208"/>
        <v>1069785.4279561713</v>
      </c>
      <c r="O96" s="170">
        <f t="shared" si="208"/>
        <v>999093.92494875472</v>
      </c>
      <c r="P96" s="170">
        <f t="shared" si="208"/>
        <v>1011291.1045179782</v>
      </c>
      <c r="Q96" s="170">
        <f t="shared" si="208"/>
        <v>2448610.7591976435</v>
      </c>
      <c r="R96" s="170">
        <f t="shared" si="208"/>
        <v>3870834.950528245</v>
      </c>
      <c r="S96" s="170">
        <f t="shared" si="208"/>
        <v>3902482.6390922726</v>
      </c>
      <c r="T96" s="170">
        <f t="shared" si="208"/>
        <v>3934021.2742460384</v>
      </c>
      <c r="U96" s="170">
        <f t="shared" si="208"/>
        <v>3965446.7981163296</v>
      </c>
      <c r="V96" s="170">
        <f t="shared" si="208"/>
        <v>3996755.057794489</v>
      </c>
      <c r="W96" s="170">
        <f t="shared" si="208"/>
        <v>4020776.3421423868</v>
      </c>
      <c r="X96" s="170">
        <f t="shared" si="208"/>
        <v>4037631.6974024335</v>
      </c>
      <c r="Y96" s="170">
        <f t="shared" si="208"/>
        <v>4054356.7382961735</v>
      </c>
      <c r="Z96" s="170">
        <f t="shared" si="208"/>
        <v>4070946.9103017277</v>
      </c>
      <c r="AA96" s="170">
        <f t="shared" si="208"/>
        <v>3968384.3515987433</v>
      </c>
      <c r="AB96" s="170">
        <f t="shared" si="208"/>
        <v>3985695.1381402165</v>
      </c>
      <c r="AC96" s="170">
        <f t="shared" si="208"/>
        <v>4002856.7467412334</v>
      </c>
      <c r="AD96" s="170">
        <f t="shared" si="208"/>
        <v>4019864.1845732452</v>
      </c>
      <c r="AE96" s="170">
        <f t="shared" si="208"/>
        <v>4036712.3431115118</v>
      </c>
      <c r="AF96" s="170">
        <f t="shared" si="208"/>
        <v>4053395.9955785144</v>
      </c>
      <c r="AG96" s="170">
        <f t="shared" si="208"/>
        <v>4069909.7943308847</v>
      </c>
      <c r="AH96" s="170">
        <f t="shared" si="208"/>
        <v>4086248.2681885469</v>
      </c>
      <c r="AI96" s="170">
        <f t="shared" si="208"/>
        <v>4102405.8197048204</v>
      </c>
      <c r="AJ96" s="170">
        <f t="shared" si="208"/>
        <v>4118376.7223761342</v>
      </c>
      <c r="AK96" s="170">
        <f t="shared" si="208"/>
        <v>4134155.1177900448</v>
      </c>
      <c r="AL96" s="170">
        <f t="shared" si="208"/>
        <v>4149735.012710161</v>
      </c>
      <c r="AM96" s="170">
        <f t="shared" si="208"/>
        <v>4442249.0764038702</v>
      </c>
      <c r="AN96" s="170">
        <f t="shared" si="208"/>
        <v>4451274.2857278967</v>
      </c>
      <c r="AO96" s="170">
        <f t="shared" si="208"/>
        <v>4460082.1757783778</v>
      </c>
      <c r="AP96" s="170">
        <f t="shared" si="208"/>
        <v>8997163.4331542403</v>
      </c>
    </row>
    <row r="97" spans="1:42" x14ac:dyDescent="0.2">
      <c r="A97" s="167" t="s">
        <v>205</v>
      </c>
      <c r="B97" s="135">
        <f>SUM(B95:B96)</f>
        <v>-21934445.075293351</v>
      </c>
      <c r="C97" s="135">
        <f t="shared" ref="C97" si="209">SUM(C95:C96)</f>
        <v>925500.43114121724</v>
      </c>
      <c r="D97" s="135">
        <f t="shared" ref="D97" si="210">SUM(D95:D96)</f>
        <v>937085.50420919131</v>
      </c>
      <c r="E97" s="135">
        <f t="shared" ref="E97" si="211">SUM(E95:E96)</f>
        <v>948655.97764325468</v>
      </c>
      <c r="F97" s="135">
        <f t="shared" ref="F97" si="212">SUM(F95:F96)</f>
        <v>960211.11360181146</v>
      </c>
      <c r="G97" s="135">
        <f t="shared" ref="G97" si="213">SUM(G95:G96)</f>
        <v>971750.15650746319</v>
      </c>
      <c r="H97" s="135">
        <f t="shared" ref="H97" si="214">SUM(H95:H96)</f>
        <v>983272.33265445149</v>
      </c>
      <c r="I97" s="135">
        <f t="shared" ref="I97" si="215">SUM(I95:I96)</f>
        <v>994776.84980744962</v>
      </c>
      <c r="J97" s="135">
        <f t="shared" ref="J97" si="216">SUM(J95:J96)</f>
        <v>1006262.8967915084</v>
      </c>
      <c r="K97" s="135">
        <f t="shared" ref="K97" si="217">SUM(K95:K96)</f>
        <v>1017729.6430729988</v>
      </c>
      <c r="L97" s="135">
        <f t="shared" ref="L97" si="218">SUM(L95:L96)</f>
        <v>1029176.2383312825</v>
      </c>
      <c r="M97" s="135">
        <f t="shared" ref="M97" si="219">SUM(M95:M96)</f>
        <v>1040601.8120209845</v>
      </c>
      <c r="N97" s="135">
        <f t="shared" ref="N97" si="220">SUM(N95:N96)</f>
        <v>1069785.4279561713</v>
      </c>
      <c r="O97" s="135">
        <f t="shared" ref="O97" si="221">SUM(O95:O96)</f>
        <v>999093.92494875472</v>
      </c>
      <c r="P97" s="135">
        <f t="shared" ref="P97" si="222">SUM(P95:P96)</f>
        <v>1011291.1045179782</v>
      </c>
      <c r="Q97" s="135">
        <f t="shared" ref="Q97" si="223">SUM(Q95:Q96)</f>
        <v>2448610.7591976435</v>
      </c>
      <c r="R97" s="135">
        <f t="shared" ref="R97" si="224">SUM(R95:R96)</f>
        <v>3870834.950528245</v>
      </c>
      <c r="S97" s="135">
        <f t="shared" ref="S97" si="225">SUM(S95:S96)</f>
        <v>3902482.6390922726</v>
      </c>
      <c r="T97" s="135">
        <f t="shared" ref="T97" si="226">SUM(T95:T96)</f>
        <v>3934021.2742460384</v>
      </c>
      <c r="U97" s="135">
        <f t="shared" ref="U97" si="227">SUM(U95:U96)</f>
        <v>3965446.7981163296</v>
      </c>
      <c r="V97" s="135">
        <f t="shared" ref="V97" si="228">SUM(V95:V96)</f>
        <v>3996755.057794489</v>
      </c>
      <c r="W97" s="135">
        <f t="shared" ref="W97" si="229">SUM(W95:W96)</f>
        <v>4020776.3421423868</v>
      </c>
      <c r="X97" s="135">
        <f t="shared" ref="X97" si="230">SUM(X95:X96)</f>
        <v>4037631.6974024335</v>
      </c>
      <c r="Y97" s="135">
        <f t="shared" ref="Y97" si="231">SUM(Y95:Y96)</f>
        <v>4054356.7382961735</v>
      </c>
      <c r="Z97" s="135">
        <f t="shared" ref="Z97" si="232">SUM(Z95:Z96)</f>
        <v>4070946.9103017277</v>
      </c>
      <c r="AA97" s="135">
        <f t="shared" ref="AA97" si="233">SUM(AA95:AA96)</f>
        <v>3968384.3515987433</v>
      </c>
      <c r="AB97" s="135">
        <f t="shared" ref="AB97" si="234">SUM(AB95:AB96)</f>
        <v>3985695.1381402165</v>
      </c>
      <c r="AC97" s="135">
        <f t="shared" ref="AC97" si="235">SUM(AC95:AC96)</f>
        <v>4002856.7467412334</v>
      </c>
      <c r="AD97" s="135">
        <f t="shared" ref="AD97" si="236">SUM(AD95:AD96)</f>
        <v>4019864.1845732452</v>
      </c>
      <c r="AE97" s="135">
        <f t="shared" ref="AE97" si="237">SUM(AE95:AE96)</f>
        <v>4036712.3431115118</v>
      </c>
      <c r="AF97" s="135">
        <f t="shared" ref="AF97" si="238">SUM(AF95:AF96)</f>
        <v>4053395.9955785144</v>
      </c>
      <c r="AG97" s="135">
        <f t="shared" ref="AG97" si="239">SUM(AG95:AG96)</f>
        <v>4069909.7943308847</v>
      </c>
      <c r="AH97" s="135">
        <f t="shared" ref="AH97" si="240">SUM(AH95:AH96)</f>
        <v>4086248.2681885469</v>
      </c>
      <c r="AI97" s="135">
        <f t="shared" ref="AI97" si="241">SUM(AI95:AI96)</f>
        <v>4102405.8197048204</v>
      </c>
      <c r="AJ97" s="135">
        <f t="shared" ref="AJ97" si="242">SUM(AJ95:AJ96)</f>
        <v>4118376.7223761342</v>
      </c>
      <c r="AK97" s="135">
        <f t="shared" ref="AK97" si="243">SUM(AK95:AK96)</f>
        <v>4134155.1177900448</v>
      </c>
      <c r="AL97" s="135">
        <f t="shared" ref="AL97" si="244">SUM(AL95:AL96)</f>
        <v>4149735.012710161</v>
      </c>
      <c r="AM97" s="135">
        <f t="shared" ref="AM97" si="245">SUM(AM95:AM96)</f>
        <v>4442249.0764038702</v>
      </c>
      <c r="AN97" s="135">
        <f t="shared" ref="AN97" si="246">SUM(AN95:AN96)</f>
        <v>4451274.2857278967</v>
      </c>
      <c r="AO97" s="135">
        <f t="shared" ref="AO97" si="247">SUM(AO95:AO96)</f>
        <v>4460082.1757783778</v>
      </c>
      <c r="AP97" s="135">
        <f t="shared" ref="AP97" si="248">SUM(AP95:AP96)</f>
        <v>8997163.4331542403</v>
      </c>
    </row>
    <row r="98" spans="1:42" x14ac:dyDescent="0.2">
      <c r="A98" s="163" t="s">
        <v>33</v>
      </c>
      <c r="B98" s="135"/>
      <c r="C98" s="135"/>
      <c r="D98" s="135"/>
      <c r="E98" s="135"/>
      <c r="F98" s="135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</row>
    <row r="99" spans="1:42" x14ac:dyDescent="0.2">
      <c r="A99" s="167" t="s">
        <v>37</v>
      </c>
      <c r="B99" s="135">
        <v>0</v>
      </c>
      <c r="C99" s="135">
        <f>I291+K291</f>
        <v>0</v>
      </c>
      <c r="D99" s="135">
        <v>0</v>
      </c>
      <c r="E99" s="135">
        <v>0</v>
      </c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5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5">
        <v>0</v>
      </c>
      <c r="AD99" s="135">
        <v>0</v>
      </c>
      <c r="AE99" s="135">
        <v>0</v>
      </c>
      <c r="AF99" s="135">
        <v>0</v>
      </c>
      <c r="AG99" s="135">
        <v>0</v>
      </c>
      <c r="AH99" s="135">
        <v>0</v>
      </c>
      <c r="AI99" s="135">
        <v>0</v>
      </c>
      <c r="AJ99" s="135">
        <v>0</v>
      </c>
      <c r="AK99" s="135">
        <v>0</v>
      </c>
      <c r="AL99" s="135">
        <v>0</v>
      </c>
      <c r="AM99" s="135">
        <v>0</v>
      </c>
      <c r="AN99" s="135">
        <v>0</v>
      </c>
      <c r="AO99" s="135">
        <v>0</v>
      </c>
      <c r="AP99" s="135">
        <v>0</v>
      </c>
    </row>
    <row r="100" spans="1:42" x14ac:dyDescent="0.2">
      <c r="A100" s="167" t="s">
        <v>36</v>
      </c>
      <c r="B100" s="170">
        <v>0</v>
      </c>
      <c r="C100" s="170">
        <f>I425+K425</f>
        <v>12105603.025399288</v>
      </c>
      <c r="D100" s="170">
        <v>0</v>
      </c>
      <c r="E100" s="170">
        <v>0</v>
      </c>
      <c r="F100" s="170">
        <v>0</v>
      </c>
      <c r="G100" s="170">
        <v>0</v>
      </c>
      <c r="H100" s="170">
        <v>0</v>
      </c>
      <c r="I100" s="170">
        <v>0</v>
      </c>
      <c r="J100" s="170">
        <v>0</v>
      </c>
      <c r="K100" s="170">
        <v>0</v>
      </c>
      <c r="L100" s="170">
        <v>0</v>
      </c>
      <c r="M100" s="170">
        <v>0</v>
      </c>
      <c r="N100" s="170">
        <v>0</v>
      </c>
      <c r="O100" s="170">
        <v>0</v>
      </c>
      <c r="P100" s="170">
        <v>0</v>
      </c>
      <c r="Q100" s="170">
        <v>0</v>
      </c>
      <c r="R100" s="170">
        <v>0</v>
      </c>
      <c r="S100" s="170">
        <v>0</v>
      </c>
      <c r="T100" s="170">
        <v>0</v>
      </c>
      <c r="U100" s="170">
        <v>0</v>
      </c>
      <c r="V100" s="170">
        <v>0</v>
      </c>
      <c r="W100" s="170">
        <v>0</v>
      </c>
      <c r="X100" s="170">
        <v>0</v>
      </c>
      <c r="Y100" s="170">
        <v>0</v>
      </c>
      <c r="Z100" s="170">
        <v>0</v>
      </c>
      <c r="AA100" s="170">
        <v>0</v>
      </c>
      <c r="AB100" s="170">
        <v>0</v>
      </c>
      <c r="AC100" s="170">
        <v>0</v>
      </c>
      <c r="AD100" s="170">
        <v>0</v>
      </c>
      <c r="AE100" s="170">
        <v>0</v>
      </c>
      <c r="AF100" s="170">
        <v>0</v>
      </c>
      <c r="AG100" s="170">
        <v>0</v>
      </c>
      <c r="AH100" s="170">
        <v>0</v>
      </c>
      <c r="AI100" s="170">
        <v>0</v>
      </c>
      <c r="AJ100" s="170">
        <v>0</v>
      </c>
      <c r="AK100" s="170">
        <v>0</v>
      </c>
      <c r="AL100" s="170">
        <v>0</v>
      </c>
      <c r="AM100" s="170">
        <v>0</v>
      </c>
      <c r="AN100" s="170">
        <v>0</v>
      </c>
      <c r="AO100" s="170">
        <v>0</v>
      </c>
      <c r="AP100" s="170">
        <v>0</v>
      </c>
    </row>
    <row r="101" spans="1:42" x14ac:dyDescent="0.2">
      <c r="A101" s="167" t="s">
        <v>53</v>
      </c>
      <c r="B101" s="135">
        <f>SUM(B99:B100)</f>
        <v>0</v>
      </c>
      <c r="C101" s="135">
        <f>SUM(C99:C100)</f>
        <v>12105603.025399288</v>
      </c>
      <c r="D101" s="135">
        <f>SUM(D99:D100)</f>
        <v>0</v>
      </c>
      <c r="E101" s="135">
        <f t="shared" ref="E101:AP101" si="249">SUM(E99:E100)</f>
        <v>0</v>
      </c>
      <c r="F101" s="135">
        <f t="shared" si="249"/>
        <v>0</v>
      </c>
      <c r="G101" s="135">
        <f t="shared" si="249"/>
        <v>0</v>
      </c>
      <c r="H101" s="135">
        <f t="shared" si="249"/>
        <v>0</v>
      </c>
      <c r="I101" s="135">
        <f t="shared" si="249"/>
        <v>0</v>
      </c>
      <c r="J101" s="135">
        <f t="shared" si="249"/>
        <v>0</v>
      </c>
      <c r="K101" s="135">
        <f t="shared" si="249"/>
        <v>0</v>
      </c>
      <c r="L101" s="135">
        <f t="shared" si="249"/>
        <v>0</v>
      </c>
      <c r="M101" s="135">
        <f t="shared" si="249"/>
        <v>0</v>
      </c>
      <c r="N101" s="135">
        <f t="shared" si="249"/>
        <v>0</v>
      </c>
      <c r="O101" s="135">
        <f t="shared" si="249"/>
        <v>0</v>
      </c>
      <c r="P101" s="135">
        <f t="shared" si="249"/>
        <v>0</v>
      </c>
      <c r="Q101" s="135">
        <f t="shared" si="249"/>
        <v>0</v>
      </c>
      <c r="R101" s="135">
        <f t="shared" si="249"/>
        <v>0</v>
      </c>
      <c r="S101" s="135">
        <f t="shared" si="249"/>
        <v>0</v>
      </c>
      <c r="T101" s="135">
        <f t="shared" si="249"/>
        <v>0</v>
      </c>
      <c r="U101" s="135">
        <f t="shared" si="249"/>
        <v>0</v>
      </c>
      <c r="V101" s="135">
        <f t="shared" si="249"/>
        <v>0</v>
      </c>
      <c r="W101" s="135">
        <f t="shared" si="249"/>
        <v>0</v>
      </c>
      <c r="X101" s="135">
        <f t="shared" si="249"/>
        <v>0</v>
      </c>
      <c r="Y101" s="135">
        <f t="shared" si="249"/>
        <v>0</v>
      </c>
      <c r="Z101" s="135">
        <f t="shared" si="249"/>
        <v>0</v>
      </c>
      <c r="AA101" s="135">
        <f t="shared" si="249"/>
        <v>0</v>
      </c>
      <c r="AB101" s="135">
        <f t="shared" si="249"/>
        <v>0</v>
      </c>
      <c r="AC101" s="135">
        <f t="shared" si="249"/>
        <v>0</v>
      </c>
      <c r="AD101" s="135">
        <f t="shared" si="249"/>
        <v>0</v>
      </c>
      <c r="AE101" s="135">
        <f t="shared" si="249"/>
        <v>0</v>
      </c>
      <c r="AF101" s="135">
        <f t="shared" si="249"/>
        <v>0</v>
      </c>
      <c r="AG101" s="135">
        <f t="shared" si="249"/>
        <v>0</v>
      </c>
      <c r="AH101" s="135">
        <f t="shared" si="249"/>
        <v>0</v>
      </c>
      <c r="AI101" s="135">
        <f t="shared" si="249"/>
        <v>0</v>
      </c>
      <c r="AJ101" s="135">
        <f t="shared" si="249"/>
        <v>0</v>
      </c>
      <c r="AK101" s="135">
        <f t="shared" si="249"/>
        <v>0</v>
      </c>
      <c r="AL101" s="135">
        <f t="shared" si="249"/>
        <v>0</v>
      </c>
      <c r="AM101" s="135">
        <f t="shared" si="249"/>
        <v>0</v>
      </c>
      <c r="AN101" s="135">
        <f t="shared" si="249"/>
        <v>0</v>
      </c>
      <c r="AO101" s="135">
        <f t="shared" si="249"/>
        <v>0</v>
      </c>
      <c r="AP101" s="135">
        <f t="shared" si="249"/>
        <v>0</v>
      </c>
    </row>
    <row r="102" spans="1:42" x14ac:dyDescent="0.2">
      <c r="A102" s="163" t="s">
        <v>38</v>
      </c>
      <c r="B102" s="135"/>
      <c r="C102" s="135"/>
      <c r="D102" s="135"/>
      <c r="E102" s="135"/>
      <c r="F102" s="135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</row>
    <row r="103" spans="1:42" x14ac:dyDescent="0.2">
      <c r="A103" s="167" t="s">
        <v>37</v>
      </c>
      <c r="B103" s="135">
        <f>B555</f>
        <v>0</v>
      </c>
      <c r="C103" s="135">
        <f t="shared" ref="C103:G103" si="250">C555</f>
        <v>0</v>
      </c>
      <c r="D103" s="135">
        <f t="shared" si="250"/>
        <v>0</v>
      </c>
      <c r="E103" s="135">
        <f t="shared" si="250"/>
        <v>0</v>
      </c>
      <c r="F103" s="135">
        <f t="shared" si="250"/>
        <v>0</v>
      </c>
      <c r="G103" s="135">
        <f t="shared" si="250"/>
        <v>0</v>
      </c>
      <c r="H103" s="135">
        <f t="shared" ref="H103:AO103" si="251">H555</f>
        <v>0</v>
      </c>
      <c r="I103" s="135">
        <f t="shared" si="251"/>
        <v>0</v>
      </c>
      <c r="J103" s="135">
        <f t="shared" si="251"/>
        <v>0</v>
      </c>
      <c r="K103" s="135">
        <f t="shared" si="251"/>
        <v>0</v>
      </c>
      <c r="L103" s="135">
        <f t="shared" si="251"/>
        <v>0</v>
      </c>
      <c r="M103" s="135">
        <f t="shared" si="251"/>
        <v>0</v>
      </c>
      <c r="N103" s="135">
        <f t="shared" si="251"/>
        <v>0</v>
      </c>
      <c r="O103" s="135">
        <f t="shared" si="251"/>
        <v>0</v>
      </c>
      <c r="P103" s="135">
        <f t="shared" si="251"/>
        <v>0</v>
      </c>
      <c r="Q103" s="135">
        <f t="shared" si="251"/>
        <v>0</v>
      </c>
      <c r="R103" s="135">
        <f t="shared" si="251"/>
        <v>0</v>
      </c>
      <c r="S103" s="135">
        <f t="shared" si="251"/>
        <v>0</v>
      </c>
      <c r="T103" s="135">
        <f t="shared" si="251"/>
        <v>0</v>
      </c>
      <c r="U103" s="135">
        <f t="shared" si="251"/>
        <v>0</v>
      </c>
      <c r="V103" s="135">
        <f t="shared" si="251"/>
        <v>0</v>
      </c>
      <c r="W103" s="135">
        <f t="shared" si="251"/>
        <v>0</v>
      </c>
      <c r="X103" s="135">
        <f t="shared" si="251"/>
        <v>0</v>
      </c>
      <c r="Y103" s="135">
        <f t="shared" si="251"/>
        <v>0</v>
      </c>
      <c r="Z103" s="135">
        <f t="shared" si="251"/>
        <v>0</v>
      </c>
      <c r="AA103" s="135">
        <f t="shared" si="251"/>
        <v>0</v>
      </c>
      <c r="AB103" s="135">
        <f t="shared" si="251"/>
        <v>0</v>
      </c>
      <c r="AC103" s="135">
        <f t="shared" si="251"/>
        <v>0</v>
      </c>
      <c r="AD103" s="135">
        <f t="shared" si="251"/>
        <v>0</v>
      </c>
      <c r="AE103" s="135">
        <f t="shared" si="251"/>
        <v>0</v>
      </c>
      <c r="AF103" s="135">
        <f t="shared" si="251"/>
        <v>0</v>
      </c>
      <c r="AG103" s="135">
        <f t="shared" si="251"/>
        <v>0</v>
      </c>
      <c r="AH103" s="135">
        <f t="shared" si="251"/>
        <v>0</v>
      </c>
      <c r="AI103" s="135">
        <f t="shared" si="251"/>
        <v>0</v>
      </c>
      <c r="AJ103" s="135">
        <f t="shared" si="251"/>
        <v>0</v>
      </c>
      <c r="AK103" s="135">
        <f t="shared" si="251"/>
        <v>0</v>
      </c>
      <c r="AL103" s="135">
        <f t="shared" si="251"/>
        <v>0</v>
      </c>
      <c r="AM103" s="135">
        <f t="shared" si="251"/>
        <v>0</v>
      </c>
      <c r="AN103" s="135">
        <f t="shared" si="251"/>
        <v>0</v>
      </c>
      <c r="AO103" s="135">
        <f t="shared" si="251"/>
        <v>0</v>
      </c>
      <c r="AP103" s="135">
        <f>AP555</f>
        <v>0</v>
      </c>
    </row>
    <row r="104" spans="1:42" x14ac:dyDescent="0.2">
      <c r="A104" s="167" t="s">
        <v>36</v>
      </c>
      <c r="B104" s="170">
        <f>B561</f>
        <v>0</v>
      </c>
      <c r="C104" s="170">
        <f t="shared" ref="C104:G104" si="252">C561</f>
        <v>0</v>
      </c>
      <c r="D104" s="170">
        <f t="shared" si="252"/>
        <v>0</v>
      </c>
      <c r="E104" s="170">
        <f t="shared" si="252"/>
        <v>0</v>
      </c>
      <c r="F104" s="170">
        <f t="shared" si="252"/>
        <v>0</v>
      </c>
      <c r="G104" s="170">
        <f t="shared" si="252"/>
        <v>0</v>
      </c>
      <c r="H104" s="170">
        <f t="shared" ref="H104:AO104" si="253">H561</f>
        <v>0</v>
      </c>
      <c r="I104" s="170">
        <f t="shared" si="253"/>
        <v>0</v>
      </c>
      <c r="J104" s="170">
        <f t="shared" si="253"/>
        <v>0</v>
      </c>
      <c r="K104" s="170">
        <f t="shared" si="253"/>
        <v>0</v>
      </c>
      <c r="L104" s="170">
        <f t="shared" si="253"/>
        <v>0</v>
      </c>
      <c r="M104" s="170">
        <f t="shared" si="253"/>
        <v>0</v>
      </c>
      <c r="N104" s="170">
        <f t="shared" si="253"/>
        <v>0</v>
      </c>
      <c r="O104" s="170">
        <f t="shared" si="253"/>
        <v>0</v>
      </c>
      <c r="P104" s="170">
        <f t="shared" si="253"/>
        <v>0</v>
      </c>
      <c r="Q104" s="170">
        <f t="shared" si="253"/>
        <v>0</v>
      </c>
      <c r="R104" s="170">
        <f t="shared" si="253"/>
        <v>0</v>
      </c>
      <c r="S104" s="170">
        <f t="shared" si="253"/>
        <v>0</v>
      </c>
      <c r="T104" s="170">
        <f t="shared" si="253"/>
        <v>0</v>
      </c>
      <c r="U104" s="170">
        <f t="shared" si="253"/>
        <v>0</v>
      </c>
      <c r="V104" s="170">
        <f t="shared" si="253"/>
        <v>0</v>
      </c>
      <c r="W104" s="170">
        <f t="shared" si="253"/>
        <v>0</v>
      </c>
      <c r="X104" s="170">
        <f t="shared" si="253"/>
        <v>0</v>
      </c>
      <c r="Y104" s="170">
        <f t="shared" si="253"/>
        <v>0</v>
      </c>
      <c r="Z104" s="170">
        <f t="shared" si="253"/>
        <v>0</v>
      </c>
      <c r="AA104" s="170">
        <f t="shared" si="253"/>
        <v>0</v>
      </c>
      <c r="AB104" s="170">
        <f t="shared" si="253"/>
        <v>0</v>
      </c>
      <c r="AC104" s="170">
        <f t="shared" si="253"/>
        <v>0</v>
      </c>
      <c r="AD104" s="170">
        <f t="shared" si="253"/>
        <v>0</v>
      </c>
      <c r="AE104" s="170">
        <f t="shared" si="253"/>
        <v>0</v>
      </c>
      <c r="AF104" s="170">
        <f t="shared" si="253"/>
        <v>0</v>
      </c>
      <c r="AG104" s="170">
        <f t="shared" si="253"/>
        <v>0</v>
      </c>
      <c r="AH104" s="170">
        <f t="shared" si="253"/>
        <v>0</v>
      </c>
      <c r="AI104" s="170">
        <f t="shared" si="253"/>
        <v>0</v>
      </c>
      <c r="AJ104" s="170">
        <f t="shared" si="253"/>
        <v>0</v>
      </c>
      <c r="AK104" s="170">
        <f t="shared" si="253"/>
        <v>0</v>
      </c>
      <c r="AL104" s="170">
        <f t="shared" si="253"/>
        <v>0</v>
      </c>
      <c r="AM104" s="170">
        <f t="shared" si="253"/>
        <v>0</v>
      </c>
      <c r="AN104" s="170">
        <f t="shared" si="253"/>
        <v>0</v>
      </c>
      <c r="AO104" s="170">
        <f t="shared" si="253"/>
        <v>0</v>
      </c>
      <c r="AP104" s="170">
        <f>AP561</f>
        <v>0</v>
      </c>
    </row>
    <row r="105" spans="1:42" x14ac:dyDescent="0.2">
      <c r="A105" s="167" t="s">
        <v>53</v>
      </c>
      <c r="B105" s="135">
        <f>SUM(B103:B104)</f>
        <v>0</v>
      </c>
      <c r="C105" s="135">
        <f>SUM(C103:C104)</f>
        <v>0</v>
      </c>
      <c r="D105" s="135">
        <f>SUM(D103:D104)</f>
        <v>0</v>
      </c>
      <c r="E105" s="135">
        <f t="shared" ref="E105" si="254">SUM(E103:E104)</f>
        <v>0</v>
      </c>
      <c r="F105" s="135">
        <f t="shared" ref="F105" si="255">SUM(F103:F104)</f>
        <v>0</v>
      </c>
      <c r="G105" s="135">
        <f t="shared" ref="G105" si="256">SUM(G103:G104)</f>
        <v>0</v>
      </c>
      <c r="H105" s="135">
        <f t="shared" ref="H105" si="257">SUM(H103:H104)</f>
        <v>0</v>
      </c>
      <c r="I105" s="135">
        <f t="shared" ref="I105" si="258">SUM(I103:I104)</f>
        <v>0</v>
      </c>
      <c r="J105" s="135">
        <f t="shared" ref="J105" si="259">SUM(J103:J104)</f>
        <v>0</v>
      </c>
      <c r="K105" s="135">
        <f t="shared" ref="K105" si="260">SUM(K103:K104)</f>
        <v>0</v>
      </c>
      <c r="L105" s="135">
        <f t="shared" ref="L105" si="261">SUM(L103:L104)</f>
        <v>0</v>
      </c>
      <c r="M105" s="135">
        <f t="shared" ref="M105" si="262">SUM(M103:M104)</f>
        <v>0</v>
      </c>
      <c r="N105" s="135">
        <f t="shared" ref="N105" si="263">SUM(N103:N104)</f>
        <v>0</v>
      </c>
      <c r="O105" s="135">
        <f t="shared" ref="O105" si="264">SUM(O103:O104)</f>
        <v>0</v>
      </c>
      <c r="P105" s="135">
        <f t="shared" ref="P105" si="265">SUM(P103:P104)</f>
        <v>0</v>
      </c>
      <c r="Q105" s="135">
        <f t="shared" ref="Q105" si="266">SUM(Q103:Q104)</f>
        <v>0</v>
      </c>
      <c r="R105" s="135">
        <f t="shared" ref="R105" si="267">SUM(R103:R104)</f>
        <v>0</v>
      </c>
      <c r="S105" s="135">
        <f t="shared" ref="S105" si="268">SUM(S103:S104)</f>
        <v>0</v>
      </c>
      <c r="T105" s="135">
        <f t="shared" ref="T105" si="269">SUM(T103:T104)</f>
        <v>0</v>
      </c>
      <c r="U105" s="135">
        <f t="shared" ref="U105" si="270">SUM(U103:U104)</f>
        <v>0</v>
      </c>
      <c r="V105" s="135">
        <f t="shared" ref="V105" si="271">SUM(V103:V104)</f>
        <v>0</v>
      </c>
      <c r="W105" s="135">
        <f t="shared" ref="W105" si="272">SUM(W103:W104)</f>
        <v>0</v>
      </c>
      <c r="X105" s="135">
        <f t="shared" ref="X105" si="273">SUM(X103:X104)</f>
        <v>0</v>
      </c>
      <c r="Y105" s="135">
        <f t="shared" ref="Y105" si="274">SUM(Y103:Y104)</f>
        <v>0</v>
      </c>
      <c r="Z105" s="135">
        <f t="shared" ref="Z105" si="275">SUM(Z103:Z104)</f>
        <v>0</v>
      </c>
      <c r="AA105" s="135">
        <f t="shared" ref="AA105" si="276">SUM(AA103:AA104)</f>
        <v>0</v>
      </c>
      <c r="AB105" s="135">
        <f t="shared" ref="AB105" si="277">SUM(AB103:AB104)</f>
        <v>0</v>
      </c>
      <c r="AC105" s="135">
        <f t="shared" ref="AC105" si="278">SUM(AC103:AC104)</f>
        <v>0</v>
      </c>
      <c r="AD105" s="135">
        <f t="shared" ref="AD105" si="279">SUM(AD103:AD104)</f>
        <v>0</v>
      </c>
      <c r="AE105" s="135">
        <f t="shared" ref="AE105" si="280">SUM(AE103:AE104)</f>
        <v>0</v>
      </c>
      <c r="AF105" s="135">
        <f t="shared" ref="AF105" si="281">SUM(AF103:AF104)</f>
        <v>0</v>
      </c>
      <c r="AG105" s="135">
        <f t="shared" ref="AG105" si="282">SUM(AG103:AG104)</f>
        <v>0</v>
      </c>
      <c r="AH105" s="135">
        <f t="shared" ref="AH105" si="283">SUM(AH103:AH104)</f>
        <v>0</v>
      </c>
      <c r="AI105" s="135">
        <f t="shared" ref="AI105" si="284">SUM(AI103:AI104)</f>
        <v>0</v>
      </c>
      <c r="AJ105" s="135">
        <f t="shared" ref="AJ105" si="285">SUM(AJ103:AJ104)</f>
        <v>0</v>
      </c>
      <c r="AK105" s="135">
        <f t="shared" ref="AK105" si="286">SUM(AK103:AK104)</f>
        <v>0</v>
      </c>
      <c r="AL105" s="135">
        <f t="shared" ref="AL105" si="287">SUM(AL103:AL104)</f>
        <v>0</v>
      </c>
      <c r="AM105" s="135">
        <f t="shared" ref="AM105" si="288">SUM(AM103:AM104)</f>
        <v>0</v>
      </c>
      <c r="AN105" s="135">
        <f t="shared" ref="AN105" si="289">SUM(AN103:AN104)</f>
        <v>0</v>
      </c>
      <c r="AO105" s="135">
        <f t="shared" ref="AO105" si="290">SUM(AO103:AO104)</f>
        <v>0</v>
      </c>
      <c r="AP105" s="135">
        <f t="shared" ref="AP105" si="291">SUM(AP103:AP104)</f>
        <v>0</v>
      </c>
    </row>
    <row r="106" spans="1:42" x14ac:dyDescent="0.2">
      <c r="A106" s="163" t="s">
        <v>206</v>
      </c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</row>
    <row r="107" spans="1:42" x14ac:dyDescent="0.2">
      <c r="A107" s="167" t="s">
        <v>37</v>
      </c>
      <c r="B107" s="135">
        <f>B239</f>
        <v>0</v>
      </c>
      <c r="C107" s="135">
        <f>C239</f>
        <v>276625.86981534981</v>
      </c>
      <c r="D107" s="135">
        <f t="shared" ref="D107:G107" si="292">D239</f>
        <v>504163.439788502</v>
      </c>
      <c r="E107" s="135">
        <f t="shared" si="292"/>
        <v>256953.95691988844</v>
      </c>
      <c r="F107" s="135">
        <f t="shared" si="292"/>
        <v>106003.78175163997</v>
      </c>
      <c r="G107" s="135">
        <f t="shared" si="292"/>
        <v>99570.554430629898</v>
      </c>
      <c r="H107" s="135">
        <f t="shared" ref="H107:AP107" si="293">H239</f>
        <v>-15919.561931193066</v>
      </c>
      <c r="I107" s="135">
        <f t="shared" si="293"/>
        <v>-131727.1575482272</v>
      </c>
      <c r="J107" s="135">
        <f t="shared" si="293"/>
        <v>-139250.01387695395</v>
      </c>
      <c r="K107" s="135">
        <f t="shared" si="293"/>
        <v>-147283.23753346104</v>
      </c>
      <c r="L107" s="135">
        <f t="shared" si="293"/>
        <v>-155908.87623546412</v>
      </c>
      <c r="M107" s="135">
        <f t="shared" si="293"/>
        <v>-165126.11553645381</v>
      </c>
      <c r="N107" s="135">
        <f t="shared" si="293"/>
        <v>-142633.73193298039</v>
      </c>
      <c r="O107" s="135">
        <f t="shared" si="293"/>
        <v>-130937.4865392284</v>
      </c>
      <c r="P107" s="135">
        <f t="shared" si="293"/>
        <v>-162945.75339824884</v>
      </c>
      <c r="Q107" s="135">
        <f t="shared" si="293"/>
        <v>-187454.2982100299</v>
      </c>
      <c r="R107" s="135">
        <f t="shared" si="293"/>
        <v>-202647.6333291207</v>
      </c>
      <c r="S107" s="135">
        <f t="shared" si="293"/>
        <v>-217318.48697158764</v>
      </c>
      <c r="T107" s="135">
        <f t="shared" si="293"/>
        <v>-228388.85422316799</v>
      </c>
      <c r="U107" s="135">
        <f t="shared" si="293"/>
        <v>-230123.77500419054</v>
      </c>
      <c r="V107" s="135">
        <f t="shared" si="293"/>
        <v>-231852.37923500352</v>
      </c>
      <c r="W107" s="135">
        <f t="shared" si="293"/>
        <v>-235444.68362699513</v>
      </c>
      <c r="X107" s="135">
        <f t="shared" si="293"/>
        <v>-238248.9002107782</v>
      </c>
      <c r="Y107" s="135">
        <f t="shared" si="293"/>
        <v>-239175.84342571808</v>
      </c>
      <c r="Z107" s="135">
        <f t="shared" si="293"/>
        <v>-201365.14167099277</v>
      </c>
      <c r="AA107" s="135">
        <f t="shared" si="293"/>
        <v>-175650.15459742455</v>
      </c>
      <c r="AB107" s="135">
        <f t="shared" si="293"/>
        <v>-201397.19469084844</v>
      </c>
      <c r="AC107" s="135">
        <f t="shared" si="293"/>
        <v>-217221.20876756735</v>
      </c>
      <c r="AD107" s="135">
        <f t="shared" si="293"/>
        <v>-218164.43789640613</v>
      </c>
      <c r="AE107" s="135">
        <f t="shared" si="293"/>
        <v>-230253.41425487789</v>
      </c>
      <c r="AF107" s="135">
        <f t="shared" si="293"/>
        <v>-242333.50670700616</v>
      </c>
      <c r="AG107" s="135">
        <f t="shared" si="293"/>
        <v>-243250.07754289376</v>
      </c>
      <c r="AH107" s="135">
        <f t="shared" si="293"/>
        <v>-244157.17646246785</v>
      </c>
      <c r="AI107" s="135">
        <f t="shared" si="293"/>
        <v>-245054.49923346358</v>
      </c>
      <c r="AJ107" s="135">
        <f t="shared" si="293"/>
        <v>-245941.73460416362</v>
      </c>
      <c r="AK107" s="135">
        <f t="shared" si="293"/>
        <v>-246818.56414827204</v>
      </c>
      <c r="AL107" s="135">
        <f t="shared" si="293"/>
        <v>-201377.92585247839</v>
      </c>
      <c r="AM107" s="135">
        <f t="shared" si="293"/>
        <v>-170397.07779536431</v>
      </c>
      <c r="AN107" s="135">
        <f t="shared" si="293"/>
        <v>-200539.36307394429</v>
      </c>
      <c r="AO107" s="135">
        <f t="shared" si="293"/>
        <v>-218815.36936972811</v>
      </c>
      <c r="AP107" s="135">
        <f t="shared" si="293"/>
        <v>-440706.65292053996</v>
      </c>
    </row>
    <row r="108" spans="1:42" x14ac:dyDescent="0.2">
      <c r="A108" s="167" t="s">
        <v>36</v>
      </c>
      <c r="B108" s="170">
        <f>B278</f>
        <v>0</v>
      </c>
      <c r="C108" s="170">
        <f>C278</f>
        <v>1663527.3898441263</v>
      </c>
      <c r="D108" s="170">
        <f t="shared" ref="D108:G108" si="294">D278</f>
        <v>3031855.5947281281</v>
      </c>
      <c r="E108" s="170">
        <f t="shared" si="294"/>
        <v>1545227.6591136928</v>
      </c>
      <c r="F108" s="170">
        <f t="shared" si="294"/>
        <v>637468.1966246349</v>
      </c>
      <c r="G108" s="170">
        <f t="shared" si="294"/>
        <v>598781.10687146976</v>
      </c>
      <c r="H108" s="170">
        <f t="shared" ref="H108:AP108" si="295">H278</f>
        <v>-95734.456522583758</v>
      </c>
      <c r="I108" s="170">
        <f t="shared" si="295"/>
        <v>-792159.2247104753</v>
      </c>
      <c r="J108" s="170">
        <f t="shared" si="295"/>
        <v>-837398.9470873184</v>
      </c>
      <c r="K108" s="170">
        <f t="shared" si="295"/>
        <v>-885707.83298531349</v>
      </c>
      <c r="L108" s="170">
        <f t="shared" si="295"/>
        <v>-937579.28754326829</v>
      </c>
      <c r="M108" s="170">
        <f t="shared" si="295"/>
        <v>-993008.41297603806</v>
      </c>
      <c r="N108" s="170">
        <f t="shared" si="295"/>
        <v>-857747.39703333192</v>
      </c>
      <c r="O108" s="170">
        <f t="shared" si="295"/>
        <v>-787410.43041545071</v>
      </c>
      <c r="P108" s="170">
        <f t="shared" si="295"/>
        <v>-979896.5079358326</v>
      </c>
      <c r="Q108" s="170">
        <f t="shared" si="295"/>
        <v>-1127281.9842357705</v>
      </c>
      <c r="R108" s="170">
        <f t="shared" si="295"/>
        <v>-1218649.1767928486</v>
      </c>
      <c r="S108" s="170">
        <f t="shared" si="295"/>
        <v>-1306874.3557427747</v>
      </c>
      <c r="T108" s="170">
        <f t="shared" si="295"/>
        <v>-1373447.5188056873</v>
      </c>
      <c r="U108" s="170">
        <f t="shared" si="295"/>
        <v>-1383880.7015024731</v>
      </c>
      <c r="V108" s="170">
        <f t="shared" si="295"/>
        <v>-1394275.8987632256</v>
      </c>
      <c r="W108" s="170">
        <f t="shared" si="295"/>
        <v>-1415878.711084157</v>
      </c>
      <c r="X108" s="170">
        <f t="shared" si="295"/>
        <v>-1432742.2499039068</v>
      </c>
      <c r="Y108" s="170">
        <f t="shared" si="295"/>
        <v>-1438316.5493282953</v>
      </c>
      <c r="Z108" s="170">
        <f t="shared" si="295"/>
        <v>-1210936.7383214701</v>
      </c>
      <c r="AA108" s="170">
        <f t="shared" si="295"/>
        <v>-1056296.1569654213</v>
      </c>
      <c r="AB108" s="170">
        <f t="shared" si="295"/>
        <v>-1211129.4935272385</v>
      </c>
      <c r="AC108" s="170">
        <f t="shared" si="295"/>
        <v>-1306289.359997689</v>
      </c>
      <c r="AD108" s="170">
        <f t="shared" si="295"/>
        <v>-1311961.596986115</v>
      </c>
      <c r="AE108" s="170">
        <f t="shared" si="295"/>
        <v>-1384660.304814561</v>
      </c>
      <c r="AF108" s="170">
        <f t="shared" si="295"/>
        <v>-1457305.5880607688</v>
      </c>
      <c r="AG108" s="170">
        <f t="shared" si="295"/>
        <v>-1462817.511769311</v>
      </c>
      <c r="AH108" s="170">
        <f t="shared" si="295"/>
        <v>-1468272.4748174772</v>
      </c>
      <c r="AI108" s="170">
        <f t="shared" si="295"/>
        <v>-1473668.6476630559</v>
      </c>
      <c r="AJ108" s="170">
        <f t="shared" si="295"/>
        <v>-1479004.1585514019</v>
      </c>
      <c r="AK108" s="170">
        <f t="shared" si="295"/>
        <v>-1484277.0925825629</v>
      </c>
      <c r="AL108" s="170">
        <f t="shared" si="295"/>
        <v>-1211013.6177401314</v>
      </c>
      <c r="AM108" s="170">
        <f t="shared" si="295"/>
        <v>-1024706.063287577</v>
      </c>
      <c r="AN108" s="170">
        <f t="shared" si="295"/>
        <v>-1205970.8061219468</v>
      </c>
      <c r="AO108" s="170">
        <f t="shared" si="295"/>
        <v>-1315876.0621643194</v>
      </c>
      <c r="AP108" s="170">
        <f t="shared" si="295"/>
        <v>-2650249.5536994287</v>
      </c>
    </row>
    <row r="109" spans="1:42" x14ac:dyDescent="0.2">
      <c r="A109" s="167" t="s">
        <v>53</v>
      </c>
      <c r="B109" s="177">
        <f>SUM(B107:B108)</f>
        <v>0</v>
      </c>
      <c r="C109" s="177">
        <f>SUM(C107:C108)</f>
        <v>1940153.2596594761</v>
      </c>
      <c r="D109" s="177">
        <f>SUM(D107:D108)</f>
        <v>3536019.0345166302</v>
      </c>
      <c r="E109" s="177">
        <f t="shared" ref="E109" si="296">SUM(E107:E108)</f>
        <v>1802181.6160335813</v>
      </c>
      <c r="F109" s="177">
        <f t="shared" ref="F109" si="297">SUM(F107:F108)</f>
        <v>743471.97837627493</v>
      </c>
      <c r="G109" s="177">
        <f t="shared" ref="G109" si="298">SUM(G107:G108)</f>
        <v>698351.6613020997</v>
      </c>
      <c r="H109" s="177">
        <f t="shared" ref="H109" si="299">SUM(H107:H108)</f>
        <v>-111654.01845377682</v>
      </c>
      <c r="I109" s="177">
        <f t="shared" ref="I109" si="300">SUM(I107:I108)</f>
        <v>-923886.38225870254</v>
      </c>
      <c r="J109" s="177">
        <f t="shared" ref="J109" si="301">SUM(J107:J108)</f>
        <v>-976648.96096427238</v>
      </c>
      <c r="K109" s="177">
        <f t="shared" ref="K109" si="302">SUM(K107:K108)</f>
        <v>-1032991.0705187746</v>
      </c>
      <c r="L109" s="177">
        <f t="shared" ref="L109" si="303">SUM(L107:L108)</f>
        <v>-1093488.1637787325</v>
      </c>
      <c r="M109" s="177">
        <f t="shared" ref="M109" si="304">SUM(M107:M108)</f>
        <v>-1158134.5285124918</v>
      </c>
      <c r="N109" s="177">
        <f t="shared" ref="N109" si="305">SUM(N107:N108)</f>
        <v>-1000381.1289663123</v>
      </c>
      <c r="O109" s="177">
        <f t="shared" ref="O109" si="306">SUM(O107:O108)</f>
        <v>-918347.91695467907</v>
      </c>
      <c r="P109" s="177">
        <f t="shared" ref="P109" si="307">SUM(P107:P108)</f>
        <v>-1142842.2613340814</v>
      </c>
      <c r="Q109" s="177">
        <f t="shared" ref="Q109" si="308">SUM(Q107:Q108)</f>
        <v>-1314736.2824458005</v>
      </c>
      <c r="R109" s="177">
        <f t="shared" ref="R109" si="309">SUM(R107:R108)</f>
        <v>-1421296.8101219693</v>
      </c>
      <c r="S109" s="177">
        <f t="shared" ref="S109" si="310">SUM(S107:S108)</f>
        <v>-1524192.8427143623</v>
      </c>
      <c r="T109" s="177">
        <f t="shared" ref="T109" si="311">SUM(T107:T108)</f>
        <v>-1601836.3730288553</v>
      </c>
      <c r="U109" s="177">
        <f t="shared" ref="U109" si="312">SUM(U107:U108)</f>
        <v>-1614004.4765066637</v>
      </c>
      <c r="V109" s="177">
        <f t="shared" ref="V109" si="313">SUM(V107:V108)</f>
        <v>-1626128.2779982293</v>
      </c>
      <c r="W109" s="177">
        <f t="shared" ref="W109" si="314">SUM(W107:W108)</f>
        <v>-1651323.3947111522</v>
      </c>
      <c r="X109" s="177">
        <f t="shared" ref="X109" si="315">SUM(X107:X108)</f>
        <v>-1670991.1501146851</v>
      </c>
      <c r="Y109" s="177">
        <f t="shared" ref="Y109" si="316">SUM(Y107:Y108)</f>
        <v>-1677492.3927540134</v>
      </c>
      <c r="Z109" s="177">
        <f t="shared" ref="Z109" si="317">SUM(Z107:Z108)</f>
        <v>-1412301.8799924629</v>
      </c>
      <c r="AA109" s="177">
        <f t="shared" ref="AA109" si="318">SUM(AA107:AA108)</f>
        <v>-1231946.3115628459</v>
      </c>
      <c r="AB109" s="177">
        <f t="shared" ref="AB109" si="319">SUM(AB107:AB108)</f>
        <v>-1412526.688218087</v>
      </c>
      <c r="AC109" s="177">
        <f t="shared" ref="AC109" si="320">SUM(AC107:AC108)</f>
        <v>-1523510.5687652563</v>
      </c>
      <c r="AD109" s="177">
        <f t="shared" ref="AD109" si="321">SUM(AD107:AD108)</f>
        <v>-1530126.034882521</v>
      </c>
      <c r="AE109" s="177">
        <f t="shared" ref="AE109" si="322">SUM(AE107:AE108)</f>
        <v>-1614913.719069439</v>
      </c>
      <c r="AF109" s="177">
        <f t="shared" ref="AF109" si="323">SUM(AF107:AF108)</f>
        <v>-1699639.0947677749</v>
      </c>
      <c r="AG109" s="177">
        <f t="shared" ref="AG109" si="324">SUM(AG107:AG108)</f>
        <v>-1706067.5893122049</v>
      </c>
      <c r="AH109" s="177">
        <f t="shared" ref="AH109" si="325">SUM(AH107:AH108)</f>
        <v>-1712429.6512799449</v>
      </c>
      <c r="AI109" s="177">
        <f t="shared" ref="AI109" si="326">SUM(AI107:AI108)</f>
        <v>-1718723.1468965195</v>
      </c>
      <c r="AJ109" s="177">
        <f t="shared" ref="AJ109" si="327">SUM(AJ107:AJ108)</f>
        <v>-1724945.8931555655</v>
      </c>
      <c r="AK109" s="177">
        <f t="shared" ref="AK109" si="328">SUM(AK107:AK108)</f>
        <v>-1731095.6567308349</v>
      </c>
      <c r="AL109" s="177">
        <f t="shared" ref="AL109" si="329">SUM(AL107:AL108)</f>
        <v>-1412391.5435926099</v>
      </c>
      <c r="AM109" s="177">
        <f t="shared" ref="AM109" si="330">SUM(AM107:AM108)</f>
        <v>-1195103.1410829413</v>
      </c>
      <c r="AN109" s="177">
        <f t="shared" ref="AN109" si="331">SUM(AN107:AN108)</f>
        <v>-1406510.1691958911</v>
      </c>
      <c r="AO109" s="177">
        <f t="shared" ref="AO109" si="332">SUM(AO107:AO108)</f>
        <v>-1534691.4315340475</v>
      </c>
      <c r="AP109" s="177">
        <f t="shared" ref="AP109" si="333">SUM(AP107:AP108)</f>
        <v>-3090956.2066199686</v>
      </c>
    </row>
    <row r="110" spans="1:42" x14ac:dyDescent="0.2">
      <c r="A110" s="163" t="s">
        <v>53</v>
      </c>
      <c r="B110" s="135">
        <f>B97+B101+B105+B109</f>
        <v>-21934445.075293351</v>
      </c>
      <c r="C110" s="135">
        <f t="shared" ref="C110:AP110" si="334">C97+C101+C105+C109</f>
        <v>14971256.716199983</v>
      </c>
      <c r="D110" s="135">
        <f t="shared" si="334"/>
        <v>4473104.5387258213</v>
      </c>
      <c r="E110" s="135">
        <f t="shared" si="334"/>
        <v>2750837.5936768362</v>
      </c>
      <c r="F110" s="135">
        <f t="shared" si="334"/>
        <v>1703683.0919780864</v>
      </c>
      <c r="G110" s="135">
        <f t="shared" si="334"/>
        <v>1670101.8178095629</v>
      </c>
      <c r="H110" s="135">
        <f t="shared" si="334"/>
        <v>871618.31420067465</v>
      </c>
      <c r="I110" s="135">
        <f t="shared" si="334"/>
        <v>70890.467548747081</v>
      </c>
      <c r="J110" s="135">
        <f t="shared" si="334"/>
        <v>29613.93582723604</v>
      </c>
      <c r="K110" s="135">
        <f t="shared" si="334"/>
        <v>-15261.427445775713</v>
      </c>
      <c r="L110" s="135">
        <f t="shared" si="334"/>
        <v>-64311.925447450019</v>
      </c>
      <c r="M110" s="135">
        <f t="shared" si="334"/>
        <v>-117532.71649150737</v>
      </c>
      <c r="N110" s="135">
        <f t="shared" si="334"/>
        <v>69404.29898985906</v>
      </c>
      <c r="O110" s="135">
        <f t="shared" si="334"/>
        <v>80746.007994075655</v>
      </c>
      <c r="P110" s="135">
        <f t="shared" si="334"/>
        <v>-131551.15681610326</v>
      </c>
      <c r="Q110" s="135">
        <f t="shared" si="334"/>
        <v>1133874.476751843</v>
      </c>
      <c r="R110" s="135">
        <f t="shared" si="334"/>
        <v>2449538.1404062756</v>
      </c>
      <c r="S110" s="135">
        <f t="shared" si="334"/>
        <v>2378289.7963779103</v>
      </c>
      <c r="T110" s="135">
        <f t="shared" si="334"/>
        <v>2332184.9012171831</v>
      </c>
      <c r="U110" s="135">
        <f t="shared" si="334"/>
        <v>2351442.3216096656</v>
      </c>
      <c r="V110" s="135">
        <f t="shared" si="334"/>
        <v>2370626.7797962595</v>
      </c>
      <c r="W110" s="135">
        <f t="shared" si="334"/>
        <v>2369452.9474312346</v>
      </c>
      <c r="X110" s="135">
        <f t="shared" si="334"/>
        <v>2366640.5472877482</v>
      </c>
      <c r="Y110" s="135">
        <f t="shared" si="334"/>
        <v>2376864.3455421599</v>
      </c>
      <c r="Z110" s="135">
        <f t="shared" si="334"/>
        <v>2658645.0303092645</v>
      </c>
      <c r="AA110" s="135">
        <f t="shared" si="334"/>
        <v>2736438.0400358974</v>
      </c>
      <c r="AB110" s="135">
        <f t="shared" si="334"/>
        <v>2573168.4499221295</v>
      </c>
      <c r="AC110" s="135">
        <f t="shared" si="334"/>
        <v>2479346.1779759768</v>
      </c>
      <c r="AD110" s="135">
        <f t="shared" si="334"/>
        <v>2489738.149690724</v>
      </c>
      <c r="AE110" s="135">
        <f t="shared" si="334"/>
        <v>2421798.6240420728</v>
      </c>
      <c r="AF110" s="135">
        <f t="shared" si="334"/>
        <v>2353756.9008107395</v>
      </c>
      <c r="AG110" s="135">
        <f t="shared" si="334"/>
        <v>2363842.2050186796</v>
      </c>
      <c r="AH110" s="135">
        <f t="shared" si="334"/>
        <v>2373818.616908602</v>
      </c>
      <c r="AI110" s="135">
        <f t="shared" si="334"/>
        <v>2383682.6728083007</v>
      </c>
      <c r="AJ110" s="135">
        <f t="shared" si="334"/>
        <v>2393430.8292205688</v>
      </c>
      <c r="AK110" s="135">
        <f t="shared" si="334"/>
        <v>2403059.4610592099</v>
      </c>
      <c r="AL110" s="135">
        <f t="shared" si="334"/>
        <v>2737343.4691175511</v>
      </c>
      <c r="AM110" s="135">
        <f t="shared" si="334"/>
        <v>3247145.9353209287</v>
      </c>
      <c r="AN110" s="135">
        <f t="shared" si="334"/>
        <v>3044764.1165320054</v>
      </c>
      <c r="AO110" s="135">
        <f t="shared" si="334"/>
        <v>2925390.7442443306</v>
      </c>
      <c r="AP110" s="135">
        <f t="shared" si="334"/>
        <v>5906207.2265342716</v>
      </c>
    </row>
    <row r="111" spans="1:42" x14ac:dyDescent="0.2">
      <c r="A111" s="167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</row>
    <row r="112" spans="1:42" x14ac:dyDescent="0.2">
      <c r="A112" s="163" t="s">
        <v>323</v>
      </c>
      <c r="B112" s="184">
        <f>ROUND(IF(ISERROR(IRR($B110:B110)),0,IRR($B110:B110)),4)</f>
        <v>0</v>
      </c>
      <c r="C112" s="184">
        <f>ROUND(IF(ISERROR(IRR($B110:C110)),0,IRR($B110:C110)),4)</f>
        <v>-0.3175</v>
      </c>
      <c r="D112" s="184">
        <f>ROUND(IF(ISERROR(IRR($B110:D110)),0,IRR($B110:D110)),4)</f>
        <v>-9.2700000000000005E-2</v>
      </c>
      <c r="E112" s="184">
        <f>ROUND(IF(ISERROR(IRR($B110:E110)),0,IRR($B110:E110)),4)</f>
        <v>8.2000000000000007E-3</v>
      </c>
      <c r="F112" s="184">
        <f>ROUND(IF(ISERROR(IRR($B110:F110)),0,IRR($B110:F110)),4)</f>
        <v>5.4800000000000001E-2</v>
      </c>
      <c r="G112" s="184">
        <f>ROUND(IF(ISERROR(IRR($B110:G110)),0,IRR($B110:G110)),4)</f>
        <v>8.9499999999999996E-2</v>
      </c>
      <c r="H112" s="184">
        <f>ROUND(IF(ISERROR(IRR($B110:H110)),0,IRR($B110:H110)),4)</f>
        <v>0.1037</v>
      </c>
      <c r="I112" s="184">
        <f>ROUND(IF(ISERROR(IRR($B110:I110)),0,IRR($B110:I110)),4)</f>
        <v>0.1046</v>
      </c>
      <c r="J112" s="184">
        <f>ROUND(IF(ISERROR(IRR($B110:J110)),0,IRR($B110:J110)),4)</f>
        <v>0.105</v>
      </c>
      <c r="K112" s="184">
        <f>ROUND(IF(ISERROR(IRR($B110:K110)),0,IRR($B110:K110)),4)</f>
        <v>0.1048</v>
      </c>
      <c r="L112" s="184">
        <f>ROUND(IF(ISERROR(IRR($B110:L110)),0,IRR($B110:L110)),4)</f>
        <v>0.1042</v>
      </c>
      <c r="M112" s="184">
        <f>ROUND(IF(ISERROR(IRR($B110:M110)),0,IRR($B110:M110)),4)</f>
        <v>0.1031</v>
      </c>
      <c r="N112" s="184">
        <f>ROUND(IF(ISERROR(IRR($B110:N110)),0,IRR($B110:N110)),4)</f>
        <v>0.1037</v>
      </c>
      <c r="O112" s="184">
        <f>ROUND(IF(ISERROR(IRR($B110:O110)),0,IRR($B110:O110)),4)</f>
        <v>0.1043</v>
      </c>
      <c r="P112" s="184">
        <f>ROUND(IF(ISERROR(IRR($B110:P110)),0,IRR($B110:P110)),4)</f>
        <v>0.10340000000000001</v>
      </c>
      <c r="Q112" s="184">
        <f>ROUND(IF(ISERROR(IRR($B110:Q110)),0,IRR($B110:Q110)),4)</f>
        <v>0.1101</v>
      </c>
      <c r="R112" s="184">
        <f>ROUND(IF(ISERROR(IRR($B110:R110)),0,IRR($B110:R110)),4)</f>
        <v>0.1207</v>
      </c>
      <c r="S112" s="184">
        <f>ROUND(IF(ISERROR(IRR($B110:S110)),0,IRR($B110:S110)),4)</f>
        <v>0.12809999999999999</v>
      </c>
      <c r="T112" s="184">
        <f>ROUND(IF(ISERROR(IRR($B110:T110)),0,IRR($B110:T110)),4)</f>
        <v>0.1336</v>
      </c>
      <c r="U112" s="184">
        <f>ROUND(IF(ISERROR(IRR($B110:U110)),0,IRR($B110:U110)),4)</f>
        <v>0.13789999999999999</v>
      </c>
      <c r="V112" s="184">
        <f>ROUND(IF(ISERROR(IRR($B110:V110)),0,IRR($B110:V110)),4)</f>
        <v>0.1414</v>
      </c>
      <c r="W112" s="184">
        <f>ROUND(IF(ISERROR(IRR($B110:W110)),0,IRR($B110:W110)),4)</f>
        <v>0.14419999999999999</v>
      </c>
      <c r="X112" s="184">
        <f>ROUND(IF(ISERROR(IRR($B110:X110)),0,IRR($B110:X110)),4)</f>
        <v>0.1464</v>
      </c>
      <c r="Y112" s="184">
        <f>ROUND(IF(ISERROR(IRR($B110:Y110)),0,IRR($B110:Y110)),4)</f>
        <v>0.14829999999999999</v>
      </c>
      <c r="Z112" s="184">
        <f>ROUND(IF(ISERROR(IRR($B110:Z110)),0,IRR($B110:Z110)),4)</f>
        <v>0.15</v>
      </c>
      <c r="AA112" s="184">
        <f>ROUND(IF(ISERROR(IRR($B110:AA110)),0,IRR($B110:AA110)),4)</f>
        <v>0.15140000000000001</v>
      </c>
      <c r="AB112" s="184">
        <f>ROUND(IF(ISERROR(IRR($B110:AB110)),0,IRR($B110:AB110)),4)</f>
        <v>0.15260000000000001</v>
      </c>
      <c r="AC112" s="184">
        <f>ROUND(IF(ISERROR(IRR($B110:AC110)),0,IRR($B110:AC110)),4)</f>
        <v>0.1535</v>
      </c>
      <c r="AD112" s="184">
        <f>ROUND(IF(ISERROR(IRR($B110:AD110)),0,IRR($B110:AD110)),4)</f>
        <v>0.1542</v>
      </c>
      <c r="AE112" s="184">
        <f>ROUND(IF(ISERROR(IRR($B110:AE110)),0,IRR($B110:AE110)),4)</f>
        <v>0.15490000000000001</v>
      </c>
      <c r="AF112" s="184">
        <f>ROUND(IF(ISERROR(IRR($B110:AF110)),0,IRR($B110:AF110)),4)</f>
        <v>0.15540000000000001</v>
      </c>
      <c r="AG112" s="184">
        <f>ROUND(IF(ISERROR(IRR($B110:AG110)),0,IRR($B110:AG110)),4)</f>
        <v>0.15579999999999999</v>
      </c>
      <c r="AH112" s="184">
        <f>ROUND(IF(ISERROR(IRR($B110:AH110)),0,IRR($B110:AH110)),4)</f>
        <v>0.15620000000000001</v>
      </c>
      <c r="AI112" s="184">
        <f>ROUND(IF(ISERROR(IRR($B110:AI110)),0,IRR($B110:AI110)),4)</f>
        <v>0.1565</v>
      </c>
      <c r="AJ112" s="184">
        <f>ROUND(IF(ISERROR(IRR($B110:AJ110)),0,IRR($B110:AJ110)),4)</f>
        <v>0.15679999999999999</v>
      </c>
      <c r="AK112" s="184">
        <f>ROUND(IF(ISERROR(IRR($B110:AK110)),0,IRR($B110:AK110)),4)</f>
        <v>0.15709999999999999</v>
      </c>
      <c r="AL112" s="184">
        <f>ROUND(IF(ISERROR(IRR($B110:AL110)),0,IRR($B110:AL110)),4)</f>
        <v>0.1573</v>
      </c>
      <c r="AM112" s="184">
        <f>ROUND(IF(ISERROR(IRR($B110:AM110)),0,IRR($B110:AM110)),4)</f>
        <v>0.1575</v>
      </c>
      <c r="AN112" s="184">
        <f>ROUND(IF(ISERROR(IRR($B110:AN110)),0,IRR($B110:AN110)),4)</f>
        <v>0.15770000000000001</v>
      </c>
      <c r="AO112" s="184">
        <f>ROUND(IF(ISERROR(IRR($B110:AO110)),0,IRR($B110:AO110)),4)</f>
        <v>0.15790000000000001</v>
      </c>
      <c r="AP112" s="184">
        <f>ROUND(IF(ISERROR(IRR($B110:AP110)),0,IRR($B110:AP110)),4)</f>
        <v>0.15809999999999999</v>
      </c>
    </row>
    <row r="113" spans="1:42" x14ac:dyDescent="0.2">
      <c r="A113" s="163" t="s">
        <v>324</v>
      </c>
      <c r="B113" s="230">
        <f>B110</f>
        <v>-21934445.075293351</v>
      </c>
      <c r="C113" s="230">
        <f>NPV(DiscountRate,$C110:C110)+$B110</f>
        <v>-8072170.3380711451</v>
      </c>
      <c r="D113" s="230">
        <f>NPV(DiscountRate,$C110:D110)+$B110</f>
        <v>-4237204.1697533987</v>
      </c>
      <c r="E113" s="230">
        <f>NPV(DiscountRate,$C110:E110)+$B110</f>
        <v>-2053500.598082386</v>
      </c>
      <c r="F113" s="230">
        <f>NPV(DiscountRate,$C110:F110)+$B110</f>
        <v>-801242.66577392444</v>
      </c>
      <c r="G113" s="230">
        <f>NPV(DiscountRate,$C110:G110)+$B110</f>
        <v>335400.56876279041</v>
      </c>
      <c r="H113" s="230">
        <f>NPV(DiscountRate,$C110:H110)+$B110</f>
        <v>884667.95660710707</v>
      </c>
      <c r="I113" s="230">
        <f>NPV(DiscountRate,$C110:I110)+$B110</f>
        <v>926031.86353744194</v>
      </c>
      <c r="J113" s="230">
        <f>NPV(DiscountRate,$C110:J110)+$B110</f>
        <v>942031.3516125381</v>
      </c>
      <c r="K113" s="230">
        <f>NPV(DiscountRate,$C110:K110)+$B110</f>
        <v>934396.838295836</v>
      </c>
      <c r="L113" s="230">
        <f>NPV(DiscountRate,$C110:L110)+$B110</f>
        <v>904607.97322238982</v>
      </c>
      <c r="M113" s="230">
        <f>NPV(DiscountRate,$C110:M110)+$B110</f>
        <v>854200.20570778847</v>
      </c>
      <c r="N113" s="230">
        <f>NPV(DiscountRate,$C110:N110)+$B110</f>
        <v>881761.60774584487</v>
      </c>
      <c r="O113" s="230">
        <f>NPV(DiscountRate,$C110:O110)+$B110</f>
        <v>911451.74731083214</v>
      </c>
      <c r="P113" s="230">
        <f>NPV(DiscountRate,$C110:P110)+$B110</f>
        <v>866663.70346869156</v>
      </c>
      <c r="Q113" s="230">
        <f>NPV(DiscountRate,$C110:Q110)+$B110</f>
        <v>1224108.2267372496</v>
      </c>
      <c r="R113" s="230">
        <f>NPV(DiscountRate,$C110:R110)+$B110</f>
        <v>1939105.0598489605</v>
      </c>
      <c r="S113" s="230">
        <f>NPV(DiscountRate,$C110:S110)+$B110</f>
        <v>2581882.9493492655</v>
      </c>
      <c r="T113" s="230">
        <f>NPV(DiscountRate,$C110:T110)+$B110</f>
        <v>3165509.9565980732</v>
      </c>
      <c r="U113" s="230">
        <f>NPV(DiscountRate,$C110:U110)+$B110</f>
        <v>3710367.5103066936</v>
      </c>
      <c r="V113" s="230">
        <f>NPV(DiscountRate,$C110:V110)+$B110</f>
        <v>4218981.2363360301</v>
      </c>
      <c r="W113" s="230">
        <f>NPV(DiscountRate,$C110:W110)+$B110</f>
        <v>4689686.6830023527</v>
      </c>
      <c r="X113" s="230">
        <f>NPV(DiscountRate,$C110:X110)+$B110</f>
        <v>5125007.7452368699</v>
      </c>
      <c r="Y113" s="230">
        <f>NPV(DiscountRate,$C110:Y110)+$B110</f>
        <v>5529824.0719676502</v>
      </c>
      <c r="Z113" s="230">
        <f>NPV(DiscountRate,$C110:Z110)+$B110</f>
        <v>5949090.6313791722</v>
      </c>
      <c r="AA113" s="230">
        <f>NPV(DiscountRate,$C110:AA110)+$B110</f>
        <v>6348659.5809092149</v>
      </c>
      <c r="AB113" s="230">
        <f>NPV(DiscountRate,$C110:AB110)+$B110</f>
        <v>6696556.4939144365</v>
      </c>
      <c r="AC113" s="230">
        <f>NPV(DiscountRate,$C110:AC110)+$B110</f>
        <v>7006937.9535011053</v>
      </c>
      <c r="AD113" s="230">
        <f>NPV(DiscountRate,$C110:AD110)+$B110</f>
        <v>7295532.7659658566</v>
      </c>
      <c r="AE113" s="230">
        <f>NPV(DiscountRate,$C110:AE110)+$B110</f>
        <v>7555458.4041743428</v>
      </c>
      <c r="AF113" s="230">
        <f>NPV(DiscountRate,$C110:AF110)+$B110</f>
        <v>7789368.4864475988</v>
      </c>
      <c r="AG113" s="230">
        <f>NPV(DiscountRate,$C110:AG110)+$B110</f>
        <v>8006879.9058025964</v>
      </c>
      <c r="AH113" s="230">
        <f>NPV(DiscountRate,$C110:AH110)+$B110</f>
        <v>8209129.3589108214</v>
      </c>
      <c r="AI113" s="230">
        <f>NPV(DiscountRate,$C110:AI110)+$B110</f>
        <v>8397175.5358694196</v>
      </c>
      <c r="AJ113" s="230">
        <f>NPV(DiscountRate,$C110:AJ110)+$B110</f>
        <v>8572004.4234558381</v>
      </c>
      <c r="AK113" s="230">
        <f>NPV(DiscountRate,$C110:AK110)+$B110</f>
        <v>8734534.2511841133</v>
      </c>
      <c r="AL113" s="230">
        <f>NPV(DiscountRate,$C110:AL110)+$B110</f>
        <v>8905959.2268739641</v>
      </c>
      <c r="AM113" s="230">
        <f>NPV(DiscountRate,$C110:AM110)+$B110</f>
        <v>9094247.3187924698</v>
      </c>
      <c r="AN113" s="230">
        <f>NPV(DiscountRate,$C110:AN110)+$B110</f>
        <v>9257722.1675271578</v>
      </c>
      <c r="AO113" s="230">
        <f>NPV(DiscountRate,$C110:AO110)+$B110</f>
        <v>9403153.3110508174</v>
      </c>
      <c r="AP113" s="230">
        <f>NPV(DiscountRate,$C110:AP110)+$B110</f>
        <v>9675021.5419531278</v>
      </c>
    </row>
    <row r="114" spans="1:42" x14ac:dyDescent="0.2">
      <c r="A114" s="167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</row>
    <row r="115" spans="1:42" x14ac:dyDescent="0.2">
      <c r="A115" s="162" t="s">
        <v>435</v>
      </c>
      <c r="B115" s="135"/>
      <c r="C115" s="135"/>
      <c r="D115" s="135"/>
      <c r="E115" s="135"/>
      <c r="F115" s="135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</row>
    <row r="116" spans="1:42" x14ac:dyDescent="0.2">
      <c r="A116" s="163" t="s">
        <v>438</v>
      </c>
      <c r="B116" s="233">
        <f>SUM(C116:AP116)</f>
        <v>4</v>
      </c>
      <c r="C116" s="169">
        <f>IF(C110&lt;0,1,0)</f>
        <v>0</v>
      </c>
      <c r="D116" s="169">
        <f t="shared" ref="D116:AP116" si="335">IF(D110&lt;0,1,0)</f>
        <v>0</v>
      </c>
      <c r="E116" s="169">
        <f t="shared" si="335"/>
        <v>0</v>
      </c>
      <c r="F116" s="169">
        <f t="shared" si="335"/>
        <v>0</v>
      </c>
      <c r="G116" s="169">
        <f t="shared" si="335"/>
        <v>0</v>
      </c>
      <c r="H116" s="169">
        <f t="shared" si="335"/>
        <v>0</v>
      </c>
      <c r="I116" s="169">
        <f t="shared" si="335"/>
        <v>0</v>
      </c>
      <c r="J116" s="169">
        <f t="shared" si="335"/>
        <v>0</v>
      </c>
      <c r="K116" s="169">
        <f t="shared" si="335"/>
        <v>1</v>
      </c>
      <c r="L116" s="169">
        <f t="shared" si="335"/>
        <v>1</v>
      </c>
      <c r="M116" s="169">
        <f t="shared" si="335"/>
        <v>1</v>
      </c>
      <c r="N116" s="169">
        <f t="shared" si="335"/>
        <v>0</v>
      </c>
      <c r="O116" s="169">
        <f t="shared" si="335"/>
        <v>0</v>
      </c>
      <c r="P116" s="169">
        <f t="shared" si="335"/>
        <v>1</v>
      </c>
      <c r="Q116" s="169">
        <f t="shared" si="335"/>
        <v>0</v>
      </c>
      <c r="R116" s="169">
        <f t="shared" si="335"/>
        <v>0</v>
      </c>
      <c r="S116" s="169">
        <f t="shared" si="335"/>
        <v>0</v>
      </c>
      <c r="T116" s="169">
        <f t="shared" si="335"/>
        <v>0</v>
      </c>
      <c r="U116" s="169">
        <f t="shared" si="335"/>
        <v>0</v>
      </c>
      <c r="V116" s="169">
        <f t="shared" si="335"/>
        <v>0</v>
      </c>
      <c r="W116" s="169">
        <f t="shared" si="335"/>
        <v>0</v>
      </c>
      <c r="X116" s="169">
        <f t="shared" si="335"/>
        <v>0</v>
      </c>
      <c r="Y116" s="169">
        <f t="shared" si="335"/>
        <v>0</v>
      </c>
      <c r="Z116" s="169">
        <f t="shared" si="335"/>
        <v>0</v>
      </c>
      <c r="AA116" s="169">
        <f t="shared" si="335"/>
        <v>0</v>
      </c>
      <c r="AB116" s="169">
        <f t="shared" si="335"/>
        <v>0</v>
      </c>
      <c r="AC116" s="169">
        <f t="shared" si="335"/>
        <v>0</v>
      </c>
      <c r="AD116" s="169">
        <f t="shared" si="335"/>
        <v>0</v>
      </c>
      <c r="AE116" s="169">
        <f t="shared" si="335"/>
        <v>0</v>
      </c>
      <c r="AF116" s="169">
        <f t="shared" si="335"/>
        <v>0</v>
      </c>
      <c r="AG116" s="169">
        <f t="shared" si="335"/>
        <v>0</v>
      </c>
      <c r="AH116" s="169">
        <f t="shared" si="335"/>
        <v>0</v>
      </c>
      <c r="AI116" s="169">
        <f t="shared" si="335"/>
        <v>0</v>
      </c>
      <c r="AJ116" s="169">
        <f t="shared" si="335"/>
        <v>0</v>
      </c>
      <c r="AK116" s="169">
        <f t="shared" si="335"/>
        <v>0</v>
      </c>
      <c r="AL116" s="169">
        <f t="shared" si="335"/>
        <v>0</v>
      </c>
      <c r="AM116" s="169">
        <f t="shared" si="335"/>
        <v>0</v>
      </c>
      <c r="AN116" s="169">
        <f t="shared" si="335"/>
        <v>0</v>
      </c>
      <c r="AO116" s="169">
        <f t="shared" si="335"/>
        <v>0</v>
      </c>
      <c r="AP116" s="169">
        <f t="shared" si="335"/>
        <v>0</v>
      </c>
    </row>
    <row r="117" spans="1:42" x14ac:dyDescent="0.2">
      <c r="A117" s="163" t="s">
        <v>439</v>
      </c>
      <c r="B117" s="363">
        <f>IF(B116&gt;0,SUM(C117:AP117),"N/A")</f>
        <v>23</v>
      </c>
      <c r="C117" s="169">
        <f>IF(AND(B110&gt;=0,C110&lt;0),C$2,0)</f>
        <v>0</v>
      </c>
      <c r="D117" s="169">
        <f t="shared" ref="D117:AP117" si="336">IF(AND(C110&gt;=0,D110&lt;0),D$2,0)</f>
        <v>0</v>
      </c>
      <c r="E117" s="169">
        <f t="shared" si="336"/>
        <v>0</v>
      </c>
      <c r="F117" s="169">
        <f t="shared" si="336"/>
        <v>0</v>
      </c>
      <c r="G117" s="169">
        <f t="shared" si="336"/>
        <v>0</v>
      </c>
      <c r="H117" s="169">
        <f t="shared" si="336"/>
        <v>0</v>
      </c>
      <c r="I117" s="169">
        <f t="shared" si="336"/>
        <v>0</v>
      </c>
      <c r="J117" s="169">
        <f t="shared" si="336"/>
        <v>0</v>
      </c>
      <c r="K117" s="169">
        <f t="shared" si="336"/>
        <v>9</v>
      </c>
      <c r="L117" s="169">
        <f t="shared" si="336"/>
        <v>0</v>
      </c>
      <c r="M117" s="169">
        <f t="shared" si="336"/>
        <v>0</v>
      </c>
      <c r="N117" s="169">
        <f t="shared" si="336"/>
        <v>0</v>
      </c>
      <c r="O117" s="169">
        <f t="shared" si="336"/>
        <v>0</v>
      </c>
      <c r="P117" s="169">
        <f t="shared" si="336"/>
        <v>14</v>
      </c>
      <c r="Q117" s="169">
        <f t="shared" si="336"/>
        <v>0</v>
      </c>
      <c r="R117" s="169">
        <f t="shared" si="336"/>
        <v>0</v>
      </c>
      <c r="S117" s="169">
        <f t="shared" si="336"/>
        <v>0</v>
      </c>
      <c r="T117" s="169">
        <f t="shared" si="336"/>
        <v>0</v>
      </c>
      <c r="U117" s="169">
        <f t="shared" si="336"/>
        <v>0</v>
      </c>
      <c r="V117" s="169">
        <f t="shared" si="336"/>
        <v>0</v>
      </c>
      <c r="W117" s="169">
        <f t="shared" si="336"/>
        <v>0</v>
      </c>
      <c r="X117" s="169">
        <f t="shared" si="336"/>
        <v>0</v>
      </c>
      <c r="Y117" s="169">
        <f t="shared" si="336"/>
        <v>0</v>
      </c>
      <c r="Z117" s="169">
        <f t="shared" si="336"/>
        <v>0</v>
      </c>
      <c r="AA117" s="169">
        <f t="shared" si="336"/>
        <v>0</v>
      </c>
      <c r="AB117" s="169">
        <f t="shared" si="336"/>
        <v>0</v>
      </c>
      <c r="AC117" s="169">
        <f t="shared" si="336"/>
        <v>0</v>
      </c>
      <c r="AD117" s="169">
        <f t="shared" si="336"/>
        <v>0</v>
      </c>
      <c r="AE117" s="169">
        <f t="shared" si="336"/>
        <v>0</v>
      </c>
      <c r="AF117" s="169">
        <f t="shared" si="336"/>
        <v>0</v>
      </c>
      <c r="AG117" s="169">
        <f t="shared" si="336"/>
        <v>0</v>
      </c>
      <c r="AH117" s="169">
        <f t="shared" si="336"/>
        <v>0</v>
      </c>
      <c r="AI117" s="169">
        <f t="shared" si="336"/>
        <v>0</v>
      </c>
      <c r="AJ117" s="169">
        <f t="shared" si="336"/>
        <v>0</v>
      </c>
      <c r="AK117" s="169">
        <f t="shared" si="336"/>
        <v>0</v>
      </c>
      <c r="AL117" s="169">
        <f t="shared" si="336"/>
        <v>0</v>
      </c>
      <c r="AM117" s="169">
        <f t="shared" si="336"/>
        <v>0</v>
      </c>
      <c r="AN117" s="169">
        <f t="shared" si="336"/>
        <v>0</v>
      </c>
      <c r="AO117" s="169">
        <f t="shared" si="336"/>
        <v>0</v>
      </c>
      <c r="AP117" s="169">
        <f t="shared" si="336"/>
        <v>0</v>
      </c>
    </row>
    <row r="118" spans="1:42" x14ac:dyDescent="0.2">
      <c r="A118" s="167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</row>
    <row r="119" spans="1:42" x14ac:dyDescent="0.2">
      <c r="A119" s="162" t="s">
        <v>233</v>
      </c>
      <c r="B119" s="135"/>
      <c r="C119" s="135"/>
      <c r="D119" s="135"/>
      <c r="E119" s="135"/>
      <c r="F119" s="135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</row>
    <row r="120" spans="1:42" x14ac:dyDescent="0.2">
      <c r="A120" s="163" t="s">
        <v>356</v>
      </c>
      <c r="B120" s="179">
        <f>SUM(C120:AP120)</f>
        <v>198754466.95045131</v>
      </c>
      <c r="C120" s="135">
        <f t="shared" ref="C120:AP120" si="337">C12</f>
        <v>4505414.8870301852</v>
      </c>
      <c r="D120" s="135">
        <f t="shared" si="337"/>
        <v>4527716.6907209847</v>
      </c>
      <c r="E120" s="135">
        <f t="shared" si="337"/>
        <v>4550128.8883400531</v>
      </c>
      <c r="F120" s="135">
        <f t="shared" si="337"/>
        <v>4572652.0263373367</v>
      </c>
      <c r="G120" s="135">
        <f t="shared" si="337"/>
        <v>4595286.6538677067</v>
      </c>
      <c r="H120" s="135">
        <f t="shared" si="337"/>
        <v>4618033.3228043513</v>
      </c>
      <c r="I120" s="135">
        <f t="shared" si="337"/>
        <v>4640892.5877522342</v>
      </c>
      <c r="J120" s="135">
        <f t="shared" si="337"/>
        <v>4663865.0060616061</v>
      </c>
      <c r="K120" s="135">
        <f t="shared" si="337"/>
        <v>4686951.1378416121</v>
      </c>
      <c r="L120" s="135">
        <f t="shared" si="337"/>
        <v>4710151.5459739277</v>
      </c>
      <c r="M120" s="135">
        <f t="shared" si="337"/>
        <v>4733466.7961264998</v>
      </c>
      <c r="N120" s="135">
        <f t="shared" si="337"/>
        <v>4756897.4567673244</v>
      </c>
      <c r="O120" s="135">
        <f t="shared" si="337"/>
        <v>4780444.0991783235</v>
      </c>
      <c r="P120" s="135">
        <f t="shared" si="337"/>
        <v>4804107.2974692564</v>
      </c>
      <c r="Q120" s="135">
        <f t="shared" si="337"/>
        <v>4827887.6285917303</v>
      </c>
      <c r="R120" s="135">
        <f t="shared" si="337"/>
        <v>4851785.6723532574</v>
      </c>
      <c r="S120" s="135">
        <f t="shared" si="337"/>
        <v>4875802.0114314072</v>
      </c>
      <c r="T120" s="135">
        <f t="shared" si="337"/>
        <v>4899937.2313879933</v>
      </c>
      <c r="U120" s="135">
        <f t="shared" si="337"/>
        <v>4924191.9206833635</v>
      </c>
      <c r="V120" s="135">
        <f t="shared" si="337"/>
        <v>4948566.670690746</v>
      </c>
      <c r="W120" s="135">
        <f t="shared" si="337"/>
        <v>4973062.0757106664</v>
      </c>
      <c r="X120" s="135">
        <f t="shared" si="337"/>
        <v>4997678.7329854323</v>
      </c>
      <c r="Y120" s="135">
        <f t="shared" si="337"/>
        <v>5022417.2427137122</v>
      </c>
      <c r="Z120" s="135">
        <f t="shared" si="337"/>
        <v>5047278.2080651447</v>
      </c>
      <c r="AA120" s="135">
        <f t="shared" si="337"/>
        <v>5072262.2351950677</v>
      </c>
      <c r="AB120" s="135">
        <f t="shared" si="337"/>
        <v>5097369.9332592841</v>
      </c>
      <c r="AC120" s="135">
        <f t="shared" si="337"/>
        <v>5122601.9144289168</v>
      </c>
      <c r="AD120" s="135">
        <f t="shared" si="337"/>
        <v>5147958.7939053383</v>
      </c>
      <c r="AE120" s="135">
        <f t="shared" si="337"/>
        <v>5173441.189935171</v>
      </c>
      <c r="AF120" s="135">
        <f t="shared" si="337"/>
        <v>5199049.7238253513</v>
      </c>
      <c r="AG120" s="135">
        <f t="shared" si="337"/>
        <v>5224785.0199582865</v>
      </c>
      <c r="AH120" s="135">
        <f t="shared" si="337"/>
        <v>5250647.7058070786</v>
      </c>
      <c r="AI120" s="135">
        <f t="shared" si="337"/>
        <v>5276638.4119508239</v>
      </c>
      <c r="AJ120" s="135">
        <f t="shared" si="337"/>
        <v>5302757.7720899815</v>
      </c>
      <c r="AK120" s="135">
        <f t="shared" si="337"/>
        <v>5329006.4230618272</v>
      </c>
      <c r="AL120" s="135">
        <f t="shared" si="337"/>
        <v>5355385.004855982</v>
      </c>
      <c r="AM120" s="135">
        <f t="shared" si="337"/>
        <v>5381894.1606300203</v>
      </c>
      <c r="AN120" s="135">
        <f t="shared" si="337"/>
        <v>5408534.5367251383</v>
      </c>
      <c r="AO120" s="135">
        <f t="shared" si="337"/>
        <v>5435306.782681928</v>
      </c>
      <c r="AP120" s="135">
        <f t="shared" si="337"/>
        <v>5462211.5512562022</v>
      </c>
    </row>
    <row r="121" spans="1:42" x14ac:dyDescent="0.2">
      <c r="A121" s="163" t="s">
        <v>119</v>
      </c>
      <c r="B121" s="179">
        <f>SUM(C121:AP121)</f>
        <v>588224217.44537127</v>
      </c>
      <c r="C121" s="135">
        <f t="shared" ref="C121:AP121" si="338">C5</f>
        <v>16188480</v>
      </c>
      <c r="D121" s="135">
        <f t="shared" si="338"/>
        <v>16107537.6</v>
      </c>
      <c r="E121" s="135">
        <f t="shared" si="338"/>
        <v>16026999.912</v>
      </c>
      <c r="F121" s="135">
        <f t="shared" si="338"/>
        <v>15946864.91244</v>
      </c>
      <c r="G121" s="135">
        <f t="shared" si="338"/>
        <v>15867130.587877801</v>
      </c>
      <c r="H121" s="135">
        <f t="shared" si="338"/>
        <v>15787794.934938412</v>
      </c>
      <c r="I121" s="135">
        <f t="shared" si="338"/>
        <v>15708855.96026372</v>
      </c>
      <c r="J121" s="135">
        <f t="shared" si="338"/>
        <v>15630311.680462401</v>
      </c>
      <c r="K121" s="135">
        <f t="shared" si="338"/>
        <v>15552160.12206009</v>
      </c>
      <c r="L121" s="135">
        <f t="shared" si="338"/>
        <v>15474399.321449788</v>
      </c>
      <c r="M121" s="135">
        <f t="shared" si="338"/>
        <v>15397027.324842541</v>
      </c>
      <c r="N121" s="135">
        <f t="shared" si="338"/>
        <v>15320042.188218327</v>
      </c>
      <c r="O121" s="135">
        <f t="shared" si="338"/>
        <v>15243441.977277236</v>
      </c>
      <c r="P121" s="135">
        <f t="shared" si="338"/>
        <v>15167224.767390851</v>
      </c>
      <c r="Q121" s="135">
        <f t="shared" si="338"/>
        <v>15091388.643553898</v>
      </c>
      <c r="R121" s="135">
        <f t="shared" si="338"/>
        <v>15015931.700336127</v>
      </c>
      <c r="S121" s="135">
        <f t="shared" si="338"/>
        <v>14940852.041834446</v>
      </c>
      <c r="T121" s="135">
        <f t="shared" si="338"/>
        <v>14866147.781625275</v>
      </c>
      <c r="U121" s="135">
        <f t="shared" si="338"/>
        <v>14791817.042717148</v>
      </c>
      <c r="V121" s="135">
        <f t="shared" si="338"/>
        <v>14717857.957503561</v>
      </c>
      <c r="W121" s="135">
        <f t="shared" si="338"/>
        <v>14644268.667716045</v>
      </c>
      <c r="X121" s="135">
        <f t="shared" si="338"/>
        <v>14571047.324377464</v>
      </c>
      <c r="Y121" s="135">
        <f t="shared" si="338"/>
        <v>14498192.087755578</v>
      </c>
      <c r="Z121" s="135">
        <f t="shared" si="338"/>
        <v>14425701.127316799</v>
      </c>
      <c r="AA121" s="135">
        <f t="shared" si="338"/>
        <v>14353572.621680215</v>
      </c>
      <c r="AB121" s="135">
        <f t="shared" si="338"/>
        <v>14281804.758571815</v>
      </c>
      <c r="AC121" s="135">
        <f t="shared" si="338"/>
        <v>14210395.734778956</v>
      </c>
      <c r="AD121" s="135">
        <f t="shared" si="338"/>
        <v>14139343.75610506</v>
      </c>
      <c r="AE121" s="135">
        <f t="shared" si="338"/>
        <v>14068647.037324537</v>
      </c>
      <c r="AF121" s="135">
        <f t="shared" si="338"/>
        <v>13998303.802137915</v>
      </c>
      <c r="AG121" s="135">
        <f t="shared" si="338"/>
        <v>13928312.283127224</v>
      </c>
      <c r="AH121" s="135">
        <f t="shared" si="338"/>
        <v>13858670.721711587</v>
      </c>
      <c r="AI121" s="135">
        <f t="shared" si="338"/>
        <v>13789377.368103029</v>
      </c>
      <c r="AJ121" s="135">
        <f t="shared" si="338"/>
        <v>13720430.481262514</v>
      </c>
      <c r="AK121" s="135">
        <f t="shared" si="338"/>
        <v>13651828.328856202</v>
      </c>
      <c r="AL121" s="135">
        <f t="shared" si="338"/>
        <v>13583569.187211921</v>
      </c>
      <c r="AM121" s="135">
        <f t="shared" si="338"/>
        <v>13515651.341275861</v>
      </c>
      <c r="AN121" s="135">
        <f t="shared" si="338"/>
        <v>13448073.084569484</v>
      </c>
      <c r="AO121" s="135">
        <f t="shared" si="338"/>
        <v>13380832.719146635</v>
      </c>
      <c r="AP121" s="135">
        <f t="shared" si="338"/>
        <v>13313928.555550903</v>
      </c>
    </row>
    <row r="122" spans="1:42" x14ac:dyDescent="0.2">
      <c r="B122" s="135"/>
      <c r="C122" s="135"/>
      <c r="D122" s="135"/>
      <c r="E122" s="135"/>
      <c r="F122" s="135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</row>
    <row r="123" spans="1:42" x14ac:dyDescent="0.2">
      <c r="A123" s="20" t="s">
        <v>354</v>
      </c>
      <c r="B123" s="179">
        <f>NPV(DiscountRate,C120:AP120)</f>
        <v>56665417.848088652</v>
      </c>
      <c r="C123" s="135"/>
      <c r="D123" s="135"/>
      <c r="E123" s="135"/>
      <c r="F123" s="135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</row>
    <row r="124" spans="1:42" x14ac:dyDescent="0.2">
      <c r="A124" s="20" t="s">
        <v>355</v>
      </c>
      <c r="B124" s="179">
        <f>NPV(DiscountRate,C121:AP121)</f>
        <v>183278725.94683611</v>
      </c>
      <c r="C124" s="135"/>
      <c r="D124" s="135"/>
      <c r="E124" s="135"/>
      <c r="F124" s="135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</row>
    <row r="125" spans="1:42" x14ac:dyDescent="0.2">
      <c r="A125" s="20" t="s">
        <v>309</v>
      </c>
      <c r="B125" s="182">
        <f>B123/B124</f>
        <v>0.30917618810011621</v>
      </c>
      <c r="C125" s="135"/>
      <c r="D125" s="135"/>
      <c r="E125" s="135"/>
      <c r="F125" s="135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</row>
    <row r="126" spans="1:42" x14ac:dyDescent="0.2">
      <c r="B126" s="135"/>
      <c r="C126" s="135"/>
      <c r="D126" s="135"/>
      <c r="E126" s="135"/>
      <c r="F126" s="135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</row>
    <row r="127" spans="1:42" x14ac:dyDescent="0.2">
      <c r="A127" s="162" t="s">
        <v>230</v>
      </c>
      <c r="B127" s="135"/>
      <c r="C127" s="135"/>
      <c r="D127" s="135"/>
      <c r="E127" s="135"/>
      <c r="F127" s="135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</row>
    <row r="128" spans="1:42" s="101" customFormat="1" x14ac:dyDescent="0.2">
      <c r="A128" s="178" t="s">
        <v>226</v>
      </c>
      <c r="B128" s="181"/>
      <c r="C128" s="181"/>
      <c r="D128" s="181"/>
      <c r="E128" s="181"/>
      <c r="F128" s="181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</row>
    <row r="129" spans="1:42" x14ac:dyDescent="0.2">
      <c r="A129" s="163" t="s">
        <v>199</v>
      </c>
      <c r="B129" s="169">
        <f>B138</f>
        <v>-21495756.173787482</v>
      </c>
      <c r="C129" s="169">
        <f t="shared" ref="C129:AP129" si="339">C138</f>
        <v>0</v>
      </c>
      <c r="D129" s="169">
        <f t="shared" si="339"/>
        <v>0</v>
      </c>
      <c r="E129" s="169">
        <f t="shared" si="339"/>
        <v>0</v>
      </c>
      <c r="F129" s="169">
        <f t="shared" si="339"/>
        <v>0</v>
      </c>
      <c r="G129" s="169">
        <f t="shared" si="339"/>
        <v>0</v>
      </c>
      <c r="H129" s="169">
        <f t="shared" si="339"/>
        <v>0</v>
      </c>
      <c r="I129" s="169">
        <f t="shared" si="339"/>
        <v>0</v>
      </c>
      <c r="J129" s="169">
        <f t="shared" si="339"/>
        <v>0</v>
      </c>
      <c r="K129" s="169">
        <f t="shared" si="339"/>
        <v>0</v>
      </c>
      <c r="L129" s="169">
        <f t="shared" si="339"/>
        <v>0</v>
      </c>
      <c r="M129" s="169">
        <f t="shared" si="339"/>
        <v>0</v>
      </c>
      <c r="N129" s="169">
        <f t="shared" si="339"/>
        <v>0</v>
      </c>
      <c r="O129" s="169">
        <f t="shared" si="339"/>
        <v>0</v>
      </c>
      <c r="P129" s="169">
        <f t="shared" si="339"/>
        <v>0</v>
      </c>
      <c r="Q129" s="169">
        <f t="shared" si="339"/>
        <v>0</v>
      </c>
      <c r="R129" s="169">
        <f t="shared" si="339"/>
        <v>0</v>
      </c>
      <c r="S129" s="169">
        <f t="shared" si="339"/>
        <v>0</v>
      </c>
      <c r="T129" s="169">
        <f t="shared" si="339"/>
        <v>0</v>
      </c>
      <c r="U129" s="169">
        <f t="shared" si="339"/>
        <v>0</v>
      </c>
      <c r="V129" s="169">
        <f t="shared" si="339"/>
        <v>0</v>
      </c>
      <c r="W129" s="169">
        <f t="shared" si="339"/>
        <v>0</v>
      </c>
      <c r="X129" s="169">
        <f t="shared" si="339"/>
        <v>0</v>
      </c>
      <c r="Y129" s="169">
        <f t="shared" si="339"/>
        <v>0</v>
      </c>
      <c r="Z129" s="169">
        <f t="shared" si="339"/>
        <v>0</v>
      </c>
      <c r="AA129" s="169">
        <f t="shared" si="339"/>
        <v>0</v>
      </c>
      <c r="AB129" s="169">
        <f t="shared" si="339"/>
        <v>0</v>
      </c>
      <c r="AC129" s="169">
        <f t="shared" si="339"/>
        <v>0</v>
      </c>
      <c r="AD129" s="169">
        <f t="shared" si="339"/>
        <v>0</v>
      </c>
      <c r="AE129" s="169">
        <f t="shared" si="339"/>
        <v>0</v>
      </c>
      <c r="AF129" s="169">
        <f t="shared" si="339"/>
        <v>0</v>
      </c>
      <c r="AG129" s="169">
        <f t="shared" si="339"/>
        <v>0</v>
      </c>
      <c r="AH129" s="169">
        <f t="shared" si="339"/>
        <v>0</v>
      </c>
      <c r="AI129" s="169">
        <f t="shared" si="339"/>
        <v>0</v>
      </c>
      <c r="AJ129" s="169">
        <f t="shared" si="339"/>
        <v>0</v>
      </c>
      <c r="AK129" s="169">
        <f t="shared" si="339"/>
        <v>0</v>
      </c>
      <c r="AL129" s="169">
        <f t="shared" si="339"/>
        <v>0</v>
      </c>
      <c r="AM129" s="169">
        <f t="shared" si="339"/>
        <v>0</v>
      </c>
      <c r="AN129" s="169">
        <f t="shared" si="339"/>
        <v>0</v>
      </c>
      <c r="AO129" s="169">
        <f t="shared" si="339"/>
        <v>0</v>
      </c>
      <c r="AP129" s="169">
        <f t="shared" si="339"/>
        <v>0</v>
      </c>
    </row>
    <row r="130" spans="1:42" x14ac:dyDescent="0.2">
      <c r="A130" s="163" t="s">
        <v>200</v>
      </c>
      <c r="B130" s="170">
        <f>B139</f>
        <v>0</v>
      </c>
      <c r="C130" s="170">
        <f t="shared" ref="C130:AP130" si="340">C139</f>
        <v>906990.42251839291</v>
      </c>
      <c r="D130" s="170">
        <f t="shared" si="340"/>
        <v>918343.79412500747</v>
      </c>
      <c r="E130" s="170">
        <f t="shared" si="340"/>
        <v>929682.85809038952</v>
      </c>
      <c r="F130" s="170">
        <f t="shared" si="340"/>
        <v>941006.89132977522</v>
      </c>
      <c r="G130" s="170">
        <f t="shared" si="340"/>
        <v>952315.15337731387</v>
      </c>
      <c r="H130" s="170">
        <f t="shared" si="340"/>
        <v>963606.88600136247</v>
      </c>
      <c r="I130" s="170">
        <f t="shared" si="340"/>
        <v>974881.31281130062</v>
      </c>
      <c r="J130" s="170">
        <f t="shared" si="340"/>
        <v>986137.63885567826</v>
      </c>
      <c r="K130" s="170">
        <f t="shared" si="340"/>
        <v>101772.96430729989</v>
      </c>
      <c r="L130" s="170">
        <f t="shared" si="340"/>
        <v>102917.62383312825</v>
      </c>
      <c r="M130" s="170">
        <f t="shared" si="340"/>
        <v>104060.18120209845</v>
      </c>
      <c r="N130" s="170">
        <f t="shared" si="340"/>
        <v>106978.54279561713</v>
      </c>
      <c r="O130" s="170">
        <f t="shared" si="340"/>
        <v>99909.392494875472</v>
      </c>
      <c r="P130" s="170">
        <f t="shared" si="340"/>
        <v>101129.11045179782</v>
      </c>
      <c r="Q130" s="170">
        <f t="shared" si="340"/>
        <v>244861.07591976435</v>
      </c>
      <c r="R130" s="170">
        <f t="shared" si="340"/>
        <v>387083.4950528245</v>
      </c>
      <c r="S130" s="170">
        <f t="shared" si="340"/>
        <v>390248.26390922727</v>
      </c>
      <c r="T130" s="170">
        <f t="shared" si="340"/>
        <v>393402.12742460385</v>
      </c>
      <c r="U130" s="170">
        <f t="shared" si="340"/>
        <v>396544.67981163296</v>
      </c>
      <c r="V130" s="170">
        <f t="shared" si="340"/>
        <v>399675.5057794489</v>
      </c>
      <c r="W130" s="170">
        <f t="shared" si="340"/>
        <v>402077.63421423873</v>
      </c>
      <c r="X130" s="170">
        <f t="shared" si="340"/>
        <v>403763.16974024335</v>
      </c>
      <c r="Y130" s="170">
        <f t="shared" si="340"/>
        <v>405435.67382961739</v>
      </c>
      <c r="Z130" s="170">
        <f t="shared" si="340"/>
        <v>407094.69103017281</v>
      </c>
      <c r="AA130" s="170">
        <f t="shared" si="340"/>
        <v>396838.43515987438</v>
      </c>
      <c r="AB130" s="170">
        <f t="shared" si="340"/>
        <v>398569.51381402166</v>
      </c>
      <c r="AC130" s="170">
        <f t="shared" si="340"/>
        <v>400285.67467412335</v>
      </c>
      <c r="AD130" s="170">
        <f t="shared" si="340"/>
        <v>401986.41845732456</v>
      </c>
      <c r="AE130" s="170">
        <f t="shared" si="340"/>
        <v>403671.2343111512</v>
      </c>
      <c r="AF130" s="170">
        <f t="shared" si="340"/>
        <v>405339.59955785144</v>
      </c>
      <c r="AG130" s="170">
        <f t="shared" si="340"/>
        <v>406990.97943308851</v>
      </c>
      <c r="AH130" s="170">
        <f t="shared" si="340"/>
        <v>408624.82681885472</v>
      </c>
      <c r="AI130" s="170">
        <f t="shared" si="340"/>
        <v>410240.58197048208</v>
      </c>
      <c r="AJ130" s="170">
        <f t="shared" si="340"/>
        <v>411837.67223761347</v>
      </c>
      <c r="AK130" s="170">
        <f t="shared" si="340"/>
        <v>413415.51177900448</v>
      </c>
      <c r="AL130" s="170">
        <f t="shared" si="340"/>
        <v>414973.50127101614</v>
      </c>
      <c r="AM130" s="170">
        <f t="shared" si="340"/>
        <v>444224.90764038707</v>
      </c>
      <c r="AN130" s="170">
        <f t="shared" si="340"/>
        <v>445127.42857278971</v>
      </c>
      <c r="AO130" s="170">
        <f t="shared" si="340"/>
        <v>446008.21757783782</v>
      </c>
      <c r="AP130" s="170">
        <f t="shared" si="340"/>
        <v>899716.34331542405</v>
      </c>
    </row>
    <row r="131" spans="1:42" x14ac:dyDescent="0.2">
      <c r="A131" s="163" t="s">
        <v>53</v>
      </c>
      <c r="B131" s="135">
        <f>SUM(B129:B130)</f>
        <v>-21495756.173787482</v>
      </c>
      <c r="C131" s="135">
        <f t="shared" ref="C131" si="341">SUM(C129:C130)</f>
        <v>906990.42251839291</v>
      </c>
      <c r="D131" s="135">
        <f t="shared" ref="D131" si="342">SUM(D129:D130)</f>
        <v>918343.79412500747</v>
      </c>
      <c r="E131" s="135">
        <f t="shared" ref="E131" si="343">SUM(E129:E130)</f>
        <v>929682.85809038952</v>
      </c>
      <c r="F131" s="135">
        <f t="shared" ref="F131" si="344">SUM(F129:F130)</f>
        <v>941006.89132977522</v>
      </c>
      <c r="G131" s="135">
        <f t="shared" ref="G131" si="345">SUM(G129:G130)</f>
        <v>952315.15337731387</v>
      </c>
      <c r="H131" s="135">
        <f t="shared" ref="H131" si="346">SUM(H129:H130)</f>
        <v>963606.88600136247</v>
      </c>
      <c r="I131" s="135">
        <f t="shared" ref="I131" si="347">SUM(I129:I130)</f>
        <v>974881.31281130062</v>
      </c>
      <c r="J131" s="135">
        <f t="shared" ref="J131" si="348">SUM(J129:J130)</f>
        <v>986137.63885567826</v>
      </c>
      <c r="K131" s="135">
        <f t="shared" ref="K131" si="349">SUM(K129:K130)</f>
        <v>101772.96430729989</v>
      </c>
      <c r="L131" s="135">
        <f t="shared" ref="L131" si="350">SUM(L129:L130)</f>
        <v>102917.62383312825</v>
      </c>
      <c r="M131" s="135">
        <f t="shared" ref="M131" si="351">SUM(M129:M130)</f>
        <v>104060.18120209845</v>
      </c>
      <c r="N131" s="135">
        <f t="shared" ref="N131" si="352">SUM(N129:N130)</f>
        <v>106978.54279561713</v>
      </c>
      <c r="O131" s="135">
        <f t="shared" ref="O131" si="353">SUM(O129:O130)</f>
        <v>99909.392494875472</v>
      </c>
      <c r="P131" s="135">
        <f t="shared" ref="P131" si="354">SUM(P129:P130)</f>
        <v>101129.11045179782</v>
      </c>
      <c r="Q131" s="135">
        <f t="shared" ref="Q131" si="355">SUM(Q129:Q130)</f>
        <v>244861.07591976435</v>
      </c>
      <c r="R131" s="135">
        <f t="shared" ref="R131" si="356">SUM(R129:R130)</f>
        <v>387083.4950528245</v>
      </c>
      <c r="S131" s="135">
        <f t="shared" ref="S131" si="357">SUM(S129:S130)</f>
        <v>390248.26390922727</v>
      </c>
      <c r="T131" s="135">
        <f t="shared" ref="T131" si="358">SUM(T129:T130)</f>
        <v>393402.12742460385</v>
      </c>
      <c r="U131" s="135">
        <f t="shared" ref="U131" si="359">SUM(U129:U130)</f>
        <v>396544.67981163296</v>
      </c>
      <c r="V131" s="135">
        <f t="shared" ref="V131" si="360">SUM(V129:V130)</f>
        <v>399675.5057794489</v>
      </c>
      <c r="W131" s="135">
        <f t="shared" ref="W131" si="361">SUM(W129:W130)</f>
        <v>402077.63421423873</v>
      </c>
      <c r="X131" s="135">
        <f t="shared" ref="X131" si="362">SUM(X129:X130)</f>
        <v>403763.16974024335</v>
      </c>
      <c r="Y131" s="135">
        <f t="shared" ref="Y131" si="363">SUM(Y129:Y130)</f>
        <v>405435.67382961739</v>
      </c>
      <c r="Z131" s="135">
        <f t="shared" ref="Z131" si="364">SUM(Z129:Z130)</f>
        <v>407094.69103017281</v>
      </c>
      <c r="AA131" s="135">
        <f t="shared" ref="AA131" si="365">SUM(AA129:AA130)</f>
        <v>396838.43515987438</v>
      </c>
      <c r="AB131" s="135">
        <f t="shared" ref="AB131" si="366">SUM(AB129:AB130)</f>
        <v>398569.51381402166</v>
      </c>
      <c r="AC131" s="135">
        <f t="shared" ref="AC131" si="367">SUM(AC129:AC130)</f>
        <v>400285.67467412335</v>
      </c>
      <c r="AD131" s="135">
        <f t="shared" ref="AD131" si="368">SUM(AD129:AD130)</f>
        <v>401986.41845732456</v>
      </c>
      <c r="AE131" s="135">
        <f t="shared" ref="AE131" si="369">SUM(AE129:AE130)</f>
        <v>403671.2343111512</v>
      </c>
      <c r="AF131" s="135">
        <f t="shared" ref="AF131" si="370">SUM(AF129:AF130)</f>
        <v>405339.59955785144</v>
      </c>
      <c r="AG131" s="135">
        <f t="shared" ref="AG131" si="371">SUM(AG129:AG130)</f>
        <v>406990.97943308851</v>
      </c>
      <c r="AH131" s="135">
        <f t="shared" ref="AH131" si="372">SUM(AH129:AH130)</f>
        <v>408624.82681885472</v>
      </c>
      <c r="AI131" s="135">
        <f t="shared" ref="AI131" si="373">SUM(AI129:AI130)</f>
        <v>410240.58197048208</v>
      </c>
      <c r="AJ131" s="135">
        <f t="shared" ref="AJ131" si="374">SUM(AJ129:AJ130)</f>
        <v>411837.67223761347</v>
      </c>
      <c r="AK131" s="135">
        <f t="shared" ref="AK131" si="375">SUM(AK129:AK130)</f>
        <v>413415.51177900448</v>
      </c>
      <c r="AL131" s="135">
        <f t="shared" ref="AL131" si="376">SUM(AL129:AL130)</f>
        <v>414973.50127101614</v>
      </c>
      <c r="AM131" s="135">
        <f t="shared" ref="AM131" si="377">SUM(AM129:AM130)</f>
        <v>444224.90764038707</v>
      </c>
      <c r="AN131" s="135">
        <f t="shared" ref="AN131" si="378">SUM(AN129:AN130)</f>
        <v>445127.42857278971</v>
      </c>
      <c r="AO131" s="135">
        <f t="shared" ref="AO131" si="379">SUM(AO129:AO130)</f>
        <v>446008.21757783782</v>
      </c>
      <c r="AP131" s="135">
        <f t="shared" ref="AP131" si="380">SUM(AP129:AP130)</f>
        <v>899716.34331542405</v>
      </c>
    </row>
    <row r="132" spans="1:42" x14ac:dyDescent="0.2">
      <c r="A132" s="163"/>
      <c r="B132" s="135"/>
      <c r="C132" s="135"/>
      <c r="D132" s="135"/>
      <c r="E132" s="135"/>
      <c r="F132" s="135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</row>
    <row r="133" spans="1:42" x14ac:dyDescent="0.2">
      <c r="A133" s="163" t="s">
        <v>323</v>
      </c>
      <c r="B133" s="184">
        <f>ROUND(IF(ISERROR(IRR($B131:B131)),0,IRR($B131:B131)),4)</f>
        <v>0</v>
      </c>
      <c r="C133" s="184">
        <f>ROUND(IF(ISERROR(IRR($B131:C131)),0,IRR($B131:C131)),4)</f>
        <v>-0.95779999999999998</v>
      </c>
      <c r="D133" s="184">
        <f>ROUND(IF(ISERROR(IRR($B131:D131)),0,IRR($B131:D131)),4)</f>
        <v>-0.77110000000000001</v>
      </c>
      <c r="E133" s="184">
        <f>ROUND(IF(ISERROR(IRR($B131:E131)),0,IRR($B131:E131)),4)</f>
        <v>-0.59250000000000003</v>
      </c>
      <c r="F133" s="184">
        <f>ROUND(IF(ISERROR(IRR($B131:F131)),0,IRR($B131:F131)),4)</f>
        <v>-0.45760000000000001</v>
      </c>
      <c r="G133" s="184">
        <f>ROUND(IF(ISERROR(IRR($B131:G131)),0,IRR($B131:G131)),4)</f>
        <v>-0.35849999999999999</v>
      </c>
      <c r="H133" s="184">
        <f>ROUND(IF(ISERROR(IRR($B131:H131)),0,IRR($B131:H131)),4)</f>
        <v>-0.2848</v>
      </c>
      <c r="I133" s="184">
        <f>ROUND(IF(ISERROR(IRR($B131:I131)),0,IRR($B131:I131)),4)</f>
        <v>-0.22889999999999999</v>
      </c>
      <c r="J133" s="184">
        <f>ROUND(IF(ISERROR(IRR($B131:J131)),0,IRR($B131:J131)),4)</f>
        <v>-0.18540000000000001</v>
      </c>
      <c r="K133" s="184">
        <f>ROUND(IF(ISERROR(IRR($B131:K131)),0,IRR($B131:K131)),4)</f>
        <v>-0.1812</v>
      </c>
      <c r="L133" s="184">
        <f>ROUND(IF(ISERROR(IRR($B131:L131)),0,IRR($B131:L131)),4)</f>
        <v>-0.17630000000000001</v>
      </c>
      <c r="M133" s="184">
        <f>ROUND(IF(ISERROR(IRR($B131:M131)),0,IRR($B131:M131)),4)</f>
        <v>-0.17069999999999999</v>
      </c>
      <c r="N133" s="184">
        <f>ROUND(IF(ISERROR(IRR($B131:N131)),0,IRR($B131:N131)),4)</f>
        <v>-0.16450000000000001</v>
      </c>
      <c r="O133" s="184">
        <f>ROUND(IF(ISERROR(IRR($B131:O131)),0,IRR($B131:O131)),4)</f>
        <v>-0.15840000000000001</v>
      </c>
      <c r="P133" s="184">
        <f>ROUND(IF(ISERROR(IRR($B131:P131)),0,IRR($B131:P131)),4)</f>
        <v>-0.152</v>
      </c>
      <c r="Q133" s="184">
        <f>ROUND(IF(ISERROR(IRR($B131:Q131)),0,IRR($B131:Q131)),4)</f>
        <v>-0.1376</v>
      </c>
      <c r="R133" s="184">
        <f>ROUND(IF(ISERROR(IRR($B131:R131)),0,IRR($B131:R131)),4)</f>
        <v>-0.1197</v>
      </c>
      <c r="S133" s="184">
        <f>ROUND(IF(ISERROR(IRR($B131:S131)),0,IRR($B131:S131)),4)</f>
        <v>-0.1056</v>
      </c>
      <c r="T133" s="184">
        <f>ROUND(IF(ISERROR(IRR($B131:T131)),0,IRR($B131:T131)),4)</f>
        <v>-9.4E-2</v>
      </c>
      <c r="U133" s="184">
        <f>ROUND(IF(ISERROR(IRR($B131:U131)),0,IRR($B131:U131)),4)</f>
        <v>-8.4099999999999994E-2</v>
      </c>
      <c r="V133" s="184">
        <f>ROUND(IF(ISERROR(IRR($B131:V131)),0,IRR($B131:V131)),4)</f>
        <v>-7.5600000000000001E-2</v>
      </c>
      <c r="W133" s="184">
        <f>ROUND(IF(ISERROR(IRR($B131:W131)),0,IRR($B131:W131)),4)</f>
        <v>-6.8099999999999994E-2</v>
      </c>
      <c r="X133" s="184">
        <f>ROUND(IF(ISERROR(IRR($B131:X131)),0,IRR($B131:X131)),4)</f>
        <v>-6.1499999999999999E-2</v>
      </c>
      <c r="Y133" s="184">
        <f>ROUND(IF(ISERROR(IRR($B131:Y131)),0,IRR($B131:Y131)),4)</f>
        <v>-5.5599999999999997E-2</v>
      </c>
      <c r="Z133" s="184">
        <f>ROUND(IF(ISERROR(IRR($B131:Z131)),0,IRR($B131:Z131)),4)</f>
        <v>-5.04E-2</v>
      </c>
      <c r="AA133" s="184">
        <f>ROUND(IF(ISERROR(IRR($B131:AA131)),0,IRR($B131:AA131)),4)</f>
        <v>-4.5699999999999998E-2</v>
      </c>
      <c r="AB133" s="184">
        <f>ROUND(IF(ISERROR(IRR($B131:AB131)),0,IRR($B131:AB131)),4)</f>
        <v>-4.1599999999999998E-2</v>
      </c>
      <c r="AC133" s="184">
        <f>ROUND(IF(ISERROR(IRR($B131:AC131)),0,IRR($B131:AC131)),4)</f>
        <v>-3.7699999999999997E-2</v>
      </c>
      <c r="AD133" s="184">
        <f>ROUND(IF(ISERROR(IRR($B131:AD131)),0,IRR($B131:AD131)),4)</f>
        <v>-3.4200000000000001E-2</v>
      </c>
      <c r="AE133" s="184">
        <f>ROUND(IF(ISERROR(IRR($B131:AE131)),0,IRR($B131:AE131)),4)</f>
        <v>-3.1E-2</v>
      </c>
      <c r="AF133" s="184">
        <f>ROUND(IF(ISERROR(IRR($B131:AF131)),0,IRR($B131:AF131)),4)</f>
        <v>-2.8000000000000001E-2</v>
      </c>
      <c r="AG133" s="184">
        <f>ROUND(IF(ISERROR(IRR($B131:AG131)),0,IRR($B131:AG131)),4)</f>
        <v>-2.53E-2</v>
      </c>
      <c r="AH133" s="184">
        <f>ROUND(IF(ISERROR(IRR($B131:AH131)),0,IRR($B131:AH131)),4)</f>
        <v>-2.2800000000000001E-2</v>
      </c>
      <c r="AI133" s="184">
        <f>ROUND(IF(ISERROR(IRR($B131:AI131)),0,IRR($B131:AI131)),4)</f>
        <v>-2.0400000000000001E-2</v>
      </c>
      <c r="AJ133" s="184">
        <f>ROUND(IF(ISERROR(IRR($B131:AJ131)),0,IRR($B131:AJ131)),4)</f>
        <v>-1.8200000000000001E-2</v>
      </c>
      <c r="AK133" s="184">
        <f>ROUND(IF(ISERROR(IRR($B131:AK131)),0,IRR($B131:AK131)),4)</f>
        <v>-1.6199999999999999E-2</v>
      </c>
      <c r="AL133" s="184">
        <f>ROUND(IF(ISERROR(IRR($B131:AL131)),0,IRR($B131:AL131)),4)</f>
        <v>-1.43E-2</v>
      </c>
      <c r="AM133" s="184">
        <f>ROUND(IF(ISERROR(IRR($B131:AM131)),0,IRR($B131:AM131)),4)</f>
        <v>-1.24E-2</v>
      </c>
      <c r="AN133" s="184">
        <f>ROUND(IF(ISERROR(IRR($B131:AN131)),0,IRR($B131:AN131)),4)</f>
        <v>-1.0699999999999999E-2</v>
      </c>
      <c r="AO133" s="184">
        <f>ROUND(IF(ISERROR(IRR($B131:AO131)),0,IRR($B131:AO131)),4)</f>
        <v>-9.1000000000000004E-3</v>
      </c>
      <c r="AP133" s="184">
        <f>ROUND(IF(ISERROR(IRR($B131:AP131)),0,IRR($B131:AP131)),4)</f>
        <v>-6.1000000000000004E-3</v>
      </c>
    </row>
    <row r="134" spans="1:42" x14ac:dyDescent="0.2">
      <c r="A134" s="163" t="s">
        <v>324</v>
      </c>
      <c r="B134" s="230">
        <f>B131</f>
        <v>-21495756.173787482</v>
      </c>
      <c r="C134" s="230">
        <f>NPV(DiscountRate,$C131:C131)+$B$131</f>
        <v>-20655950.227011193</v>
      </c>
      <c r="D134" s="230">
        <f>NPV(DiscountRate,$C131:D131)+$B$131</f>
        <v>-19868618.441924594</v>
      </c>
      <c r="E134" s="230">
        <f>NPV(DiscountRate,$C131:E131)+$B$131</f>
        <v>-19130606.215248663</v>
      </c>
      <c r="F134" s="230">
        <f>NPV(DiscountRate,$C131:F131)+$B$131</f>
        <v>-18438938.058434092</v>
      </c>
      <c r="G134" s="230">
        <f>NPV(DiscountRate,$C131:G131)+$B$131</f>
        <v>-17790808.36676487</v>
      </c>
      <c r="H134" s="230">
        <f>NPV(DiscountRate,$C131:H131)+$B$131</f>
        <v>-17183572.574951403</v>
      </c>
      <c r="I134" s="230">
        <f>NPV(DiscountRate,$C131:I131)+$B$131</f>
        <v>-16614738.69240547</v>
      </c>
      <c r="J134" s="230">
        <f>NPV(DiscountRate,$C131:J131)+$B$131</f>
        <v>-16081959.210295498</v>
      </c>
      <c r="K134" s="230">
        <f>NPV(DiscountRate,$C131:K131)+$B$131</f>
        <v>-16031047.390018865</v>
      </c>
      <c r="L134" s="230">
        <f>NPV(DiscountRate,$C131:L131)+$B$131</f>
        <v>-15983376.616850212</v>
      </c>
      <c r="M134" s="230">
        <f>NPV(DiscountRate,$C131:M131)+$B$131</f>
        <v>-15938746.98879306</v>
      </c>
      <c r="N134" s="230">
        <f>NPV(DiscountRate,$C131:N131)+$B$131</f>
        <v>-15896264.337569021</v>
      </c>
      <c r="O134" s="230">
        <f>NPV(DiscountRate,$C131:O131)+$B$131</f>
        <v>-15859527.861293394</v>
      </c>
      <c r="P134" s="230">
        <f>NPV(DiscountRate,$C131:P131)+$B$131</f>
        <v>-15825097.339036845</v>
      </c>
      <c r="Q134" s="230">
        <f>NPV(DiscountRate,$C131:Q131)+$B$131</f>
        <v>-15747906.915984116</v>
      </c>
      <c r="R134" s="230">
        <f>NPV(DiscountRate,$C131:R131)+$B$131</f>
        <v>-15634920.933627997</v>
      </c>
      <c r="S134" s="230">
        <f>NPV(DiscountRate,$C131:S131)+$B$131</f>
        <v>-15529448.944537871</v>
      </c>
      <c r="T134" s="230">
        <f>NPV(DiscountRate,$C131:T131)+$B$131</f>
        <v>-15431000.44409766</v>
      </c>
      <c r="U134" s="230">
        <f>NPV(DiscountRate,$C131:U131)+$B$131</f>
        <v>-15339116.257871721</v>
      </c>
      <c r="V134" s="230">
        <f>NPV(DiscountRate,$C131:V131)+$B$131</f>
        <v>-15253366.594563432</v>
      </c>
      <c r="W134" s="230">
        <f>NPV(DiscountRate,$C131:W131)+$B$131</f>
        <v>-15173491.56154683</v>
      </c>
      <c r="X134" s="230">
        <f>NPV(DiscountRate,$C131:X131)+$B$131</f>
        <v>-15099223.159383293</v>
      </c>
      <c r="Y134" s="230">
        <f>NPV(DiscountRate,$C131:Y131)+$B$131</f>
        <v>-15030171.267333522</v>
      </c>
      <c r="Z134" s="230">
        <f>NPV(DiscountRate,$C131:Z131)+$B$131</f>
        <v>-14965972.704337295</v>
      </c>
      <c r="AA134" s="230">
        <f>NPV(DiscountRate,$C131:AA131)+$B$131</f>
        <v>-14908027.187446332</v>
      </c>
      <c r="AB134" s="230">
        <f>NPV(DiscountRate,$C131:AB131)+$B$131</f>
        <v>-14854139.886178479</v>
      </c>
      <c r="AC134" s="230">
        <f>NPV(DiscountRate,$C131:AC131)+$B$131</f>
        <v>-14804029.396138554</v>
      </c>
      <c r="AD134" s="230">
        <f>NPV(DiscountRate,$C131:AD131)+$B$131</f>
        <v>-14757433.65470989</v>
      </c>
      <c r="AE134" s="230">
        <f>NPV(DiscountRate,$C131:AE131)+$B$131</f>
        <v>-14714108.622577529</v>
      </c>
      <c r="AF134" s="230">
        <f>NPV(DiscountRate,$C131:AF131)+$B$131</f>
        <v>-14673827.054396665</v>
      </c>
      <c r="AG134" s="230">
        <f>NPV(DiscountRate,$C131:AG131)+$B$131</f>
        <v>-14636377.352630097</v>
      </c>
      <c r="AH134" s="230">
        <f>NPV(DiscountRate,$C131:AH131)+$B$131</f>
        <v>-14601562.498975364</v>
      </c>
      <c r="AI134" s="230">
        <f>NPV(DiscountRate,$C131:AI131)+$B$131</f>
        <v>-14569199.058173098</v>
      </c>
      <c r="AJ134" s="230">
        <f>NPV(DiscountRate,$C131:AJ131)+$B$131</f>
        <v>-14539116.249334654</v>
      </c>
      <c r="AK134" s="230">
        <f>NPV(DiscountRate,$C131:AK131)+$B$131</f>
        <v>-14511155.08025063</v>
      </c>
      <c r="AL134" s="230">
        <f>NPV(DiscountRate,$C131:AL131)+$B$131</f>
        <v>-14485167.54044429</v>
      </c>
      <c r="AM134" s="230">
        <f>NPV(DiscountRate,$C131:AM131)+$B$131</f>
        <v>-14459408.839755028</v>
      </c>
      <c r="AN134" s="230">
        <f>NPV(DiscountRate,$C131:AN131)+$B$131</f>
        <v>-14435509.734186063</v>
      </c>
      <c r="AO134" s="230">
        <f>NPV(DiscountRate,$C131:AO131)+$B$131</f>
        <v>-14413337.145710178</v>
      </c>
      <c r="AP134" s="230">
        <f>NPV(DiscountRate,$C131:AP131)+$B$131</f>
        <v>-14371922.362721842</v>
      </c>
    </row>
    <row r="135" spans="1:42" x14ac:dyDescent="0.2">
      <c r="A135" s="163"/>
      <c r="B135" s="135"/>
      <c r="C135" s="135"/>
      <c r="D135" s="135"/>
      <c r="E135" s="135"/>
      <c r="F135" s="135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</row>
    <row r="136" spans="1:42" x14ac:dyDescent="0.2">
      <c r="A136" s="165" t="s">
        <v>225</v>
      </c>
      <c r="B136" s="135"/>
      <c r="C136" s="135"/>
      <c r="D136" s="135"/>
      <c r="E136" s="135"/>
      <c r="F136" s="135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</row>
    <row r="137" spans="1:42" s="101" customFormat="1" x14ac:dyDescent="0.2">
      <c r="A137" s="180" t="s">
        <v>204</v>
      </c>
      <c r="B137" s="181"/>
      <c r="C137" s="181"/>
      <c r="D137" s="181"/>
      <c r="E137" s="181"/>
      <c r="F137" s="181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</row>
    <row r="138" spans="1:42" x14ac:dyDescent="0.2">
      <c r="A138" s="167" t="s">
        <v>199</v>
      </c>
      <c r="B138" s="169">
        <f>-'Inputs &amp; Results'!$C$210</f>
        <v>-21495756.173787482</v>
      </c>
      <c r="C138" s="169">
        <v>0</v>
      </c>
      <c r="D138" s="169">
        <v>0</v>
      </c>
      <c r="E138" s="169">
        <v>0</v>
      </c>
      <c r="F138" s="169">
        <v>0</v>
      </c>
      <c r="G138" s="169">
        <v>0</v>
      </c>
      <c r="H138" s="169">
        <v>0</v>
      </c>
      <c r="I138" s="169">
        <v>0</v>
      </c>
      <c r="J138" s="169">
        <v>0</v>
      </c>
      <c r="K138" s="169">
        <v>0</v>
      </c>
      <c r="L138" s="169">
        <v>0</v>
      </c>
      <c r="M138" s="169">
        <v>0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169">
        <v>0</v>
      </c>
      <c r="V138" s="169">
        <v>0</v>
      </c>
      <c r="W138" s="169">
        <v>0</v>
      </c>
      <c r="X138" s="169">
        <v>0</v>
      </c>
      <c r="Y138" s="169">
        <v>0</v>
      </c>
      <c r="Z138" s="169">
        <v>0</v>
      </c>
      <c r="AA138" s="169">
        <v>0</v>
      </c>
      <c r="AB138" s="169">
        <v>0</v>
      </c>
      <c r="AC138" s="169">
        <v>0</v>
      </c>
      <c r="AD138" s="169">
        <v>0</v>
      </c>
      <c r="AE138" s="169">
        <v>0</v>
      </c>
      <c r="AF138" s="169">
        <v>0</v>
      </c>
      <c r="AG138" s="169">
        <v>0</v>
      </c>
      <c r="AH138" s="169">
        <v>0</v>
      </c>
      <c r="AI138" s="169">
        <v>0</v>
      </c>
      <c r="AJ138" s="169">
        <v>0</v>
      </c>
      <c r="AK138" s="169">
        <v>0</v>
      </c>
      <c r="AL138" s="169">
        <v>0</v>
      </c>
      <c r="AM138" s="169">
        <v>0</v>
      </c>
      <c r="AN138" s="169">
        <v>0</v>
      </c>
      <c r="AO138" s="169">
        <v>0</v>
      </c>
      <c r="AP138" s="169">
        <v>0</v>
      </c>
    </row>
    <row r="139" spans="1:42" x14ac:dyDescent="0.2">
      <c r="A139" s="167" t="s">
        <v>200</v>
      </c>
      <c r="B139" s="170">
        <v>0</v>
      </c>
      <c r="C139" s="170">
        <f t="shared" ref="C139:AP139" si="381">IF(B$156&lt;LPFFlipTarget,LPFTEPreFlipCash*C96,LPFTEPostFlipCash*C96)</f>
        <v>906990.42251839291</v>
      </c>
      <c r="D139" s="170">
        <f t="shared" si="381"/>
        <v>918343.79412500747</v>
      </c>
      <c r="E139" s="170">
        <f t="shared" si="381"/>
        <v>929682.85809038952</v>
      </c>
      <c r="F139" s="170">
        <f t="shared" si="381"/>
        <v>941006.89132977522</v>
      </c>
      <c r="G139" s="170">
        <f t="shared" si="381"/>
        <v>952315.15337731387</v>
      </c>
      <c r="H139" s="170">
        <f t="shared" si="381"/>
        <v>963606.88600136247</v>
      </c>
      <c r="I139" s="170">
        <f t="shared" si="381"/>
        <v>974881.31281130062</v>
      </c>
      <c r="J139" s="170">
        <f t="shared" si="381"/>
        <v>986137.63885567826</v>
      </c>
      <c r="K139" s="170">
        <f t="shared" si="381"/>
        <v>101772.96430729989</v>
      </c>
      <c r="L139" s="170">
        <f t="shared" si="381"/>
        <v>102917.62383312825</v>
      </c>
      <c r="M139" s="170">
        <f t="shared" si="381"/>
        <v>104060.18120209845</v>
      </c>
      <c r="N139" s="170">
        <f t="shared" si="381"/>
        <v>106978.54279561713</v>
      </c>
      <c r="O139" s="170">
        <f t="shared" si="381"/>
        <v>99909.392494875472</v>
      </c>
      <c r="P139" s="170">
        <f t="shared" si="381"/>
        <v>101129.11045179782</v>
      </c>
      <c r="Q139" s="170">
        <f t="shared" si="381"/>
        <v>244861.07591976435</v>
      </c>
      <c r="R139" s="170">
        <f t="shared" si="381"/>
        <v>387083.4950528245</v>
      </c>
      <c r="S139" s="170">
        <f t="shared" si="381"/>
        <v>390248.26390922727</v>
      </c>
      <c r="T139" s="170">
        <f t="shared" si="381"/>
        <v>393402.12742460385</v>
      </c>
      <c r="U139" s="170">
        <f t="shared" si="381"/>
        <v>396544.67981163296</v>
      </c>
      <c r="V139" s="170">
        <f t="shared" si="381"/>
        <v>399675.5057794489</v>
      </c>
      <c r="W139" s="170">
        <f t="shared" si="381"/>
        <v>402077.63421423873</v>
      </c>
      <c r="X139" s="170">
        <f t="shared" si="381"/>
        <v>403763.16974024335</v>
      </c>
      <c r="Y139" s="170">
        <f t="shared" si="381"/>
        <v>405435.67382961739</v>
      </c>
      <c r="Z139" s="170">
        <f t="shared" si="381"/>
        <v>407094.69103017281</v>
      </c>
      <c r="AA139" s="170">
        <f t="shared" si="381"/>
        <v>396838.43515987438</v>
      </c>
      <c r="AB139" s="170">
        <f t="shared" si="381"/>
        <v>398569.51381402166</v>
      </c>
      <c r="AC139" s="170">
        <f t="shared" si="381"/>
        <v>400285.67467412335</v>
      </c>
      <c r="AD139" s="170">
        <f t="shared" si="381"/>
        <v>401986.41845732456</v>
      </c>
      <c r="AE139" s="170">
        <f t="shared" si="381"/>
        <v>403671.2343111512</v>
      </c>
      <c r="AF139" s="170">
        <f t="shared" si="381"/>
        <v>405339.59955785144</v>
      </c>
      <c r="AG139" s="170">
        <f t="shared" si="381"/>
        <v>406990.97943308851</v>
      </c>
      <c r="AH139" s="170">
        <f t="shared" si="381"/>
        <v>408624.82681885472</v>
      </c>
      <c r="AI139" s="170">
        <f t="shared" si="381"/>
        <v>410240.58197048208</v>
      </c>
      <c r="AJ139" s="170">
        <f t="shared" si="381"/>
        <v>411837.67223761347</v>
      </c>
      <c r="AK139" s="170">
        <f t="shared" si="381"/>
        <v>413415.51177900448</v>
      </c>
      <c r="AL139" s="170">
        <f t="shared" si="381"/>
        <v>414973.50127101614</v>
      </c>
      <c r="AM139" s="170">
        <f t="shared" si="381"/>
        <v>444224.90764038707</v>
      </c>
      <c r="AN139" s="170">
        <f t="shared" si="381"/>
        <v>445127.42857278971</v>
      </c>
      <c r="AO139" s="170">
        <f t="shared" si="381"/>
        <v>446008.21757783782</v>
      </c>
      <c r="AP139" s="170">
        <f t="shared" si="381"/>
        <v>899716.34331542405</v>
      </c>
    </row>
    <row r="140" spans="1:42" x14ac:dyDescent="0.2">
      <c r="A140" s="167" t="s">
        <v>205</v>
      </c>
      <c r="B140" s="135">
        <f>SUM(B138:B139)</f>
        <v>-21495756.173787482</v>
      </c>
      <c r="C140" s="135">
        <f t="shared" ref="C140" si="382">SUM(C138:C139)</f>
        <v>906990.42251839291</v>
      </c>
      <c r="D140" s="135">
        <f t="shared" ref="D140" si="383">SUM(D138:D139)</f>
        <v>918343.79412500747</v>
      </c>
      <c r="E140" s="135">
        <f t="shared" ref="E140" si="384">SUM(E138:E139)</f>
        <v>929682.85809038952</v>
      </c>
      <c r="F140" s="135">
        <f t="shared" ref="F140" si="385">SUM(F138:F139)</f>
        <v>941006.89132977522</v>
      </c>
      <c r="G140" s="135">
        <f t="shared" ref="G140" si="386">SUM(G138:G139)</f>
        <v>952315.15337731387</v>
      </c>
      <c r="H140" s="135">
        <f t="shared" ref="H140" si="387">SUM(H138:H139)</f>
        <v>963606.88600136247</v>
      </c>
      <c r="I140" s="135">
        <f t="shared" ref="I140" si="388">SUM(I138:I139)</f>
        <v>974881.31281130062</v>
      </c>
      <c r="J140" s="135">
        <f t="shared" ref="J140" si="389">SUM(J138:J139)</f>
        <v>986137.63885567826</v>
      </c>
      <c r="K140" s="135">
        <f t="shared" ref="K140" si="390">SUM(K138:K139)</f>
        <v>101772.96430729989</v>
      </c>
      <c r="L140" s="135">
        <f t="shared" ref="L140" si="391">SUM(L138:L139)</f>
        <v>102917.62383312825</v>
      </c>
      <c r="M140" s="135">
        <f t="shared" ref="M140" si="392">SUM(M138:M139)</f>
        <v>104060.18120209845</v>
      </c>
      <c r="N140" s="135">
        <f t="shared" ref="N140" si="393">SUM(N138:N139)</f>
        <v>106978.54279561713</v>
      </c>
      <c r="O140" s="135">
        <f t="shared" ref="O140" si="394">SUM(O138:O139)</f>
        <v>99909.392494875472</v>
      </c>
      <c r="P140" s="135">
        <f t="shared" ref="P140" si="395">SUM(P138:P139)</f>
        <v>101129.11045179782</v>
      </c>
      <c r="Q140" s="135">
        <f t="shared" ref="Q140" si="396">SUM(Q138:Q139)</f>
        <v>244861.07591976435</v>
      </c>
      <c r="R140" s="135">
        <f t="shared" ref="R140" si="397">SUM(R138:R139)</f>
        <v>387083.4950528245</v>
      </c>
      <c r="S140" s="135">
        <f t="shared" ref="S140" si="398">SUM(S138:S139)</f>
        <v>390248.26390922727</v>
      </c>
      <c r="T140" s="135">
        <f t="shared" ref="T140" si="399">SUM(T138:T139)</f>
        <v>393402.12742460385</v>
      </c>
      <c r="U140" s="135">
        <f t="shared" ref="U140" si="400">SUM(U138:U139)</f>
        <v>396544.67981163296</v>
      </c>
      <c r="V140" s="135">
        <f t="shared" ref="V140" si="401">SUM(V138:V139)</f>
        <v>399675.5057794489</v>
      </c>
      <c r="W140" s="135">
        <f t="shared" ref="W140" si="402">SUM(W138:W139)</f>
        <v>402077.63421423873</v>
      </c>
      <c r="X140" s="135">
        <f t="shared" ref="X140" si="403">SUM(X138:X139)</f>
        <v>403763.16974024335</v>
      </c>
      <c r="Y140" s="135">
        <f t="shared" ref="Y140" si="404">SUM(Y138:Y139)</f>
        <v>405435.67382961739</v>
      </c>
      <c r="Z140" s="135">
        <f t="shared" ref="Z140" si="405">SUM(Z138:Z139)</f>
        <v>407094.69103017281</v>
      </c>
      <c r="AA140" s="135">
        <f t="shared" ref="AA140" si="406">SUM(AA138:AA139)</f>
        <v>396838.43515987438</v>
      </c>
      <c r="AB140" s="135">
        <f t="shared" ref="AB140" si="407">SUM(AB138:AB139)</f>
        <v>398569.51381402166</v>
      </c>
      <c r="AC140" s="135">
        <f t="shared" ref="AC140" si="408">SUM(AC138:AC139)</f>
        <v>400285.67467412335</v>
      </c>
      <c r="AD140" s="135">
        <f t="shared" ref="AD140" si="409">SUM(AD138:AD139)</f>
        <v>401986.41845732456</v>
      </c>
      <c r="AE140" s="135">
        <f t="shared" ref="AE140" si="410">SUM(AE138:AE139)</f>
        <v>403671.2343111512</v>
      </c>
      <c r="AF140" s="135">
        <f t="shared" ref="AF140" si="411">SUM(AF138:AF139)</f>
        <v>405339.59955785144</v>
      </c>
      <c r="AG140" s="135">
        <f t="shared" ref="AG140" si="412">SUM(AG138:AG139)</f>
        <v>406990.97943308851</v>
      </c>
      <c r="AH140" s="135">
        <f t="shared" ref="AH140" si="413">SUM(AH138:AH139)</f>
        <v>408624.82681885472</v>
      </c>
      <c r="AI140" s="135">
        <f t="shared" ref="AI140" si="414">SUM(AI138:AI139)</f>
        <v>410240.58197048208</v>
      </c>
      <c r="AJ140" s="135">
        <f t="shared" ref="AJ140" si="415">SUM(AJ138:AJ139)</f>
        <v>411837.67223761347</v>
      </c>
      <c r="AK140" s="135">
        <f t="shared" ref="AK140" si="416">SUM(AK138:AK139)</f>
        <v>413415.51177900448</v>
      </c>
      <c r="AL140" s="135">
        <f t="shared" ref="AL140" si="417">SUM(AL138:AL139)</f>
        <v>414973.50127101614</v>
      </c>
      <c r="AM140" s="135">
        <f t="shared" ref="AM140" si="418">SUM(AM138:AM139)</f>
        <v>444224.90764038707</v>
      </c>
      <c r="AN140" s="135">
        <f t="shared" ref="AN140" si="419">SUM(AN138:AN139)</f>
        <v>445127.42857278971</v>
      </c>
      <c r="AO140" s="135">
        <f t="shared" ref="AO140" si="420">SUM(AO138:AO139)</f>
        <v>446008.21757783782</v>
      </c>
      <c r="AP140" s="135">
        <f t="shared" ref="AP140" si="421">SUM(AP138:AP139)</f>
        <v>899716.34331542405</v>
      </c>
    </row>
    <row r="141" spans="1:42" x14ac:dyDescent="0.2">
      <c r="A141" s="163" t="s">
        <v>33</v>
      </c>
      <c r="B141" s="135"/>
      <c r="C141" s="135"/>
      <c r="D141" s="135"/>
      <c r="E141" s="135"/>
      <c r="F141" s="135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</row>
    <row r="142" spans="1:42" x14ac:dyDescent="0.2">
      <c r="A142" s="167" t="s">
        <v>37</v>
      </c>
      <c r="B142" s="135">
        <v>0</v>
      </c>
      <c r="C142" s="135">
        <f t="shared" ref="C142:AP142" si="422">IF(B$156&lt;LPFFlipTarget,LPFTEPreFlipTax*C99,LPFTEPostFlipTax*C99)</f>
        <v>0</v>
      </c>
      <c r="D142" s="135">
        <f t="shared" si="422"/>
        <v>0</v>
      </c>
      <c r="E142" s="135">
        <f t="shared" si="422"/>
        <v>0</v>
      </c>
      <c r="F142" s="135">
        <f t="shared" si="422"/>
        <v>0</v>
      </c>
      <c r="G142" s="135">
        <f t="shared" si="422"/>
        <v>0</v>
      </c>
      <c r="H142" s="135">
        <f t="shared" si="422"/>
        <v>0</v>
      </c>
      <c r="I142" s="135">
        <f t="shared" si="422"/>
        <v>0</v>
      </c>
      <c r="J142" s="135">
        <f t="shared" si="422"/>
        <v>0</v>
      </c>
      <c r="K142" s="135">
        <f t="shared" si="422"/>
        <v>0</v>
      </c>
      <c r="L142" s="135">
        <f t="shared" si="422"/>
        <v>0</v>
      </c>
      <c r="M142" s="135">
        <f t="shared" si="422"/>
        <v>0</v>
      </c>
      <c r="N142" s="135">
        <f t="shared" si="422"/>
        <v>0</v>
      </c>
      <c r="O142" s="135">
        <f t="shared" si="422"/>
        <v>0</v>
      </c>
      <c r="P142" s="135">
        <f t="shared" si="422"/>
        <v>0</v>
      </c>
      <c r="Q142" s="135">
        <f t="shared" si="422"/>
        <v>0</v>
      </c>
      <c r="R142" s="135">
        <f t="shared" si="422"/>
        <v>0</v>
      </c>
      <c r="S142" s="135">
        <f t="shared" si="422"/>
        <v>0</v>
      </c>
      <c r="T142" s="135">
        <f t="shared" si="422"/>
        <v>0</v>
      </c>
      <c r="U142" s="135">
        <f t="shared" si="422"/>
        <v>0</v>
      </c>
      <c r="V142" s="135">
        <f t="shared" si="422"/>
        <v>0</v>
      </c>
      <c r="W142" s="135">
        <f t="shared" si="422"/>
        <v>0</v>
      </c>
      <c r="X142" s="135">
        <f t="shared" si="422"/>
        <v>0</v>
      </c>
      <c r="Y142" s="135">
        <f t="shared" si="422"/>
        <v>0</v>
      </c>
      <c r="Z142" s="135">
        <f t="shared" si="422"/>
        <v>0</v>
      </c>
      <c r="AA142" s="135">
        <f t="shared" si="422"/>
        <v>0</v>
      </c>
      <c r="AB142" s="135">
        <f t="shared" si="422"/>
        <v>0</v>
      </c>
      <c r="AC142" s="135">
        <f t="shared" si="422"/>
        <v>0</v>
      </c>
      <c r="AD142" s="135">
        <f t="shared" si="422"/>
        <v>0</v>
      </c>
      <c r="AE142" s="135">
        <f t="shared" si="422"/>
        <v>0</v>
      </c>
      <c r="AF142" s="135">
        <f t="shared" si="422"/>
        <v>0</v>
      </c>
      <c r="AG142" s="135">
        <f t="shared" si="422"/>
        <v>0</v>
      </c>
      <c r="AH142" s="135">
        <f t="shared" si="422"/>
        <v>0</v>
      </c>
      <c r="AI142" s="135">
        <f t="shared" si="422"/>
        <v>0</v>
      </c>
      <c r="AJ142" s="135">
        <f t="shared" si="422"/>
        <v>0</v>
      </c>
      <c r="AK142" s="135">
        <f t="shared" si="422"/>
        <v>0</v>
      </c>
      <c r="AL142" s="135">
        <f t="shared" si="422"/>
        <v>0</v>
      </c>
      <c r="AM142" s="135">
        <f t="shared" si="422"/>
        <v>0</v>
      </c>
      <c r="AN142" s="135">
        <f t="shared" si="422"/>
        <v>0</v>
      </c>
      <c r="AO142" s="135">
        <f t="shared" si="422"/>
        <v>0</v>
      </c>
      <c r="AP142" s="135">
        <f t="shared" si="422"/>
        <v>0</v>
      </c>
    </row>
    <row r="143" spans="1:42" x14ac:dyDescent="0.2">
      <c r="A143" s="167" t="s">
        <v>36</v>
      </c>
      <c r="B143" s="170">
        <v>0</v>
      </c>
      <c r="C143" s="170">
        <f t="shared" ref="C143:AP143" si="423">IF(B$156&lt;LPFFlipTarget,LPFTEPreFlipTax*C100,LPFTEPostFlipTax*C100)</f>
        <v>11863490.964891301</v>
      </c>
      <c r="D143" s="170">
        <f t="shared" si="423"/>
        <v>0</v>
      </c>
      <c r="E143" s="170">
        <f t="shared" si="423"/>
        <v>0</v>
      </c>
      <c r="F143" s="170">
        <f t="shared" si="423"/>
        <v>0</v>
      </c>
      <c r="G143" s="170">
        <f t="shared" si="423"/>
        <v>0</v>
      </c>
      <c r="H143" s="170">
        <f t="shared" si="423"/>
        <v>0</v>
      </c>
      <c r="I143" s="170">
        <f t="shared" si="423"/>
        <v>0</v>
      </c>
      <c r="J143" s="170">
        <f t="shared" si="423"/>
        <v>0</v>
      </c>
      <c r="K143" s="170">
        <f t="shared" si="423"/>
        <v>0</v>
      </c>
      <c r="L143" s="170">
        <f t="shared" si="423"/>
        <v>0</v>
      </c>
      <c r="M143" s="170">
        <f t="shared" si="423"/>
        <v>0</v>
      </c>
      <c r="N143" s="170">
        <f t="shared" si="423"/>
        <v>0</v>
      </c>
      <c r="O143" s="170">
        <f t="shared" si="423"/>
        <v>0</v>
      </c>
      <c r="P143" s="170">
        <f t="shared" si="423"/>
        <v>0</v>
      </c>
      <c r="Q143" s="170">
        <f t="shared" si="423"/>
        <v>0</v>
      </c>
      <c r="R143" s="170">
        <f t="shared" si="423"/>
        <v>0</v>
      </c>
      <c r="S143" s="170">
        <f t="shared" si="423"/>
        <v>0</v>
      </c>
      <c r="T143" s="170">
        <f t="shared" si="423"/>
        <v>0</v>
      </c>
      <c r="U143" s="170">
        <f t="shared" si="423"/>
        <v>0</v>
      </c>
      <c r="V143" s="170">
        <f t="shared" si="423"/>
        <v>0</v>
      </c>
      <c r="W143" s="170">
        <f t="shared" si="423"/>
        <v>0</v>
      </c>
      <c r="X143" s="170">
        <f t="shared" si="423"/>
        <v>0</v>
      </c>
      <c r="Y143" s="170">
        <f t="shared" si="423"/>
        <v>0</v>
      </c>
      <c r="Z143" s="170">
        <f t="shared" si="423"/>
        <v>0</v>
      </c>
      <c r="AA143" s="170">
        <f t="shared" si="423"/>
        <v>0</v>
      </c>
      <c r="AB143" s="170">
        <f t="shared" si="423"/>
        <v>0</v>
      </c>
      <c r="AC143" s="170">
        <f t="shared" si="423"/>
        <v>0</v>
      </c>
      <c r="AD143" s="170">
        <f t="shared" si="423"/>
        <v>0</v>
      </c>
      <c r="AE143" s="170">
        <f t="shared" si="423"/>
        <v>0</v>
      </c>
      <c r="AF143" s="170">
        <f t="shared" si="423"/>
        <v>0</v>
      </c>
      <c r="AG143" s="170">
        <f t="shared" si="423"/>
        <v>0</v>
      </c>
      <c r="AH143" s="170">
        <f t="shared" si="423"/>
        <v>0</v>
      </c>
      <c r="AI143" s="170">
        <f t="shared" si="423"/>
        <v>0</v>
      </c>
      <c r="AJ143" s="170">
        <f t="shared" si="423"/>
        <v>0</v>
      </c>
      <c r="AK143" s="170">
        <f t="shared" si="423"/>
        <v>0</v>
      </c>
      <c r="AL143" s="170">
        <f t="shared" si="423"/>
        <v>0</v>
      </c>
      <c r="AM143" s="170">
        <f t="shared" si="423"/>
        <v>0</v>
      </c>
      <c r="AN143" s="170">
        <f t="shared" si="423"/>
        <v>0</v>
      </c>
      <c r="AO143" s="170">
        <f t="shared" si="423"/>
        <v>0</v>
      </c>
      <c r="AP143" s="170">
        <f t="shared" si="423"/>
        <v>0</v>
      </c>
    </row>
    <row r="144" spans="1:42" x14ac:dyDescent="0.2">
      <c r="A144" s="167" t="s">
        <v>53</v>
      </c>
      <c r="B144" s="135">
        <f>SUM(B142:B143)</f>
        <v>0</v>
      </c>
      <c r="C144" s="135">
        <f>SUM(C142:C143)</f>
        <v>11863490.964891301</v>
      </c>
      <c r="D144" s="135">
        <f>SUM(D142:D143)</f>
        <v>0</v>
      </c>
      <c r="E144" s="135">
        <f t="shared" ref="E144" si="424">SUM(E142:E143)</f>
        <v>0</v>
      </c>
      <c r="F144" s="135">
        <f t="shared" ref="F144" si="425">SUM(F142:F143)</f>
        <v>0</v>
      </c>
      <c r="G144" s="135">
        <f t="shared" ref="G144" si="426">SUM(G142:G143)</f>
        <v>0</v>
      </c>
      <c r="H144" s="135">
        <f t="shared" ref="H144" si="427">SUM(H142:H143)</f>
        <v>0</v>
      </c>
      <c r="I144" s="135">
        <f t="shared" ref="I144" si="428">SUM(I142:I143)</f>
        <v>0</v>
      </c>
      <c r="J144" s="135">
        <f t="shared" ref="J144" si="429">SUM(J142:J143)</f>
        <v>0</v>
      </c>
      <c r="K144" s="135">
        <f t="shared" ref="K144" si="430">SUM(K142:K143)</f>
        <v>0</v>
      </c>
      <c r="L144" s="135">
        <f t="shared" ref="L144" si="431">SUM(L142:L143)</f>
        <v>0</v>
      </c>
      <c r="M144" s="135">
        <f t="shared" ref="M144" si="432">SUM(M142:M143)</f>
        <v>0</v>
      </c>
      <c r="N144" s="135">
        <f t="shared" ref="N144" si="433">SUM(N142:N143)</f>
        <v>0</v>
      </c>
      <c r="O144" s="135">
        <f t="shared" ref="O144" si="434">SUM(O142:O143)</f>
        <v>0</v>
      </c>
      <c r="P144" s="135">
        <f t="shared" ref="P144" si="435">SUM(P142:P143)</f>
        <v>0</v>
      </c>
      <c r="Q144" s="135">
        <f t="shared" ref="Q144" si="436">SUM(Q142:Q143)</f>
        <v>0</v>
      </c>
      <c r="R144" s="135">
        <f t="shared" ref="R144" si="437">SUM(R142:R143)</f>
        <v>0</v>
      </c>
      <c r="S144" s="135">
        <f t="shared" ref="S144" si="438">SUM(S142:S143)</f>
        <v>0</v>
      </c>
      <c r="T144" s="135">
        <f t="shared" ref="T144" si="439">SUM(T142:T143)</f>
        <v>0</v>
      </c>
      <c r="U144" s="135">
        <f t="shared" ref="U144" si="440">SUM(U142:U143)</f>
        <v>0</v>
      </c>
      <c r="V144" s="135">
        <f t="shared" ref="V144" si="441">SUM(V142:V143)</f>
        <v>0</v>
      </c>
      <c r="W144" s="135">
        <f t="shared" ref="W144" si="442">SUM(W142:W143)</f>
        <v>0</v>
      </c>
      <c r="X144" s="135">
        <f t="shared" ref="X144" si="443">SUM(X142:X143)</f>
        <v>0</v>
      </c>
      <c r="Y144" s="135">
        <f t="shared" ref="Y144" si="444">SUM(Y142:Y143)</f>
        <v>0</v>
      </c>
      <c r="Z144" s="135">
        <f t="shared" ref="Z144" si="445">SUM(Z142:Z143)</f>
        <v>0</v>
      </c>
      <c r="AA144" s="135">
        <f t="shared" ref="AA144" si="446">SUM(AA142:AA143)</f>
        <v>0</v>
      </c>
      <c r="AB144" s="135">
        <f t="shared" ref="AB144" si="447">SUM(AB142:AB143)</f>
        <v>0</v>
      </c>
      <c r="AC144" s="135">
        <f t="shared" ref="AC144" si="448">SUM(AC142:AC143)</f>
        <v>0</v>
      </c>
      <c r="AD144" s="135">
        <f t="shared" ref="AD144" si="449">SUM(AD142:AD143)</f>
        <v>0</v>
      </c>
      <c r="AE144" s="135">
        <f t="shared" ref="AE144" si="450">SUM(AE142:AE143)</f>
        <v>0</v>
      </c>
      <c r="AF144" s="135">
        <f t="shared" ref="AF144" si="451">SUM(AF142:AF143)</f>
        <v>0</v>
      </c>
      <c r="AG144" s="135">
        <f t="shared" ref="AG144" si="452">SUM(AG142:AG143)</f>
        <v>0</v>
      </c>
      <c r="AH144" s="135">
        <f t="shared" ref="AH144" si="453">SUM(AH142:AH143)</f>
        <v>0</v>
      </c>
      <c r="AI144" s="135">
        <f t="shared" ref="AI144" si="454">SUM(AI142:AI143)</f>
        <v>0</v>
      </c>
      <c r="AJ144" s="135">
        <f t="shared" ref="AJ144" si="455">SUM(AJ142:AJ143)</f>
        <v>0</v>
      </c>
      <c r="AK144" s="135">
        <f t="shared" ref="AK144" si="456">SUM(AK142:AK143)</f>
        <v>0</v>
      </c>
      <c r="AL144" s="135">
        <f t="shared" ref="AL144" si="457">SUM(AL142:AL143)</f>
        <v>0</v>
      </c>
      <c r="AM144" s="135">
        <f t="shared" ref="AM144" si="458">SUM(AM142:AM143)</f>
        <v>0</v>
      </c>
      <c r="AN144" s="135">
        <f t="shared" ref="AN144" si="459">SUM(AN142:AN143)</f>
        <v>0</v>
      </c>
      <c r="AO144" s="135">
        <f t="shared" ref="AO144" si="460">SUM(AO142:AO143)</f>
        <v>0</v>
      </c>
      <c r="AP144" s="135">
        <f t="shared" ref="AP144" si="461">SUM(AP142:AP143)</f>
        <v>0</v>
      </c>
    </row>
    <row r="145" spans="1:42" x14ac:dyDescent="0.2">
      <c r="A145" s="163" t="s">
        <v>38</v>
      </c>
      <c r="B145" s="135"/>
      <c r="C145" s="135"/>
      <c r="D145" s="135"/>
      <c r="E145" s="135"/>
      <c r="F145" s="135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</row>
    <row r="146" spans="1:42" x14ac:dyDescent="0.2">
      <c r="A146" s="167" t="s">
        <v>37</v>
      </c>
      <c r="B146" s="135">
        <f>B579</f>
        <v>0</v>
      </c>
      <c r="C146" s="135">
        <f t="shared" ref="C146:AP146" si="462">IF(B$156&lt;LPFFlipTarget,LPFTEPreFlipTax*C103,LPFTEPostFlipTax*C103)</f>
        <v>0</v>
      </c>
      <c r="D146" s="135">
        <f t="shared" si="462"/>
        <v>0</v>
      </c>
      <c r="E146" s="135">
        <f t="shared" si="462"/>
        <v>0</v>
      </c>
      <c r="F146" s="135">
        <f t="shared" si="462"/>
        <v>0</v>
      </c>
      <c r="G146" s="135">
        <f t="shared" si="462"/>
        <v>0</v>
      </c>
      <c r="H146" s="135">
        <f t="shared" si="462"/>
        <v>0</v>
      </c>
      <c r="I146" s="135">
        <f t="shared" si="462"/>
        <v>0</v>
      </c>
      <c r="J146" s="135">
        <f t="shared" si="462"/>
        <v>0</v>
      </c>
      <c r="K146" s="135">
        <f t="shared" si="462"/>
        <v>0</v>
      </c>
      <c r="L146" s="135">
        <f t="shared" si="462"/>
        <v>0</v>
      </c>
      <c r="M146" s="135">
        <f t="shared" si="462"/>
        <v>0</v>
      </c>
      <c r="N146" s="135">
        <f t="shared" si="462"/>
        <v>0</v>
      </c>
      <c r="O146" s="135">
        <f t="shared" si="462"/>
        <v>0</v>
      </c>
      <c r="P146" s="135">
        <f t="shared" si="462"/>
        <v>0</v>
      </c>
      <c r="Q146" s="135">
        <f t="shared" si="462"/>
        <v>0</v>
      </c>
      <c r="R146" s="135">
        <f t="shared" si="462"/>
        <v>0</v>
      </c>
      <c r="S146" s="135">
        <f t="shared" si="462"/>
        <v>0</v>
      </c>
      <c r="T146" s="135">
        <f t="shared" si="462"/>
        <v>0</v>
      </c>
      <c r="U146" s="135">
        <f t="shared" si="462"/>
        <v>0</v>
      </c>
      <c r="V146" s="135">
        <f t="shared" si="462"/>
        <v>0</v>
      </c>
      <c r="W146" s="135">
        <f t="shared" si="462"/>
        <v>0</v>
      </c>
      <c r="X146" s="135">
        <f t="shared" si="462"/>
        <v>0</v>
      </c>
      <c r="Y146" s="135">
        <f t="shared" si="462"/>
        <v>0</v>
      </c>
      <c r="Z146" s="135">
        <f t="shared" si="462"/>
        <v>0</v>
      </c>
      <c r="AA146" s="135">
        <f t="shared" si="462"/>
        <v>0</v>
      </c>
      <c r="AB146" s="135">
        <f t="shared" si="462"/>
        <v>0</v>
      </c>
      <c r="AC146" s="135">
        <f t="shared" si="462"/>
        <v>0</v>
      </c>
      <c r="AD146" s="135">
        <f t="shared" si="462"/>
        <v>0</v>
      </c>
      <c r="AE146" s="135">
        <f t="shared" si="462"/>
        <v>0</v>
      </c>
      <c r="AF146" s="135">
        <f t="shared" si="462"/>
        <v>0</v>
      </c>
      <c r="AG146" s="135">
        <f t="shared" si="462"/>
        <v>0</v>
      </c>
      <c r="AH146" s="135">
        <f t="shared" si="462"/>
        <v>0</v>
      </c>
      <c r="AI146" s="135">
        <f t="shared" si="462"/>
        <v>0</v>
      </c>
      <c r="AJ146" s="135">
        <f t="shared" si="462"/>
        <v>0</v>
      </c>
      <c r="AK146" s="135">
        <f t="shared" si="462"/>
        <v>0</v>
      </c>
      <c r="AL146" s="135">
        <f t="shared" si="462"/>
        <v>0</v>
      </c>
      <c r="AM146" s="135">
        <f t="shared" si="462"/>
        <v>0</v>
      </c>
      <c r="AN146" s="135">
        <f t="shared" si="462"/>
        <v>0</v>
      </c>
      <c r="AO146" s="135">
        <f t="shared" si="462"/>
        <v>0</v>
      </c>
      <c r="AP146" s="135">
        <f t="shared" si="462"/>
        <v>0</v>
      </c>
    </row>
    <row r="147" spans="1:42" x14ac:dyDescent="0.2">
      <c r="A147" s="167" t="s">
        <v>36</v>
      </c>
      <c r="B147" s="170">
        <f>B585</f>
        <v>0</v>
      </c>
      <c r="C147" s="170">
        <f t="shared" ref="C147:AP147" si="463">IF(B$156&lt;LPFFlipTarget,LPFTEPreFlipTax*C104,LPFTEPostFlipTax*C104)</f>
        <v>0</v>
      </c>
      <c r="D147" s="170">
        <f t="shared" si="463"/>
        <v>0</v>
      </c>
      <c r="E147" s="170">
        <f t="shared" si="463"/>
        <v>0</v>
      </c>
      <c r="F147" s="170">
        <f t="shared" si="463"/>
        <v>0</v>
      </c>
      <c r="G147" s="170">
        <f t="shared" si="463"/>
        <v>0</v>
      </c>
      <c r="H147" s="170">
        <f t="shared" si="463"/>
        <v>0</v>
      </c>
      <c r="I147" s="170">
        <f t="shared" si="463"/>
        <v>0</v>
      </c>
      <c r="J147" s="170">
        <f t="shared" si="463"/>
        <v>0</v>
      </c>
      <c r="K147" s="170">
        <f t="shared" si="463"/>
        <v>0</v>
      </c>
      <c r="L147" s="170">
        <f t="shared" si="463"/>
        <v>0</v>
      </c>
      <c r="M147" s="170">
        <f t="shared" si="463"/>
        <v>0</v>
      </c>
      <c r="N147" s="170">
        <f t="shared" si="463"/>
        <v>0</v>
      </c>
      <c r="O147" s="170">
        <f t="shared" si="463"/>
        <v>0</v>
      </c>
      <c r="P147" s="170">
        <f t="shared" si="463"/>
        <v>0</v>
      </c>
      <c r="Q147" s="170">
        <f t="shared" si="463"/>
        <v>0</v>
      </c>
      <c r="R147" s="170">
        <f t="shared" si="463"/>
        <v>0</v>
      </c>
      <c r="S147" s="170">
        <f t="shared" si="463"/>
        <v>0</v>
      </c>
      <c r="T147" s="170">
        <f t="shared" si="463"/>
        <v>0</v>
      </c>
      <c r="U147" s="170">
        <f t="shared" si="463"/>
        <v>0</v>
      </c>
      <c r="V147" s="170">
        <f t="shared" si="463"/>
        <v>0</v>
      </c>
      <c r="W147" s="170">
        <f t="shared" si="463"/>
        <v>0</v>
      </c>
      <c r="X147" s="170">
        <f t="shared" si="463"/>
        <v>0</v>
      </c>
      <c r="Y147" s="170">
        <f t="shared" si="463"/>
        <v>0</v>
      </c>
      <c r="Z147" s="170">
        <f t="shared" si="463"/>
        <v>0</v>
      </c>
      <c r="AA147" s="170">
        <f t="shared" si="463"/>
        <v>0</v>
      </c>
      <c r="AB147" s="170">
        <f t="shared" si="463"/>
        <v>0</v>
      </c>
      <c r="AC147" s="170">
        <f t="shared" si="463"/>
        <v>0</v>
      </c>
      <c r="AD147" s="170">
        <f t="shared" si="463"/>
        <v>0</v>
      </c>
      <c r="AE147" s="170">
        <f t="shared" si="463"/>
        <v>0</v>
      </c>
      <c r="AF147" s="170">
        <f t="shared" si="463"/>
        <v>0</v>
      </c>
      <c r="AG147" s="170">
        <f t="shared" si="463"/>
        <v>0</v>
      </c>
      <c r="AH147" s="170">
        <f t="shared" si="463"/>
        <v>0</v>
      </c>
      <c r="AI147" s="170">
        <f t="shared" si="463"/>
        <v>0</v>
      </c>
      <c r="AJ147" s="170">
        <f t="shared" si="463"/>
        <v>0</v>
      </c>
      <c r="AK147" s="170">
        <f t="shared" si="463"/>
        <v>0</v>
      </c>
      <c r="AL147" s="170">
        <f t="shared" si="463"/>
        <v>0</v>
      </c>
      <c r="AM147" s="170">
        <f t="shared" si="463"/>
        <v>0</v>
      </c>
      <c r="AN147" s="170">
        <f t="shared" si="463"/>
        <v>0</v>
      </c>
      <c r="AO147" s="170">
        <f t="shared" si="463"/>
        <v>0</v>
      </c>
      <c r="AP147" s="170">
        <f t="shared" si="463"/>
        <v>0</v>
      </c>
    </row>
    <row r="148" spans="1:42" x14ac:dyDescent="0.2">
      <c r="A148" s="167" t="s">
        <v>53</v>
      </c>
      <c r="B148" s="135">
        <f>SUM(B146:B147)</f>
        <v>0</v>
      </c>
      <c r="C148" s="135">
        <f>SUM(C146:C147)</f>
        <v>0</v>
      </c>
      <c r="D148" s="135">
        <f>SUM(D146:D147)</f>
        <v>0</v>
      </c>
      <c r="E148" s="135">
        <f t="shared" ref="E148" si="464">SUM(E146:E147)</f>
        <v>0</v>
      </c>
      <c r="F148" s="135">
        <f t="shared" ref="F148" si="465">SUM(F146:F147)</f>
        <v>0</v>
      </c>
      <c r="G148" s="135">
        <f t="shared" ref="G148" si="466">SUM(G146:G147)</f>
        <v>0</v>
      </c>
      <c r="H148" s="135">
        <f t="shared" ref="H148" si="467">SUM(H146:H147)</f>
        <v>0</v>
      </c>
      <c r="I148" s="135">
        <f t="shared" ref="I148" si="468">SUM(I146:I147)</f>
        <v>0</v>
      </c>
      <c r="J148" s="135">
        <f t="shared" ref="J148" si="469">SUM(J146:J147)</f>
        <v>0</v>
      </c>
      <c r="K148" s="135">
        <f t="shared" ref="K148" si="470">SUM(K146:K147)</f>
        <v>0</v>
      </c>
      <c r="L148" s="135">
        <f t="shared" ref="L148" si="471">SUM(L146:L147)</f>
        <v>0</v>
      </c>
      <c r="M148" s="135">
        <f t="shared" ref="M148" si="472">SUM(M146:M147)</f>
        <v>0</v>
      </c>
      <c r="N148" s="135">
        <f t="shared" ref="N148" si="473">SUM(N146:N147)</f>
        <v>0</v>
      </c>
      <c r="O148" s="135">
        <f t="shared" ref="O148" si="474">SUM(O146:O147)</f>
        <v>0</v>
      </c>
      <c r="P148" s="135">
        <f t="shared" ref="P148" si="475">SUM(P146:P147)</f>
        <v>0</v>
      </c>
      <c r="Q148" s="135">
        <f t="shared" ref="Q148" si="476">SUM(Q146:Q147)</f>
        <v>0</v>
      </c>
      <c r="R148" s="135">
        <f t="shared" ref="R148" si="477">SUM(R146:R147)</f>
        <v>0</v>
      </c>
      <c r="S148" s="135">
        <f t="shared" ref="S148" si="478">SUM(S146:S147)</f>
        <v>0</v>
      </c>
      <c r="T148" s="135">
        <f t="shared" ref="T148" si="479">SUM(T146:T147)</f>
        <v>0</v>
      </c>
      <c r="U148" s="135">
        <f t="shared" ref="U148" si="480">SUM(U146:U147)</f>
        <v>0</v>
      </c>
      <c r="V148" s="135">
        <f t="shared" ref="V148" si="481">SUM(V146:V147)</f>
        <v>0</v>
      </c>
      <c r="W148" s="135">
        <f t="shared" ref="W148" si="482">SUM(W146:W147)</f>
        <v>0</v>
      </c>
      <c r="X148" s="135">
        <f t="shared" ref="X148" si="483">SUM(X146:X147)</f>
        <v>0</v>
      </c>
      <c r="Y148" s="135">
        <f t="shared" ref="Y148" si="484">SUM(Y146:Y147)</f>
        <v>0</v>
      </c>
      <c r="Z148" s="135">
        <f t="shared" ref="Z148" si="485">SUM(Z146:Z147)</f>
        <v>0</v>
      </c>
      <c r="AA148" s="135">
        <f t="shared" ref="AA148" si="486">SUM(AA146:AA147)</f>
        <v>0</v>
      </c>
      <c r="AB148" s="135">
        <f t="shared" ref="AB148" si="487">SUM(AB146:AB147)</f>
        <v>0</v>
      </c>
      <c r="AC148" s="135">
        <f t="shared" ref="AC148" si="488">SUM(AC146:AC147)</f>
        <v>0</v>
      </c>
      <c r="AD148" s="135">
        <f t="shared" ref="AD148" si="489">SUM(AD146:AD147)</f>
        <v>0</v>
      </c>
      <c r="AE148" s="135">
        <f t="shared" ref="AE148" si="490">SUM(AE146:AE147)</f>
        <v>0</v>
      </c>
      <c r="AF148" s="135">
        <f t="shared" ref="AF148" si="491">SUM(AF146:AF147)</f>
        <v>0</v>
      </c>
      <c r="AG148" s="135">
        <f t="shared" ref="AG148" si="492">SUM(AG146:AG147)</f>
        <v>0</v>
      </c>
      <c r="AH148" s="135">
        <f t="shared" ref="AH148" si="493">SUM(AH146:AH147)</f>
        <v>0</v>
      </c>
      <c r="AI148" s="135">
        <f t="shared" ref="AI148" si="494">SUM(AI146:AI147)</f>
        <v>0</v>
      </c>
      <c r="AJ148" s="135">
        <f t="shared" ref="AJ148" si="495">SUM(AJ146:AJ147)</f>
        <v>0</v>
      </c>
      <c r="AK148" s="135">
        <f t="shared" ref="AK148" si="496">SUM(AK146:AK147)</f>
        <v>0</v>
      </c>
      <c r="AL148" s="135">
        <f t="shared" ref="AL148" si="497">SUM(AL146:AL147)</f>
        <v>0</v>
      </c>
      <c r="AM148" s="135">
        <f t="shared" ref="AM148" si="498">SUM(AM146:AM147)</f>
        <v>0</v>
      </c>
      <c r="AN148" s="135">
        <f t="shared" ref="AN148" si="499">SUM(AN146:AN147)</f>
        <v>0</v>
      </c>
      <c r="AO148" s="135">
        <f t="shared" ref="AO148" si="500">SUM(AO146:AO147)</f>
        <v>0</v>
      </c>
      <c r="AP148" s="135">
        <f t="shared" ref="AP148" si="501">SUM(AP146:AP147)</f>
        <v>0</v>
      </c>
    </row>
    <row r="149" spans="1:42" x14ac:dyDescent="0.2">
      <c r="A149" s="163" t="s">
        <v>346</v>
      </c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</row>
    <row r="150" spans="1:42" x14ac:dyDescent="0.2">
      <c r="A150" s="167" t="s">
        <v>37</v>
      </c>
      <c r="B150" s="135">
        <v>0</v>
      </c>
      <c r="C150" s="135">
        <f t="shared" ref="C150:AP150" si="502">IF(B$156&lt;LPFFlipTarget,LPFTEPreFlipTax*C107,LPFTEPostFlipTax*C107)</f>
        <v>271093.35241904279</v>
      </c>
      <c r="D150" s="135">
        <f t="shared" si="502"/>
        <v>494080.17099273193</v>
      </c>
      <c r="E150" s="135">
        <f t="shared" si="502"/>
        <v>251814.87778149068</v>
      </c>
      <c r="F150" s="135">
        <f t="shared" si="502"/>
        <v>103883.70611660717</v>
      </c>
      <c r="G150" s="135">
        <f t="shared" si="502"/>
        <v>97579.143342017298</v>
      </c>
      <c r="H150" s="135">
        <f t="shared" si="502"/>
        <v>-15601.170692569205</v>
      </c>
      <c r="I150" s="135">
        <f t="shared" si="502"/>
        <v>-129092.61439726266</v>
      </c>
      <c r="J150" s="135">
        <f t="shared" si="502"/>
        <v>-136465.01359941487</v>
      </c>
      <c r="K150" s="135">
        <f t="shared" si="502"/>
        <v>-14728.323753346105</v>
      </c>
      <c r="L150" s="135">
        <f t="shared" si="502"/>
        <v>-15590.887623546412</v>
      </c>
      <c r="M150" s="135">
        <f t="shared" si="502"/>
        <v>-16512.611553645384</v>
      </c>
      <c r="N150" s="135">
        <f t="shared" si="502"/>
        <v>-14263.373193298039</v>
      </c>
      <c r="O150" s="135">
        <f t="shared" si="502"/>
        <v>-13093.748653922841</v>
      </c>
      <c r="P150" s="135">
        <f t="shared" si="502"/>
        <v>-16294.575339824885</v>
      </c>
      <c r="Q150" s="135">
        <f t="shared" si="502"/>
        <v>-18745.429821002992</v>
      </c>
      <c r="R150" s="135">
        <f t="shared" si="502"/>
        <v>-20264.763332912073</v>
      </c>
      <c r="S150" s="135">
        <f t="shared" si="502"/>
        <v>-21731.848697158766</v>
      </c>
      <c r="T150" s="135">
        <f t="shared" si="502"/>
        <v>-22838.885422316802</v>
      </c>
      <c r="U150" s="135">
        <f t="shared" si="502"/>
        <v>-23012.377500419054</v>
      </c>
      <c r="V150" s="135">
        <f t="shared" si="502"/>
        <v>-23185.237923500354</v>
      </c>
      <c r="W150" s="135">
        <f t="shared" si="502"/>
        <v>-23544.468362699514</v>
      </c>
      <c r="X150" s="135">
        <f t="shared" si="502"/>
        <v>-23824.890021077823</v>
      </c>
      <c r="Y150" s="135">
        <f t="shared" si="502"/>
        <v>-23917.584342571809</v>
      </c>
      <c r="Z150" s="135">
        <f t="shared" si="502"/>
        <v>-20136.514167099278</v>
      </c>
      <c r="AA150" s="135">
        <f t="shared" si="502"/>
        <v>-17565.015459742455</v>
      </c>
      <c r="AB150" s="135">
        <f t="shared" si="502"/>
        <v>-20139.719469084845</v>
      </c>
      <c r="AC150" s="135">
        <f t="shared" si="502"/>
        <v>-21722.120876756737</v>
      </c>
      <c r="AD150" s="135">
        <f t="shared" si="502"/>
        <v>-21816.443789640616</v>
      </c>
      <c r="AE150" s="135">
        <f t="shared" si="502"/>
        <v>-23025.34142548779</v>
      </c>
      <c r="AF150" s="135">
        <f t="shared" si="502"/>
        <v>-24233.350670700616</v>
      </c>
      <c r="AG150" s="135">
        <f t="shared" si="502"/>
        <v>-24325.007754289378</v>
      </c>
      <c r="AH150" s="135">
        <f t="shared" si="502"/>
        <v>-24415.717646246787</v>
      </c>
      <c r="AI150" s="135">
        <f t="shared" si="502"/>
        <v>-24505.449923346358</v>
      </c>
      <c r="AJ150" s="135">
        <f t="shared" si="502"/>
        <v>-24594.173460416365</v>
      </c>
      <c r="AK150" s="135">
        <f t="shared" si="502"/>
        <v>-24681.856414827205</v>
      </c>
      <c r="AL150" s="135">
        <f t="shared" si="502"/>
        <v>-20137.79258524784</v>
      </c>
      <c r="AM150" s="135">
        <f t="shared" si="502"/>
        <v>-17039.707779536431</v>
      </c>
      <c r="AN150" s="135">
        <f t="shared" si="502"/>
        <v>-20053.93630739443</v>
      </c>
      <c r="AO150" s="135">
        <f t="shared" si="502"/>
        <v>-21881.536936972814</v>
      </c>
      <c r="AP150" s="135">
        <f t="shared" si="502"/>
        <v>-44070.665292054</v>
      </c>
    </row>
    <row r="151" spans="1:42" x14ac:dyDescent="0.2">
      <c r="A151" s="167" t="s">
        <v>36</v>
      </c>
      <c r="B151" s="170">
        <v>0</v>
      </c>
      <c r="C151" s="170">
        <f t="shared" ref="C151:AP151" si="503">IF(B$156&lt;LPFFlipTarget,LPFTEPreFlipTax*C108,LPFTEPostFlipTax*C108)</f>
        <v>1630256.8420472438</v>
      </c>
      <c r="D151" s="170">
        <f t="shared" si="503"/>
        <v>2971218.4828335652</v>
      </c>
      <c r="E151" s="170">
        <f t="shared" si="503"/>
        <v>1514323.1059314189</v>
      </c>
      <c r="F151" s="170">
        <f t="shared" si="503"/>
        <v>624718.83269214223</v>
      </c>
      <c r="G151" s="170">
        <f t="shared" si="503"/>
        <v>586805.48473404034</v>
      </c>
      <c r="H151" s="170">
        <f t="shared" si="503"/>
        <v>-93819.767392132082</v>
      </c>
      <c r="I151" s="170">
        <f t="shared" si="503"/>
        <v>-776316.04021626583</v>
      </c>
      <c r="J151" s="170">
        <f t="shared" si="503"/>
        <v>-820650.968145572</v>
      </c>
      <c r="K151" s="170">
        <f t="shared" si="503"/>
        <v>-88570.783298531358</v>
      </c>
      <c r="L151" s="170">
        <f t="shared" si="503"/>
        <v>-93757.928754326829</v>
      </c>
      <c r="M151" s="170">
        <f t="shared" si="503"/>
        <v>-99300.841297603809</v>
      </c>
      <c r="N151" s="170">
        <f t="shared" si="503"/>
        <v>-85774.739703333194</v>
      </c>
      <c r="O151" s="170">
        <f t="shared" si="503"/>
        <v>-78741.043041545083</v>
      </c>
      <c r="P151" s="170">
        <f t="shared" si="503"/>
        <v>-97989.650793583263</v>
      </c>
      <c r="Q151" s="170">
        <f t="shared" si="503"/>
        <v>-112728.19842357707</v>
      </c>
      <c r="R151" s="170">
        <f t="shared" si="503"/>
        <v>-121864.91767928487</v>
      </c>
      <c r="S151" s="170">
        <f t="shared" si="503"/>
        <v>-130687.43557427748</v>
      </c>
      <c r="T151" s="170">
        <f t="shared" si="503"/>
        <v>-137344.75188056874</v>
      </c>
      <c r="U151" s="170">
        <f t="shared" si="503"/>
        <v>-138388.07015024731</v>
      </c>
      <c r="V151" s="170">
        <f t="shared" si="503"/>
        <v>-139427.58987632257</v>
      </c>
      <c r="W151" s="170">
        <f t="shared" si="503"/>
        <v>-141587.87110841571</v>
      </c>
      <c r="X151" s="170">
        <f t="shared" si="503"/>
        <v>-143274.22499039068</v>
      </c>
      <c r="Y151" s="170">
        <f t="shared" si="503"/>
        <v>-143831.65493282952</v>
      </c>
      <c r="Z151" s="170">
        <f t="shared" si="503"/>
        <v>-121093.67383214702</v>
      </c>
      <c r="AA151" s="170">
        <f t="shared" si="503"/>
        <v>-105629.61569654214</v>
      </c>
      <c r="AB151" s="170">
        <f t="shared" si="503"/>
        <v>-121112.94935272385</v>
      </c>
      <c r="AC151" s="170">
        <f t="shared" si="503"/>
        <v>-130628.9359997689</v>
      </c>
      <c r="AD151" s="170">
        <f t="shared" si="503"/>
        <v>-131196.1596986115</v>
      </c>
      <c r="AE151" s="170">
        <f t="shared" si="503"/>
        <v>-138466.03048145611</v>
      </c>
      <c r="AF151" s="170">
        <f t="shared" si="503"/>
        <v>-145730.55880607688</v>
      </c>
      <c r="AG151" s="170">
        <f t="shared" si="503"/>
        <v>-146281.75117693111</v>
      </c>
      <c r="AH151" s="170">
        <f t="shared" si="503"/>
        <v>-146827.24748174773</v>
      </c>
      <c r="AI151" s="170">
        <f t="shared" si="503"/>
        <v>-147366.8647663056</v>
      </c>
      <c r="AJ151" s="170">
        <f t="shared" si="503"/>
        <v>-147900.41585514019</v>
      </c>
      <c r="AK151" s="170">
        <f t="shared" si="503"/>
        <v>-148427.70925825631</v>
      </c>
      <c r="AL151" s="170">
        <f t="shared" si="503"/>
        <v>-121101.36177401314</v>
      </c>
      <c r="AM151" s="170">
        <f t="shared" si="503"/>
        <v>-102470.60632875771</v>
      </c>
      <c r="AN151" s="170">
        <f t="shared" si="503"/>
        <v>-120597.08061219468</v>
      </c>
      <c r="AO151" s="170">
        <f t="shared" si="503"/>
        <v>-131587.60621643194</v>
      </c>
      <c r="AP151" s="170">
        <f t="shared" si="503"/>
        <v>-265024.95536994288</v>
      </c>
    </row>
    <row r="152" spans="1:42" x14ac:dyDescent="0.2">
      <c r="A152" s="167" t="s">
        <v>53</v>
      </c>
      <c r="B152" s="177">
        <f>SUM(B150:B151)</f>
        <v>0</v>
      </c>
      <c r="C152" s="177">
        <f>SUM(C150:C151)</f>
        <v>1901350.1944662866</v>
      </c>
      <c r="D152" s="177">
        <f>SUM(D150:D151)</f>
        <v>3465298.6538262973</v>
      </c>
      <c r="E152" s="177">
        <f t="shared" ref="E152" si="504">SUM(E150:E151)</f>
        <v>1766137.9837129097</v>
      </c>
      <c r="F152" s="177">
        <f t="shared" ref="F152" si="505">SUM(F150:F151)</f>
        <v>728602.53880874941</v>
      </c>
      <c r="G152" s="177">
        <f t="shared" ref="G152" si="506">SUM(G150:G151)</f>
        <v>684384.62807605765</v>
      </c>
      <c r="H152" s="177">
        <f t="shared" ref="H152" si="507">SUM(H150:H151)</f>
        <v>-109420.93808470128</v>
      </c>
      <c r="I152" s="177">
        <f t="shared" ref="I152" si="508">SUM(I150:I151)</f>
        <v>-905408.65461352852</v>
      </c>
      <c r="J152" s="177">
        <f t="shared" ref="J152" si="509">SUM(J150:J151)</f>
        <v>-957115.98174498684</v>
      </c>
      <c r="K152" s="177">
        <f t="shared" ref="K152" si="510">SUM(K150:K151)</f>
        <v>-103299.10705187746</v>
      </c>
      <c r="L152" s="177">
        <f t="shared" ref="L152" si="511">SUM(L150:L151)</f>
        <v>-109348.81637787324</v>
      </c>
      <c r="M152" s="177">
        <f t="shared" ref="M152" si="512">SUM(M150:M151)</f>
        <v>-115813.4528512492</v>
      </c>
      <c r="N152" s="177">
        <f t="shared" ref="N152" si="513">SUM(N150:N151)</f>
        <v>-100038.11289663124</v>
      </c>
      <c r="O152" s="177">
        <f t="shared" ref="O152" si="514">SUM(O150:O151)</f>
        <v>-91834.791695467924</v>
      </c>
      <c r="P152" s="177">
        <f t="shared" ref="P152" si="515">SUM(P150:P151)</f>
        <v>-114284.22613340814</v>
      </c>
      <c r="Q152" s="177">
        <f t="shared" ref="Q152" si="516">SUM(Q150:Q151)</f>
        <v>-131473.62824458006</v>
      </c>
      <c r="R152" s="177">
        <f t="shared" ref="R152" si="517">SUM(R150:R151)</f>
        <v>-142129.68101219693</v>
      </c>
      <c r="S152" s="177">
        <f t="shared" ref="S152" si="518">SUM(S150:S151)</f>
        <v>-152419.28427143625</v>
      </c>
      <c r="T152" s="177">
        <f t="shared" ref="T152" si="519">SUM(T150:T151)</f>
        <v>-160183.63730288553</v>
      </c>
      <c r="U152" s="177">
        <f t="shared" ref="U152" si="520">SUM(U150:U151)</f>
        <v>-161400.44765066635</v>
      </c>
      <c r="V152" s="177">
        <f t="shared" ref="V152" si="521">SUM(V150:V151)</f>
        <v>-162612.82779982293</v>
      </c>
      <c r="W152" s="177">
        <f t="shared" ref="W152" si="522">SUM(W150:W151)</f>
        <v>-165132.33947111524</v>
      </c>
      <c r="X152" s="177">
        <f t="shared" ref="X152" si="523">SUM(X150:X151)</f>
        <v>-167099.1150114685</v>
      </c>
      <c r="Y152" s="177">
        <f t="shared" ref="Y152" si="524">SUM(Y150:Y151)</f>
        <v>-167749.23927540134</v>
      </c>
      <c r="Z152" s="177">
        <f t="shared" ref="Z152" si="525">SUM(Z150:Z151)</f>
        <v>-141230.18799924629</v>
      </c>
      <c r="AA152" s="177">
        <f t="shared" ref="AA152" si="526">SUM(AA150:AA151)</f>
        <v>-123194.63115628459</v>
      </c>
      <c r="AB152" s="177">
        <f t="shared" ref="AB152" si="527">SUM(AB150:AB151)</f>
        <v>-141252.66882180871</v>
      </c>
      <c r="AC152" s="177">
        <f t="shared" ref="AC152" si="528">SUM(AC150:AC151)</f>
        <v>-152351.05687652563</v>
      </c>
      <c r="AD152" s="177">
        <f t="shared" ref="AD152" si="529">SUM(AD150:AD151)</f>
        <v>-153012.60348825212</v>
      </c>
      <c r="AE152" s="177">
        <f t="shared" ref="AE152" si="530">SUM(AE150:AE151)</f>
        <v>-161491.37190694391</v>
      </c>
      <c r="AF152" s="177">
        <f t="shared" ref="AF152" si="531">SUM(AF150:AF151)</f>
        <v>-169963.90947677748</v>
      </c>
      <c r="AG152" s="177">
        <f t="shared" ref="AG152" si="532">SUM(AG150:AG151)</f>
        <v>-170606.75893122048</v>
      </c>
      <c r="AH152" s="177">
        <f t="shared" ref="AH152" si="533">SUM(AH150:AH151)</f>
        <v>-171242.96512799451</v>
      </c>
      <c r="AI152" s="177">
        <f t="shared" ref="AI152" si="534">SUM(AI150:AI151)</f>
        <v>-171872.31468965195</v>
      </c>
      <c r="AJ152" s="177">
        <f t="shared" ref="AJ152" si="535">SUM(AJ150:AJ151)</f>
        <v>-172494.58931555657</v>
      </c>
      <c r="AK152" s="177">
        <f t="shared" ref="AK152" si="536">SUM(AK150:AK151)</f>
        <v>-173109.5656730835</v>
      </c>
      <c r="AL152" s="177">
        <f t="shared" ref="AL152" si="537">SUM(AL150:AL151)</f>
        <v>-141239.15435926098</v>
      </c>
      <c r="AM152" s="177">
        <f t="shared" ref="AM152" si="538">SUM(AM150:AM151)</f>
        <v>-119510.31410829414</v>
      </c>
      <c r="AN152" s="177">
        <f t="shared" ref="AN152" si="539">SUM(AN150:AN151)</f>
        <v>-140651.01691958911</v>
      </c>
      <c r="AO152" s="177">
        <f t="shared" ref="AO152" si="540">SUM(AO150:AO151)</f>
        <v>-153469.14315340476</v>
      </c>
      <c r="AP152" s="177">
        <f t="shared" ref="AP152" si="541">SUM(AP150:AP151)</f>
        <v>-309095.62066199689</v>
      </c>
    </row>
    <row r="153" spans="1:42" x14ac:dyDescent="0.2">
      <c r="A153" s="163" t="s">
        <v>53</v>
      </c>
      <c r="B153" s="135">
        <f>B140+B144+B148+B152</f>
        <v>-21495756.173787482</v>
      </c>
      <c r="C153" s="135">
        <f t="shared" ref="C153" si="542">C140+C144+C148+C152</f>
        <v>14671831.581875982</v>
      </c>
      <c r="D153" s="135">
        <f t="shared" ref="D153" si="543">D140+D144+D148+D152</f>
        <v>4383642.4479513047</v>
      </c>
      <c r="E153" s="135">
        <f t="shared" ref="E153" si="544">E140+E144+E148+E152</f>
        <v>2695820.8418032993</v>
      </c>
      <c r="F153" s="135">
        <f t="shared" ref="F153" si="545">F140+F144+F148+F152</f>
        <v>1669609.4301385246</v>
      </c>
      <c r="G153" s="135">
        <f t="shared" ref="G153" si="546">G140+G144+G148+G152</f>
        <v>1636699.7814533715</v>
      </c>
      <c r="H153" s="135">
        <f t="shared" ref="H153" si="547">H140+H144+H148+H152</f>
        <v>854185.94791666116</v>
      </c>
      <c r="I153" s="135">
        <f t="shared" ref="I153" si="548">I140+I144+I148+I152</f>
        <v>69472.658197772107</v>
      </c>
      <c r="J153" s="135">
        <f t="shared" ref="J153" si="549">J140+J144+J148+J152</f>
        <v>29021.65711069142</v>
      </c>
      <c r="K153" s="135">
        <f t="shared" ref="K153" si="550">K140+K144+K148+K152</f>
        <v>-1526.1427445775771</v>
      </c>
      <c r="L153" s="135">
        <f t="shared" ref="L153" si="551">L140+L144+L148+L152</f>
        <v>-6431.1925447449903</v>
      </c>
      <c r="M153" s="135">
        <f t="shared" ref="M153" si="552">M140+M144+M148+M152</f>
        <v>-11753.271649150745</v>
      </c>
      <c r="N153" s="135">
        <f t="shared" ref="N153" si="553">N140+N144+N148+N152</f>
        <v>6940.4298989858944</v>
      </c>
      <c r="O153" s="135">
        <f t="shared" ref="O153" si="554">O140+O144+O148+O152</f>
        <v>8074.600799407548</v>
      </c>
      <c r="P153" s="135">
        <f t="shared" ref="P153" si="555">P140+P144+P148+P152</f>
        <v>-13155.115681610318</v>
      </c>
      <c r="Q153" s="135">
        <f t="shared" ref="Q153" si="556">Q140+Q144+Q148+Q152</f>
        <v>113387.44767518429</v>
      </c>
      <c r="R153" s="135">
        <f t="shared" ref="R153" si="557">R140+R144+R148+R152</f>
        <v>244953.81404062756</v>
      </c>
      <c r="S153" s="135">
        <f t="shared" ref="S153" si="558">S140+S144+S148+S152</f>
        <v>237828.97963779102</v>
      </c>
      <c r="T153" s="135">
        <f t="shared" ref="T153" si="559">T140+T144+T148+T152</f>
        <v>233218.49012171832</v>
      </c>
      <c r="U153" s="135">
        <f t="shared" ref="U153" si="560">U140+U144+U148+U152</f>
        <v>235144.23216096661</v>
      </c>
      <c r="V153" s="135">
        <f t="shared" ref="V153" si="561">V140+V144+V148+V152</f>
        <v>237062.67797962597</v>
      </c>
      <c r="W153" s="135">
        <f t="shared" ref="W153" si="562">W140+W144+W148+W152</f>
        <v>236945.29474312349</v>
      </c>
      <c r="X153" s="135">
        <f t="shared" ref="X153" si="563">X140+X144+X148+X152</f>
        <v>236664.05472877485</v>
      </c>
      <c r="Y153" s="135">
        <f t="shared" ref="Y153" si="564">Y140+Y144+Y148+Y152</f>
        <v>237686.43455421604</v>
      </c>
      <c r="Z153" s="135">
        <f t="shared" ref="Z153" si="565">Z140+Z144+Z148+Z152</f>
        <v>265864.50303092651</v>
      </c>
      <c r="AA153" s="135">
        <f t="shared" ref="AA153" si="566">AA140+AA144+AA148+AA152</f>
        <v>273643.80400358979</v>
      </c>
      <c r="AB153" s="135">
        <f t="shared" ref="AB153" si="567">AB140+AB144+AB148+AB152</f>
        <v>257316.84499221295</v>
      </c>
      <c r="AC153" s="135">
        <f t="shared" ref="AC153" si="568">AC140+AC144+AC148+AC152</f>
        <v>247934.61779759772</v>
      </c>
      <c r="AD153" s="135">
        <f t="shared" ref="AD153" si="569">AD140+AD144+AD148+AD152</f>
        <v>248973.81496907244</v>
      </c>
      <c r="AE153" s="135">
        <f t="shared" ref="AE153" si="570">AE140+AE144+AE148+AE152</f>
        <v>242179.86240420729</v>
      </c>
      <c r="AF153" s="135">
        <f t="shared" ref="AF153" si="571">AF140+AF144+AF148+AF152</f>
        <v>235375.69008107396</v>
      </c>
      <c r="AG153" s="135">
        <f t="shared" ref="AG153" si="572">AG140+AG144+AG148+AG152</f>
        <v>236384.22050186803</v>
      </c>
      <c r="AH153" s="135">
        <f t="shared" ref="AH153" si="573">AH140+AH144+AH148+AH152</f>
        <v>237381.86169086021</v>
      </c>
      <c r="AI153" s="135">
        <f t="shared" ref="AI153" si="574">AI140+AI144+AI148+AI152</f>
        <v>238368.26728083013</v>
      </c>
      <c r="AJ153" s="135">
        <f t="shared" ref="AJ153" si="575">AJ140+AJ144+AJ148+AJ152</f>
        <v>239343.0829220569</v>
      </c>
      <c r="AK153" s="135">
        <f t="shared" ref="AK153" si="576">AK140+AK144+AK148+AK152</f>
        <v>240305.94610592097</v>
      </c>
      <c r="AL153" s="135">
        <f t="shared" ref="AL153" si="577">AL140+AL144+AL148+AL152</f>
        <v>273734.34691175516</v>
      </c>
      <c r="AM153" s="135">
        <f t="shared" ref="AM153" si="578">AM140+AM144+AM148+AM152</f>
        <v>324714.59353209293</v>
      </c>
      <c r="AN153" s="135">
        <f t="shared" ref="AN153" si="579">AN140+AN144+AN148+AN152</f>
        <v>304476.41165320063</v>
      </c>
      <c r="AO153" s="135">
        <f t="shared" ref="AO153" si="580">AO140+AO144+AO148+AO152</f>
        <v>292539.07442443306</v>
      </c>
      <c r="AP153" s="135">
        <f t="shared" ref="AP153" si="581">AP140+AP144+AP148+AP152</f>
        <v>590620.72265342716</v>
      </c>
    </row>
    <row r="154" spans="1:42" x14ac:dyDescent="0.2">
      <c r="A154" s="183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</row>
    <row r="155" spans="1:42" x14ac:dyDescent="0.2">
      <c r="A155" s="163" t="s">
        <v>323</v>
      </c>
      <c r="B155" s="184">
        <f>ROUND(IF(ISERROR(IRR($B$153:B153)),0,IRR($B$153:B153)),4)</f>
        <v>0</v>
      </c>
      <c r="C155" s="184">
        <f>ROUND(IF(ISERROR(IRR($B$153:C153)),0,IRR($B$153:C153)),4)</f>
        <v>-0.3175</v>
      </c>
      <c r="D155" s="184">
        <f>ROUND(IF(ISERROR(IRR($B$153:D153)),0,IRR($B$153:D153)),4)</f>
        <v>-9.2700000000000005E-2</v>
      </c>
      <c r="E155" s="184">
        <f>ROUND(IF(ISERROR(IRR($B$153:E153)),0,IRR($B$153:E153)),4)</f>
        <v>8.2000000000000007E-3</v>
      </c>
      <c r="F155" s="184">
        <f>ROUND(IF(ISERROR(IRR($B$153:F153)),0,IRR($B$153:F153)),4)</f>
        <v>5.4800000000000001E-2</v>
      </c>
      <c r="G155" s="184">
        <f>ROUND(IF(ISERROR(IRR($B$153:G153)),0,IRR($B$153:G153)),4)</f>
        <v>8.9499999999999996E-2</v>
      </c>
      <c r="H155" s="184">
        <f>ROUND(IF(ISERROR(IRR($B$153:H153)),0,IRR($B$153:H153)),4)</f>
        <v>0.1037</v>
      </c>
      <c r="I155" s="184">
        <f>ROUND(IF(ISERROR(IRR($B$153:I153)),0,IRR($B$153:I153)),4)</f>
        <v>0.1046</v>
      </c>
      <c r="J155" s="184">
        <f>ROUND(IF(ISERROR(IRR($B$153:J153)),0,IRR($B$153:J153)),4)</f>
        <v>0.105</v>
      </c>
      <c r="K155" s="184">
        <f>ROUND(IF(ISERROR(IRR($B$153:K153)),0,IRR($B$153:K153)),4)</f>
        <v>0.105</v>
      </c>
      <c r="L155" s="184">
        <f>ROUND(IF(ISERROR(IRR($B$153:L153)),0,IRR($B$153:L153)),4)</f>
        <v>0.10489999999999999</v>
      </c>
      <c r="M155" s="184">
        <f>ROUND(IF(ISERROR(IRR($B$153:M153)),0,IRR($B$153:M153)),4)</f>
        <v>0.1048</v>
      </c>
      <c r="N155" s="184">
        <f>ROUND(IF(ISERROR(IRR($B$153:N153)),0,IRR($B$153:N153)),4)</f>
        <v>0.10489999999999999</v>
      </c>
      <c r="O155" s="184">
        <f>ROUND(IF(ISERROR(IRR($B$153:O153)),0,IRR($B$153:O153)),4)</f>
        <v>0.10489999999999999</v>
      </c>
      <c r="P155" s="184">
        <f>ROUND(IF(ISERROR(IRR($B$153:P153)),0,IRR($B$153:P153)),4)</f>
        <v>0.1048</v>
      </c>
      <c r="Q155" s="184">
        <f>ROUND(IF(ISERROR(IRR($B$153:Q153)),0,IRR($B$153:Q153)),4)</f>
        <v>0.1056</v>
      </c>
      <c r="R155" s="184">
        <f>ROUND(IF(ISERROR(IRR($B$153:R153)),0,IRR($B$153:R153)),4)</f>
        <v>0.1069</v>
      </c>
      <c r="S155" s="184">
        <f>ROUND(IF(ISERROR(IRR($B$153:S153)),0,IRR($B$153:S153)),4)</f>
        <v>0.1081</v>
      </c>
      <c r="T155" s="184">
        <f>ROUND(IF(ISERROR(IRR($B$153:T153)),0,IRR($B$153:T153)),4)</f>
        <v>0.1091</v>
      </c>
      <c r="U155" s="184">
        <f>ROUND(IF(ISERROR(IRR($B$153:U153)),0,IRR($B$153:U153)),4)</f>
        <v>0.1099</v>
      </c>
      <c r="V155" s="184">
        <f>ROUND(IF(ISERROR(IRR($B$153:V153)),0,IRR($B$153:V153)),4)</f>
        <v>0.11070000000000001</v>
      </c>
      <c r="W155" s="184">
        <f>ROUND(IF(ISERROR(IRR($B$153:W153)),0,IRR($B$153:W153)),4)</f>
        <v>0.1114</v>
      </c>
      <c r="X155" s="184">
        <f>ROUND(IF(ISERROR(IRR($B$153:X153)),0,IRR($B$153:X153)),4)</f>
        <v>0.112</v>
      </c>
      <c r="Y155" s="184">
        <f>ROUND(IF(ISERROR(IRR($B$153:Y153)),0,IRR($B$153:Y153)),4)</f>
        <v>0.1125</v>
      </c>
      <c r="Z155" s="184">
        <f>ROUND(IF(ISERROR(IRR($B$153:Z153)),0,IRR($B$153:Z153)),4)</f>
        <v>0.113</v>
      </c>
      <c r="AA155" s="184">
        <f>ROUND(IF(ISERROR(IRR($B$153:AA153)),0,IRR($B$153:AA153)),4)</f>
        <v>0.1135</v>
      </c>
      <c r="AB155" s="184">
        <f>ROUND(IF(ISERROR(IRR($B$153:AB153)),0,IRR($B$153:AB153)),4)</f>
        <v>0.1139</v>
      </c>
      <c r="AC155" s="184">
        <f>ROUND(IF(ISERROR(IRR($B$153:AC153)),0,IRR($B$153:AC153)),4)</f>
        <v>0.1143</v>
      </c>
      <c r="AD155" s="184">
        <f>ROUND(IF(ISERROR(IRR($B$153:AD153)),0,IRR($B$153:AD153)),4)</f>
        <v>0.11459999999999999</v>
      </c>
      <c r="AE155" s="184">
        <f>ROUND(IF(ISERROR(IRR($B$153:AE153)),0,IRR($B$153:AE153)),4)</f>
        <v>0.1148</v>
      </c>
      <c r="AF155" s="184">
        <f>ROUND(IF(ISERROR(IRR($B$153:AF153)),0,IRR($B$153:AF153)),4)</f>
        <v>0.115</v>
      </c>
      <c r="AG155" s="184">
        <f>ROUND(IF(ISERROR(IRR($B$153:AG153)),0,IRR($B$153:AG153)),4)</f>
        <v>0.1152</v>
      </c>
      <c r="AH155" s="184">
        <f>ROUND(IF(ISERROR(IRR($B$153:AH153)),0,IRR($B$153:AH153)),4)</f>
        <v>0.1154</v>
      </c>
      <c r="AI155" s="184">
        <f>ROUND(IF(ISERROR(IRR($B$153:AI153)),0,IRR($B$153:AI153)),4)</f>
        <v>0.11559999999999999</v>
      </c>
      <c r="AJ155" s="184">
        <f>ROUND(IF(ISERROR(IRR($B$153:AJ153)),0,IRR($B$153:AJ153)),4)</f>
        <v>0.1157</v>
      </c>
      <c r="AK155" s="184">
        <f>ROUND(IF(ISERROR(IRR($B$153:AK153)),0,IRR($B$153:AK153)),4)</f>
        <v>0.1158</v>
      </c>
      <c r="AL155" s="184">
        <f>ROUND(IF(ISERROR(IRR($B$153:AL153)),0,IRR($B$153:AL153)),4)</f>
        <v>0.11600000000000001</v>
      </c>
      <c r="AM155" s="184">
        <f>ROUND(IF(ISERROR(IRR($B$153:AM153)),0,IRR($B$153:AM153)),4)</f>
        <v>0.11609999999999999</v>
      </c>
      <c r="AN155" s="184">
        <f>ROUND(IF(ISERROR(IRR($B$153:AN153)),0,IRR($B$153:AN153)),4)</f>
        <v>0.1162</v>
      </c>
      <c r="AO155" s="184">
        <f>ROUND(IF(ISERROR(IRR($B$153:AO153)),0,IRR($B$153:AO153)),4)</f>
        <v>0.1163</v>
      </c>
      <c r="AP155" s="184">
        <f>ROUND(IF(ISERROR(IRR($B$153:AP153)),0,IRR($B$153:AP153)),4)</f>
        <v>0.11650000000000001</v>
      </c>
    </row>
    <row r="156" spans="1:42" x14ac:dyDescent="0.2">
      <c r="A156" s="163" t="s">
        <v>220</v>
      </c>
      <c r="B156" s="185">
        <f>MAX($B$155:B155)</f>
        <v>0</v>
      </c>
      <c r="C156" s="185">
        <f>MAX($B$155:C155)</f>
        <v>0</v>
      </c>
      <c r="D156" s="185">
        <f>MAX($B$155:D155)</f>
        <v>0</v>
      </c>
      <c r="E156" s="185">
        <f>MAX($B$155:E155)</f>
        <v>8.2000000000000007E-3</v>
      </c>
      <c r="F156" s="185">
        <f>MAX($B$155:F155)</f>
        <v>5.4800000000000001E-2</v>
      </c>
      <c r="G156" s="185">
        <f>MAX($B$155:G155)</f>
        <v>8.9499999999999996E-2</v>
      </c>
      <c r="H156" s="185">
        <f>MAX($B$155:H155)</f>
        <v>0.1037</v>
      </c>
      <c r="I156" s="185">
        <f>MAX($B$155:I155)</f>
        <v>0.1046</v>
      </c>
      <c r="J156" s="185">
        <f>MAX($B$155:J155)</f>
        <v>0.105</v>
      </c>
      <c r="K156" s="185">
        <f>MAX($B$155:K155)</f>
        <v>0.105</v>
      </c>
      <c r="L156" s="185">
        <f>MAX($B$155:L155)</f>
        <v>0.105</v>
      </c>
      <c r="M156" s="185">
        <f>MAX($B$155:M155)</f>
        <v>0.105</v>
      </c>
      <c r="N156" s="185">
        <f>MAX($B$155:N155)</f>
        <v>0.105</v>
      </c>
      <c r="O156" s="185">
        <f>MAX($B$155:O155)</f>
        <v>0.105</v>
      </c>
      <c r="P156" s="185">
        <f>MAX($B$155:P155)</f>
        <v>0.105</v>
      </c>
      <c r="Q156" s="185">
        <f>MAX($B$155:Q155)</f>
        <v>0.1056</v>
      </c>
      <c r="R156" s="185">
        <f>MAX($B$155:R155)</f>
        <v>0.1069</v>
      </c>
      <c r="S156" s="185">
        <f>MAX($B$155:S155)</f>
        <v>0.1081</v>
      </c>
      <c r="T156" s="185">
        <f>MAX($B$155:T155)</f>
        <v>0.1091</v>
      </c>
      <c r="U156" s="185">
        <f>MAX($B$155:U155)</f>
        <v>0.1099</v>
      </c>
      <c r="V156" s="185">
        <f>MAX($B$155:V155)</f>
        <v>0.11070000000000001</v>
      </c>
      <c r="W156" s="185">
        <f>MAX($B$155:W155)</f>
        <v>0.1114</v>
      </c>
      <c r="X156" s="185">
        <f>MAX($B$155:X155)</f>
        <v>0.112</v>
      </c>
      <c r="Y156" s="185">
        <f>MAX($B$155:Y155)</f>
        <v>0.1125</v>
      </c>
      <c r="Z156" s="185">
        <f>MAX($B$155:Z155)</f>
        <v>0.113</v>
      </c>
      <c r="AA156" s="185">
        <f>MAX($B$155:AA155)</f>
        <v>0.1135</v>
      </c>
      <c r="AB156" s="185">
        <f>MAX($B$155:AB155)</f>
        <v>0.1139</v>
      </c>
      <c r="AC156" s="185">
        <f>MAX($B$155:AC155)</f>
        <v>0.1143</v>
      </c>
      <c r="AD156" s="185">
        <f>MAX($B$155:AD155)</f>
        <v>0.11459999999999999</v>
      </c>
      <c r="AE156" s="185">
        <f>MAX($B$155:AE155)</f>
        <v>0.1148</v>
      </c>
      <c r="AF156" s="185">
        <f>MAX($B$155:AF155)</f>
        <v>0.115</v>
      </c>
      <c r="AG156" s="185">
        <f>MAX($B$155:AG155)</f>
        <v>0.1152</v>
      </c>
      <c r="AH156" s="185">
        <f>MAX($B$155:AH155)</f>
        <v>0.1154</v>
      </c>
      <c r="AI156" s="185">
        <f>MAX($B$155:AI155)</f>
        <v>0.11559999999999999</v>
      </c>
      <c r="AJ156" s="185">
        <f>MAX($B$155:AJ155)</f>
        <v>0.1157</v>
      </c>
      <c r="AK156" s="185">
        <f>MAX($B$155:AK155)</f>
        <v>0.1158</v>
      </c>
      <c r="AL156" s="185">
        <f>MAX($B$155:AL155)</f>
        <v>0.11600000000000001</v>
      </c>
      <c r="AM156" s="185">
        <f>MAX($B$155:AM155)</f>
        <v>0.11609999999999999</v>
      </c>
      <c r="AN156" s="185">
        <f>MAX($B$155:AN155)</f>
        <v>0.1162</v>
      </c>
      <c r="AO156" s="185">
        <f>MAX($B$155:AO155)</f>
        <v>0.1163</v>
      </c>
      <c r="AP156" s="185">
        <f>MAX($B$155:AP155)</f>
        <v>0.11650000000000001</v>
      </c>
    </row>
    <row r="157" spans="1:42" x14ac:dyDescent="0.2">
      <c r="A157" s="163" t="s">
        <v>324</v>
      </c>
      <c r="B157" s="230">
        <f>B153</f>
        <v>-21495756.173787482</v>
      </c>
      <c r="C157" s="230">
        <f>NPV(DiscountRate,$C153:C153)+$B153</f>
        <v>-7910726.9313097224</v>
      </c>
      <c r="D157" s="230">
        <f>NPV(DiscountRate,$C153:D153)+$B153</f>
        <v>-4152460.0863583274</v>
      </c>
      <c r="E157" s="230">
        <f>NPV(DiscountRate,$C153:E153)+$B153</f>
        <v>-2012430.5861207359</v>
      </c>
      <c r="F157" s="230">
        <f>NPV(DiscountRate,$C153:F153)+$B153</f>
        <v>-785217.81245844439</v>
      </c>
      <c r="G157" s="230">
        <f>NPV(DiscountRate,$C153:G153)+$B153</f>
        <v>328692.55738753825</v>
      </c>
      <c r="H157" s="230">
        <f>NPV(DiscountRate,$C153:H153)+$B153</f>
        <v>866974.59747496992</v>
      </c>
      <c r="I157" s="230">
        <f>NPV(DiscountRate,$C153:I153)+$B153</f>
        <v>907511.22626669705</v>
      </c>
      <c r="J157" s="230">
        <f>NPV(DiscountRate,$C153:J153)+$B153</f>
        <v>923190.72458028793</v>
      </c>
      <c r="K157" s="230">
        <f>NPV(DiscountRate,$C153:K153)+$B153</f>
        <v>922427.27324862033</v>
      </c>
      <c r="L157" s="230">
        <f>NPV(DiscountRate,$C153:L153)+$B153</f>
        <v>919448.38674127311</v>
      </c>
      <c r="M157" s="230">
        <f>NPV(DiscountRate,$C153:M153)+$B153</f>
        <v>914407.60998981446</v>
      </c>
      <c r="N157" s="230">
        <f>NPV(DiscountRate,$C153:N153)+$B153</f>
        <v>917163.75019361824</v>
      </c>
      <c r="O157" s="230">
        <f>NPV(DiscountRate,$C153:O153)+$B153</f>
        <v>920132.76415012032</v>
      </c>
      <c r="P157" s="230">
        <f>NPV(DiscountRate,$C153:P153)+$B153</f>
        <v>915653.95976590738</v>
      </c>
      <c r="Q157" s="230">
        <f>NPV(DiscountRate,$C153:Q153)+$B153</f>
        <v>951398.41209276021</v>
      </c>
      <c r="R157" s="230">
        <f>NPV(DiscountRate,$C153:R153)+$B153</f>
        <v>1022898.095403932</v>
      </c>
      <c r="S157" s="230">
        <f>NPV(DiscountRate,$C153:S153)+$B153</f>
        <v>1087175.8843539618</v>
      </c>
      <c r="T157" s="230">
        <f>NPV(DiscountRate,$C153:T153)+$B153</f>
        <v>1145538.5850788429</v>
      </c>
      <c r="U157" s="230">
        <f>NPV(DiscountRate,$C153:U153)+$B153</f>
        <v>1200024.3404497057</v>
      </c>
      <c r="V157" s="230">
        <f>NPV(DiscountRate,$C153:V153)+$B153</f>
        <v>1250885.7130526379</v>
      </c>
      <c r="W157" s="230">
        <f>NPV(DiscountRate,$C153:W153)+$B153</f>
        <v>1297956.2577192709</v>
      </c>
      <c r="X157" s="230">
        <f>NPV(DiscountRate,$C153:X153)+$B153</f>
        <v>1341488.36394272</v>
      </c>
      <c r="Y157" s="230">
        <f>NPV(DiscountRate,$C153:Y153)+$B153</f>
        <v>1381969.9966157973</v>
      </c>
      <c r="Z157" s="230">
        <f>NPV(DiscountRate,$C153:Z153)+$B153</f>
        <v>1423896.6525569521</v>
      </c>
      <c r="AA157" s="230">
        <f>NPV(DiscountRate,$C153:AA153)+$B153</f>
        <v>1463853.5475099571</v>
      </c>
      <c r="AB157" s="230">
        <f>NPV(DiscountRate,$C153:AB153)+$B153</f>
        <v>1498643.2388104759</v>
      </c>
      <c r="AC157" s="230">
        <f>NPV(DiscountRate,$C153:AC153)+$B153</f>
        <v>1529681.3847691454</v>
      </c>
      <c r="AD157" s="230">
        <f>NPV(DiscountRate,$C153:AD153)+$B153</f>
        <v>1558540.8660156205</v>
      </c>
      <c r="AE157" s="230">
        <f>NPV(DiscountRate,$C153:AE153)+$B153</f>
        <v>1584533.4298364669</v>
      </c>
      <c r="AF157" s="230">
        <f>NPV(DiscountRate,$C153:AF153)+$B153</f>
        <v>1607924.4380637929</v>
      </c>
      <c r="AG157" s="230">
        <f>NPV(DiscountRate,$C153:AG153)+$B153</f>
        <v>1629675.5799992941</v>
      </c>
      <c r="AH157" s="230">
        <f>NPV(DiscountRate,$C153:AH153)+$B153</f>
        <v>1649900.5253101178</v>
      </c>
      <c r="AI157" s="230">
        <f>NPV(DiscountRate,$C153:AI153)+$B153</f>
        <v>1668705.1430059783</v>
      </c>
      <c r="AJ157" s="230">
        <f>NPV(DiscountRate,$C153:AJ153)+$B153</f>
        <v>1686188.0317646191</v>
      </c>
      <c r="AK157" s="230">
        <f>NPV(DiscountRate,$C153:AK153)+$B153</f>
        <v>1702441.0145374462</v>
      </c>
      <c r="AL157" s="230">
        <f>NPV(DiscountRate,$C153:AL153)+$B153</f>
        <v>1719583.5121064298</v>
      </c>
      <c r="AM157" s="230">
        <f>NPV(DiscountRate,$C153:AM153)+$B153</f>
        <v>1738412.3212982789</v>
      </c>
      <c r="AN157" s="230">
        <f>NPV(DiscountRate,$C153:AN153)+$B153</f>
        <v>1754759.8061717488</v>
      </c>
      <c r="AO157" s="230">
        <f>NPV(DiscountRate,$C153:AO153)+$B153</f>
        <v>1769302.9205241129</v>
      </c>
      <c r="AP157" s="230">
        <f>NPV(DiscountRate,$C153:AP153)+$B153</f>
        <v>1796489.7436143458</v>
      </c>
    </row>
    <row r="158" spans="1:42" x14ac:dyDescent="0.2">
      <c r="A158" s="163"/>
      <c r="B158" s="135"/>
      <c r="C158" s="135"/>
      <c r="D158" s="135"/>
      <c r="E158" s="135"/>
      <c r="F158" s="135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</row>
    <row r="159" spans="1:42" x14ac:dyDescent="0.2">
      <c r="A159" s="20" t="s">
        <v>289</v>
      </c>
      <c r="B159" s="179">
        <f>SUM(C159:AP159)</f>
        <v>8</v>
      </c>
      <c r="C159" s="135">
        <f t="shared" ref="C159:AP159" si="582">IF(AND(B156&lt;LPFFlipTarget,C156&gt;=LPFFlipTarget),C$2,0)</f>
        <v>0</v>
      </c>
      <c r="D159" s="135">
        <f t="shared" si="582"/>
        <v>0</v>
      </c>
      <c r="E159" s="135">
        <f t="shared" si="582"/>
        <v>0</v>
      </c>
      <c r="F159" s="135">
        <f t="shared" si="582"/>
        <v>0</v>
      </c>
      <c r="G159" s="135">
        <f t="shared" si="582"/>
        <v>0</v>
      </c>
      <c r="H159" s="135">
        <f t="shared" si="582"/>
        <v>0</v>
      </c>
      <c r="I159" s="135">
        <f t="shared" si="582"/>
        <v>0</v>
      </c>
      <c r="J159" s="135">
        <f t="shared" si="582"/>
        <v>8</v>
      </c>
      <c r="K159" s="135">
        <f t="shared" si="582"/>
        <v>0</v>
      </c>
      <c r="L159" s="135">
        <f t="shared" si="582"/>
        <v>0</v>
      </c>
      <c r="M159" s="135">
        <f t="shared" si="582"/>
        <v>0</v>
      </c>
      <c r="N159" s="135">
        <f t="shared" si="582"/>
        <v>0</v>
      </c>
      <c r="O159" s="135">
        <f t="shared" si="582"/>
        <v>0</v>
      </c>
      <c r="P159" s="135">
        <f t="shared" si="582"/>
        <v>0</v>
      </c>
      <c r="Q159" s="135">
        <f t="shared" si="582"/>
        <v>0</v>
      </c>
      <c r="R159" s="135">
        <f t="shared" si="582"/>
        <v>0</v>
      </c>
      <c r="S159" s="135">
        <f t="shared" si="582"/>
        <v>0</v>
      </c>
      <c r="T159" s="135">
        <f t="shared" si="582"/>
        <v>0</v>
      </c>
      <c r="U159" s="135">
        <f t="shared" si="582"/>
        <v>0</v>
      </c>
      <c r="V159" s="135">
        <f t="shared" si="582"/>
        <v>0</v>
      </c>
      <c r="W159" s="135">
        <f t="shared" si="582"/>
        <v>0</v>
      </c>
      <c r="X159" s="135">
        <f t="shared" si="582"/>
        <v>0</v>
      </c>
      <c r="Y159" s="135">
        <f t="shared" si="582"/>
        <v>0</v>
      </c>
      <c r="Z159" s="135">
        <f t="shared" si="582"/>
        <v>0</v>
      </c>
      <c r="AA159" s="135">
        <f t="shared" si="582"/>
        <v>0</v>
      </c>
      <c r="AB159" s="135">
        <f t="shared" si="582"/>
        <v>0</v>
      </c>
      <c r="AC159" s="135">
        <f t="shared" si="582"/>
        <v>0</v>
      </c>
      <c r="AD159" s="135">
        <f t="shared" si="582"/>
        <v>0</v>
      </c>
      <c r="AE159" s="135">
        <f t="shared" si="582"/>
        <v>0</v>
      </c>
      <c r="AF159" s="135">
        <f t="shared" si="582"/>
        <v>0</v>
      </c>
      <c r="AG159" s="135">
        <f t="shared" si="582"/>
        <v>0</v>
      </c>
      <c r="AH159" s="135">
        <f t="shared" si="582"/>
        <v>0</v>
      </c>
      <c r="AI159" s="135">
        <f t="shared" si="582"/>
        <v>0</v>
      </c>
      <c r="AJ159" s="135">
        <f t="shared" si="582"/>
        <v>0</v>
      </c>
      <c r="AK159" s="135">
        <f t="shared" si="582"/>
        <v>0</v>
      </c>
      <c r="AL159" s="135">
        <f t="shared" si="582"/>
        <v>0</v>
      </c>
      <c r="AM159" s="135">
        <f t="shared" si="582"/>
        <v>0</v>
      </c>
      <c r="AN159" s="135">
        <f t="shared" si="582"/>
        <v>0</v>
      </c>
      <c r="AO159" s="135">
        <f t="shared" si="582"/>
        <v>0</v>
      </c>
      <c r="AP159" s="135">
        <f t="shared" si="582"/>
        <v>0</v>
      </c>
    </row>
    <row r="160" spans="1:42" x14ac:dyDescent="0.2">
      <c r="B160" s="135"/>
      <c r="C160" s="135"/>
      <c r="D160" s="135"/>
      <c r="E160" s="135"/>
      <c r="F160" s="135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</row>
    <row r="161" spans="1:42" s="101" customFormat="1" x14ac:dyDescent="0.2">
      <c r="A161" s="178" t="s">
        <v>227</v>
      </c>
      <c r="B161" s="181"/>
      <c r="C161" s="181"/>
      <c r="D161" s="181"/>
      <c r="E161" s="181"/>
      <c r="F161" s="181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</row>
    <row r="162" spans="1:42" x14ac:dyDescent="0.2">
      <c r="A162" s="163" t="s">
        <v>199</v>
      </c>
      <c r="B162" s="169">
        <f t="shared" ref="B162:AP162" si="583">B95-B129</f>
        <v>-438688.90150586888</v>
      </c>
      <c r="C162" s="169">
        <f t="shared" si="583"/>
        <v>0</v>
      </c>
      <c r="D162" s="169">
        <f t="shared" si="583"/>
        <v>0</v>
      </c>
      <c r="E162" s="169">
        <f t="shared" si="583"/>
        <v>0</v>
      </c>
      <c r="F162" s="169">
        <f t="shared" si="583"/>
        <v>0</v>
      </c>
      <c r="G162" s="169">
        <f t="shared" si="583"/>
        <v>0</v>
      </c>
      <c r="H162" s="169">
        <f t="shared" si="583"/>
        <v>0</v>
      </c>
      <c r="I162" s="169">
        <f t="shared" si="583"/>
        <v>0</v>
      </c>
      <c r="J162" s="169">
        <f t="shared" si="583"/>
        <v>0</v>
      </c>
      <c r="K162" s="169">
        <f t="shared" si="583"/>
        <v>0</v>
      </c>
      <c r="L162" s="169">
        <f t="shared" si="583"/>
        <v>0</v>
      </c>
      <c r="M162" s="169">
        <f t="shared" si="583"/>
        <v>0</v>
      </c>
      <c r="N162" s="169">
        <f t="shared" si="583"/>
        <v>0</v>
      </c>
      <c r="O162" s="169">
        <f t="shared" si="583"/>
        <v>0</v>
      </c>
      <c r="P162" s="169">
        <f t="shared" si="583"/>
        <v>0</v>
      </c>
      <c r="Q162" s="169">
        <f t="shared" si="583"/>
        <v>0</v>
      </c>
      <c r="R162" s="169">
        <f t="shared" si="583"/>
        <v>0</v>
      </c>
      <c r="S162" s="169">
        <f t="shared" si="583"/>
        <v>0</v>
      </c>
      <c r="T162" s="169">
        <f t="shared" si="583"/>
        <v>0</v>
      </c>
      <c r="U162" s="169">
        <f t="shared" si="583"/>
        <v>0</v>
      </c>
      <c r="V162" s="169">
        <f t="shared" si="583"/>
        <v>0</v>
      </c>
      <c r="W162" s="169">
        <f t="shared" si="583"/>
        <v>0</v>
      </c>
      <c r="X162" s="169">
        <f t="shared" si="583"/>
        <v>0</v>
      </c>
      <c r="Y162" s="169">
        <f t="shared" si="583"/>
        <v>0</v>
      </c>
      <c r="Z162" s="169">
        <f t="shared" si="583"/>
        <v>0</v>
      </c>
      <c r="AA162" s="169">
        <f t="shared" si="583"/>
        <v>0</v>
      </c>
      <c r="AB162" s="169">
        <f t="shared" si="583"/>
        <v>0</v>
      </c>
      <c r="AC162" s="169">
        <f t="shared" si="583"/>
        <v>0</v>
      </c>
      <c r="AD162" s="169">
        <f t="shared" si="583"/>
        <v>0</v>
      </c>
      <c r="AE162" s="169">
        <f t="shared" si="583"/>
        <v>0</v>
      </c>
      <c r="AF162" s="169">
        <f t="shared" si="583"/>
        <v>0</v>
      </c>
      <c r="AG162" s="169">
        <f t="shared" si="583"/>
        <v>0</v>
      </c>
      <c r="AH162" s="169">
        <f t="shared" si="583"/>
        <v>0</v>
      </c>
      <c r="AI162" s="169">
        <f t="shared" si="583"/>
        <v>0</v>
      </c>
      <c r="AJ162" s="169">
        <f t="shared" si="583"/>
        <v>0</v>
      </c>
      <c r="AK162" s="169">
        <f t="shared" si="583"/>
        <v>0</v>
      </c>
      <c r="AL162" s="169">
        <f t="shared" si="583"/>
        <v>0</v>
      </c>
      <c r="AM162" s="169">
        <f t="shared" si="583"/>
        <v>0</v>
      </c>
      <c r="AN162" s="169">
        <f t="shared" si="583"/>
        <v>0</v>
      </c>
      <c r="AO162" s="169">
        <f t="shared" si="583"/>
        <v>0</v>
      </c>
      <c r="AP162" s="169">
        <f t="shared" si="583"/>
        <v>0</v>
      </c>
    </row>
    <row r="163" spans="1:42" x14ac:dyDescent="0.2">
      <c r="A163" s="163" t="s">
        <v>313</v>
      </c>
      <c r="B163" s="169">
        <f>'Inputs &amp; Results'!C171</f>
        <v>1206814.5</v>
      </c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</row>
    <row r="164" spans="1:42" x14ac:dyDescent="0.2">
      <c r="A164" s="163" t="s">
        <v>200</v>
      </c>
      <c r="B164" s="170">
        <f t="shared" ref="B164:AP164" si="584">B96-B130</f>
        <v>0</v>
      </c>
      <c r="C164" s="170">
        <f t="shared" si="584"/>
        <v>18510.008622824331</v>
      </c>
      <c r="D164" s="170">
        <f t="shared" si="584"/>
        <v>18741.71008418384</v>
      </c>
      <c r="E164" s="170">
        <f t="shared" si="584"/>
        <v>18973.119552865159</v>
      </c>
      <c r="F164" s="170">
        <f t="shared" si="584"/>
        <v>19204.222272036248</v>
      </c>
      <c r="G164" s="170">
        <f t="shared" si="584"/>
        <v>19435.003130149329</v>
      </c>
      <c r="H164" s="170">
        <f t="shared" si="584"/>
        <v>19665.44665308902</v>
      </c>
      <c r="I164" s="170">
        <f t="shared" si="584"/>
        <v>19895.536996148992</v>
      </c>
      <c r="J164" s="170">
        <f t="shared" si="584"/>
        <v>20125.257935830159</v>
      </c>
      <c r="K164" s="170">
        <f t="shared" si="584"/>
        <v>915956.67876569892</v>
      </c>
      <c r="L164" s="170">
        <f t="shared" si="584"/>
        <v>926258.61449815426</v>
      </c>
      <c r="M164" s="170">
        <f t="shared" si="584"/>
        <v>936541.63081888598</v>
      </c>
      <c r="N164" s="170">
        <f t="shared" si="584"/>
        <v>962806.8851605542</v>
      </c>
      <c r="O164" s="170">
        <f t="shared" si="584"/>
        <v>899184.53245387925</v>
      </c>
      <c r="P164" s="170">
        <f t="shared" si="584"/>
        <v>910161.99406618031</v>
      </c>
      <c r="Q164" s="170">
        <f t="shared" si="584"/>
        <v>2203749.6832778789</v>
      </c>
      <c r="R164" s="170">
        <f t="shared" si="584"/>
        <v>3483751.4554754207</v>
      </c>
      <c r="S164" s="170">
        <f t="shared" si="584"/>
        <v>3512234.3751830454</v>
      </c>
      <c r="T164" s="170">
        <f t="shared" si="584"/>
        <v>3540619.1468214346</v>
      </c>
      <c r="U164" s="170">
        <f t="shared" si="584"/>
        <v>3568902.1183046969</v>
      </c>
      <c r="V164" s="170">
        <f t="shared" si="584"/>
        <v>3597079.5520150401</v>
      </c>
      <c r="W164" s="170">
        <f t="shared" si="584"/>
        <v>3618698.7079281481</v>
      </c>
      <c r="X164" s="170">
        <f t="shared" si="584"/>
        <v>3633868.5276621901</v>
      </c>
      <c r="Y164" s="170">
        <f t="shared" si="584"/>
        <v>3648921.0644665561</v>
      </c>
      <c r="Z164" s="170">
        <f t="shared" si="584"/>
        <v>3663852.2192715551</v>
      </c>
      <c r="AA164" s="170">
        <f t="shared" si="584"/>
        <v>3571545.9164388692</v>
      </c>
      <c r="AB164" s="170">
        <f t="shared" si="584"/>
        <v>3587125.6243261946</v>
      </c>
      <c r="AC164" s="170">
        <f t="shared" si="584"/>
        <v>3602571.0720671099</v>
      </c>
      <c r="AD164" s="170">
        <f t="shared" si="584"/>
        <v>3617877.7661159206</v>
      </c>
      <c r="AE164" s="170">
        <f t="shared" si="584"/>
        <v>3633041.1088003605</v>
      </c>
      <c r="AF164" s="170">
        <f t="shared" si="584"/>
        <v>3648056.396020663</v>
      </c>
      <c r="AG164" s="170">
        <f t="shared" si="584"/>
        <v>3662918.8148977961</v>
      </c>
      <c r="AH164" s="170">
        <f t="shared" si="584"/>
        <v>3677623.4413696923</v>
      </c>
      <c r="AI164" s="170">
        <f t="shared" si="584"/>
        <v>3692165.2377343383</v>
      </c>
      <c r="AJ164" s="170">
        <f t="shared" si="584"/>
        <v>3706539.050138521</v>
      </c>
      <c r="AK164" s="170">
        <f t="shared" si="584"/>
        <v>3720739.6060110405</v>
      </c>
      <c r="AL164" s="170">
        <f t="shared" si="584"/>
        <v>3734761.5114391451</v>
      </c>
      <c r="AM164" s="170">
        <f t="shared" si="584"/>
        <v>3998024.1687634829</v>
      </c>
      <c r="AN164" s="170">
        <f t="shared" si="584"/>
        <v>4006146.857155107</v>
      </c>
      <c r="AO164" s="170">
        <f t="shared" si="584"/>
        <v>4014073.9582005399</v>
      </c>
      <c r="AP164" s="170">
        <f t="shared" si="584"/>
        <v>8097447.0898388159</v>
      </c>
    </row>
    <row r="165" spans="1:42" x14ac:dyDescent="0.2">
      <c r="A165" s="163" t="s">
        <v>53</v>
      </c>
      <c r="B165" s="135">
        <f>SUM(B162:B164)</f>
        <v>768125.59849413112</v>
      </c>
      <c r="C165" s="135">
        <f t="shared" ref="C165" si="585">SUM(C162:C164)</f>
        <v>18510.008622824331</v>
      </c>
      <c r="D165" s="135">
        <f t="shared" ref="D165" si="586">SUM(D162:D164)</f>
        <v>18741.71008418384</v>
      </c>
      <c r="E165" s="135">
        <f t="shared" ref="E165" si="587">SUM(E162:E164)</f>
        <v>18973.119552865159</v>
      </c>
      <c r="F165" s="135">
        <f t="shared" ref="F165" si="588">SUM(F162:F164)</f>
        <v>19204.222272036248</v>
      </c>
      <c r="G165" s="135">
        <f t="shared" ref="G165" si="589">SUM(G162:G164)</f>
        <v>19435.003130149329</v>
      </c>
      <c r="H165" s="135">
        <f t="shared" ref="H165" si="590">SUM(H162:H164)</f>
        <v>19665.44665308902</v>
      </c>
      <c r="I165" s="135">
        <f t="shared" ref="I165" si="591">SUM(I162:I164)</f>
        <v>19895.536996148992</v>
      </c>
      <c r="J165" s="135">
        <f t="shared" ref="J165" si="592">SUM(J162:J164)</f>
        <v>20125.257935830159</v>
      </c>
      <c r="K165" s="135">
        <f t="shared" ref="K165" si="593">SUM(K162:K164)</f>
        <v>915956.67876569892</v>
      </c>
      <c r="L165" s="135">
        <f t="shared" ref="L165" si="594">SUM(L162:L164)</f>
        <v>926258.61449815426</v>
      </c>
      <c r="M165" s="135">
        <f t="shared" ref="M165" si="595">SUM(M162:M164)</f>
        <v>936541.63081888598</v>
      </c>
      <c r="N165" s="135">
        <f t="shared" ref="N165" si="596">SUM(N162:N164)</f>
        <v>962806.8851605542</v>
      </c>
      <c r="O165" s="135">
        <f t="shared" ref="O165" si="597">SUM(O162:O164)</f>
        <v>899184.53245387925</v>
      </c>
      <c r="P165" s="135">
        <f t="shared" ref="P165" si="598">SUM(P162:P164)</f>
        <v>910161.99406618031</v>
      </c>
      <c r="Q165" s="135">
        <f t="shared" ref="Q165" si="599">SUM(Q162:Q164)</f>
        <v>2203749.6832778789</v>
      </c>
      <c r="R165" s="135">
        <f t="shared" ref="R165" si="600">SUM(R162:R164)</f>
        <v>3483751.4554754207</v>
      </c>
      <c r="S165" s="135">
        <f t="shared" ref="S165" si="601">SUM(S162:S164)</f>
        <v>3512234.3751830454</v>
      </c>
      <c r="T165" s="135">
        <f t="shared" ref="T165" si="602">SUM(T162:T164)</f>
        <v>3540619.1468214346</v>
      </c>
      <c r="U165" s="135">
        <f t="shared" ref="U165" si="603">SUM(U162:U164)</f>
        <v>3568902.1183046969</v>
      </c>
      <c r="V165" s="135">
        <f t="shared" ref="V165" si="604">SUM(V162:V164)</f>
        <v>3597079.5520150401</v>
      </c>
      <c r="W165" s="135">
        <f t="shared" ref="W165" si="605">SUM(W162:W164)</f>
        <v>3618698.7079281481</v>
      </c>
      <c r="X165" s="135">
        <f t="shared" ref="X165" si="606">SUM(X162:X164)</f>
        <v>3633868.5276621901</v>
      </c>
      <c r="Y165" s="135">
        <f t="shared" ref="Y165" si="607">SUM(Y162:Y164)</f>
        <v>3648921.0644665561</v>
      </c>
      <c r="Z165" s="135">
        <f t="shared" ref="Z165" si="608">SUM(Z162:Z164)</f>
        <v>3663852.2192715551</v>
      </c>
      <c r="AA165" s="135">
        <f t="shared" ref="AA165" si="609">SUM(AA162:AA164)</f>
        <v>3571545.9164388692</v>
      </c>
      <c r="AB165" s="135">
        <f t="shared" ref="AB165" si="610">SUM(AB162:AB164)</f>
        <v>3587125.6243261946</v>
      </c>
      <c r="AC165" s="135">
        <f t="shared" ref="AC165" si="611">SUM(AC162:AC164)</f>
        <v>3602571.0720671099</v>
      </c>
      <c r="AD165" s="135">
        <f t="shared" ref="AD165" si="612">SUM(AD162:AD164)</f>
        <v>3617877.7661159206</v>
      </c>
      <c r="AE165" s="135">
        <f t="shared" ref="AE165" si="613">SUM(AE162:AE164)</f>
        <v>3633041.1088003605</v>
      </c>
      <c r="AF165" s="135">
        <f t="shared" ref="AF165" si="614">SUM(AF162:AF164)</f>
        <v>3648056.396020663</v>
      </c>
      <c r="AG165" s="135">
        <f t="shared" ref="AG165" si="615">SUM(AG162:AG164)</f>
        <v>3662918.8148977961</v>
      </c>
      <c r="AH165" s="135">
        <f t="shared" ref="AH165" si="616">SUM(AH162:AH164)</f>
        <v>3677623.4413696923</v>
      </c>
      <c r="AI165" s="135">
        <f t="shared" ref="AI165" si="617">SUM(AI162:AI164)</f>
        <v>3692165.2377343383</v>
      </c>
      <c r="AJ165" s="135">
        <f t="shared" ref="AJ165" si="618">SUM(AJ162:AJ164)</f>
        <v>3706539.050138521</v>
      </c>
      <c r="AK165" s="135">
        <f t="shared" ref="AK165" si="619">SUM(AK162:AK164)</f>
        <v>3720739.6060110405</v>
      </c>
      <c r="AL165" s="135">
        <f t="shared" ref="AL165" si="620">SUM(AL162:AL164)</f>
        <v>3734761.5114391451</v>
      </c>
      <c r="AM165" s="135">
        <f t="shared" ref="AM165" si="621">SUM(AM162:AM164)</f>
        <v>3998024.1687634829</v>
      </c>
      <c r="AN165" s="135">
        <f t="shared" ref="AN165" si="622">SUM(AN162:AN164)</f>
        <v>4006146.857155107</v>
      </c>
      <c r="AO165" s="135">
        <f t="shared" ref="AO165" si="623">SUM(AO162:AO164)</f>
        <v>4014073.9582005399</v>
      </c>
      <c r="AP165" s="135">
        <f t="shared" ref="AP165" si="624">SUM(AP162:AP164)</f>
        <v>8097447.0898388159</v>
      </c>
    </row>
    <row r="166" spans="1:42" x14ac:dyDescent="0.2">
      <c r="A166" s="163"/>
      <c r="B166" s="135"/>
      <c r="C166" s="135"/>
      <c r="D166" s="135"/>
      <c r="E166" s="135"/>
      <c r="F166" s="135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</row>
    <row r="167" spans="1:42" s="101" customFormat="1" x14ac:dyDescent="0.2">
      <c r="A167" s="163" t="s">
        <v>323</v>
      </c>
      <c r="B167" s="244" t="str">
        <f>IF(ISERROR(IRR($B165:B165)),"N/A",ROUND(IRR($B165:B165),4))</f>
        <v>N/A</v>
      </c>
      <c r="C167" s="244" t="str">
        <f>IF(ISERROR(IRR($B165:C165)),"N/A",ROUND(IRR($B165:C165),4))</f>
        <v>N/A</v>
      </c>
      <c r="D167" s="244" t="str">
        <f>IF(ISERROR(IRR($B165:D165)),"N/A",ROUND(IRR($B165:D165),4))</f>
        <v>N/A</v>
      </c>
      <c r="E167" s="244" t="str">
        <f>IF(ISERROR(IRR($B165:E165)),"N/A",ROUND(IRR($B165:E165),4))</f>
        <v>N/A</v>
      </c>
      <c r="F167" s="244" t="str">
        <f>IF(ISERROR(IRR($B165:F165)),"N/A",ROUND(IRR($B165:F165),4))</f>
        <v>N/A</v>
      </c>
      <c r="G167" s="244" t="str">
        <f>IF(ISERROR(IRR($B165:G165)),"N/A",ROUND(IRR($B165:G165),4))</f>
        <v>N/A</v>
      </c>
      <c r="H167" s="244" t="str">
        <f>IF(ISERROR(IRR($B165:H165)),"N/A",ROUND(IRR($B165:H165),4))</f>
        <v>N/A</v>
      </c>
      <c r="I167" s="244" t="str">
        <f>IF(ISERROR(IRR($B165:I165)),"N/A",ROUND(IRR($B165:I165),4))</f>
        <v>N/A</v>
      </c>
      <c r="J167" s="244" t="str">
        <f>IF(ISERROR(IRR($B165:J165)),"N/A",ROUND(IRR($B165:J165),4))</f>
        <v>N/A</v>
      </c>
      <c r="K167" s="244" t="str">
        <f>IF(ISERROR(IRR($B165:K165)),"N/A",ROUND(IRR($B165:K165),4))</f>
        <v>N/A</v>
      </c>
      <c r="L167" s="244" t="str">
        <f>IF(ISERROR(IRR($B165:L165)),"N/A",ROUND(IRR($B165:L165),4))</f>
        <v>N/A</v>
      </c>
      <c r="M167" s="244" t="str">
        <f>IF(ISERROR(IRR($B165:M165)),"N/A",ROUND(IRR($B165:M165),4))</f>
        <v>N/A</v>
      </c>
      <c r="N167" s="244" t="str">
        <f>IF(ISERROR(IRR($B165:N165)),"N/A",ROUND(IRR($B165:N165),4))</f>
        <v>N/A</v>
      </c>
      <c r="O167" s="244" t="str">
        <f>IF(ISERROR(IRR($B165:O165)),"N/A",ROUND(IRR($B165:O165),4))</f>
        <v>N/A</v>
      </c>
      <c r="P167" s="244" t="str">
        <f>IF(ISERROR(IRR($B165:P165)),"N/A",ROUND(IRR($B165:P165),4))</f>
        <v>N/A</v>
      </c>
      <c r="Q167" s="244" t="str">
        <f>IF(ISERROR(IRR($B165:Q165)),"N/A",ROUND(IRR($B165:Q165),4))</f>
        <v>N/A</v>
      </c>
      <c r="R167" s="244" t="str">
        <f>IF(ISERROR(IRR($B165:R165)),"N/A",ROUND(IRR($B165:R165),4))</f>
        <v>N/A</v>
      </c>
      <c r="S167" s="244" t="str">
        <f>IF(ISERROR(IRR($B165:S165)),"N/A",ROUND(IRR($B165:S165),4))</f>
        <v>N/A</v>
      </c>
      <c r="T167" s="244" t="str">
        <f>IF(ISERROR(IRR($B165:T165)),"N/A",ROUND(IRR($B165:T165),4))</f>
        <v>N/A</v>
      </c>
      <c r="U167" s="244" t="str">
        <f>IF(ISERROR(IRR($B165:U165)),"N/A",ROUND(IRR($B165:U165),4))</f>
        <v>N/A</v>
      </c>
      <c r="V167" s="244" t="str">
        <f>IF(ISERROR(IRR($B165:V165)),"N/A",ROUND(IRR($B165:V165),4))</f>
        <v>N/A</v>
      </c>
      <c r="W167" s="244" t="str">
        <f>IF(ISERROR(IRR($B165:W165)),"N/A",ROUND(IRR($B165:W165),4))</f>
        <v>N/A</v>
      </c>
      <c r="X167" s="244" t="str">
        <f>IF(ISERROR(IRR($B165:X165)),"N/A",ROUND(IRR($B165:X165),4))</f>
        <v>N/A</v>
      </c>
      <c r="Y167" s="244" t="str">
        <f>IF(ISERROR(IRR($B165:Y165)),"N/A",ROUND(IRR($B165:Y165),4))</f>
        <v>N/A</v>
      </c>
      <c r="Z167" s="244" t="str">
        <f>IF(ISERROR(IRR($B165:Z165)),"N/A",ROUND(IRR($B165:Z165),4))</f>
        <v>N/A</v>
      </c>
      <c r="AA167" s="244" t="str">
        <f>IF(ISERROR(IRR($B165:AA165)),"N/A",ROUND(IRR($B165:AA165),4))</f>
        <v>N/A</v>
      </c>
      <c r="AB167" s="244" t="str">
        <f>IF(ISERROR(IRR($B165:AB165)),"N/A",ROUND(IRR($B165:AB165),4))</f>
        <v>N/A</v>
      </c>
      <c r="AC167" s="244" t="str">
        <f>IF(ISERROR(IRR($B165:AC165)),"N/A",ROUND(IRR($B165:AC165),4))</f>
        <v>N/A</v>
      </c>
      <c r="AD167" s="244" t="str">
        <f>IF(ISERROR(IRR($B165:AD165)),"N/A",ROUND(IRR($B165:AD165),4))</f>
        <v>N/A</v>
      </c>
      <c r="AE167" s="244" t="str">
        <f>IF(ISERROR(IRR($B165:AE165)),"N/A",ROUND(IRR($B165:AE165),4))</f>
        <v>N/A</v>
      </c>
      <c r="AF167" s="244" t="str">
        <f>IF(ISERROR(IRR($B165:AF165)),"N/A",ROUND(IRR($B165:AF165),4))</f>
        <v>N/A</v>
      </c>
      <c r="AG167" s="244" t="str">
        <f>IF(ISERROR(IRR($B165:AG165)),"N/A",ROUND(IRR($B165:AG165),4))</f>
        <v>N/A</v>
      </c>
      <c r="AH167" s="244" t="str">
        <f>IF(ISERROR(IRR($B165:AH165)),"N/A",ROUND(IRR($B165:AH165),4))</f>
        <v>N/A</v>
      </c>
      <c r="AI167" s="244" t="str">
        <f>IF(ISERROR(IRR($B165:AI165)),"N/A",ROUND(IRR($B165:AI165),4))</f>
        <v>N/A</v>
      </c>
      <c r="AJ167" s="244" t="str">
        <f>IF(ISERROR(IRR($B165:AJ165)),"N/A",ROUND(IRR($B165:AJ165),4))</f>
        <v>N/A</v>
      </c>
      <c r="AK167" s="244" t="str">
        <f>IF(ISERROR(IRR($B165:AK165)),"N/A",ROUND(IRR($B165:AK165),4))</f>
        <v>N/A</v>
      </c>
      <c r="AL167" s="244" t="str">
        <f>IF(ISERROR(IRR($B165:AL165)),"N/A",ROUND(IRR($B165:AL165),4))</f>
        <v>N/A</v>
      </c>
      <c r="AM167" s="244" t="str">
        <f>IF(ISERROR(IRR($B165:AM165)),"N/A",ROUND(IRR($B165:AM165),4))</f>
        <v>N/A</v>
      </c>
      <c r="AN167" s="244" t="str">
        <f>IF(ISERROR(IRR($B165:AN165)),"N/A",ROUND(IRR($B165:AN165),4))</f>
        <v>N/A</v>
      </c>
      <c r="AO167" s="244" t="str">
        <f>IF(ISERROR(IRR($B165:AO165)),"N/A",ROUND(IRR($B165:AO165),4))</f>
        <v>N/A</v>
      </c>
      <c r="AP167" s="244" t="str">
        <f>IF(ISERROR(IRR($B165:AP165)),"N/A",ROUND(IRR($B165:AP165),4))</f>
        <v>N/A</v>
      </c>
    </row>
    <row r="168" spans="1:42" s="101" customFormat="1" x14ac:dyDescent="0.2">
      <c r="A168" s="243" t="s">
        <v>324</v>
      </c>
      <c r="B168" s="245">
        <f>B165</f>
        <v>768125.59849413112</v>
      </c>
      <c r="C168" s="245">
        <f>NPV(DiscountRate,$C165:C165)+$B165</f>
        <v>785264.49536711664</v>
      </c>
      <c r="D168" s="245">
        <f>NPV(DiscountRate,$C165:D165)+$B165</f>
        <v>801332.49098112877</v>
      </c>
      <c r="E168" s="245">
        <f>NPV(DiscountRate,$C165:E165)+$B165</f>
        <v>816393.96499492333</v>
      </c>
      <c r="F168" s="245">
        <f>NPV(DiscountRate,$C165:F165)+$B165</f>
        <v>830509.6416646085</v>
      </c>
      <c r="G168" s="245">
        <f>NPV(DiscountRate,$C165:G165)+$B165</f>
        <v>843736.77822928654</v>
      </c>
      <c r="H168" s="245">
        <f>NPV(DiscountRate,$C165:H165)+$B165</f>
        <v>856129.34540915326</v>
      </c>
      <c r="I168" s="245">
        <f>NPV(DiscountRate,$C165:I165)+$B165</f>
        <v>867738.20015498868</v>
      </c>
      <c r="J168" s="245">
        <f>NPV(DiscountRate,$C165:J165)+$B165</f>
        <v>878611.25081029418</v>
      </c>
      <c r="K168" s="245">
        <f>NPV(DiscountRate,$C165:K165)+$B165</f>
        <v>1336817.6332999966</v>
      </c>
      <c r="L168" s="245">
        <f>NPV(DiscountRate,$C165:L165)+$B165</f>
        <v>1765854.5918178833</v>
      </c>
      <c r="M168" s="245">
        <f>NPV(DiscountRate,$C165:M165)+$B165</f>
        <v>2167521.2443322521</v>
      </c>
      <c r="N168" s="245">
        <f>NPV(DiscountRate,$C165:N165)+$B165</f>
        <v>2549865.1053485991</v>
      </c>
      <c r="O168" s="245">
        <f>NPV(DiscountRate,$C165:O165)+$B165</f>
        <v>2880493.3918292457</v>
      </c>
      <c r="P168" s="245">
        <f>NPV(DiscountRate,$C165:P165)+$B165</f>
        <v>3190368.0921381884</v>
      </c>
      <c r="Q168" s="245">
        <f>NPV(DiscountRate,$C165:Q165)+$B165</f>
        <v>3885081.8996127467</v>
      </c>
      <c r="R168" s="245">
        <f>NPV(DiscountRate,$C165:R165)+$B165</f>
        <v>4901955.7408178141</v>
      </c>
      <c r="S168" s="245">
        <f>NPV(DiscountRate,$C165:S165)+$B165</f>
        <v>5851203.642628951</v>
      </c>
      <c r="T168" s="245">
        <f>NPV(DiscountRate,$C165:T165)+$B165</f>
        <v>6737240.1465908587</v>
      </c>
      <c r="U168" s="245">
        <f>NPV(DiscountRate,$C165:U165)+$B165</f>
        <v>7564197.8226242969</v>
      </c>
      <c r="V168" s="245">
        <f>NPV(DiscountRate,$C165:V165)+$B165</f>
        <v>8335944.79239891</v>
      </c>
      <c r="W168" s="245">
        <f>NPV(DiscountRate,$C165:W165)+$B165</f>
        <v>9054820.0895483159</v>
      </c>
      <c r="X168" s="245">
        <f>NPV(DiscountRate,$C165:X165)+$B165</f>
        <v>9723235.7090201452</v>
      </c>
      <c r="Y168" s="245">
        <f>NPV(DiscountRate,$C165:Y165)+$B165</f>
        <v>10344702.737468077</v>
      </c>
      <c r="Z168" s="245">
        <f>NPV(DiscountRate,$C165:Z165)+$B165</f>
        <v>10922489.804434123</v>
      </c>
      <c r="AA168" s="245">
        <f>NPV(DiscountRate,$C165:AA165)+$B165</f>
        <v>11443999.456452796</v>
      </c>
      <c r="AB168" s="245">
        <f>NPV(DiscountRate,$C165:AB165)+$B165</f>
        <v>11928985.167863481</v>
      </c>
      <c r="AC168" s="245">
        <f>NPV(DiscountRate,$C165:AC165)+$B165</f>
        <v>12379979.578222798</v>
      </c>
      <c r="AD168" s="245">
        <f>NPV(DiscountRate,$C165:AD165)+$B165</f>
        <v>12799341.251080768</v>
      </c>
      <c r="AE168" s="245">
        <f>NPV(DiscountRate,$C165:AE165)+$B165</f>
        <v>13189266.540272027</v>
      </c>
      <c r="AF168" s="245">
        <f>NPV(DiscountRate,$C165:AF165)+$B165</f>
        <v>13551800.653899802</v>
      </c>
      <c r="AG168" s="245">
        <f>NPV(DiscountRate,$C165:AG165)+$B165</f>
        <v>13888847.969798896</v>
      </c>
      <c r="AH168" s="245">
        <f>NPV(DiscountRate,$C165:AH165)+$B165</f>
        <v>14202181.652691506</v>
      </c>
      <c r="AI168" s="245">
        <f>NPV(DiscountRate,$C165:AI165)+$B165</f>
        <v>14493452.619911904</v>
      </c>
      <c r="AJ168" s="245">
        <f>NPV(DiscountRate,$C165:AJ165)+$B165</f>
        <v>14764197.899457898</v>
      </c>
      <c r="AK168" s="245">
        <f>NPV(DiscountRate,$C165:AK165)+$B165</f>
        <v>15015848.421214111</v>
      </c>
      <c r="AL168" s="245">
        <f>NPV(DiscountRate,$C165:AL165)+$B165</f>
        <v>15249736.279471166</v>
      </c>
      <c r="AM168" s="245">
        <f>NPV(DiscountRate,$C165:AM165)+$B165</f>
        <v>15481564.585674515</v>
      </c>
      <c r="AN168" s="245">
        <f>NPV(DiscountRate,$C165:AN165)+$B165</f>
        <v>15696656.535795214</v>
      </c>
      <c r="AO168" s="245">
        <f>NPV(DiscountRate,$C165:AO165)+$B165</f>
        <v>15896209.832078179</v>
      </c>
      <c r="AP168" s="245">
        <f>NPV(DiscountRate,$C165:AP165)+$B165</f>
        <v>16268942.87897321</v>
      </c>
    </row>
    <row r="169" spans="1:42" x14ac:dyDescent="0.2">
      <c r="A169" s="163"/>
      <c r="B169" s="135"/>
      <c r="C169" s="135"/>
      <c r="D169" s="135"/>
      <c r="E169" s="135"/>
      <c r="F169" s="135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</row>
    <row r="170" spans="1:42" x14ac:dyDescent="0.2">
      <c r="A170" s="163"/>
      <c r="B170" s="135"/>
      <c r="C170" s="135"/>
      <c r="D170" s="135"/>
      <c r="E170" s="135"/>
      <c r="F170" s="135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</row>
    <row r="171" spans="1:42" x14ac:dyDescent="0.2">
      <c r="A171" s="163" t="s">
        <v>201</v>
      </c>
      <c r="B171" s="241" t="str">
        <f>IF(ISERROR(IRR(B165:AP165)),"N/A",IRR(B165:AP165))</f>
        <v>N/A</v>
      </c>
      <c r="C171" s="135"/>
      <c r="D171" s="135"/>
      <c r="E171" s="135"/>
      <c r="F171" s="135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</row>
    <row r="172" spans="1:42" x14ac:dyDescent="0.2">
      <c r="A172" s="163" t="s">
        <v>202</v>
      </c>
      <c r="B172" s="179">
        <f>NPV(DiscountRate,$C165:$AP165)+B165</f>
        <v>16268942.87897321</v>
      </c>
      <c r="C172" s="135"/>
      <c r="D172" s="135"/>
      <c r="E172" s="135"/>
      <c r="F172" s="135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</row>
    <row r="173" spans="1:42" s="101" customFormat="1" x14ac:dyDescent="0.2">
      <c r="A173" s="25"/>
      <c r="B173" s="181"/>
      <c r="C173" s="181"/>
      <c r="D173" s="181"/>
      <c r="E173" s="181"/>
      <c r="F173" s="181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</row>
    <row r="174" spans="1:42" x14ac:dyDescent="0.2">
      <c r="A174" s="165" t="s">
        <v>228</v>
      </c>
      <c r="B174" s="135"/>
      <c r="C174" s="135"/>
      <c r="D174" s="135"/>
      <c r="E174" s="135"/>
      <c r="F174" s="135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</row>
    <row r="175" spans="1:42" s="101" customFormat="1" x14ac:dyDescent="0.2">
      <c r="A175" s="180" t="s">
        <v>204</v>
      </c>
      <c r="B175" s="181"/>
      <c r="C175" s="181"/>
      <c r="D175" s="181"/>
      <c r="E175" s="181"/>
      <c r="F175" s="181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</row>
    <row r="176" spans="1:42" x14ac:dyDescent="0.2">
      <c r="A176" s="167" t="s">
        <v>199</v>
      </c>
      <c r="B176" s="169">
        <f t="shared" ref="B176:AP176" si="625">B95-B138</f>
        <v>-438688.90150586888</v>
      </c>
      <c r="C176" s="169">
        <f t="shared" si="625"/>
        <v>0</v>
      </c>
      <c r="D176" s="169">
        <f t="shared" si="625"/>
        <v>0</v>
      </c>
      <c r="E176" s="169">
        <f t="shared" si="625"/>
        <v>0</v>
      </c>
      <c r="F176" s="169">
        <f t="shared" si="625"/>
        <v>0</v>
      </c>
      <c r="G176" s="169">
        <f t="shared" si="625"/>
        <v>0</v>
      </c>
      <c r="H176" s="169">
        <f t="shared" si="625"/>
        <v>0</v>
      </c>
      <c r="I176" s="169">
        <f t="shared" si="625"/>
        <v>0</v>
      </c>
      <c r="J176" s="169">
        <f t="shared" si="625"/>
        <v>0</v>
      </c>
      <c r="K176" s="169">
        <f t="shared" si="625"/>
        <v>0</v>
      </c>
      <c r="L176" s="169">
        <f t="shared" si="625"/>
        <v>0</v>
      </c>
      <c r="M176" s="169">
        <f t="shared" si="625"/>
        <v>0</v>
      </c>
      <c r="N176" s="169">
        <f t="shared" si="625"/>
        <v>0</v>
      </c>
      <c r="O176" s="169">
        <f t="shared" si="625"/>
        <v>0</v>
      </c>
      <c r="P176" s="169">
        <f t="shared" si="625"/>
        <v>0</v>
      </c>
      <c r="Q176" s="169">
        <f t="shared" si="625"/>
        <v>0</v>
      </c>
      <c r="R176" s="169">
        <f t="shared" si="625"/>
        <v>0</v>
      </c>
      <c r="S176" s="169">
        <f t="shared" si="625"/>
        <v>0</v>
      </c>
      <c r="T176" s="169">
        <f t="shared" si="625"/>
        <v>0</v>
      </c>
      <c r="U176" s="169">
        <f t="shared" si="625"/>
        <v>0</v>
      </c>
      <c r="V176" s="169">
        <f t="shared" si="625"/>
        <v>0</v>
      </c>
      <c r="W176" s="169">
        <f t="shared" si="625"/>
        <v>0</v>
      </c>
      <c r="X176" s="169">
        <f t="shared" si="625"/>
        <v>0</v>
      </c>
      <c r="Y176" s="169">
        <f t="shared" si="625"/>
        <v>0</v>
      </c>
      <c r="Z176" s="169">
        <f t="shared" si="625"/>
        <v>0</v>
      </c>
      <c r="AA176" s="169">
        <f t="shared" si="625"/>
        <v>0</v>
      </c>
      <c r="AB176" s="169">
        <f t="shared" si="625"/>
        <v>0</v>
      </c>
      <c r="AC176" s="169">
        <f t="shared" si="625"/>
        <v>0</v>
      </c>
      <c r="AD176" s="169">
        <f t="shared" si="625"/>
        <v>0</v>
      </c>
      <c r="AE176" s="169">
        <f t="shared" si="625"/>
        <v>0</v>
      </c>
      <c r="AF176" s="169">
        <f t="shared" si="625"/>
        <v>0</v>
      </c>
      <c r="AG176" s="169">
        <f t="shared" si="625"/>
        <v>0</v>
      </c>
      <c r="AH176" s="169">
        <f t="shared" si="625"/>
        <v>0</v>
      </c>
      <c r="AI176" s="169">
        <f t="shared" si="625"/>
        <v>0</v>
      </c>
      <c r="AJ176" s="169">
        <f t="shared" si="625"/>
        <v>0</v>
      </c>
      <c r="AK176" s="169">
        <f t="shared" si="625"/>
        <v>0</v>
      </c>
      <c r="AL176" s="169">
        <f t="shared" si="625"/>
        <v>0</v>
      </c>
      <c r="AM176" s="169">
        <f t="shared" si="625"/>
        <v>0</v>
      </c>
      <c r="AN176" s="169">
        <f t="shared" si="625"/>
        <v>0</v>
      </c>
      <c r="AO176" s="169">
        <f t="shared" si="625"/>
        <v>0</v>
      </c>
      <c r="AP176" s="169">
        <f t="shared" si="625"/>
        <v>0</v>
      </c>
    </row>
    <row r="177" spans="1:42" x14ac:dyDescent="0.2">
      <c r="A177" s="167" t="s">
        <v>313</v>
      </c>
      <c r="B177" s="169">
        <f>'Inputs &amp; Results'!C171</f>
        <v>1206814.5</v>
      </c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</row>
    <row r="178" spans="1:42" x14ac:dyDescent="0.2">
      <c r="A178" s="167" t="s">
        <v>200</v>
      </c>
      <c r="B178" s="170">
        <f t="shared" ref="B178:AP178" si="626">B96-B139</f>
        <v>0</v>
      </c>
      <c r="C178" s="170">
        <f t="shared" si="626"/>
        <v>18510.008622824331</v>
      </c>
      <c r="D178" s="170">
        <f t="shared" si="626"/>
        <v>18741.71008418384</v>
      </c>
      <c r="E178" s="170">
        <f t="shared" si="626"/>
        <v>18973.119552865159</v>
      </c>
      <c r="F178" s="170">
        <f t="shared" si="626"/>
        <v>19204.222272036248</v>
      </c>
      <c r="G178" s="170">
        <f t="shared" si="626"/>
        <v>19435.003130149329</v>
      </c>
      <c r="H178" s="170">
        <f t="shared" si="626"/>
        <v>19665.44665308902</v>
      </c>
      <c r="I178" s="170">
        <f t="shared" si="626"/>
        <v>19895.536996148992</v>
      </c>
      <c r="J178" s="170">
        <f t="shared" si="626"/>
        <v>20125.257935830159</v>
      </c>
      <c r="K178" s="170">
        <f t="shared" si="626"/>
        <v>915956.67876569892</v>
      </c>
      <c r="L178" s="170">
        <f t="shared" si="626"/>
        <v>926258.61449815426</v>
      </c>
      <c r="M178" s="170">
        <f t="shared" si="626"/>
        <v>936541.63081888598</v>
      </c>
      <c r="N178" s="170">
        <f t="shared" si="626"/>
        <v>962806.8851605542</v>
      </c>
      <c r="O178" s="170">
        <f t="shared" si="626"/>
        <v>899184.53245387925</v>
      </c>
      <c r="P178" s="170">
        <f t="shared" si="626"/>
        <v>910161.99406618031</v>
      </c>
      <c r="Q178" s="170">
        <f t="shared" si="626"/>
        <v>2203749.6832778789</v>
      </c>
      <c r="R178" s="170">
        <f t="shared" si="626"/>
        <v>3483751.4554754207</v>
      </c>
      <c r="S178" s="170">
        <f t="shared" si="626"/>
        <v>3512234.3751830454</v>
      </c>
      <c r="T178" s="170">
        <f t="shared" si="626"/>
        <v>3540619.1468214346</v>
      </c>
      <c r="U178" s="170">
        <f t="shared" si="626"/>
        <v>3568902.1183046969</v>
      </c>
      <c r="V178" s="170">
        <f t="shared" si="626"/>
        <v>3597079.5520150401</v>
      </c>
      <c r="W178" s="170">
        <f t="shared" si="626"/>
        <v>3618698.7079281481</v>
      </c>
      <c r="X178" s="170">
        <f t="shared" si="626"/>
        <v>3633868.5276621901</v>
      </c>
      <c r="Y178" s="170">
        <f t="shared" si="626"/>
        <v>3648921.0644665561</v>
      </c>
      <c r="Z178" s="170">
        <f t="shared" si="626"/>
        <v>3663852.2192715551</v>
      </c>
      <c r="AA178" s="170">
        <f t="shared" si="626"/>
        <v>3571545.9164388692</v>
      </c>
      <c r="AB178" s="170">
        <f t="shared" si="626"/>
        <v>3587125.6243261946</v>
      </c>
      <c r="AC178" s="170">
        <f t="shared" si="626"/>
        <v>3602571.0720671099</v>
      </c>
      <c r="AD178" s="170">
        <f t="shared" si="626"/>
        <v>3617877.7661159206</v>
      </c>
      <c r="AE178" s="170">
        <f t="shared" si="626"/>
        <v>3633041.1088003605</v>
      </c>
      <c r="AF178" s="170">
        <f t="shared" si="626"/>
        <v>3648056.396020663</v>
      </c>
      <c r="AG178" s="170">
        <f t="shared" si="626"/>
        <v>3662918.8148977961</v>
      </c>
      <c r="AH178" s="170">
        <f t="shared" si="626"/>
        <v>3677623.4413696923</v>
      </c>
      <c r="AI178" s="170">
        <f t="shared" si="626"/>
        <v>3692165.2377343383</v>
      </c>
      <c r="AJ178" s="170">
        <f t="shared" si="626"/>
        <v>3706539.050138521</v>
      </c>
      <c r="AK178" s="170">
        <f t="shared" si="626"/>
        <v>3720739.6060110405</v>
      </c>
      <c r="AL178" s="170">
        <f t="shared" si="626"/>
        <v>3734761.5114391451</v>
      </c>
      <c r="AM178" s="170">
        <f t="shared" si="626"/>
        <v>3998024.1687634829</v>
      </c>
      <c r="AN178" s="170">
        <f t="shared" si="626"/>
        <v>4006146.857155107</v>
      </c>
      <c r="AO178" s="170">
        <f t="shared" si="626"/>
        <v>4014073.9582005399</v>
      </c>
      <c r="AP178" s="170">
        <f t="shared" si="626"/>
        <v>8097447.0898388159</v>
      </c>
    </row>
    <row r="179" spans="1:42" x14ac:dyDescent="0.2">
      <c r="A179" s="167" t="s">
        <v>205</v>
      </c>
      <c r="B179" s="135">
        <f>SUM(B176:B178)</f>
        <v>768125.59849413112</v>
      </c>
      <c r="C179" s="135">
        <f t="shared" ref="C179" si="627">SUM(C176:C178)</f>
        <v>18510.008622824331</v>
      </c>
      <c r="D179" s="135">
        <f t="shared" ref="D179" si="628">SUM(D176:D178)</f>
        <v>18741.71008418384</v>
      </c>
      <c r="E179" s="135">
        <f t="shared" ref="E179" si="629">SUM(E176:E178)</f>
        <v>18973.119552865159</v>
      </c>
      <c r="F179" s="135">
        <f t="shared" ref="F179" si="630">SUM(F176:F178)</f>
        <v>19204.222272036248</v>
      </c>
      <c r="G179" s="135">
        <f t="shared" ref="G179" si="631">SUM(G176:G178)</f>
        <v>19435.003130149329</v>
      </c>
      <c r="H179" s="135">
        <f t="shared" ref="H179" si="632">SUM(H176:H178)</f>
        <v>19665.44665308902</v>
      </c>
      <c r="I179" s="135">
        <f t="shared" ref="I179" si="633">SUM(I176:I178)</f>
        <v>19895.536996148992</v>
      </c>
      <c r="J179" s="135">
        <f t="shared" ref="J179" si="634">SUM(J176:J178)</f>
        <v>20125.257935830159</v>
      </c>
      <c r="K179" s="135">
        <f t="shared" ref="K179" si="635">SUM(K176:K178)</f>
        <v>915956.67876569892</v>
      </c>
      <c r="L179" s="135">
        <f t="shared" ref="L179" si="636">SUM(L176:L178)</f>
        <v>926258.61449815426</v>
      </c>
      <c r="M179" s="135">
        <f t="shared" ref="M179" si="637">SUM(M176:M178)</f>
        <v>936541.63081888598</v>
      </c>
      <c r="N179" s="135">
        <f t="shared" ref="N179" si="638">SUM(N176:N178)</f>
        <v>962806.8851605542</v>
      </c>
      <c r="O179" s="135">
        <f t="shared" ref="O179" si="639">SUM(O176:O178)</f>
        <v>899184.53245387925</v>
      </c>
      <c r="P179" s="135">
        <f t="shared" ref="P179" si="640">SUM(P176:P178)</f>
        <v>910161.99406618031</v>
      </c>
      <c r="Q179" s="135">
        <f t="shared" ref="Q179" si="641">SUM(Q176:Q178)</f>
        <v>2203749.6832778789</v>
      </c>
      <c r="R179" s="135">
        <f t="shared" ref="R179" si="642">SUM(R176:R178)</f>
        <v>3483751.4554754207</v>
      </c>
      <c r="S179" s="135">
        <f t="shared" ref="S179" si="643">SUM(S176:S178)</f>
        <v>3512234.3751830454</v>
      </c>
      <c r="T179" s="135">
        <f t="shared" ref="T179" si="644">SUM(T176:T178)</f>
        <v>3540619.1468214346</v>
      </c>
      <c r="U179" s="135">
        <f t="shared" ref="U179" si="645">SUM(U176:U178)</f>
        <v>3568902.1183046969</v>
      </c>
      <c r="V179" s="135">
        <f t="shared" ref="V179" si="646">SUM(V176:V178)</f>
        <v>3597079.5520150401</v>
      </c>
      <c r="W179" s="135">
        <f t="shared" ref="W179" si="647">SUM(W176:W178)</f>
        <v>3618698.7079281481</v>
      </c>
      <c r="X179" s="135">
        <f t="shared" ref="X179" si="648">SUM(X176:X178)</f>
        <v>3633868.5276621901</v>
      </c>
      <c r="Y179" s="135">
        <f t="shared" ref="Y179" si="649">SUM(Y176:Y178)</f>
        <v>3648921.0644665561</v>
      </c>
      <c r="Z179" s="135">
        <f t="shared" ref="Z179" si="650">SUM(Z176:Z178)</f>
        <v>3663852.2192715551</v>
      </c>
      <c r="AA179" s="135">
        <f t="shared" ref="AA179" si="651">SUM(AA176:AA178)</f>
        <v>3571545.9164388692</v>
      </c>
      <c r="AB179" s="135">
        <f t="shared" ref="AB179" si="652">SUM(AB176:AB178)</f>
        <v>3587125.6243261946</v>
      </c>
      <c r="AC179" s="135">
        <f t="shared" ref="AC179" si="653">SUM(AC176:AC178)</f>
        <v>3602571.0720671099</v>
      </c>
      <c r="AD179" s="135">
        <f t="shared" ref="AD179" si="654">SUM(AD176:AD178)</f>
        <v>3617877.7661159206</v>
      </c>
      <c r="AE179" s="135">
        <f t="shared" ref="AE179" si="655">SUM(AE176:AE178)</f>
        <v>3633041.1088003605</v>
      </c>
      <c r="AF179" s="135">
        <f t="shared" ref="AF179" si="656">SUM(AF176:AF178)</f>
        <v>3648056.396020663</v>
      </c>
      <c r="AG179" s="135">
        <f t="shared" ref="AG179" si="657">SUM(AG176:AG178)</f>
        <v>3662918.8148977961</v>
      </c>
      <c r="AH179" s="135">
        <f t="shared" ref="AH179" si="658">SUM(AH176:AH178)</f>
        <v>3677623.4413696923</v>
      </c>
      <c r="AI179" s="135">
        <f t="shared" ref="AI179" si="659">SUM(AI176:AI178)</f>
        <v>3692165.2377343383</v>
      </c>
      <c r="AJ179" s="135">
        <f t="shared" ref="AJ179" si="660">SUM(AJ176:AJ178)</f>
        <v>3706539.050138521</v>
      </c>
      <c r="AK179" s="135">
        <f t="shared" ref="AK179" si="661">SUM(AK176:AK178)</f>
        <v>3720739.6060110405</v>
      </c>
      <c r="AL179" s="135">
        <f t="shared" ref="AL179" si="662">SUM(AL176:AL178)</f>
        <v>3734761.5114391451</v>
      </c>
      <c r="AM179" s="135">
        <f t="shared" ref="AM179" si="663">SUM(AM176:AM178)</f>
        <v>3998024.1687634829</v>
      </c>
      <c r="AN179" s="135">
        <f t="shared" ref="AN179" si="664">SUM(AN176:AN178)</f>
        <v>4006146.857155107</v>
      </c>
      <c r="AO179" s="135">
        <f t="shared" ref="AO179" si="665">SUM(AO176:AO178)</f>
        <v>4014073.9582005399</v>
      </c>
      <c r="AP179" s="135">
        <f t="shared" ref="AP179" si="666">SUM(AP176:AP178)</f>
        <v>8097447.0898388159</v>
      </c>
    </row>
    <row r="180" spans="1:42" x14ac:dyDescent="0.2">
      <c r="A180" s="163" t="s">
        <v>33</v>
      </c>
      <c r="B180" s="135"/>
      <c r="C180" s="135"/>
      <c r="D180" s="135"/>
      <c r="E180" s="135"/>
      <c r="F180" s="135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</row>
    <row r="181" spans="1:42" x14ac:dyDescent="0.2">
      <c r="A181" s="167" t="s">
        <v>37</v>
      </c>
      <c r="B181" s="169">
        <f t="shared" ref="B181:AP181" si="667">B99-B142</f>
        <v>0</v>
      </c>
      <c r="C181" s="169">
        <f t="shared" si="667"/>
        <v>0</v>
      </c>
      <c r="D181" s="169">
        <f t="shared" si="667"/>
        <v>0</v>
      </c>
      <c r="E181" s="169">
        <f t="shared" si="667"/>
        <v>0</v>
      </c>
      <c r="F181" s="169">
        <f t="shared" si="667"/>
        <v>0</v>
      </c>
      <c r="G181" s="169">
        <f t="shared" si="667"/>
        <v>0</v>
      </c>
      <c r="H181" s="169">
        <f t="shared" si="667"/>
        <v>0</v>
      </c>
      <c r="I181" s="169">
        <f t="shared" si="667"/>
        <v>0</v>
      </c>
      <c r="J181" s="169">
        <f t="shared" si="667"/>
        <v>0</v>
      </c>
      <c r="K181" s="169">
        <f t="shared" si="667"/>
        <v>0</v>
      </c>
      <c r="L181" s="169">
        <f t="shared" si="667"/>
        <v>0</v>
      </c>
      <c r="M181" s="169">
        <f t="shared" si="667"/>
        <v>0</v>
      </c>
      <c r="N181" s="169">
        <f t="shared" si="667"/>
        <v>0</v>
      </c>
      <c r="O181" s="169">
        <f t="shared" si="667"/>
        <v>0</v>
      </c>
      <c r="P181" s="169">
        <f t="shared" si="667"/>
        <v>0</v>
      </c>
      <c r="Q181" s="169">
        <f t="shared" si="667"/>
        <v>0</v>
      </c>
      <c r="R181" s="169">
        <f t="shared" si="667"/>
        <v>0</v>
      </c>
      <c r="S181" s="169">
        <f t="shared" si="667"/>
        <v>0</v>
      </c>
      <c r="T181" s="169">
        <f t="shared" si="667"/>
        <v>0</v>
      </c>
      <c r="U181" s="169">
        <f t="shared" si="667"/>
        <v>0</v>
      </c>
      <c r="V181" s="169">
        <f t="shared" si="667"/>
        <v>0</v>
      </c>
      <c r="W181" s="169">
        <f t="shared" si="667"/>
        <v>0</v>
      </c>
      <c r="X181" s="169">
        <f t="shared" si="667"/>
        <v>0</v>
      </c>
      <c r="Y181" s="169">
        <f t="shared" si="667"/>
        <v>0</v>
      </c>
      <c r="Z181" s="169">
        <f t="shared" si="667"/>
        <v>0</v>
      </c>
      <c r="AA181" s="169">
        <f t="shared" si="667"/>
        <v>0</v>
      </c>
      <c r="AB181" s="169">
        <f t="shared" si="667"/>
        <v>0</v>
      </c>
      <c r="AC181" s="169">
        <f t="shared" si="667"/>
        <v>0</v>
      </c>
      <c r="AD181" s="169">
        <f t="shared" si="667"/>
        <v>0</v>
      </c>
      <c r="AE181" s="169">
        <f t="shared" si="667"/>
        <v>0</v>
      </c>
      <c r="AF181" s="169">
        <f t="shared" si="667"/>
        <v>0</v>
      </c>
      <c r="AG181" s="169">
        <f t="shared" si="667"/>
        <v>0</v>
      </c>
      <c r="AH181" s="169">
        <f t="shared" si="667"/>
        <v>0</v>
      </c>
      <c r="AI181" s="169">
        <f t="shared" si="667"/>
        <v>0</v>
      </c>
      <c r="AJ181" s="169">
        <f t="shared" si="667"/>
        <v>0</v>
      </c>
      <c r="AK181" s="169">
        <f t="shared" si="667"/>
        <v>0</v>
      </c>
      <c r="AL181" s="169">
        <f t="shared" si="667"/>
        <v>0</v>
      </c>
      <c r="AM181" s="169">
        <f t="shared" si="667"/>
        <v>0</v>
      </c>
      <c r="AN181" s="169">
        <f t="shared" si="667"/>
        <v>0</v>
      </c>
      <c r="AO181" s="169">
        <f t="shared" si="667"/>
        <v>0</v>
      </c>
      <c r="AP181" s="169">
        <f t="shared" si="667"/>
        <v>0</v>
      </c>
    </row>
    <row r="182" spans="1:42" x14ac:dyDescent="0.2">
      <c r="A182" s="167" t="s">
        <v>36</v>
      </c>
      <c r="B182" s="170">
        <f t="shared" ref="B182:AP182" si="668">B100-B143</f>
        <v>0</v>
      </c>
      <c r="C182" s="170">
        <f t="shared" si="668"/>
        <v>242112.06050798669</v>
      </c>
      <c r="D182" s="170">
        <f t="shared" si="668"/>
        <v>0</v>
      </c>
      <c r="E182" s="170">
        <f t="shared" si="668"/>
        <v>0</v>
      </c>
      <c r="F182" s="170">
        <f t="shared" si="668"/>
        <v>0</v>
      </c>
      <c r="G182" s="170">
        <f t="shared" si="668"/>
        <v>0</v>
      </c>
      <c r="H182" s="170">
        <f t="shared" si="668"/>
        <v>0</v>
      </c>
      <c r="I182" s="170">
        <f t="shared" si="668"/>
        <v>0</v>
      </c>
      <c r="J182" s="170">
        <f t="shared" si="668"/>
        <v>0</v>
      </c>
      <c r="K182" s="170">
        <f t="shared" si="668"/>
        <v>0</v>
      </c>
      <c r="L182" s="170">
        <f t="shared" si="668"/>
        <v>0</v>
      </c>
      <c r="M182" s="170">
        <f t="shared" si="668"/>
        <v>0</v>
      </c>
      <c r="N182" s="170">
        <f t="shared" si="668"/>
        <v>0</v>
      </c>
      <c r="O182" s="170">
        <f t="shared" si="668"/>
        <v>0</v>
      </c>
      <c r="P182" s="170">
        <f t="shared" si="668"/>
        <v>0</v>
      </c>
      <c r="Q182" s="170">
        <f t="shared" si="668"/>
        <v>0</v>
      </c>
      <c r="R182" s="170">
        <f t="shared" si="668"/>
        <v>0</v>
      </c>
      <c r="S182" s="170">
        <f t="shared" si="668"/>
        <v>0</v>
      </c>
      <c r="T182" s="170">
        <f t="shared" si="668"/>
        <v>0</v>
      </c>
      <c r="U182" s="170">
        <f t="shared" si="668"/>
        <v>0</v>
      </c>
      <c r="V182" s="170">
        <f t="shared" si="668"/>
        <v>0</v>
      </c>
      <c r="W182" s="170">
        <f t="shared" si="668"/>
        <v>0</v>
      </c>
      <c r="X182" s="170">
        <f t="shared" si="668"/>
        <v>0</v>
      </c>
      <c r="Y182" s="170">
        <f t="shared" si="668"/>
        <v>0</v>
      </c>
      <c r="Z182" s="170">
        <f t="shared" si="668"/>
        <v>0</v>
      </c>
      <c r="AA182" s="170">
        <f t="shared" si="668"/>
        <v>0</v>
      </c>
      <c r="AB182" s="170">
        <f t="shared" si="668"/>
        <v>0</v>
      </c>
      <c r="AC182" s="170">
        <f t="shared" si="668"/>
        <v>0</v>
      </c>
      <c r="AD182" s="170">
        <f t="shared" si="668"/>
        <v>0</v>
      </c>
      <c r="AE182" s="170">
        <f t="shared" si="668"/>
        <v>0</v>
      </c>
      <c r="AF182" s="170">
        <f t="shared" si="668"/>
        <v>0</v>
      </c>
      <c r="AG182" s="170">
        <f t="shared" si="668"/>
        <v>0</v>
      </c>
      <c r="AH182" s="170">
        <f t="shared" si="668"/>
        <v>0</v>
      </c>
      <c r="AI182" s="170">
        <f t="shared" si="668"/>
        <v>0</v>
      </c>
      <c r="AJ182" s="170">
        <f t="shared" si="668"/>
        <v>0</v>
      </c>
      <c r="AK182" s="170">
        <f t="shared" si="668"/>
        <v>0</v>
      </c>
      <c r="AL182" s="170">
        <f t="shared" si="668"/>
        <v>0</v>
      </c>
      <c r="AM182" s="170">
        <f t="shared" si="668"/>
        <v>0</v>
      </c>
      <c r="AN182" s="170">
        <f t="shared" si="668"/>
        <v>0</v>
      </c>
      <c r="AO182" s="170">
        <f t="shared" si="668"/>
        <v>0</v>
      </c>
      <c r="AP182" s="170">
        <f t="shared" si="668"/>
        <v>0</v>
      </c>
    </row>
    <row r="183" spans="1:42" x14ac:dyDescent="0.2">
      <c r="A183" s="167" t="s">
        <v>53</v>
      </c>
      <c r="B183" s="135">
        <f>SUM(B181:B182)</f>
        <v>0</v>
      </c>
      <c r="C183" s="135">
        <f>SUM(C181:C182)</f>
        <v>242112.06050798669</v>
      </c>
      <c r="D183" s="135">
        <f>SUM(D181:D182)</f>
        <v>0</v>
      </c>
      <c r="E183" s="135">
        <f t="shared" ref="E183" si="669">SUM(E181:E182)</f>
        <v>0</v>
      </c>
      <c r="F183" s="135">
        <f t="shared" ref="F183" si="670">SUM(F181:F182)</f>
        <v>0</v>
      </c>
      <c r="G183" s="135">
        <f t="shared" ref="G183" si="671">SUM(G181:G182)</f>
        <v>0</v>
      </c>
      <c r="H183" s="135">
        <f t="shared" ref="H183" si="672">SUM(H181:H182)</f>
        <v>0</v>
      </c>
      <c r="I183" s="135">
        <f t="shared" ref="I183" si="673">SUM(I181:I182)</f>
        <v>0</v>
      </c>
      <c r="J183" s="135">
        <f t="shared" ref="J183" si="674">SUM(J181:J182)</f>
        <v>0</v>
      </c>
      <c r="K183" s="135">
        <f t="shared" ref="K183" si="675">SUM(K181:K182)</f>
        <v>0</v>
      </c>
      <c r="L183" s="135">
        <f t="shared" ref="L183" si="676">SUM(L181:L182)</f>
        <v>0</v>
      </c>
      <c r="M183" s="135">
        <f t="shared" ref="M183" si="677">SUM(M181:M182)</f>
        <v>0</v>
      </c>
      <c r="N183" s="135">
        <f t="shared" ref="N183" si="678">SUM(N181:N182)</f>
        <v>0</v>
      </c>
      <c r="O183" s="135">
        <f t="shared" ref="O183" si="679">SUM(O181:O182)</f>
        <v>0</v>
      </c>
      <c r="P183" s="135">
        <f t="shared" ref="P183" si="680">SUM(P181:P182)</f>
        <v>0</v>
      </c>
      <c r="Q183" s="135">
        <f t="shared" ref="Q183" si="681">SUM(Q181:Q182)</f>
        <v>0</v>
      </c>
      <c r="R183" s="135">
        <f t="shared" ref="R183" si="682">SUM(R181:R182)</f>
        <v>0</v>
      </c>
      <c r="S183" s="135">
        <f t="shared" ref="S183" si="683">SUM(S181:S182)</f>
        <v>0</v>
      </c>
      <c r="T183" s="135">
        <f t="shared" ref="T183" si="684">SUM(T181:T182)</f>
        <v>0</v>
      </c>
      <c r="U183" s="135">
        <f t="shared" ref="U183" si="685">SUM(U181:U182)</f>
        <v>0</v>
      </c>
      <c r="V183" s="135">
        <f t="shared" ref="V183" si="686">SUM(V181:V182)</f>
        <v>0</v>
      </c>
      <c r="W183" s="135">
        <f t="shared" ref="W183" si="687">SUM(W181:W182)</f>
        <v>0</v>
      </c>
      <c r="X183" s="135">
        <f t="shared" ref="X183" si="688">SUM(X181:X182)</f>
        <v>0</v>
      </c>
      <c r="Y183" s="135">
        <f t="shared" ref="Y183" si="689">SUM(Y181:Y182)</f>
        <v>0</v>
      </c>
      <c r="Z183" s="135">
        <f t="shared" ref="Z183" si="690">SUM(Z181:Z182)</f>
        <v>0</v>
      </c>
      <c r="AA183" s="135">
        <f t="shared" ref="AA183" si="691">SUM(AA181:AA182)</f>
        <v>0</v>
      </c>
      <c r="AB183" s="135">
        <f t="shared" ref="AB183" si="692">SUM(AB181:AB182)</f>
        <v>0</v>
      </c>
      <c r="AC183" s="135">
        <f t="shared" ref="AC183" si="693">SUM(AC181:AC182)</f>
        <v>0</v>
      </c>
      <c r="AD183" s="135">
        <f t="shared" ref="AD183" si="694">SUM(AD181:AD182)</f>
        <v>0</v>
      </c>
      <c r="AE183" s="135">
        <f t="shared" ref="AE183" si="695">SUM(AE181:AE182)</f>
        <v>0</v>
      </c>
      <c r="AF183" s="135">
        <f t="shared" ref="AF183" si="696">SUM(AF181:AF182)</f>
        <v>0</v>
      </c>
      <c r="AG183" s="135">
        <f t="shared" ref="AG183" si="697">SUM(AG181:AG182)</f>
        <v>0</v>
      </c>
      <c r="AH183" s="135">
        <f t="shared" ref="AH183" si="698">SUM(AH181:AH182)</f>
        <v>0</v>
      </c>
      <c r="AI183" s="135">
        <f t="shared" ref="AI183" si="699">SUM(AI181:AI182)</f>
        <v>0</v>
      </c>
      <c r="AJ183" s="135">
        <f t="shared" ref="AJ183" si="700">SUM(AJ181:AJ182)</f>
        <v>0</v>
      </c>
      <c r="AK183" s="135">
        <f t="shared" ref="AK183" si="701">SUM(AK181:AK182)</f>
        <v>0</v>
      </c>
      <c r="AL183" s="135">
        <f t="shared" ref="AL183" si="702">SUM(AL181:AL182)</f>
        <v>0</v>
      </c>
      <c r="AM183" s="135">
        <f t="shared" ref="AM183" si="703">SUM(AM181:AM182)</f>
        <v>0</v>
      </c>
      <c r="AN183" s="135">
        <f t="shared" ref="AN183" si="704">SUM(AN181:AN182)</f>
        <v>0</v>
      </c>
      <c r="AO183" s="135">
        <f t="shared" ref="AO183" si="705">SUM(AO181:AO182)</f>
        <v>0</v>
      </c>
      <c r="AP183" s="135">
        <f t="shared" ref="AP183" si="706">SUM(AP181:AP182)</f>
        <v>0</v>
      </c>
    </row>
    <row r="184" spans="1:42" x14ac:dyDescent="0.2">
      <c r="A184" s="163" t="s">
        <v>38</v>
      </c>
      <c r="B184" s="135"/>
      <c r="C184" s="135"/>
      <c r="D184" s="135"/>
      <c r="E184" s="135"/>
      <c r="F184" s="135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</row>
    <row r="185" spans="1:42" x14ac:dyDescent="0.2">
      <c r="A185" s="167" t="s">
        <v>37</v>
      </c>
      <c r="B185" s="169">
        <f t="shared" ref="B185:AP185" si="707">B103-B146</f>
        <v>0</v>
      </c>
      <c r="C185" s="169">
        <f t="shared" si="707"/>
        <v>0</v>
      </c>
      <c r="D185" s="169">
        <f t="shared" si="707"/>
        <v>0</v>
      </c>
      <c r="E185" s="169">
        <f t="shared" si="707"/>
        <v>0</v>
      </c>
      <c r="F185" s="169">
        <f t="shared" si="707"/>
        <v>0</v>
      </c>
      <c r="G185" s="169">
        <f t="shared" si="707"/>
        <v>0</v>
      </c>
      <c r="H185" s="169">
        <f t="shared" si="707"/>
        <v>0</v>
      </c>
      <c r="I185" s="169">
        <f t="shared" si="707"/>
        <v>0</v>
      </c>
      <c r="J185" s="169">
        <f t="shared" si="707"/>
        <v>0</v>
      </c>
      <c r="K185" s="169">
        <f t="shared" si="707"/>
        <v>0</v>
      </c>
      <c r="L185" s="169">
        <f t="shared" si="707"/>
        <v>0</v>
      </c>
      <c r="M185" s="169">
        <f t="shared" si="707"/>
        <v>0</v>
      </c>
      <c r="N185" s="169">
        <f t="shared" si="707"/>
        <v>0</v>
      </c>
      <c r="O185" s="169">
        <f t="shared" si="707"/>
        <v>0</v>
      </c>
      <c r="P185" s="169">
        <f t="shared" si="707"/>
        <v>0</v>
      </c>
      <c r="Q185" s="169">
        <f t="shared" si="707"/>
        <v>0</v>
      </c>
      <c r="R185" s="169">
        <f t="shared" si="707"/>
        <v>0</v>
      </c>
      <c r="S185" s="169">
        <f t="shared" si="707"/>
        <v>0</v>
      </c>
      <c r="T185" s="169">
        <f t="shared" si="707"/>
        <v>0</v>
      </c>
      <c r="U185" s="169">
        <f t="shared" si="707"/>
        <v>0</v>
      </c>
      <c r="V185" s="169">
        <f t="shared" si="707"/>
        <v>0</v>
      </c>
      <c r="W185" s="169">
        <f t="shared" si="707"/>
        <v>0</v>
      </c>
      <c r="X185" s="169">
        <f t="shared" si="707"/>
        <v>0</v>
      </c>
      <c r="Y185" s="169">
        <f t="shared" si="707"/>
        <v>0</v>
      </c>
      <c r="Z185" s="169">
        <f t="shared" si="707"/>
        <v>0</v>
      </c>
      <c r="AA185" s="169">
        <f t="shared" si="707"/>
        <v>0</v>
      </c>
      <c r="AB185" s="169">
        <f t="shared" si="707"/>
        <v>0</v>
      </c>
      <c r="AC185" s="169">
        <f t="shared" si="707"/>
        <v>0</v>
      </c>
      <c r="AD185" s="169">
        <f t="shared" si="707"/>
        <v>0</v>
      </c>
      <c r="AE185" s="169">
        <f t="shared" si="707"/>
        <v>0</v>
      </c>
      <c r="AF185" s="169">
        <f t="shared" si="707"/>
        <v>0</v>
      </c>
      <c r="AG185" s="169">
        <f t="shared" si="707"/>
        <v>0</v>
      </c>
      <c r="AH185" s="169">
        <f t="shared" si="707"/>
        <v>0</v>
      </c>
      <c r="AI185" s="169">
        <f t="shared" si="707"/>
        <v>0</v>
      </c>
      <c r="AJ185" s="169">
        <f t="shared" si="707"/>
        <v>0</v>
      </c>
      <c r="AK185" s="169">
        <f t="shared" si="707"/>
        <v>0</v>
      </c>
      <c r="AL185" s="169">
        <f t="shared" si="707"/>
        <v>0</v>
      </c>
      <c r="AM185" s="169">
        <f t="shared" si="707"/>
        <v>0</v>
      </c>
      <c r="AN185" s="169">
        <f t="shared" si="707"/>
        <v>0</v>
      </c>
      <c r="AO185" s="169">
        <f t="shared" si="707"/>
        <v>0</v>
      </c>
      <c r="AP185" s="169">
        <f t="shared" si="707"/>
        <v>0</v>
      </c>
    </row>
    <row r="186" spans="1:42" x14ac:dyDescent="0.2">
      <c r="A186" s="167" t="s">
        <v>36</v>
      </c>
      <c r="B186" s="170">
        <f t="shared" ref="B186:AP186" si="708">B104-B147</f>
        <v>0</v>
      </c>
      <c r="C186" s="170">
        <f t="shared" si="708"/>
        <v>0</v>
      </c>
      <c r="D186" s="170">
        <f t="shared" si="708"/>
        <v>0</v>
      </c>
      <c r="E186" s="170">
        <f t="shared" si="708"/>
        <v>0</v>
      </c>
      <c r="F186" s="170">
        <f t="shared" si="708"/>
        <v>0</v>
      </c>
      <c r="G186" s="170">
        <f t="shared" si="708"/>
        <v>0</v>
      </c>
      <c r="H186" s="170">
        <f t="shared" si="708"/>
        <v>0</v>
      </c>
      <c r="I186" s="170">
        <f t="shared" si="708"/>
        <v>0</v>
      </c>
      <c r="J186" s="170">
        <f t="shared" si="708"/>
        <v>0</v>
      </c>
      <c r="K186" s="170">
        <f t="shared" si="708"/>
        <v>0</v>
      </c>
      <c r="L186" s="170">
        <f t="shared" si="708"/>
        <v>0</v>
      </c>
      <c r="M186" s="170">
        <f t="shared" si="708"/>
        <v>0</v>
      </c>
      <c r="N186" s="170">
        <f t="shared" si="708"/>
        <v>0</v>
      </c>
      <c r="O186" s="170">
        <f t="shared" si="708"/>
        <v>0</v>
      </c>
      <c r="P186" s="170">
        <f t="shared" si="708"/>
        <v>0</v>
      </c>
      <c r="Q186" s="170">
        <f t="shared" si="708"/>
        <v>0</v>
      </c>
      <c r="R186" s="170">
        <f t="shared" si="708"/>
        <v>0</v>
      </c>
      <c r="S186" s="170">
        <f t="shared" si="708"/>
        <v>0</v>
      </c>
      <c r="T186" s="170">
        <f t="shared" si="708"/>
        <v>0</v>
      </c>
      <c r="U186" s="170">
        <f t="shared" si="708"/>
        <v>0</v>
      </c>
      <c r="V186" s="170">
        <f t="shared" si="708"/>
        <v>0</v>
      </c>
      <c r="W186" s="170">
        <f t="shared" si="708"/>
        <v>0</v>
      </c>
      <c r="X186" s="170">
        <f t="shared" si="708"/>
        <v>0</v>
      </c>
      <c r="Y186" s="170">
        <f t="shared" si="708"/>
        <v>0</v>
      </c>
      <c r="Z186" s="170">
        <f t="shared" si="708"/>
        <v>0</v>
      </c>
      <c r="AA186" s="170">
        <f t="shared" si="708"/>
        <v>0</v>
      </c>
      <c r="AB186" s="170">
        <f t="shared" si="708"/>
        <v>0</v>
      </c>
      <c r="AC186" s="170">
        <f t="shared" si="708"/>
        <v>0</v>
      </c>
      <c r="AD186" s="170">
        <f t="shared" si="708"/>
        <v>0</v>
      </c>
      <c r="AE186" s="170">
        <f t="shared" si="708"/>
        <v>0</v>
      </c>
      <c r="AF186" s="170">
        <f t="shared" si="708"/>
        <v>0</v>
      </c>
      <c r="AG186" s="170">
        <f t="shared" si="708"/>
        <v>0</v>
      </c>
      <c r="AH186" s="170">
        <f t="shared" si="708"/>
        <v>0</v>
      </c>
      <c r="AI186" s="170">
        <f t="shared" si="708"/>
        <v>0</v>
      </c>
      <c r="AJ186" s="170">
        <f t="shared" si="708"/>
        <v>0</v>
      </c>
      <c r="AK186" s="170">
        <f t="shared" si="708"/>
        <v>0</v>
      </c>
      <c r="AL186" s="170">
        <f t="shared" si="708"/>
        <v>0</v>
      </c>
      <c r="AM186" s="170">
        <f t="shared" si="708"/>
        <v>0</v>
      </c>
      <c r="AN186" s="170">
        <f t="shared" si="708"/>
        <v>0</v>
      </c>
      <c r="AO186" s="170">
        <f t="shared" si="708"/>
        <v>0</v>
      </c>
      <c r="AP186" s="170">
        <f t="shared" si="708"/>
        <v>0</v>
      </c>
    </row>
    <row r="187" spans="1:42" x14ac:dyDescent="0.2">
      <c r="A187" s="167" t="s">
        <v>53</v>
      </c>
      <c r="B187" s="135">
        <f>SUM(B185:B186)</f>
        <v>0</v>
      </c>
      <c r="C187" s="135">
        <f>SUM(C185:C186)</f>
        <v>0</v>
      </c>
      <c r="D187" s="135">
        <f>SUM(D185:D186)</f>
        <v>0</v>
      </c>
      <c r="E187" s="135">
        <f t="shared" ref="E187" si="709">SUM(E185:E186)</f>
        <v>0</v>
      </c>
      <c r="F187" s="135">
        <f t="shared" ref="F187" si="710">SUM(F185:F186)</f>
        <v>0</v>
      </c>
      <c r="G187" s="135">
        <f t="shared" ref="G187" si="711">SUM(G185:G186)</f>
        <v>0</v>
      </c>
      <c r="H187" s="135">
        <f t="shared" ref="H187" si="712">SUM(H185:H186)</f>
        <v>0</v>
      </c>
      <c r="I187" s="135">
        <f t="shared" ref="I187" si="713">SUM(I185:I186)</f>
        <v>0</v>
      </c>
      <c r="J187" s="135">
        <f t="shared" ref="J187" si="714">SUM(J185:J186)</f>
        <v>0</v>
      </c>
      <c r="K187" s="135">
        <f t="shared" ref="K187" si="715">SUM(K185:K186)</f>
        <v>0</v>
      </c>
      <c r="L187" s="135">
        <f t="shared" ref="L187" si="716">SUM(L185:L186)</f>
        <v>0</v>
      </c>
      <c r="M187" s="135">
        <f t="shared" ref="M187" si="717">SUM(M185:M186)</f>
        <v>0</v>
      </c>
      <c r="N187" s="135">
        <f t="shared" ref="N187" si="718">SUM(N185:N186)</f>
        <v>0</v>
      </c>
      <c r="O187" s="135">
        <f t="shared" ref="O187" si="719">SUM(O185:O186)</f>
        <v>0</v>
      </c>
      <c r="P187" s="135">
        <f t="shared" ref="P187" si="720">SUM(P185:P186)</f>
        <v>0</v>
      </c>
      <c r="Q187" s="135">
        <f t="shared" ref="Q187" si="721">SUM(Q185:Q186)</f>
        <v>0</v>
      </c>
      <c r="R187" s="135">
        <f t="shared" ref="R187" si="722">SUM(R185:R186)</f>
        <v>0</v>
      </c>
      <c r="S187" s="135">
        <f t="shared" ref="S187" si="723">SUM(S185:S186)</f>
        <v>0</v>
      </c>
      <c r="T187" s="135">
        <f t="shared" ref="T187" si="724">SUM(T185:T186)</f>
        <v>0</v>
      </c>
      <c r="U187" s="135">
        <f t="shared" ref="U187" si="725">SUM(U185:U186)</f>
        <v>0</v>
      </c>
      <c r="V187" s="135">
        <f t="shared" ref="V187" si="726">SUM(V185:V186)</f>
        <v>0</v>
      </c>
      <c r="W187" s="135">
        <f t="shared" ref="W187" si="727">SUM(W185:W186)</f>
        <v>0</v>
      </c>
      <c r="X187" s="135">
        <f t="shared" ref="X187" si="728">SUM(X185:X186)</f>
        <v>0</v>
      </c>
      <c r="Y187" s="135">
        <f t="shared" ref="Y187" si="729">SUM(Y185:Y186)</f>
        <v>0</v>
      </c>
      <c r="Z187" s="135">
        <f t="shared" ref="Z187" si="730">SUM(Z185:Z186)</f>
        <v>0</v>
      </c>
      <c r="AA187" s="135">
        <f t="shared" ref="AA187" si="731">SUM(AA185:AA186)</f>
        <v>0</v>
      </c>
      <c r="AB187" s="135">
        <f t="shared" ref="AB187" si="732">SUM(AB185:AB186)</f>
        <v>0</v>
      </c>
      <c r="AC187" s="135">
        <f t="shared" ref="AC187" si="733">SUM(AC185:AC186)</f>
        <v>0</v>
      </c>
      <c r="AD187" s="135">
        <f t="shared" ref="AD187" si="734">SUM(AD185:AD186)</f>
        <v>0</v>
      </c>
      <c r="AE187" s="135">
        <f t="shared" ref="AE187" si="735">SUM(AE185:AE186)</f>
        <v>0</v>
      </c>
      <c r="AF187" s="135">
        <f t="shared" ref="AF187" si="736">SUM(AF185:AF186)</f>
        <v>0</v>
      </c>
      <c r="AG187" s="135">
        <f t="shared" ref="AG187" si="737">SUM(AG185:AG186)</f>
        <v>0</v>
      </c>
      <c r="AH187" s="135">
        <f t="shared" ref="AH187" si="738">SUM(AH185:AH186)</f>
        <v>0</v>
      </c>
      <c r="AI187" s="135">
        <f t="shared" ref="AI187" si="739">SUM(AI185:AI186)</f>
        <v>0</v>
      </c>
      <c r="AJ187" s="135">
        <f t="shared" ref="AJ187" si="740">SUM(AJ185:AJ186)</f>
        <v>0</v>
      </c>
      <c r="AK187" s="135">
        <f t="shared" ref="AK187" si="741">SUM(AK185:AK186)</f>
        <v>0</v>
      </c>
      <c r="AL187" s="135">
        <f t="shared" ref="AL187" si="742">SUM(AL185:AL186)</f>
        <v>0</v>
      </c>
      <c r="AM187" s="135">
        <f t="shared" ref="AM187" si="743">SUM(AM185:AM186)</f>
        <v>0</v>
      </c>
      <c r="AN187" s="135">
        <f t="shared" ref="AN187" si="744">SUM(AN185:AN186)</f>
        <v>0</v>
      </c>
      <c r="AO187" s="135">
        <f t="shared" ref="AO187" si="745">SUM(AO185:AO186)</f>
        <v>0</v>
      </c>
      <c r="AP187" s="135">
        <f t="shared" ref="AP187" si="746">SUM(AP185:AP186)</f>
        <v>0</v>
      </c>
    </row>
    <row r="188" spans="1:42" x14ac:dyDescent="0.2">
      <c r="A188" s="163" t="s">
        <v>314</v>
      </c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</row>
    <row r="189" spans="1:42" x14ac:dyDescent="0.2">
      <c r="A189" s="167" t="s">
        <v>37</v>
      </c>
      <c r="B189" s="169">
        <v>0</v>
      </c>
      <c r="C189" s="169">
        <f>B177*-StateTax</f>
        <v>-66374.797500000001</v>
      </c>
      <c r="D189" s="169">
        <v>0</v>
      </c>
      <c r="E189" s="169">
        <v>0</v>
      </c>
      <c r="F189" s="169">
        <v>0</v>
      </c>
      <c r="G189" s="169">
        <v>0</v>
      </c>
      <c r="H189" s="169">
        <v>0</v>
      </c>
      <c r="I189" s="169">
        <v>0</v>
      </c>
      <c r="J189" s="169">
        <v>0</v>
      </c>
      <c r="K189" s="169">
        <v>0</v>
      </c>
      <c r="L189" s="169">
        <v>0</v>
      </c>
      <c r="M189" s="169">
        <v>0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169">
        <v>0</v>
      </c>
      <c r="V189" s="169">
        <v>0</v>
      </c>
      <c r="W189" s="169">
        <v>0</v>
      </c>
      <c r="X189" s="169">
        <v>0</v>
      </c>
      <c r="Y189" s="169">
        <v>0</v>
      </c>
      <c r="Z189" s="169">
        <v>0</v>
      </c>
      <c r="AA189" s="169">
        <v>0</v>
      </c>
      <c r="AB189" s="169">
        <v>0</v>
      </c>
      <c r="AC189" s="169">
        <v>0</v>
      </c>
      <c r="AD189" s="169">
        <v>0</v>
      </c>
      <c r="AE189" s="169">
        <v>0</v>
      </c>
      <c r="AF189" s="169">
        <v>0</v>
      </c>
      <c r="AG189" s="169">
        <v>0</v>
      </c>
      <c r="AH189" s="169">
        <v>0</v>
      </c>
      <c r="AI189" s="169">
        <v>0</v>
      </c>
      <c r="AJ189" s="169">
        <v>0</v>
      </c>
      <c r="AK189" s="169">
        <v>0</v>
      </c>
      <c r="AL189" s="169">
        <v>0</v>
      </c>
      <c r="AM189" s="169">
        <v>0</v>
      </c>
      <c r="AN189" s="169">
        <v>0</v>
      </c>
      <c r="AO189" s="169">
        <v>0</v>
      </c>
      <c r="AP189" s="169">
        <v>0</v>
      </c>
    </row>
    <row r="190" spans="1:42" x14ac:dyDescent="0.2">
      <c r="A190" s="167" t="s">
        <v>36</v>
      </c>
      <c r="B190" s="170">
        <v>0</v>
      </c>
      <c r="C190" s="170">
        <f>(B177+C189)*-FedTax</f>
        <v>-399153.89587499993</v>
      </c>
      <c r="D190" s="170">
        <v>0</v>
      </c>
      <c r="E190" s="170">
        <v>0</v>
      </c>
      <c r="F190" s="170">
        <v>0</v>
      </c>
      <c r="G190" s="170">
        <v>0</v>
      </c>
      <c r="H190" s="170">
        <v>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0">
        <v>0</v>
      </c>
      <c r="AI190" s="170">
        <v>0</v>
      </c>
      <c r="AJ190" s="170">
        <v>0</v>
      </c>
      <c r="AK190" s="170">
        <v>0</v>
      </c>
      <c r="AL190" s="170">
        <v>0</v>
      </c>
      <c r="AM190" s="170">
        <v>0</v>
      </c>
      <c r="AN190" s="170">
        <v>0</v>
      </c>
      <c r="AO190" s="170">
        <v>0</v>
      </c>
      <c r="AP190" s="170">
        <v>0</v>
      </c>
    </row>
    <row r="191" spans="1:42" x14ac:dyDescent="0.2">
      <c r="A191" s="167" t="s">
        <v>53</v>
      </c>
      <c r="B191" s="242">
        <f>SUM(B189:B190)</f>
        <v>0</v>
      </c>
      <c r="C191" s="242">
        <f>SUM(C189:C190)</f>
        <v>-465528.69337499992</v>
      </c>
      <c r="D191" s="242">
        <f>SUM(D189:D190)</f>
        <v>0</v>
      </c>
      <c r="E191" s="242">
        <f t="shared" ref="E191:AP191" si="747">SUM(E189:E190)</f>
        <v>0</v>
      </c>
      <c r="F191" s="242">
        <f t="shared" si="747"/>
        <v>0</v>
      </c>
      <c r="G191" s="242">
        <f t="shared" si="747"/>
        <v>0</v>
      </c>
      <c r="H191" s="242">
        <f t="shared" si="747"/>
        <v>0</v>
      </c>
      <c r="I191" s="242">
        <f t="shared" si="747"/>
        <v>0</v>
      </c>
      <c r="J191" s="242">
        <f t="shared" si="747"/>
        <v>0</v>
      </c>
      <c r="K191" s="242">
        <f t="shared" si="747"/>
        <v>0</v>
      </c>
      <c r="L191" s="242">
        <f t="shared" si="747"/>
        <v>0</v>
      </c>
      <c r="M191" s="242">
        <f t="shared" si="747"/>
        <v>0</v>
      </c>
      <c r="N191" s="242">
        <f t="shared" si="747"/>
        <v>0</v>
      </c>
      <c r="O191" s="242">
        <f t="shared" si="747"/>
        <v>0</v>
      </c>
      <c r="P191" s="242">
        <f t="shared" si="747"/>
        <v>0</v>
      </c>
      <c r="Q191" s="242">
        <f t="shared" si="747"/>
        <v>0</v>
      </c>
      <c r="R191" s="242">
        <f t="shared" si="747"/>
        <v>0</v>
      </c>
      <c r="S191" s="242">
        <f t="shared" si="747"/>
        <v>0</v>
      </c>
      <c r="T191" s="242">
        <f t="shared" si="747"/>
        <v>0</v>
      </c>
      <c r="U191" s="242">
        <f t="shared" si="747"/>
        <v>0</v>
      </c>
      <c r="V191" s="242">
        <f t="shared" si="747"/>
        <v>0</v>
      </c>
      <c r="W191" s="242">
        <f t="shared" si="747"/>
        <v>0</v>
      </c>
      <c r="X191" s="242">
        <f t="shared" si="747"/>
        <v>0</v>
      </c>
      <c r="Y191" s="242">
        <f t="shared" si="747"/>
        <v>0</v>
      </c>
      <c r="Z191" s="242">
        <f t="shared" si="747"/>
        <v>0</v>
      </c>
      <c r="AA191" s="242">
        <f t="shared" si="747"/>
        <v>0</v>
      </c>
      <c r="AB191" s="242">
        <f t="shared" si="747"/>
        <v>0</v>
      </c>
      <c r="AC191" s="242">
        <f t="shared" si="747"/>
        <v>0</v>
      </c>
      <c r="AD191" s="242">
        <f t="shared" si="747"/>
        <v>0</v>
      </c>
      <c r="AE191" s="242">
        <f t="shared" si="747"/>
        <v>0</v>
      </c>
      <c r="AF191" s="242">
        <f t="shared" si="747"/>
        <v>0</v>
      </c>
      <c r="AG191" s="242">
        <f t="shared" si="747"/>
        <v>0</v>
      </c>
      <c r="AH191" s="242">
        <f t="shared" si="747"/>
        <v>0</v>
      </c>
      <c r="AI191" s="242">
        <f t="shared" si="747"/>
        <v>0</v>
      </c>
      <c r="AJ191" s="242">
        <f t="shared" si="747"/>
        <v>0</v>
      </c>
      <c r="AK191" s="242">
        <f t="shared" si="747"/>
        <v>0</v>
      </c>
      <c r="AL191" s="242">
        <f t="shared" si="747"/>
        <v>0</v>
      </c>
      <c r="AM191" s="242">
        <f t="shared" si="747"/>
        <v>0</v>
      </c>
      <c r="AN191" s="242">
        <f t="shared" si="747"/>
        <v>0</v>
      </c>
      <c r="AO191" s="242">
        <f t="shared" si="747"/>
        <v>0</v>
      </c>
      <c r="AP191" s="242">
        <f t="shared" si="747"/>
        <v>0</v>
      </c>
    </row>
    <row r="192" spans="1:42" x14ac:dyDescent="0.2">
      <c r="A192" s="163" t="s">
        <v>346</v>
      </c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</row>
    <row r="193" spans="1:42" x14ac:dyDescent="0.2">
      <c r="A193" s="167" t="s">
        <v>37</v>
      </c>
      <c r="B193" s="169">
        <f t="shared" ref="B193:AP193" si="748">B107-B150</f>
        <v>0</v>
      </c>
      <c r="C193" s="169">
        <f t="shared" si="748"/>
        <v>5532.5173963070265</v>
      </c>
      <c r="D193" s="169">
        <f t="shared" si="748"/>
        <v>10083.268795770069</v>
      </c>
      <c r="E193" s="169">
        <f t="shared" si="748"/>
        <v>5139.079138397763</v>
      </c>
      <c r="F193" s="169">
        <f t="shared" si="748"/>
        <v>2120.0756350328011</v>
      </c>
      <c r="G193" s="169">
        <f t="shared" si="748"/>
        <v>1991.4110886126</v>
      </c>
      <c r="H193" s="169">
        <f t="shared" si="748"/>
        <v>-318.39123862386077</v>
      </c>
      <c r="I193" s="169">
        <f t="shared" si="748"/>
        <v>-2634.5431509645423</v>
      </c>
      <c r="J193" s="169">
        <f t="shared" si="748"/>
        <v>-2785.0002775390749</v>
      </c>
      <c r="K193" s="169">
        <f t="shared" si="748"/>
        <v>-132554.91378011493</v>
      </c>
      <c r="L193" s="169">
        <f t="shared" si="748"/>
        <v>-140317.98861191771</v>
      </c>
      <c r="M193" s="169">
        <f t="shared" si="748"/>
        <v>-148613.50398280844</v>
      </c>
      <c r="N193" s="169">
        <f t="shared" si="748"/>
        <v>-128370.35873968234</v>
      </c>
      <c r="O193" s="169">
        <f t="shared" si="748"/>
        <v>-117843.73788530556</v>
      </c>
      <c r="P193" s="169">
        <f t="shared" si="748"/>
        <v>-146651.17805842395</v>
      </c>
      <c r="Q193" s="169">
        <f t="shared" si="748"/>
        <v>-168708.8683890269</v>
      </c>
      <c r="R193" s="169">
        <f t="shared" si="748"/>
        <v>-182382.86999620864</v>
      </c>
      <c r="S193" s="169">
        <f t="shared" si="748"/>
        <v>-195586.63827442887</v>
      </c>
      <c r="T193" s="169">
        <f t="shared" si="748"/>
        <v>-205549.9688008512</v>
      </c>
      <c r="U193" s="169">
        <f t="shared" si="748"/>
        <v>-207111.39750377147</v>
      </c>
      <c r="V193" s="169">
        <f t="shared" si="748"/>
        <v>-208667.14131150316</v>
      </c>
      <c r="W193" s="169">
        <f t="shared" si="748"/>
        <v>-211900.21526429561</v>
      </c>
      <c r="X193" s="169">
        <f t="shared" si="748"/>
        <v>-214424.01018970038</v>
      </c>
      <c r="Y193" s="169">
        <f t="shared" si="748"/>
        <v>-215258.25908314626</v>
      </c>
      <c r="Z193" s="169">
        <f t="shared" si="748"/>
        <v>-181228.62750389348</v>
      </c>
      <c r="AA193" s="169">
        <f t="shared" si="748"/>
        <v>-158085.1391376821</v>
      </c>
      <c r="AB193" s="169">
        <f t="shared" si="748"/>
        <v>-181257.4752217636</v>
      </c>
      <c r="AC193" s="169">
        <f t="shared" si="748"/>
        <v>-195499.08789081062</v>
      </c>
      <c r="AD193" s="169">
        <f t="shared" si="748"/>
        <v>-196347.99410676552</v>
      </c>
      <c r="AE193" s="169">
        <f t="shared" si="748"/>
        <v>-207228.07282939009</v>
      </c>
      <c r="AF193" s="169">
        <f t="shared" si="748"/>
        <v>-218100.15603630553</v>
      </c>
      <c r="AG193" s="169">
        <f t="shared" si="748"/>
        <v>-218925.06978860439</v>
      </c>
      <c r="AH193" s="169">
        <f t="shared" si="748"/>
        <v>-219741.45881622107</v>
      </c>
      <c r="AI193" s="169">
        <f t="shared" si="748"/>
        <v>-220549.0493101172</v>
      </c>
      <c r="AJ193" s="169">
        <f t="shared" si="748"/>
        <v>-221347.56114374724</v>
      </c>
      <c r="AK193" s="169">
        <f t="shared" si="748"/>
        <v>-222136.70773344484</v>
      </c>
      <c r="AL193" s="169">
        <f t="shared" si="748"/>
        <v>-181240.13326723056</v>
      </c>
      <c r="AM193" s="169">
        <f t="shared" si="748"/>
        <v>-153357.37001582788</v>
      </c>
      <c r="AN193" s="169">
        <f t="shared" si="748"/>
        <v>-180485.42676654985</v>
      </c>
      <c r="AO193" s="169">
        <f t="shared" si="748"/>
        <v>-196933.8324327553</v>
      </c>
      <c r="AP193" s="169">
        <f t="shared" si="748"/>
        <v>-396635.98762848595</v>
      </c>
    </row>
    <row r="194" spans="1:42" x14ac:dyDescent="0.2">
      <c r="A194" s="167" t="s">
        <v>36</v>
      </c>
      <c r="B194" s="170">
        <f t="shared" ref="B194:AP194" si="749">B108-B151</f>
        <v>0</v>
      </c>
      <c r="C194" s="170">
        <f t="shared" si="749"/>
        <v>33270.547796882456</v>
      </c>
      <c r="D194" s="170">
        <f t="shared" si="749"/>
        <v>60637.11189456284</v>
      </c>
      <c r="E194" s="170">
        <f t="shared" si="749"/>
        <v>30904.55318227387</v>
      </c>
      <c r="F194" s="170">
        <f t="shared" si="749"/>
        <v>12749.363932492677</v>
      </c>
      <c r="G194" s="170">
        <f t="shared" si="749"/>
        <v>11975.622137429425</v>
      </c>
      <c r="H194" s="170">
        <f t="shared" si="749"/>
        <v>-1914.6891304516757</v>
      </c>
      <c r="I194" s="170">
        <f t="shared" si="749"/>
        <v>-15843.184494209476</v>
      </c>
      <c r="J194" s="170">
        <f t="shared" si="749"/>
        <v>-16747.978941746405</v>
      </c>
      <c r="K194" s="170">
        <f t="shared" si="749"/>
        <v>-797137.04968678218</v>
      </c>
      <c r="L194" s="170">
        <f t="shared" si="749"/>
        <v>-843821.35878894152</v>
      </c>
      <c r="M194" s="170">
        <f t="shared" si="749"/>
        <v>-893707.57167843427</v>
      </c>
      <c r="N194" s="170">
        <f t="shared" si="749"/>
        <v>-771972.65732999868</v>
      </c>
      <c r="O194" s="170">
        <f t="shared" si="749"/>
        <v>-708669.38737390563</v>
      </c>
      <c r="P194" s="170">
        <f t="shared" si="749"/>
        <v>-881906.85714224936</v>
      </c>
      <c r="Q194" s="170">
        <f t="shared" si="749"/>
        <v>-1014553.7858121935</v>
      </c>
      <c r="R194" s="170">
        <f t="shared" si="749"/>
        <v>-1096784.2591135637</v>
      </c>
      <c r="S194" s="170">
        <f t="shared" si="749"/>
        <v>-1176186.9201684971</v>
      </c>
      <c r="T194" s="170">
        <f t="shared" si="749"/>
        <v>-1236102.7669251186</v>
      </c>
      <c r="U194" s="170">
        <f t="shared" si="749"/>
        <v>-1245492.6313522258</v>
      </c>
      <c r="V194" s="170">
        <f t="shared" si="749"/>
        <v>-1254848.3088869031</v>
      </c>
      <c r="W194" s="170">
        <f t="shared" si="749"/>
        <v>-1274290.8399757412</v>
      </c>
      <c r="X194" s="170">
        <f t="shared" si="749"/>
        <v>-1289468.0249135161</v>
      </c>
      <c r="Y194" s="170">
        <f t="shared" si="749"/>
        <v>-1294484.8943954657</v>
      </c>
      <c r="Z194" s="170">
        <f t="shared" si="749"/>
        <v>-1089843.0644893232</v>
      </c>
      <c r="AA194" s="170">
        <f t="shared" si="749"/>
        <v>-950666.54126887908</v>
      </c>
      <c r="AB194" s="170">
        <f t="shared" si="749"/>
        <v>-1090016.5441745147</v>
      </c>
      <c r="AC194" s="170">
        <f t="shared" si="749"/>
        <v>-1175660.42399792</v>
      </c>
      <c r="AD194" s="170">
        <f t="shared" si="749"/>
        <v>-1180765.4372875034</v>
      </c>
      <c r="AE194" s="170">
        <f t="shared" si="749"/>
        <v>-1246194.274333105</v>
      </c>
      <c r="AF194" s="170">
        <f t="shared" si="749"/>
        <v>-1311575.0292546919</v>
      </c>
      <c r="AG194" s="170">
        <f t="shared" si="749"/>
        <v>-1316535.7605923798</v>
      </c>
      <c r="AH194" s="170">
        <f t="shared" si="749"/>
        <v>-1321445.2273357294</v>
      </c>
      <c r="AI194" s="170">
        <f t="shared" si="749"/>
        <v>-1326301.7828967504</v>
      </c>
      <c r="AJ194" s="170">
        <f t="shared" si="749"/>
        <v>-1331103.7426962617</v>
      </c>
      <c r="AK194" s="170">
        <f t="shared" si="749"/>
        <v>-1335849.3833243067</v>
      </c>
      <c r="AL194" s="170">
        <f t="shared" si="749"/>
        <v>-1089912.2559661183</v>
      </c>
      <c r="AM194" s="170">
        <f t="shared" si="749"/>
        <v>-922235.4569588193</v>
      </c>
      <c r="AN194" s="170">
        <f t="shared" si="749"/>
        <v>-1085373.7255097521</v>
      </c>
      <c r="AO194" s="170">
        <f t="shared" si="749"/>
        <v>-1184288.4559478876</v>
      </c>
      <c r="AP194" s="170">
        <f t="shared" si="749"/>
        <v>-2385224.5983294859</v>
      </c>
    </row>
    <row r="195" spans="1:42" x14ac:dyDescent="0.2">
      <c r="A195" s="167" t="s">
        <v>53</v>
      </c>
      <c r="B195" s="177">
        <f>SUM(B193:B194)</f>
        <v>0</v>
      </c>
      <c r="C195" s="177">
        <f>SUM(C193:C194)</f>
        <v>38803.065193189483</v>
      </c>
      <c r="D195" s="177">
        <f>SUM(D193:D194)</f>
        <v>70720.38069033291</v>
      </c>
      <c r="E195" s="177">
        <f t="shared" ref="E195" si="750">SUM(E193:E194)</f>
        <v>36043.632320671633</v>
      </c>
      <c r="F195" s="177">
        <f t="shared" ref="F195" si="751">SUM(F193:F194)</f>
        <v>14869.439567525478</v>
      </c>
      <c r="G195" s="177">
        <f t="shared" ref="G195" si="752">SUM(G193:G194)</f>
        <v>13967.033226042025</v>
      </c>
      <c r="H195" s="177">
        <f t="shared" ref="H195" si="753">SUM(H193:H194)</f>
        <v>-2233.0803690755365</v>
      </c>
      <c r="I195" s="177">
        <f t="shared" ref="I195" si="754">SUM(I193:I194)</f>
        <v>-18477.727645174018</v>
      </c>
      <c r="J195" s="177">
        <f t="shared" ref="J195" si="755">SUM(J193:J194)</f>
        <v>-19532.97921928548</v>
      </c>
      <c r="K195" s="177">
        <f t="shared" ref="K195" si="756">SUM(K193:K194)</f>
        <v>-929691.96346689714</v>
      </c>
      <c r="L195" s="177">
        <f t="shared" ref="L195" si="757">SUM(L193:L194)</f>
        <v>-984139.34740085923</v>
      </c>
      <c r="M195" s="177">
        <f t="shared" ref="M195" si="758">SUM(M193:M194)</f>
        <v>-1042321.0756612427</v>
      </c>
      <c r="N195" s="177">
        <f t="shared" ref="N195" si="759">SUM(N193:N194)</f>
        <v>-900343.01606968103</v>
      </c>
      <c r="O195" s="177">
        <f t="shared" ref="O195" si="760">SUM(O193:O194)</f>
        <v>-826513.12525921117</v>
      </c>
      <c r="P195" s="177">
        <f t="shared" ref="P195" si="761">SUM(P193:P194)</f>
        <v>-1028558.0352006733</v>
      </c>
      <c r="Q195" s="177">
        <f t="shared" ref="Q195" si="762">SUM(Q193:Q194)</f>
        <v>-1183262.6542012205</v>
      </c>
      <c r="R195" s="177">
        <f t="shared" ref="R195" si="763">SUM(R193:R194)</f>
        <v>-1279167.1291097724</v>
      </c>
      <c r="S195" s="177">
        <f t="shared" ref="S195" si="764">SUM(S193:S194)</f>
        <v>-1371773.558442926</v>
      </c>
      <c r="T195" s="177">
        <f t="shared" ref="T195" si="765">SUM(T193:T194)</f>
        <v>-1441652.7357259698</v>
      </c>
      <c r="U195" s="177">
        <f t="shared" ref="U195" si="766">SUM(U193:U194)</f>
        <v>-1452604.0288559971</v>
      </c>
      <c r="V195" s="177">
        <f t="shared" ref="V195" si="767">SUM(V193:V194)</f>
        <v>-1463515.4501984064</v>
      </c>
      <c r="W195" s="177">
        <f t="shared" ref="W195" si="768">SUM(W193:W194)</f>
        <v>-1486191.0552400369</v>
      </c>
      <c r="X195" s="177">
        <f t="shared" ref="X195" si="769">SUM(X193:X194)</f>
        <v>-1503892.0351032165</v>
      </c>
      <c r="Y195" s="177">
        <f t="shared" ref="Y195" si="770">SUM(Y193:Y194)</f>
        <v>-1509743.153478612</v>
      </c>
      <c r="Z195" s="177">
        <f t="shared" ref="Z195" si="771">SUM(Z193:Z194)</f>
        <v>-1271071.6919932168</v>
      </c>
      <c r="AA195" s="177">
        <f t="shared" ref="AA195" si="772">SUM(AA193:AA194)</f>
        <v>-1108751.6804065611</v>
      </c>
      <c r="AB195" s="177">
        <f t="shared" ref="AB195" si="773">SUM(AB193:AB194)</f>
        <v>-1271274.0193962783</v>
      </c>
      <c r="AC195" s="177">
        <f t="shared" ref="AC195" si="774">SUM(AC193:AC194)</f>
        <v>-1371159.5118887306</v>
      </c>
      <c r="AD195" s="177">
        <f t="shared" ref="AD195" si="775">SUM(AD193:AD194)</f>
        <v>-1377113.431394269</v>
      </c>
      <c r="AE195" s="177">
        <f t="shared" ref="AE195" si="776">SUM(AE193:AE194)</f>
        <v>-1453422.3471624951</v>
      </c>
      <c r="AF195" s="177">
        <f t="shared" ref="AF195" si="777">SUM(AF193:AF194)</f>
        <v>-1529675.1852909974</v>
      </c>
      <c r="AG195" s="177">
        <f t="shared" ref="AG195" si="778">SUM(AG193:AG194)</f>
        <v>-1535460.8303809841</v>
      </c>
      <c r="AH195" s="177">
        <f t="shared" ref="AH195" si="779">SUM(AH193:AH194)</f>
        <v>-1541186.6861519504</v>
      </c>
      <c r="AI195" s="177">
        <f t="shared" ref="AI195" si="780">SUM(AI193:AI194)</f>
        <v>-1546850.8322068676</v>
      </c>
      <c r="AJ195" s="177">
        <f t="shared" ref="AJ195" si="781">SUM(AJ193:AJ194)</f>
        <v>-1552451.303840009</v>
      </c>
      <c r="AK195" s="177">
        <f t="shared" ref="AK195" si="782">SUM(AK193:AK194)</f>
        <v>-1557986.0910577516</v>
      </c>
      <c r="AL195" s="177">
        <f t="shared" ref="AL195" si="783">SUM(AL193:AL194)</f>
        <v>-1271152.3892333489</v>
      </c>
      <c r="AM195" s="177">
        <f t="shared" ref="AM195" si="784">SUM(AM193:AM194)</f>
        <v>-1075592.8269746471</v>
      </c>
      <c r="AN195" s="177">
        <f t="shared" ref="AN195" si="785">SUM(AN193:AN194)</f>
        <v>-1265859.152276302</v>
      </c>
      <c r="AO195" s="177">
        <f t="shared" ref="AO195" si="786">SUM(AO193:AO194)</f>
        <v>-1381222.2883806429</v>
      </c>
      <c r="AP195" s="177">
        <f t="shared" ref="AP195" si="787">SUM(AP193:AP194)</f>
        <v>-2781860.5859579719</v>
      </c>
    </row>
    <row r="196" spans="1:42" x14ac:dyDescent="0.2">
      <c r="A196" s="163" t="s">
        <v>53</v>
      </c>
      <c r="B196" s="135">
        <f>B179+B183+B187+B191+B195</f>
        <v>768125.59849413112</v>
      </c>
      <c r="C196" s="135">
        <f t="shared" ref="C196:AP196" si="788">C179+C183+C187+C191+C195</f>
        <v>-166103.55905099941</v>
      </c>
      <c r="D196" s="135">
        <f t="shared" si="788"/>
        <v>89462.09077451675</v>
      </c>
      <c r="E196" s="135">
        <f t="shared" si="788"/>
        <v>55016.751873536792</v>
      </c>
      <c r="F196" s="135">
        <f t="shared" si="788"/>
        <v>34073.661839561726</v>
      </c>
      <c r="G196" s="135">
        <f t="shared" si="788"/>
        <v>33402.036356191355</v>
      </c>
      <c r="H196" s="135">
        <f t="shared" si="788"/>
        <v>17432.366284013486</v>
      </c>
      <c r="I196" s="135">
        <f t="shared" si="788"/>
        <v>1417.8093509749742</v>
      </c>
      <c r="J196" s="135">
        <f t="shared" si="788"/>
        <v>592.2787165446789</v>
      </c>
      <c r="K196" s="135">
        <f t="shared" si="788"/>
        <v>-13735.284701198223</v>
      </c>
      <c r="L196" s="135">
        <f t="shared" si="788"/>
        <v>-57880.732902704971</v>
      </c>
      <c r="M196" s="135">
        <f t="shared" si="788"/>
        <v>-105779.44484235672</v>
      </c>
      <c r="N196" s="135">
        <f t="shared" si="788"/>
        <v>62463.869090873166</v>
      </c>
      <c r="O196" s="135">
        <f t="shared" si="788"/>
        <v>72671.407194668078</v>
      </c>
      <c r="P196" s="135">
        <f t="shared" si="788"/>
        <v>-118396.04113449296</v>
      </c>
      <c r="Q196" s="135">
        <f t="shared" si="788"/>
        <v>1020487.0290766584</v>
      </c>
      <c r="R196" s="135">
        <f t="shared" si="788"/>
        <v>2204584.3263656483</v>
      </c>
      <c r="S196" s="135">
        <f t="shared" si="788"/>
        <v>2140460.8167401194</v>
      </c>
      <c r="T196" s="135">
        <f t="shared" si="788"/>
        <v>2098966.4110954646</v>
      </c>
      <c r="U196" s="135">
        <f t="shared" si="788"/>
        <v>2116298.0894486997</v>
      </c>
      <c r="V196" s="135">
        <f t="shared" si="788"/>
        <v>2133564.1018166337</v>
      </c>
      <c r="W196" s="135">
        <f t="shared" si="788"/>
        <v>2132507.6526881112</v>
      </c>
      <c r="X196" s="135">
        <f t="shared" si="788"/>
        <v>2129976.4925589738</v>
      </c>
      <c r="Y196" s="135">
        <f t="shared" si="788"/>
        <v>2139177.9109879443</v>
      </c>
      <c r="Z196" s="135">
        <f t="shared" si="788"/>
        <v>2392780.5272783386</v>
      </c>
      <c r="AA196" s="135">
        <f t="shared" si="788"/>
        <v>2462794.2360323081</v>
      </c>
      <c r="AB196" s="135">
        <f t="shared" si="788"/>
        <v>2315851.6049299166</v>
      </c>
      <c r="AC196" s="135">
        <f t="shared" si="788"/>
        <v>2231411.5601783795</v>
      </c>
      <c r="AD196" s="135">
        <f t="shared" si="788"/>
        <v>2240764.3347216519</v>
      </c>
      <c r="AE196" s="135">
        <f t="shared" si="788"/>
        <v>2179618.7616378656</v>
      </c>
      <c r="AF196" s="135">
        <f t="shared" si="788"/>
        <v>2118381.2107296656</v>
      </c>
      <c r="AG196" s="135">
        <f t="shared" si="788"/>
        <v>2127457.984516812</v>
      </c>
      <c r="AH196" s="135">
        <f t="shared" si="788"/>
        <v>2136436.7552177422</v>
      </c>
      <c r="AI196" s="135">
        <f t="shared" si="788"/>
        <v>2145314.4055274706</v>
      </c>
      <c r="AJ196" s="135">
        <f t="shared" si="788"/>
        <v>2154087.746298512</v>
      </c>
      <c r="AK196" s="135">
        <f t="shared" si="788"/>
        <v>2162753.5149532892</v>
      </c>
      <c r="AL196" s="135">
        <f t="shared" si="788"/>
        <v>2463609.1222057962</v>
      </c>
      <c r="AM196" s="135">
        <f t="shared" si="788"/>
        <v>2922431.3417888358</v>
      </c>
      <c r="AN196" s="135">
        <f t="shared" si="788"/>
        <v>2740287.7048788052</v>
      </c>
      <c r="AO196" s="135">
        <f t="shared" si="788"/>
        <v>2632851.669819897</v>
      </c>
      <c r="AP196" s="135">
        <f t="shared" si="788"/>
        <v>5315586.5038808435</v>
      </c>
    </row>
    <row r="197" spans="1:42" x14ac:dyDescent="0.2">
      <c r="A197" s="167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</row>
    <row r="198" spans="1:42" s="101" customFormat="1" x14ac:dyDescent="0.2">
      <c r="A198" s="163" t="s">
        <v>323</v>
      </c>
      <c r="B198" s="244" t="str">
        <f>IF(ISERROR(IRR($B196:B196)),"N/A",ROUND(IRR($B196:B196),4))</f>
        <v>N/A</v>
      </c>
      <c r="C198" s="244">
        <f>IF(ISERROR(IRR($B196:C196)),"N/A",ROUND(IRR($B196:C196),4))</f>
        <v>-0.78380000000000005</v>
      </c>
      <c r="D198" s="244" t="str">
        <f>IF(ISERROR(IRR($B196:D196)),"N/A",ROUND(IRR($B196:D196),4))</f>
        <v>N/A</v>
      </c>
      <c r="E198" s="244" t="str">
        <f>IF(ISERROR(IRR($B196:E196)),"N/A",ROUND(IRR($B196:E196),4))</f>
        <v>N/A</v>
      </c>
      <c r="F198" s="244" t="str">
        <f>IF(ISERROR(IRR($B196:F196)),"N/A",ROUND(IRR($B196:F196),4))</f>
        <v>N/A</v>
      </c>
      <c r="G198" s="244" t="str">
        <f>IF(ISERROR(IRR($B196:G196)),"N/A",ROUND(IRR($B196:G196),4))</f>
        <v>N/A</v>
      </c>
      <c r="H198" s="244" t="str">
        <f>IF(ISERROR(IRR($B196:H196)),"N/A",ROUND(IRR($B196:H196),4))</f>
        <v>N/A</v>
      </c>
      <c r="I198" s="244" t="str">
        <f>IF(ISERROR(IRR($B196:I196)),"N/A",ROUND(IRR($B196:I196),4))</f>
        <v>N/A</v>
      </c>
      <c r="J198" s="244" t="str">
        <f>IF(ISERROR(IRR($B196:J196)),"N/A",ROUND(IRR($B196:J196),4))</f>
        <v>N/A</v>
      </c>
      <c r="K198" s="244" t="str">
        <f>IF(ISERROR(IRR($B196:K196)),"N/A",ROUND(IRR($B196:K196),4))</f>
        <v>N/A</v>
      </c>
      <c r="L198" s="244">
        <f>IF(ISERROR(IRR($B196:L196)),"N/A",ROUND(IRR($B196:L196),4))</f>
        <v>-0.24909999999999999</v>
      </c>
      <c r="M198" s="244">
        <f>IF(ISERROR(IRR($B196:M196)),"N/A",ROUND(IRR($B196:M196),4))</f>
        <v>-0.14940000000000001</v>
      </c>
      <c r="N198" s="244">
        <f>IF(ISERROR(IRR($B196:N196)),"N/A",ROUND(IRR($B196:N196),4))</f>
        <v>-0.21079999999999999</v>
      </c>
      <c r="O198" s="244" t="str">
        <f>IF(ISERROR(IRR($B196:O196)),"N/A",ROUND(IRR($B196:O196),4))</f>
        <v>N/A</v>
      </c>
      <c r="P198" s="244">
        <f>IF(ISERROR(IRR($B196:P196)),"N/A",ROUND(IRR($B196:P196),4))</f>
        <v>-0.1411</v>
      </c>
      <c r="Q198" s="244" t="str">
        <f>IF(ISERROR(IRR($B196:Q196)),"N/A",ROUND(IRR($B196:Q196),4))</f>
        <v>N/A</v>
      </c>
      <c r="R198" s="244" t="str">
        <f>IF(ISERROR(IRR($B196:R196)),"N/A",ROUND(IRR($B196:R196),4))</f>
        <v>N/A</v>
      </c>
      <c r="S198" s="244" t="str">
        <f>IF(ISERROR(IRR($B196:S196)),"N/A",ROUND(IRR($B196:S196),4))</f>
        <v>N/A</v>
      </c>
      <c r="T198" s="244" t="str">
        <f>IF(ISERROR(IRR($B196:T196)),"N/A",ROUND(IRR($B196:T196),4))</f>
        <v>N/A</v>
      </c>
      <c r="U198" s="244" t="str">
        <f>IF(ISERROR(IRR($B196:U196)),"N/A",ROUND(IRR($B196:U196),4))</f>
        <v>N/A</v>
      </c>
      <c r="V198" s="244" t="str">
        <f>IF(ISERROR(IRR($B196:V196)),"N/A",ROUND(IRR($B196:V196),4))</f>
        <v>N/A</v>
      </c>
      <c r="W198" s="244" t="str">
        <f>IF(ISERROR(IRR($B196:W196)),"N/A",ROUND(IRR($B196:W196),4))</f>
        <v>N/A</v>
      </c>
      <c r="X198" s="244" t="str">
        <f>IF(ISERROR(IRR($B196:X196)),"N/A",ROUND(IRR($B196:X196),4))</f>
        <v>N/A</v>
      </c>
      <c r="Y198" s="244" t="str">
        <f>IF(ISERROR(IRR($B196:Y196)),"N/A",ROUND(IRR($B196:Y196),4))</f>
        <v>N/A</v>
      </c>
      <c r="Z198" s="244" t="str">
        <f>IF(ISERROR(IRR($B196:Z196)),"N/A",ROUND(IRR($B196:Z196),4))</f>
        <v>N/A</v>
      </c>
      <c r="AA198" s="244" t="str">
        <f>IF(ISERROR(IRR($B196:AA196)),"N/A",ROUND(IRR($B196:AA196),4))</f>
        <v>N/A</v>
      </c>
      <c r="AB198" s="244" t="str">
        <f>IF(ISERROR(IRR($B196:AB196)),"N/A",ROUND(IRR($B196:AB196),4))</f>
        <v>N/A</v>
      </c>
      <c r="AC198" s="244" t="str">
        <f>IF(ISERROR(IRR($B196:AC196)),"N/A",ROUND(IRR($B196:AC196),4))</f>
        <v>N/A</v>
      </c>
      <c r="AD198" s="244" t="str">
        <f>IF(ISERROR(IRR($B196:AD196)),"N/A",ROUND(IRR($B196:AD196),4))</f>
        <v>N/A</v>
      </c>
      <c r="AE198" s="244" t="str">
        <f>IF(ISERROR(IRR($B196:AE196)),"N/A",ROUND(IRR($B196:AE196),4))</f>
        <v>N/A</v>
      </c>
      <c r="AF198" s="244" t="str">
        <f>IF(ISERROR(IRR($B196:AF196)),"N/A",ROUND(IRR($B196:AF196),4))</f>
        <v>N/A</v>
      </c>
      <c r="AG198" s="244" t="str">
        <f>IF(ISERROR(IRR($B196:AG196)),"N/A",ROUND(IRR($B196:AG196),4))</f>
        <v>N/A</v>
      </c>
      <c r="AH198" s="244" t="str">
        <f>IF(ISERROR(IRR($B196:AH196)),"N/A",ROUND(IRR($B196:AH196),4))</f>
        <v>N/A</v>
      </c>
      <c r="AI198" s="244" t="str">
        <f>IF(ISERROR(IRR($B196:AI196)),"N/A",ROUND(IRR($B196:AI196),4))</f>
        <v>N/A</v>
      </c>
      <c r="AJ198" s="244" t="str">
        <f>IF(ISERROR(IRR($B196:AJ196)),"N/A",ROUND(IRR($B196:AJ196),4))</f>
        <v>N/A</v>
      </c>
      <c r="AK198" s="244" t="str">
        <f>IF(ISERROR(IRR($B196:AK196)),"N/A",ROUND(IRR($B196:AK196),4))</f>
        <v>N/A</v>
      </c>
      <c r="AL198" s="244" t="str">
        <f>IF(ISERROR(IRR($B196:AL196)),"N/A",ROUND(IRR($B196:AL196),4))</f>
        <v>N/A</v>
      </c>
      <c r="AM198" s="244" t="str">
        <f>IF(ISERROR(IRR($B196:AM196)),"N/A",ROUND(IRR($B196:AM196),4))</f>
        <v>N/A</v>
      </c>
      <c r="AN198" s="244" t="str">
        <f>IF(ISERROR(IRR($B196:AN196)),"N/A",ROUND(IRR($B196:AN196),4))</f>
        <v>N/A</v>
      </c>
      <c r="AO198" s="244" t="str">
        <f>IF(ISERROR(IRR($B196:AO196)),"N/A",ROUND(IRR($B196:AO196),4))</f>
        <v>N/A</v>
      </c>
      <c r="AP198" s="244" t="str">
        <f>IF(ISERROR(IRR($B196:AP196)),"N/A",ROUND(IRR($B196:AP196),4))</f>
        <v>N/A</v>
      </c>
    </row>
    <row r="199" spans="1:42" s="101" customFormat="1" x14ac:dyDescent="0.2">
      <c r="A199" s="243" t="s">
        <v>324</v>
      </c>
      <c r="B199" s="245">
        <f>B196</f>
        <v>768125.59849413112</v>
      </c>
      <c r="C199" s="245">
        <f>NPV(DiscountRate,$C196:C196)+$B196</f>
        <v>614326.00678024278</v>
      </c>
      <c r="D199" s="245">
        <f>NPV(DiscountRate,$C196:D196)+$B196</f>
        <v>691025.33014659805</v>
      </c>
      <c r="E199" s="245">
        <f>NPV(DiscountRate,$C196:E196)+$B196</f>
        <v>734699.40158001834</v>
      </c>
      <c r="F199" s="245">
        <f>NPV(DiscountRate,$C196:F196)+$B196</f>
        <v>759744.56022618758</v>
      </c>
      <c r="G199" s="245">
        <f>NPV(DiscountRate,$C196:G196)+$B196</f>
        <v>782477.42491692188</v>
      </c>
      <c r="H199" s="245">
        <f>NPV(DiscountRate,$C196:H196)+$B196</f>
        <v>793462.77267380827</v>
      </c>
      <c r="I199" s="245">
        <f>NPV(DiscountRate,$C196:I196)+$B196</f>
        <v>794290.05081241496</v>
      </c>
      <c r="J199" s="245">
        <f>NPV(DiscountRate,$C196:J196)+$B196</f>
        <v>794610.04057391686</v>
      </c>
      <c r="K199" s="245">
        <f>NPV(DiscountRate,$C196:K196)+$B196</f>
        <v>787738.97858888598</v>
      </c>
      <c r="L199" s="245">
        <f>NPV(DiscountRate,$C196:L196)+$B196</f>
        <v>760929.00002278411</v>
      </c>
      <c r="M199" s="245">
        <f>NPV(DiscountRate,$C196:M196)+$B196</f>
        <v>715562.00925964268</v>
      </c>
      <c r="N199" s="245">
        <f>NPV(DiscountRate,$C196:N196)+$B196</f>
        <v>740367.27109389054</v>
      </c>
      <c r="O199" s="245">
        <f>NPV(DiscountRate,$C196:O196)+$B196</f>
        <v>767088.39670237934</v>
      </c>
      <c r="P199" s="245">
        <f>NPV(DiscountRate,$C196:P196)+$B196</f>
        <v>726779.15724445425</v>
      </c>
      <c r="Q199" s="245">
        <f>NPV(DiscountRate,$C196:Q196)+$B196</f>
        <v>1048479.2281861557</v>
      </c>
      <c r="R199" s="245">
        <f>NPV(DiscountRate,$C196:R196)+$B196</f>
        <v>1691976.3779866972</v>
      </c>
      <c r="S199" s="245">
        <f>NPV(DiscountRate,$C196:S196)+$B196</f>
        <v>2270476.4785369681</v>
      </c>
      <c r="T199" s="245">
        <f>NPV(DiscountRate,$C196:T196)+$B196</f>
        <v>2795740.7850608956</v>
      </c>
      <c r="U199" s="245">
        <f>NPV(DiscountRate,$C196:U196)+$B196</f>
        <v>3286112.5833986513</v>
      </c>
      <c r="V199" s="245">
        <f>NPV(DiscountRate,$C196:V196)+$B196</f>
        <v>3743864.9368250561</v>
      </c>
      <c r="W199" s="245">
        <f>NPV(DiscountRate,$C196:W196)+$B196</f>
        <v>4167499.8388247471</v>
      </c>
      <c r="X199" s="245">
        <f>NPV(DiscountRate,$C196:X196)+$B196</f>
        <v>4559288.7948358133</v>
      </c>
      <c r="Y199" s="245">
        <f>NPV(DiscountRate,$C196:Y196)+$B196</f>
        <v>4923623.4888935164</v>
      </c>
      <c r="Z199" s="245">
        <f>NPV(DiscountRate,$C196:Z196)+$B196</f>
        <v>5300963.3923638836</v>
      </c>
      <c r="AA199" s="245">
        <f>NPV(DiscountRate,$C196:AA196)+$B196</f>
        <v>5660575.4469409203</v>
      </c>
      <c r="AB199" s="245">
        <f>NPV(DiscountRate,$C196:AB196)+$B196</f>
        <v>5973682.6686456194</v>
      </c>
      <c r="AC199" s="245">
        <f>NPV(DiscountRate,$C196:AC196)+$B196</f>
        <v>6253025.9822736224</v>
      </c>
      <c r="AD199" s="245">
        <f>NPV(DiscountRate,$C196:AD196)+$B196</f>
        <v>6512761.3134918958</v>
      </c>
      <c r="AE199" s="245">
        <f>NPV(DiscountRate,$C196:AE196)+$B196</f>
        <v>6746694.3878795337</v>
      </c>
      <c r="AF199" s="245">
        <f>NPV(DiscountRate,$C196:AF196)+$B196</f>
        <v>6957213.4619254665</v>
      </c>
      <c r="AG199" s="245">
        <f>NPV(DiscountRate,$C196:AG196)+$B196</f>
        <v>7152973.7393449629</v>
      </c>
      <c r="AH199" s="245">
        <f>NPV(DiscountRate,$C196:AH196)+$B196</f>
        <v>7334998.2471423661</v>
      </c>
      <c r="AI199" s="245">
        <f>NPV(DiscountRate,$C196:AI196)+$B196</f>
        <v>7504239.8064051047</v>
      </c>
      <c r="AJ199" s="245">
        <f>NPV(DiscountRate,$C196:AJ196)+$B196</f>
        <v>7661585.8052328778</v>
      </c>
      <c r="AK199" s="245">
        <f>NPV(DiscountRate,$C196:AK196)+$B196</f>
        <v>7807862.6501883287</v>
      </c>
      <c r="AL199" s="245">
        <f>NPV(DiscountRate,$C196:AL196)+$B196</f>
        <v>7962145.1283091931</v>
      </c>
      <c r="AM199" s="245">
        <f>NPV(DiscountRate,$C196:AM196)+$B196</f>
        <v>8131604.4110358479</v>
      </c>
      <c r="AN199" s="245">
        <f>NPV(DiscountRate,$C196:AN196)+$B196</f>
        <v>8278731.7748970706</v>
      </c>
      <c r="AO199" s="245">
        <f>NPV(DiscountRate,$C196:AO196)+$B196</f>
        <v>8409619.8040683605</v>
      </c>
      <c r="AP199" s="245">
        <f>NPV(DiscountRate,$C196:AP196)+$B196</f>
        <v>8654301.2118804436</v>
      </c>
    </row>
    <row r="200" spans="1:42" s="101" customFormat="1" x14ac:dyDescent="0.2">
      <c r="A200" s="234"/>
      <c r="B200" s="181"/>
      <c r="C200" s="181"/>
      <c r="D200" s="181"/>
      <c r="E200" s="181"/>
      <c r="F200" s="181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</row>
    <row r="201" spans="1:42" x14ac:dyDescent="0.2">
      <c r="A201" s="163" t="s">
        <v>221</v>
      </c>
      <c r="B201" s="241" t="str">
        <f>IF(ISERROR(IRR(B196:AP196)),"N/A",IRR(B196:AP196))</f>
        <v>N/A</v>
      </c>
      <c r="C201" s="135"/>
      <c r="D201" s="135"/>
      <c r="E201" s="135"/>
      <c r="F201" s="135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</row>
    <row r="202" spans="1:42" x14ac:dyDescent="0.2">
      <c r="A202" s="163" t="s">
        <v>202</v>
      </c>
      <c r="B202" s="179">
        <f>NPV(DiscountRate,$C196:$AP196)+B196</f>
        <v>8654301.2118804436</v>
      </c>
      <c r="C202" s="135"/>
      <c r="D202" s="135"/>
      <c r="E202" s="135"/>
      <c r="F202" s="135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</row>
    <row r="203" spans="1:42" x14ac:dyDescent="0.2">
      <c r="B203" s="135"/>
      <c r="C203" s="135"/>
      <c r="D203" s="135"/>
      <c r="E203" s="135"/>
      <c r="F203" s="135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</row>
    <row r="204" spans="1:42" x14ac:dyDescent="0.2">
      <c r="A204" s="162" t="s">
        <v>111</v>
      </c>
    </row>
    <row r="205" spans="1:42" s="101" customFormat="1" x14ac:dyDescent="0.2">
      <c r="A205" s="178" t="s">
        <v>125</v>
      </c>
    </row>
    <row r="206" spans="1:42" s="101" customFormat="1" x14ac:dyDescent="0.2">
      <c r="A206" s="25" t="s">
        <v>112</v>
      </c>
      <c r="C206" s="181">
        <f t="shared" ref="C206:AP206" si="789">C43</f>
        <v>3731001.0132801849</v>
      </c>
      <c r="D206" s="181">
        <f t="shared" si="789"/>
        <v>3758854.3555844845</v>
      </c>
      <c r="E206" s="181">
        <f t="shared" si="789"/>
        <v>3786649.6299761124</v>
      </c>
      <c r="F206" s="181">
        <f t="shared" si="789"/>
        <v>3814383.9864899842</v>
      </c>
      <c r="G206" s="181">
        <f t="shared" si="789"/>
        <v>3842054.506843809</v>
      </c>
      <c r="H206" s="181">
        <f t="shared" si="789"/>
        <v>3869658.2029270036</v>
      </c>
      <c r="I206" s="181">
        <f t="shared" si="789"/>
        <v>3897192.0152563346</v>
      </c>
      <c r="J206" s="181">
        <f t="shared" si="789"/>
        <v>3924652.8113975525</v>
      </c>
      <c r="K206" s="181">
        <f t="shared" si="789"/>
        <v>3952037.3843522924</v>
      </c>
      <c r="L206" s="181">
        <f t="shared" si="789"/>
        <v>3979342.4509094106</v>
      </c>
      <c r="M206" s="181">
        <f t="shared" si="789"/>
        <v>4006564.6499600406</v>
      </c>
      <c r="N206" s="181">
        <f t="shared" si="789"/>
        <v>4033700.5407754984</v>
      </c>
      <c r="O206" s="181">
        <f t="shared" si="789"/>
        <v>4060746.6012472692</v>
      </c>
      <c r="P206" s="181">
        <f t="shared" si="789"/>
        <v>4087699.22608817</v>
      </c>
      <c r="Q206" s="181">
        <f t="shared" si="789"/>
        <v>4114554.7249938948</v>
      </c>
      <c r="R206" s="181">
        <f t="shared" si="789"/>
        <v>4141309.3207640052</v>
      </c>
      <c r="S206" s="181">
        <f t="shared" si="789"/>
        <v>4167959.147381512</v>
      </c>
      <c r="T206" s="181">
        <f t="shared" si="789"/>
        <v>4194500.2480500722</v>
      </c>
      <c r="U206" s="181">
        <f t="shared" si="789"/>
        <v>4220928.5731879221</v>
      </c>
      <c r="V206" s="181">
        <f t="shared" si="789"/>
        <v>4247239.978377548</v>
      </c>
      <c r="W206" s="181">
        <f t="shared" si="789"/>
        <v>4273430.222270105</v>
      </c>
      <c r="X206" s="181">
        <f t="shared" si="789"/>
        <v>4285164.0422560945</v>
      </c>
      <c r="Y206" s="181">
        <f t="shared" si="789"/>
        <v>4296767.9188387962</v>
      </c>
      <c r="Z206" s="181">
        <f t="shared" si="789"/>
        <v>4308237.3068343168</v>
      </c>
      <c r="AA206" s="181">
        <f t="shared" si="789"/>
        <v>4319567.5552723026</v>
      </c>
      <c r="AB206" s="181">
        <f t="shared" si="789"/>
        <v>4330753.9050586084</v>
      </c>
      <c r="AC206" s="181">
        <f t="shared" si="789"/>
        <v>4341791.4865863631</v>
      </c>
      <c r="AD206" s="181">
        <f t="shared" si="789"/>
        <v>4352675.3172942605</v>
      </c>
      <c r="AE206" s="181">
        <f t="shared" si="789"/>
        <v>4363400.2991709113</v>
      </c>
      <c r="AF206" s="181">
        <f t="shared" si="789"/>
        <v>4373961.216204023</v>
      </c>
      <c r="AG206" s="181">
        <f t="shared" si="789"/>
        <v>4384352.7317732368</v>
      </c>
      <c r="AH206" s="181">
        <f t="shared" si="789"/>
        <v>4394569.3859853167</v>
      </c>
      <c r="AI206" s="181">
        <f t="shared" si="789"/>
        <v>4404605.5929504344</v>
      </c>
      <c r="AJ206" s="181">
        <f t="shared" si="789"/>
        <v>4414455.6379982121</v>
      </c>
      <c r="AK206" s="181">
        <f t="shared" si="789"/>
        <v>4424113.6748322137</v>
      </c>
      <c r="AL206" s="181">
        <f t="shared" si="789"/>
        <v>4433573.722621494</v>
      </c>
      <c r="AM206" s="181">
        <f t="shared" si="789"/>
        <v>4442829.6630278053</v>
      </c>
      <c r="AN206" s="181">
        <f t="shared" si="789"/>
        <v>4451875.2371670138</v>
      </c>
      <c r="AO206" s="181">
        <f t="shared" si="789"/>
        <v>4460704.0425033029</v>
      </c>
      <c r="AP206" s="181">
        <f t="shared" si="789"/>
        <v>8492024.5296746008</v>
      </c>
    </row>
    <row r="207" spans="1:42" s="101" customFormat="1" x14ac:dyDescent="0.2">
      <c r="A207" s="25" t="s">
        <v>121</v>
      </c>
      <c r="C207" s="181">
        <f t="shared" ref="C207:AP207" si="790">C775</f>
        <v>29367.940740299098</v>
      </c>
      <c r="D207" s="181">
        <f t="shared" si="790"/>
        <v>33794.501200713072</v>
      </c>
      <c r="E207" s="181">
        <f t="shared" si="790"/>
        <v>38222.159336134631</v>
      </c>
      <c r="F207" s="181">
        <f t="shared" si="790"/>
        <v>42650.92639319937</v>
      </c>
      <c r="G207" s="181">
        <f t="shared" si="790"/>
        <v>47080.813797189818</v>
      </c>
      <c r="H207" s="181">
        <f t="shared" si="790"/>
        <v>51511.8331555806</v>
      </c>
      <c r="I207" s="181">
        <f t="shared" si="790"/>
        <v>55943.996261659493</v>
      </c>
      <c r="J207" s="181">
        <f t="shared" si="790"/>
        <v>60377.315098226289</v>
      </c>
      <c r="K207" s="181">
        <f t="shared" si="790"/>
        <v>64811.801841371205</v>
      </c>
      <c r="L207" s="181">
        <f t="shared" si="790"/>
        <v>69247.468864334194</v>
      </c>
      <c r="M207" s="181">
        <f t="shared" si="790"/>
        <v>73684.328741447462</v>
      </c>
      <c r="N207" s="181">
        <f t="shared" si="790"/>
        <v>78122.394252162732</v>
      </c>
      <c r="O207" s="181">
        <f t="shared" si="790"/>
        <v>30715.263160839462</v>
      </c>
      <c r="P207" s="181">
        <f t="shared" si="790"/>
        <v>35995.881993492687</v>
      </c>
      <c r="Q207" s="181">
        <f t="shared" si="790"/>
        <v>41277.746070404472</v>
      </c>
      <c r="R207" s="181">
        <f t="shared" si="790"/>
        <v>21620.793204951438</v>
      </c>
      <c r="S207" s="181">
        <f t="shared" si="790"/>
        <v>26732.458565163892</v>
      </c>
      <c r="T207" s="181">
        <f t="shared" si="790"/>
        <v>31846.115485115948</v>
      </c>
      <c r="U207" s="181">
        <f t="shared" si="790"/>
        <v>36961.804547676074</v>
      </c>
      <c r="V207" s="181">
        <f t="shared" si="790"/>
        <v>42079.567191013273</v>
      </c>
      <c r="W207" s="181">
        <f t="shared" si="790"/>
        <v>47199.445727059538</v>
      </c>
      <c r="X207" s="181">
        <f t="shared" si="790"/>
        <v>52446.878929518141</v>
      </c>
      <c r="Y207" s="181">
        <f t="shared" si="790"/>
        <v>57696.515345723783</v>
      </c>
      <c r="Z207" s="181">
        <f t="shared" si="790"/>
        <v>62948.400023769842</v>
      </c>
      <c r="AA207" s="181">
        <f t="shared" si="790"/>
        <v>6586.0784493241936</v>
      </c>
      <c r="AB207" s="181">
        <f t="shared" si="790"/>
        <v>12847.040886474646</v>
      </c>
      <c r="AC207" s="181">
        <f t="shared" si="790"/>
        <v>19110.392523059818</v>
      </c>
      <c r="AD207" s="181">
        <f t="shared" si="790"/>
        <v>25376.182339503135</v>
      </c>
      <c r="AE207" s="181">
        <f t="shared" si="790"/>
        <v>31644.460353062212</v>
      </c>
      <c r="AF207" s="181">
        <f t="shared" si="790"/>
        <v>37915.277640280299</v>
      </c>
      <c r="AG207" s="181">
        <f t="shared" si="790"/>
        <v>44188.686359931598</v>
      </c>
      <c r="AH207" s="181">
        <f t="shared" si="790"/>
        <v>50464.739776471564</v>
      </c>
      <c r="AI207" s="181">
        <f t="shared" si="790"/>
        <v>56743.492284003289</v>
      </c>
      <c r="AJ207" s="181">
        <f t="shared" si="790"/>
        <v>63024.999430771604</v>
      </c>
      <c r="AK207" s="181">
        <f t="shared" si="790"/>
        <v>69309.317944196475</v>
      </c>
      <c r="AL207" s="181">
        <f t="shared" si="790"/>
        <v>75596.50575645786</v>
      </c>
      <c r="AM207" s="181">
        <f t="shared" si="790"/>
        <v>8216.8143540193832</v>
      </c>
      <c r="AN207" s="181">
        <f t="shared" si="790"/>
        <v>8370.7688711335886</v>
      </c>
      <c r="AO207" s="181">
        <f t="shared" si="790"/>
        <v>8527.773976562974</v>
      </c>
      <c r="AP207" s="181">
        <f t="shared" si="790"/>
        <v>8687.8926888390088</v>
      </c>
    </row>
    <row r="208" spans="1:42" s="101" customFormat="1" x14ac:dyDescent="0.2">
      <c r="A208" s="25" t="s">
        <v>113</v>
      </c>
      <c r="C208" s="181">
        <f>-C612</f>
        <v>-1813879.1376327234</v>
      </c>
      <c r="D208" s="181">
        <f t="shared" ref="D208:AP208" si="791">-D612</f>
        <v>-1754355.7994579498</v>
      </c>
      <c r="E208" s="181">
        <f t="shared" si="791"/>
        <v>-1688620.4144053103</v>
      </c>
      <c r="F208" s="181">
        <f t="shared" si="791"/>
        <v>-1616194.8823700899</v>
      </c>
      <c r="G208" s="181">
        <f t="shared" si="791"/>
        <v>-1536564.2140985662</v>
      </c>
      <c r="H208" s="181">
        <f t="shared" si="791"/>
        <v>-1449173.6762008723</v>
      </c>
      <c r="I208" s="181">
        <f t="shared" si="791"/>
        <v>-1353425.714989109</v>
      </c>
      <c r="J208" s="181">
        <f t="shared" si="791"/>
        <v>-1248676.6420015651</v>
      </c>
      <c r="K208" s="181">
        <f t="shared" si="791"/>
        <v>-1134233.0627456757</v>
      </c>
      <c r="L208" s="181">
        <f t="shared" si="791"/>
        <v>-1009348.0287611643</v>
      </c>
      <c r="M208" s="181">
        <f t="shared" si="791"/>
        <v>-873216.89156272251</v>
      </c>
      <c r="N208" s="181">
        <f t="shared" si="791"/>
        <v>-724972.83535997651</v>
      </c>
      <c r="O208" s="181">
        <f t="shared" si="791"/>
        <v>-563682.06366211164</v>
      </c>
      <c r="P208" s="181">
        <f t="shared" si="791"/>
        <v>-391094.50597528962</v>
      </c>
      <c r="Q208" s="181">
        <f t="shared" si="791"/>
        <v>-203584.1322527983</v>
      </c>
      <c r="R208" s="181">
        <f t="shared" si="791"/>
        <v>0</v>
      </c>
      <c r="S208" s="181">
        <f t="shared" si="791"/>
        <v>0</v>
      </c>
      <c r="T208" s="181">
        <f t="shared" si="791"/>
        <v>0</v>
      </c>
      <c r="U208" s="181">
        <f t="shared" si="791"/>
        <v>0</v>
      </c>
      <c r="V208" s="181">
        <f t="shared" si="791"/>
        <v>0</v>
      </c>
      <c r="W208" s="181">
        <f t="shared" si="791"/>
        <v>0</v>
      </c>
      <c r="X208" s="181">
        <f t="shared" si="791"/>
        <v>0</v>
      </c>
      <c r="Y208" s="181">
        <f t="shared" si="791"/>
        <v>0</v>
      </c>
      <c r="Z208" s="181">
        <f t="shared" si="791"/>
        <v>0</v>
      </c>
      <c r="AA208" s="181">
        <f t="shared" si="791"/>
        <v>0</v>
      </c>
      <c r="AB208" s="181">
        <f t="shared" si="791"/>
        <v>0</v>
      </c>
      <c r="AC208" s="181">
        <f t="shared" si="791"/>
        <v>0</v>
      </c>
      <c r="AD208" s="181">
        <f t="shared" si="791"/>
        <v>0</v>
      </c>
      <c r="AE208" s="181">
        <f t="shared" si="791"/>
        <v>0</v>
      </c>
      <c r="AF208" s="181">
        <f t="shared" si="791"/>
        <v>0</v>
      </c>
      <c r="AG208" s="181">
        <f t="shared" si="791"/>
        <v>0</v>
      </c>
      <c r="AH208" s="181">
        <f t="shared" si="791"/>
        <v>0</v>
      </c>
      <c r="AI208" s="181">
        <f t="shared" si="791"/>
        <v>0</v>
      </c>
      <c r="AJ208" s="181">
        <f t="shared" si="791"/>
        <v>0</v>
      </c>
      <c r="AK208" s="181">
        <f t="shared" si="791"/>
        <v>0</v>
      </c>
      <c r="AL208" s="181">
        <f t="shared" si="791"/>
        <v>0</v>
      </c>
      <c r="AM208" s="181">
        <f t="shared" si="791"/>
        <v>0</v>
      </c>
      <c r="AN208" s="181">
        <f t="shared" si="791"/>
        <v>0</v>
      </c>
      <c r="AO208" s="181">
        <f t="shared" si="791"/>
        <v>0</v>
      </c>
      <c r="AP208" s="181">
        <f t="shared" si="791"/>
        <v>0</v>
      </c>
    </row>
    <row r="209" spans="1:42" s="25" customFormat="1" x14ac:dyDescent="0.2">
      <c r="A209" s="25" t="s">
        <v>116</v>
      </c>
      <c r="B209" s="101"/>
      <c r="C209" s="186">
        <f t="shared" ref="C209:AP209" si="792">IF(C$2&lt;=AnalysisPeriod,-C331-C361-C387-C413,0)</f>
        <v>-6976051.0857577566</v>
      </c>
      <c r="D209" s="186">
        <f t="shared" si="792"/>
        <v>-11204901.05348183</v>
      </c>
      <c r="E209" s="186">
        <f t="shared" si="792"/>
        <v>-6808141.50072309</v>
      </c>
      <c r="F209" s="186">
        <f t="shared" si="792"/>
        <v>-4168181.5169065478</v>
      </c>
      <c r="G209" s="186">
        <f t="shared" si="792"/>
        <v>-4162944.8234629761</v>
      </c>
      <c r="H209" s="186">
        <f t="shared" si="792"/>
        <v>-2182549.7793145655</v>
      </c>
      <c r="I209" s="186">
        <f t="shared" si="792"/>
        <v>-204671.06837929957</v>
      </c>
      <c r="J209" s="186">
        <f t="shared" si="792"/>
        <v>-204535.05036777823</v>
      </c>
      <c r="K209" s="186">
        <f t="shared" si="792"/>
        <v>-204739.07738506023</v>
      </c>
      <c r="L209" s="186">
        <f t="shared" si="792"/>
        <v>-204535.05036777823</v>
      </c>
      <c r="M209" s="186">
        <f t="shared" si="792"/>
        <v>-204739.07738506023</v>
      </c>
      <c r="N209" s="186">
        <f t="shared" si="792"/>
        <v>-793509.51906804112</v>
      </c>
      <c r="O209" s="186">
        <f t="shared" si="792"/>
        <v>-1147098.2273054807</v>
      </c>
      <c r="P209" s="186">
        <f t="shared" si="792"/>
        <v>-769950.54032003065</v>
      </c>
      <c r="Q209" s="186">
        <f t="shared" si="792"/>
        <v>-543988.3713564116</v>
      </c>
      <c r="R209" s="186">
        <f t="shared" si="792"/>
        <v>-478427.68980312557</v>
      </c>
      <c r="S209" s="186">
        <f t="shared" si="792"/>
        <v>-243446.38828144583</v>
      </c>
      <c r="T209" s="186">
        <f t="shared" si="792"/>
        <v>-73821.741295770174</v>
      </c>
      <c r="U209" s="186">
        <f t="shared" si="792"/>
        <v>-73821.741295770174</v>
      </c>
      <c r="V209" s="186">
        <f t="shared" si="792"/>
        <v>-73821.741295770174</v>
      </c>
      <c r="W209" s="186">
        <f t="shared" si="792"/>
        <v>-39817.238415435095</v>
      </c>
      <c r="X209" s="186">
        <f t="shared" si="792"/>
        <v>-5812.7355351000133</v>
      </c>
      <c r="Y209" s="186">
        <f t="shared" si="792"/>
        <v>-5812.7355351000133</v>
      </c>
      <c r="Z209" s="186">
        <f t="shared" si="792"/>
        <v>-710001.31284003623</v>
      </c>
      <c r="AA209" s="186">
        <f t="shared" si="792"/>
        <v>-1132514.459222998</v>
      </c>
      <c r="AB209" s="186">
        <f t="shared" si="792"/>
        <v>-681833.76974783873</v>
      </c>
      <c r="AC209" s="186">
        <f t="shared" si="792"/>
        <v>-411425.35606274323</v>
      </c>
      <c r="AD209" s="186">
        <f t="shared" si="792"/>
        <v>-411425.35606274323</v>
      </c>
      <c r="AE209" s="186">
        <f t="shared" si="792"/>
        <v>-208619.04579892164</v>
      </c>
      <c r="AF209" s="186">
        <f t="shared" si="792"/>
        <v>-5812.7355351000133</v>
      </c>
      <c r="AG209" s="186">
        <f t="shared" si="792"/>
        <v>-5812.7355351000133</v>
      </c>
      <c r="AH209" s="186">
        <f t="shared" si="792"/>
        <v>-5812.7355351000133</v>
      </c>
      <c r="AI209" s="186">
        <f t="shared" si="792"/>
        <v>-5812.7355351000133</v>
      </c>
      <c r="AJ209" s="186">
        <f t="shared" si="792"/>
        <v>-5812.7355351000133</v>
      </c>
      <c r="AK209" s="186">
        <f t="shared" si="792"/>
        <v>-5812.7355351000133</v>
      </c>
      <c r="AL209" s="186">
        <f t="shared" si="792"/>
        <v>-847753.39469652658</v>
      </c>
      <c r="AM209" s="186">
        <f t="shared" si="792"/>
        <v>-1352917.7901933824</v>
      </c>
      <c r="AN209" s="186">
        <f t="shared" si="792"/>
        <v>-814075.76833006949</v>
      </c>
      <c r="AO209" s="186">
        <f t="shared" si="792"/>
        <v>-490770.55521208164</v>
      </c>
      <c r="AP209" s="186">
        <f t="shared" si="792"/>
        <v>-487864.18744453165</v>
      </c>
    </row>
    <row r="210" spans="1:42" s="101" customFormat="1" x14ac:dyDescent="0.2">
      <c r="A210" s="25" t="s">
        <v>114</v>
      </c>
      <c r="C210" s="181">
        <f t="shared" ref="C210:AP210" si="793">SUM(C206:C209)</f>
        <v>-5029561.2693699962</v>
      </c>
      <c r="D210" s="181">
        <f t="shared" si="793"/>
        <v>-9166607.9961545821</v>
      </c>
      <c r="E210" s="181">
        <f t="shared" si="793"/>
        <v>-4671890.1258161534</v>
      </c>
      <c r="F210" s="181">
        <f t="shared" si="793"/>
        <v>-1927341.486393454</v>
      </c>
      <c r="G210" s="181">
        <f t="shared" si="793"/>
        <v>-1810373.7169205435</v>
      </c>
      <c r="H210" s="181">
        <f t="shared" si="793"/>
        <v>289446.58056714665</v>
      </c>
      <c r="I210" s="181">
        <f t="shared" si="793"/>
        <v>2395039.2281495854</v>
      </c>
      <c r="J210" s="181">
        <f t="shared" si="793"/>
        <v>2531818.4341264353</v>
      </c>
      <c r="K210" s="181">
        <f t="shared" si="793"/>
        <v>2677877.0460629282</v>
      </c>
      <c r="L210" s="181">
        <f t="shared" si="793"/>
        <v>2834706.8406448024</v>
      </c>
      <c r="M210" s="181">
        <f t="shared" si="793"/>
        <v>3002293.0097537055</v>
      </c>
      <c r="N210" s="181">
        <f t="shared" si="793"/>
        <v>2593340.5805996433</v>
      </c>
      <c r="O210" s="181">
        <f t="shared" si="793"/>
        <v>2380681.5734405164</v>
      </c>
      <c r="P210" s="181">
        <f t="shared" si="793"/>
        <v>2962650.0617863424</v>
      </c>
      <c r="Q210" s="181">
        <f t="shared" si="793"/>
        <v>3408259.9674550891</v>
      </c>
      <c r="R210" s="181">
        <f t="shared" si="793"/>
        <v>3684502.4241658309</v>
      </c>
      <c r="S210" s="181">
        <f t="shared" si="793"/>
        <v>3951245.2176652299</v>
      </c>
      <c r="T210" s="181">
        <f t="shared" si="793"/>
        <v>4152524.6222394179</v>
      </c>
      <c r="U210" s="181">
        <f t="shared" si="793"/>
        <v>4184068.6364398277</v>
      </c>
      <c r="V210" s="181">
        <f t="shared" si="793"/>
        <v>4215497.8042727914</v>
      </c>
      <c r="W210" s="181">
        <f t="shared" si="793"/>
        <v>4280812.4295817297</v>
      </c>
      <c r="X210" s="181">
        <f t="shared" si="793"/>
        <v>4331798.1856505126</v>
      </c>
      <c r="Y210" s="181">
        <f t="shared" si="793"/>
        <v>4348651.6986494195</v>
      </c>
      <c r="Z210" s="181">
        <f t="shared" si="793"/>
        <v>3661184.3940180503</v>
      </c>
      <c r="AA210" s="181">
        <f t="shared" si="793"/>
        <v>3193639.1744986284</v>
      </c>
      <c r="AB210" s="181">
        <f t="shared" si="793"/>
        <v>3661767.1761972443</v>
      </c>
      <c r="AC210" s="181">
        <f t="shared" si="793"/>
        <v>3949476.5230466793</v>
      </c>
      <c r="AD210" s="181">
        <f t="shared" si="793"/>
        <v>3966626.1435710206</v>
      </c>
      <c r="AE210" s="181">
        <f t="shared" si="793"/>
        <v>4186425.7137250523</v>
      </c>
      <c r="AF210" s="181">
        <f t="shared" si="793"/>
        <v>4406063.7583092032</v>
      </c>
      <c r="AG210" s="181">
        <f t="shared" si="793"/>
        <v>4422728.6825980684</v>
      </c>
      <c r="AH210" s="181">
        <f t="shared" si="793"/>
        <v>4439221.3902266882</v>
      </c>
      <c r="AI210" s="181">
        <f t="shared" si="793"/>
        <v>4455536.349699338</v>
      </c>
      <c r="AJ210" s="181">
        <f t="shared" si="793"/>
        <v>4471667.9018938839</v>
      </c>
      <c r="AK210" s="181">
        <f t="shared" si="793"/>
        <v>4487610.2572413096</v>
      </c>
      <c r="AL210" s="181">
        <f t="shared" si="793"/>
        <v>3661416.8336814255</v>
      </c>
      <c r="AM210" s="181">
        <f t="shared" si="793"/>
        <v>3098128.6871884419</v>
      </c>
      <c r="AN210" s="181">
        <f t="shared" si="793"/>
        <v>3646170.2377080778</v>
      </c>
      <c r="AO210" s="181">
        <f t="shared" si="793"/>
        <v>3978461.2612677841</v>
      </c>
      <c r="AP210" s="181">
        <f t="shared" si="793"/>
        <v>8012848.2349189082</v>
      </c>
    </row>
    <row r="211" spans="1:42" s="101" customFormat="1" x14ac:dyDescent="0.2">
      <c r="A211" s="25" t="str">
        <f>'Inputs &amp; Results'!A53</f>
        <v>Investment Based Incentive (IBI)</v>
      </c>
    </row>
    <row r="212" spans="1:42" s="101" customFormat="1" x14ac:dyDescent="0.2">
      <c r="A212" s="187" t="str">
        <f>'Inputs &amp; Results'!A54</f>
        <v>Fixed Amount ($)</v>
      </c>
    </row>
    <row r="213" spans="1:42" s="101" customFormat="1" x14ac:dyDescent="0.2">
      <c r="A213" s="188" t="str">
        <f>'Inputs &amp; Results'!A55</f>
        <v>Federal</v>
      </c>
      <c r="C213" s="181">
        <f>IF(IBIFedFixedStateTax="Yes",C565,0)</f>
        <v>0</v>
      </c>
    </row>
    <row r="214" spans="1:42" s="101" customFormat="1" x14ac:dyDescent="0.2">
      <c r="A214" s="188" t="str">
        <f>'Inputs &amp; Results'!A56</f>
        <v>State</v>
      </c>
      <c r="C214" s="181">
        <f>IF(IBIStateFixedStateTax="Yes",C566,0)</f>
        <v>0</v>
      </c>
    </row>
    <row r="215" spans="1:42" s="101" customFormat="1" x14ac:dyDescent="0.2">
      <c r="A215" s="188" t="str">
        <f>'Inputs &amp; Results'!A57</f>
        <v>Utility</v>
      </c>
      <c r="C215" s="181">
        <f>IF(IBIUtilityFixedStateTax="Yes",C567,0)</f>
        <v>0</v>
      </c>
    </row>
    <row r="216" spans="1:42" x14ac:dyDescent="0.2">
      <c r="A216" s="188" t="str">
        <f>'Inputs &amp; Results'!A58</f>
        <v>Other</v>
      </c>
      <c r="C216" s="186">
        <f>IF(IBIOtherFixedStateTax="Yes",C568,0)</f>
        <v>0</v>
      </c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</row>
    <row r="217" spans="1:42" x14ac:dyDescent="0.2">
      <c r="A217" s="188" t="s">
        <v>53</v>
      </c>
      <c r="C217" s="169">
        <f>SUM(C213:C216)</f>
        <v>0</v>
      </c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</row>
    <row r="218" spans="1:42" x14ac:dyDescent="0.2">
      <c r="A218" s="187" t="str">
        <f>'Inputs &amp; Results'!A59</f>
        <v>Percentage of Pre-Financing Costs</v>
      </c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</row>
    <row r="219" spans="1:42" x14ac:dyDescent="0.2">
      <c r="A219" s="188" t="str">
        <f>'Inputs &amp; Results'!A60</f>
        <v>Federal</v>
      </c>
      <c r="C219" s="181">
        <f>IF(IBIFedPercentStateTax="Yes",C571,0)</f>
        <v>0</v>
      </c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</row>
    <row r="220" spans="1:42" x14ac:dyDescent="0.2">
      <c r="A220" s="188" t="str">
        <f>'Inputs &amp; Results'!A61</f>
        <v>State</v>
      </c>
      <c r="C220" s="181">
        <f>IF(IBIStatePercentStateTax="Yes",C572,0)</f>
        <v>0</v>
      </c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</row>
    <row r="221" spans="1:42" x14ac:dyDescent="0.2">
      <c r="A221" s="188" t="str">
        <f>'Inputs &amp; Results'!A62</f>
        <v>Utility</v>
      </c>
      <c r="C221" s="181">
        <f>IF(IBIUtilityPercentStateTax="Yes",C573,0)</f>
        <v>0</v>
      </c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</row>
    <row r="222" spans="1:42" x14ac:dyDescent="0.2">
      <c r="A222" s="188" t="str">
        <f>'Inputs &amp; Results'!A63</f>
        <v>Other</v>
      </c>
      <c r="C222" s="186">
        <f>IF(IBIOtherPercentStateTax="Yes",C574,0)</f>
        <v>0</v>
      </c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</row>
    <row r="223" spans="1:42" x14ac:dyDescent="0.2">
      <c r="A223" s="188" t="s">
        <v>53</v>
      </c>
      <c r="C223" s="169">
        <f>SUM(C219:C222)</f>
        <v>0</v>
      </c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</row>
    <row r="224" spans="1:42" x14ac:dyDescent="0.2">
      <c r="A224" s="180" t="str">
        <f>'Inputs &amp; Results'!A64</f>
        <v>Capacity Based Incentive (CBI) ($/DC-Watt)</v>
      </c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</row>
    <row r="225" spans="1:42" x14ac:dyDescent="0.2">
      <c r="A225" s="187" t="str">
        <f>'Inputs &amp; Results'!A65</f>
        <v>Federal</v>
      </c>
      <c r="C225" s="124">
        <f>IF(CBIFedStateTax="Yes",C577,0)</f>
        <v>0</v>
      </c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</row>
    <row r="226" spans="1:42" x14ac:dyDescent="0.2">
      <c r="A226" s="187" t="str">
        <f>'Inputs &amp; Results'!A66</f>
        <v>State</v>
      </c>
      <c r="C226" s="124">
        <f>IF(CBIStateStateTax="Yes",C578,0)</f>
        <v>0</v>
      </c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</row>
    <row r="227" spans="1:42" x14ac:dyDescent="0.2">
      <c r="A227" s="187" t="str">
        <f>'Inputs &amp; Results'!A67</f>
        <v>Utility</v>
      </c>
      <c r="C227" s="124">
        <f>IF(CBIUtilityStateTax="Yes",C579,0)</f>
        <v>0</v>
      </c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</row>
    <row r="228" spans="1:42" x14ac:dyDescent="0.2">
      <c r="A228" s="187" t="str">
        <f>'Inputs &amp; Results'!A68</f>
        <v>Other</v>
      </c>
      <c r="C228" s="186">
        <f>IF(CBIOtherStateTax="Yes",C580,0)</f>
        <v>0</v>
      </c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</row>
    <row r="229" spans="1:42" x14ac:dyDescent="0.2">
      <c r="A229" s="187" t="s">
        <v>53</v>
      </c>
      <c r="C229" s="169">
        <f>SUM(C225:C228)</f>
        <v>0</v>
      </c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</row>
    <row r="230" spans="1:42" x14ac:dyDescent="0.2">
      <c r="A230" s="180" t="str">
        <f>'Inputs &amp; Results'!A71</f>
        <v>Production Based Incentive (PBI) ($/kWh)</v>
      </c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</row>
    <row r="231" spans="1:42" x14ac:dyDescent="0.2">
      <c r="A231" s="187" t="str">
        <f>'Inputs &amp; Results'!A72</f>
        <v>Federal</v>
      </c>
      <c r="C231" s="124">
        <f t="shared" ref="C231:AP231" si="794">IF(AND(PBIFedStateTax="Yes",PBIFedDebtSwitch="No"),C587,0)</f>
        <v>0</v>
      </c>
      <c r="D231" s="124">
        <f t="shared" si="794"/>
        <v>0</v>
      </c>
      <c r="E231" s="124">
        <f t="shared" si="794"/>
        <v>0</v>
      </c>
      <c r="F231" s="124">
        <f t="shared" si="794"/>
        <v>0</v>
      </c>
      <c r="G231" s="124">
        <f t="shared" si="794"/>
        <v>0</v>
      </c>
      <c r="H231" s="124">
        <f t="shared" si="794"/>
        <v>0</v>
      </c>
      <c r="I231" s="124">
        <f t="shared" si="794"/>
        <v>0</v>
      </c>
      <c r="J231" s="124">
        <f t="shared" si="794"/>
        <v>0</v>
      </c>
      <c r="K231" s="124">
        <f t="shared" si="794"/>
        <v>0</v>
      </c>
      <c r="L231" s="124">
        <f t="shared" si="794"/>
        <v>0</v>
      </c>
      <c r="M231" s="124">
        <f t="shared" si="794"/>
        <v>0</v>
      </c>
      <c r="N231" s="124">
        <f t="shared" si="794"/>
        <v>0</v>
      </c>
      <c r="O231" s="124">
        <f t="shared" si="794"/>
        <v>0</v>
      </c>
      <c r="P231" s="124">
        <f t="shared" si="794"/>
        <v>0</v>
      </c>
      <c r="Q231" s="124">
        <f t="shared" si="794"/>
        <v>0</v>
      </c>
      <c r="R231" s="124">
        <f t="shared" si="794"/>
        <v>0</v>
      </c>
      <c r="S231" s="124">
        <f t="shared" si="794"/>
        <v>0</v>
      </c>
      <c r="T231" s="124">
        <f t="shared" si="794"/>
        <v>0</v>
      </c>
      <c r="U231" s="124">
        <f t="shared" si="794"/>
        <v>0</v>
      </c>
      <c r="V231" s="124">
        <f t="shared" si="794"/>
        <v>0</v>
      </c>
      <c r="W231" s="124">
        <f t="shared" si="794"/>
        <v>0</v>
      </c>
      <c r="X231" s="124">
        <f t="shared" si="794"/>
        <v>0</v>
      </c>
      <c r="Y231" s="124">
        <f t="shared" si="794"/>
        <v>0</v>
      </c>
      <c r="Z231" s="124">
        <f t="shared" si="794"/>
        <v>0</v>
      </c>
      <c r="AA231" s="124">
        <f t="shared" si="794"/>
        <v>0</v>
      </c>
      <c r="AB231" s="124">
        <f t="shared" si="794"/>
        <v>0</v>
      </c>
      <c r="AC231" s="124">
        <f t="shared" si="794"/>
        <v>0</v>
      </c>
      <c r="AD231" s="124">
        <f t="shared" si="794"/>
        <v>0</v>
      </c>
      <c r="AE231" s="124">
        <f t="shared" si="794"/>
        <v>0</v>
      </c>
      <c r="AF231" s="124">
        <f t="shared" si="794"/>
        <v>0</v>
      </c>
      <c r="AG231" s="124">
        <f t="shared" si="794"/>
        <v>0</v>
      </c>
      <c r="AH231" s="124">
        <f t="shared" si="794"/>
        <v>0</v>
      </c>
      <c r="AI231" s="124">
        <f t="shared" si="794"/>
        <v>0</v>
      </c>
      <c r="AJ231" s="124">
        <f t="shared" si="794"/>
        <v>0</v>
      </c>
      <c r="AK231" s="124">
        <f t="shared" si="794"/>
        <v>0</v>
      </c>
      <c r="AL231" s="124">
        <f t="shared" si="794"/>
        <v>0</v>
      </c>
      <c r="AM231" s="124">
        <f t="shared" si="794"/>
        <v>0</v>
      </c>
      <c r="AN231" s="124">
        <f t="shared" si="794"/>
        <v>0</v>
      </c>
      <c r="AO231" s="124">
        <f t="shared" si="794"/>
        <v>0</v>
      </c>
      <c r="AP231" s="124">
        <f t="shared" si="794"/>
        <v>0</v>
      </c>
    </row>
    <row r="232" spans="1:42" x14ac:dyDescent="0.2">
      <c r="A232" s="187" t="str">
        <f>'Inputs &amp; Results'!A73</f>
        <v>State</v>
      </c>
      <c r="C232" s="124">
        <f t="shared" ref="C232:AP232" si="795">IF(AND(PBIStateStateTax="Yes",PBIStateDebtSwitch="No"),C591,0)</f>
        <v>0</v>
      </c>
      <c r="D232" s="124">
        <f t="shared" si="795"/>
        <v>0</v>
      </c>
      <c r="E232" s="124">
        <f t="shared" si="795"/>
        <v>0</v>
      </c>
      <c r="F232" s="124">
        <f t="shared" si="795"/>
        <v>0</v>
      </c>
      <c r="G232" s="124">
        <f t="shared" si="795"/>
        <v>0</v>
      </c>
      <c r="H232" s="124">
        <f t="shared" si="795"/>
        <v>0</v>
      </c>
      <c r="I232" s="124">
        <f t="shared" si="795"/>
        <v>0</v>
      </c>
      <c r="J232" s="124">
        <f t="shared" si="795"/>
        <v>0</v>
      </c>
      <c r="K232" s="124">
        <f t="shared" si="795"/>
        <v>0</v>
      </c>
      <c r="L232" s="124">
        <f t="shared" si="795"/>
        <v>0</v>
      </c>
      <c r="M232" s="124">
        <f t="shared" si="795"/>
        <v>0</v>
      </c>
      <c r="N232" s="124">
        <f t="shared" si="795"/>
        <v>0</v>
      </c>
      <c r="O232" s="124">
        <f t="shared" si="795"/>
        <v>0</v>
      </c>
      <c r="P232" s="124">
        <f t="shared" si="795"/>
        <v>0</v>
      </c>
      <c r="Q232" s="124">
        <f t="shared" si="795"/>
        <v>0</v>
      </c>
      <c r="R232" s="124">
        <f t="shared" si="795"/>
        <v>0</v>
      </c>
      <c r="S232" s="124">
        <f t="shared" si="795"/>
        <v>0</v>
      </c>
      <c r="T232" s="124">
        <f t="shared" si="795"/>
        <v>0</v>
      </c>
      <c r="U232" s="124">
        <f t="shared" si="795"/>
        <v>0</v>
      </c>
      <c r="V232" s="124">
        <f t="shared" si="795"/>
        <v>0</v>
      </c>
      <c r="W232" s="124">
        <f t="shared" si="795"/>
        <v>0</v>
      </c>
      <c r="X232" s="124">
        <f t="shared" si="795"/>
        <v>0</v>
      </c>
      <c r="Y232" s="124">
        <f t="shared" si="795"/>
        <v>0</v>
      </c>
      <c r="Z232" s="124">
        <f t="shared" si="795"/>
        <v>0</v>
      </c>
      <c r="AA232" s="124">
        <f t="shared" si="795"/>
        <v>0</v>
      </c>
      <c r="AB232" s="124">
        <f t="shared" si="795"/>
        <v>0</v>
      </c>
      <c r="AC232" s="124">
        <f t="shared" si="795"/>
        <v>0</v>
      </c>
      <c r="AD232" s="124">
        <f t="shared" si="795"/>
        <v>0</v>
      </c>
      <c r="AE232" s="124">
        <f t="shared" si="795"/>
        <v>0</v>
      </c>
      <c r="AF232" s="124">
        <f t="shared" si="795"/>
        <v>0</v>
      </c>
      <c r="AG232" s="124">
        <f t="shared" si="795"/>
        <v>0</v>
      </c>
      <c r="AH232" s="124">
        <f t="shared" si="795"/>
        <v>0</v>
      </c>
      <c r="AI232" s="124">
        <f t="shared" si="795"/>
        <v>0</v>
      </c>
      <c r="AJ232" s="124">
        <f t="shared" si="795"/>
        <v>0</v>
      </c>
      <c r="AK232" s="124">
        <f t="shared" si="795"/>
        <v>0</v>
      </c>
      <c r="AL232" s="124">
        <f t="shared" si="795"/>
        <v>0</v>
      </c>
      <c r="AM232" s="124">
        <f t="shared" si="795"/>
        <v>0</v>
      </c>
      <c r="AN232" s="124">
        <f t="shared" si="795"/>
        <v>0</v>
      </c>
      <c r="AO232" s="124">
        <f t="shared" si="795"/>
        <v>0</v>
      </c>
      <c r="AP232" s="124">
        <f t="shared" si="795"/>
        <v>0</v>
      </c>
    </row>
    <row r="233" spans="1:42" x14ac:dyDescent="0.2">
      <c r="A233" s="187" t="str">
        <f>'Inputs &amp; Results'!A74</f>
        <v>Utility</v>
      </c>
      <c r="C233" s="124">
        <f t="shared" ref="C233:AP233" si="796">IF(AND(PBIUtilityStateTax="Yes",PBIUtilityDebtSwitch="No"),C595,0)</f>
        <v>0</v>
      </c>
      <c r="D233" s="124">
        <f t="shared" si="796"/>
        <v>0</v>
      </c>
      <c r="E233" s="124">
        <f t="shared" si="796"/>
        <v>0</v>
      </c>
      <c r="F233" s="124">
        <f t="shared" si="796"/>
        <v>0</v>
      </c>
      <c r="G233" s="124">
        <f t="shared" si="796"/>
        <v>0</v>
      </c>
      <c r="H233" s="124">
        <f t="shared" si="796"/>
        <v>0</v>
      </c>
      <c r="I233" s="124">
        <f t="shared" si="796"/>
        <v>0</v>
      </c>
      <c r="J233" s="124">
        <f t="shared" si="796"/>
        <v>0</v>
      </c>
      <c r="K233" s="124">
        <f t="shared" si="796"/>
        <v>0</v>
      </c>
      <c r="L233" s="124">
        <f t="shared" si="796"/>
        <v>0</v>
      </c>
      <c r="M233" s="124">
        <f t="shared" si="796"/>
        <v>0</v>
      </c>
      <c r="N233" s="124">
        <f t="shared" si="796"/>
        <v>0</v>
      </c>
      <c r="O233" s="124">
        <f t="shared" si="796"/>
        <v>0</v>
      </c>
      <c r="P233" s="124">
        <f t="shared" si="796"/>
        <v>0</v>
      </c>
      <c r="Q233" s="124">
        <f t="shared" si="796"/>
        <v>0</v>
      </c>
      <c r="R233" s="124">
        <f t="shared" si="796"/>
        <v>0</v>
      </c>
      <c r="S233" s="124">
        <f t="shared" si="796"/>
        <v>0</v>
      </c>
      <c r="T233" s="124">
        <f t="shared" si="796"/>
        <v>0</v>
      </c>
      <c r="U233" s="124">
        <f t="shared" si="796"/>
        <v>0</v>
      </c>
      <c r="V233" s="124">
        <f t="shared" si="796"/>
        <v>0</v>
      </c>
      <c r="W233" s="124">
        <f t="shared" si="796"/>
        <v>0</v>
      </c>
      <c r="X233" s="124">
        <f t="shared" si="796"/>
        <v>0</v>
      </c>
      <c r="Y233" s="124">
        <f t="shared" si="796"/>
        <v>0</v>
      </c>
      <c r="Z233" s="124">
        <f t="shared" si="796"/>
        <v>0</v>
      </c>
      <c r="AA233" s="124">
        <f t="shared" si="796"/>
        <v>0</v>
      </c>
      <c r="AB233" s="124">
        <f t="shared" si="796"/>
        <v>0</v>
      </c>
      <c r="AC233" s="124">
        <f t="shared" si="796"/>
        <v>0</v>
      </c>
      <c r="AD233" s="124">
        <f t="shared" si="796"/>
        <v>0</v>
      </c>
      <c r="AE233" s="124">
        <f t="shared" si="796"/>
        <v>0</v>
      </c>
      <c r="AF233" s="124">
        <f t="shared" si="796"/>
        <v>0</v>
      </c>
      <c r="AG233" s="124">
        <f t="shared" si="796"/>
        <v>0</v>
      </c>
      <c r="AH233" s="124">
        <f t="shared" si="796"/>
        <v>0</v>
      </c>
      <c r="AI233" s="124">
        <f t="shared" si="796"/>
        <v>0</v>
      </c>
      <c r="AJ233" s="124">
        <f t="shared" si="796"/>
        <v>0</v>
      </c>
      <c r="AK233" s="124">
        <f t="shared" si="796"/>
        <v>0</v>
      </c>
      <c r="AL233" s="124">
        <f t="shared" si="796"/>
        <v>0</v>
      </c>
      <c r="AM233" s="124">
        <f t="shared" si="796"/>
        <v>0</v>
      </c>
      <c r="AN233" s="124">
        <f t="shared" si="796"/>
        <v>0</v>
      </c>
      <c r="AO233" s="124">
        <f t="shared" si="796"/>
        <v>0</v>
      </c>
      <c r="AP233" s="124">
        <f t="shared" si="796"/>
        <v>0</v>
      </c>
    </row>
    <row r="234" spans="1:42" x14ac:dyDescent="0.2">
      <c r="A234" s="187" t="str">
        <f>'Inputs &amp; Results'!A75</f>
        <v>Other</v>
      </c>
      <c r="C234" s="186">
        <f t="shared" ref="C234:AP234" si="797">IF(AND(PBIOtherStateTax="Yes",PBIOtherDebtSwitch="No"),C599,0)</f>
        <v>0</v>
      </c>
      <c r="D234" s="186">
        <f t="shared" si="797"/>
        <v>0</v>
      </c>
      <c r="E234" s="186">
        <f t="shared" si="797"/>
        <v>0</v>
      </c>
      <c r="F234" s="186">
        <f t="shared" si="797"/>
        <v>0</v>
      </c>
      <c r="G234" s="186">
        <f t="shared" si="797"/>
        <v>0</v>
      </c>
      <c r="H234" s="186">
        <f t="shared" si="797"/>
        <v>0</v>
      </c>
      <c r="I234" s="186">
        <f t="shared" si="797"/>
        <v>0</v>
      </c>
      <c r="J234" s="186">
        <f t="shared" si="797"/>
        <v>0</v>
      </c>
      <c r="K234" s="186">
        <f t="shared" si="797"/>
        <v>0</v>
      </c>
      <c r="L234" s="186">
        <f t="shared" si="797"/>
        <v>0</v>
      </c>
      <c r="M234" s="186">
        <f t="shared" si="797"/>
        <v>0</v>
      </c>
      <c r="N234" s="186">
        <f t="shared" si="797"/>
        <v>0</v>
      </c>
      <c r="O234" s="186">
        <f t="shared" si="797"/>
        <v>0</v>
      </c>
      <c r="P234" s="186">
        <f t="shared" si="797"/>
        <v>0</v>
      </c>
      <c r="Q234" s="186">
        <f t="shared" si="797"/>
        <v>0</v>
      </c>
      <c r="R234" s="186">
        <f t="shared" si="797"/>
        <v>0</v>
      </c>
      <c r="S234" s="186">
        <f t="shared" si="797"/>
        <v>0</v>
      </c>
      <c r="T234" s="186">
        <f t="shared" si="797"/>
        <v>0</v>
      </c>
      <c r="U234" s="186">
        <f t="shared" si="797"/>
        <v>0</v>
      </c>
      <c r="V234" s="186">
        <f t="shared" si="797"/>
        <v>0</v>
      </c>
      <c r="W234" s="186">
        <f t="shared" si="797"/>
        <v>0</v>
      </c>
      <c r="X234" s="186">
        <f t="shared" si="797"/>
        <v>0</v>
      </c>
      <c r="Y234" s="186">
        <f t="shared" si="797"/>
        <v>0</v>
      </c>
      <c r="Z234" s="186">
        <f t="shared" si="797"/>
        <v>0</v>
      </c>
      <c r="AA234" s="186">
        <f t="shared" si="797"/>
        <v>0</v>
      </c>
      <c r="AB234" s="186">
        <f t="shared" si="797"/>
        <v>0</v>
      </c>
      <c r="AC234" s="186">
        <f t="shared" si="797"/>
        <v>0</v>
      </c>
      <c r="AD234" s="186">
        <f t="shared" si="797"/>
        <v>0</v>
      </c>
      <c r="AE234" s="186">
        <f t="shared" si="797"/>
        <v>0</v>
      </c>
      <c r="AF234" s="186">
        <f t="shared" si="797"/>
        <v>0</v>
      </c>
      <c r="AG234" s="186">
        <f t="shared" si="797"/>
        <v>0</v>
      </c>
      <c r="AH234" s="186">
        <f t="shared" si="797"/>
        <v>0</v>
      </c>
      <c r="AI234" s="186">
        <f t="shared" si="797"/>
        <v>0</v>
      </c>
      <c r="AJ234" s="186">
        <f t="shared" si="797"/>
        <v>0</v>
      </c>
      <c r="AK234" s="186">
        <f t="shared" si="797"/>
        <v>0</v>
      </c>
      <c r="AL234" s="186">
        <f t="shared" si="797"/>
        <v>0</v>
      </c>
      <c r="AM234" s="186">
        <f t="shared" si="797"/>
        <v>0</v>
      </c>
      <c r="AN234" s="186">
        <f t="shared" si="797"/>
        <v>0</v>
      </c>
      <c r="AO234" s="186">
        <f t="shared" si="797"/>
        <v>0</v>
      </c>
      <c r="AP234" s="186">
        <f t="shared" si="797"/>
        <v>0</v>
      </c>
    </row>
    <row r="235" spans="1:42" x14ac:dyDescent="0.2">
      <c r="A235" s="187" t="s">
        <v>53</v>
      </c>
      <c r="C235" s="177">
        <f>SUM(C231:C234)</f>
        <v>0</v>
      </c>
      <c r="D235" s="177">
        <f t="shared" ref="D235:AL235" si="798">SUM(D231:D234)</f>
        <v>0</v>
      </c>
      <c r="E235" s="177">
        <f t="shared" si="798"/>
        <v>0</v>
      </c>
      <c r="F235" s="177">
        <f t="shared" si="798"/>
        <v>0</v>
      </c>
      <c r="G235" s="177">
        <f t="shared" si="798"/>
        <v>0</v>
      </c>
      <c r="H235" s="177">
        <f t="shared" si="798"/>
        <v>0</v>
      </c>
      <c r="I235" s="177">
        <f t="shared" si="798"/>
        <v>0</v>
      </c>
      <c r="J235" s="177">
        <f t="shared" si="798"/>
        <v>0</v>
      </c>
      <c r="K235" s="177">
        <f t="shared" si="798"/>
        <v>0</v>
      </c>
      <c r="L235" s="177">
        <f t="shared" si="798"/>
        <v>0</v>
      </c>
      <c r="M235" s="177">
        <f t="shared" si="798"/>
        <v>0</v>
      </c>
      <c r="N235" s="177">
        <f t="shared" si="798"/>
        <v>0</v>
      </c>
      <c r="O235" s="177">
        <f t="shared" si="798"/>
        <v>0</v>
      </c>
      <c r="P235" s="177">
        <f t="shared" si="798"/>
        <v>0</v>
      </c>
      <c r="Q235" s="177">
        <f t="shared" si="798"/>
        <v>0</v>
      </c>
      <c r="R235" s="177">
        <f t="shared" si="798"/>
        <v>0</v>
      </c>
      <c r="S235" s="177">
        <f t="shared" si="798"/>
        <v>0</v>
      </c>
      <c r="T235" s="177">
        <f t="shared" si="798"/>
        <v>0</v>
      </c>
      <c r="U235" s="177">
        <f t="shared" si="798"/>
        <v>0</v>
      </c>
      <c r="V235" s="177">
        <f t="shared" si="798"/>
        <v>0</v>
      </c>
      <c r="W235" s="177">
        <f t="shared" si="798"/>
        <v>0</v>
      </c>
      <c r="X235" s="177">
        <f t="shared" si="798"/>
        <v>0</v>
      </c>
      <c r="Y235" s="177">
        <f t="shared" si="798"/>
        <v>0</v>
      </c>
      <c r="Z235" s="177">
        <f t="shared" si="798"/>
        <v>0</v>
      </c>
      <c r="AA235" s="177">
        <f t="shared" si="798"/>
        <v>0</v>
      </c>
      <c r="AB235" s="177">
        <f t="shared" si="798"/>
        <v>0</v>
      </c>
      <c r="AC235" s="177">
        <f t="shared" si="798"/>
        <v>0</v>
      </c>
      <c r="AD235" s="177">
        <f t="shared" si="798"/>
        <v>0</v>
      </c>
      <c r="AE235" s="177">
        <f t="shared" si="798"/>
        <v>0</v>
      </c>
      <c r="AF235" s="177">
        <f t="shared" si="798"/>
        <v>0</v>
      </c>
      <c r="AG235" s="177">
        <f t="shared" si="798"/>
        <v>0</v>
      </c>
      <c r="AH235" s="177">
        <f t="shared" si="798"/>
        <v>0</v>
      </c>
      <c r="AI235" s="177">
        <f t="shared" si="798"/>
        <v>0</v>
      </c>
      <c r="AJ235" s="177">
        <f t="shared" si="798"/>
        <v>0</v>
      </c>
      <c r="AK235" s="177">
        <f t="shared" si="798"/>
        <v>0</v>
      </c>
      <c r="AL235" s="177">
        <f t="shared" si="798"/>
        <v>0</v>
      </c>
      <c r="AM235" s="177">
        <f>SUM(AM231:AM234)</f>
        <v>0</v>
      </c>
      <c r="AN235" s="177">
        <f t="shared" ref="AN235:AP235" si="799">SUM(AN231:AN234)</f>
        <v>0</v>
      </c>
      <c r="AO235" s="177">
        <f t="shared" si="799"/>
        <v>0</v>
      </c>
      <c r="AP235" s="177">
        <f t="shared" si="799"/>
        <v>0</v>
      </c>
    </row>
    <row r="236" spans="1:42" x14ac:dyDescent="0.2">
      <c r="A236" s="180" t="s">
        <v>123</v>
      </c>
      <c r="C236" s="169">
        <f>C217+C223+C229+C235</f>
        <v>0</v>
      </c>
      <c r="D236" s="169">
        <f t="shared" ref="D236" si="800">D217+D223+D229+D235</f>
        <v>0</v>
      </c>
      <c r="E236" s="169">
        <f t="shared" ref="E236" si="801">E217+E223+E229+E235</f>
        <v>0</v>
      </c>
      <c r="F236" s="169">
        <f t="shared" ref="F236" si="802">F217+F223+F229+F235</f>
        <v>0</v>
      </c>
      <c r="G236" s="169">
        <f t="shared" ref="G236" si="803">G217+G223+G229+G235</f>
        <v>0</v>
      </c>
      <c r="H236" s="169">
        <f t="shared" ref="H236" si="804">H217+H223+H229+H235</f>
        <v>0</v>
      </c>
      <c r="I236" s="169">
        <f t="shared" ref="I236" si="805">I217+I223+I229+I235</f>
        <v>0</v>
      </c>
      <c r="J236" s="169">
        <f t="shared" ref="J236" si="806">J217+J223+J229+J235</f>
        <v>0</v>
      </c>
      <c r="K236" s="169">
        <f t="shared" ref="K236" si="807">K217+K223+K229+K235</f>
        <v>0</v>
      </c>
      <c r="L236" s="169">
        <f t="shared" ref="L236" si="808">L217+L223+L229+L235</f>
        <v>0</v>
      </c>
      <c r="M236" s="169">
        <f t="shared" ref="M236" si="809">M217+M223+M229+M235</f>
        <v>0</v>
      </c>
      <c r="N236" s="169">
        <f t="shared" ref="N236" si="810">N217+N223+N229+N235</f>
        <v>0</v>
      </c>
      <c r="O236" s="169">
        <f t="shared" ref="O236" si="811">O217+O223+O229+O235</f>
        <v>0</v>
      </c>
      <c r="P236" s="169">
        <f t="shared" ref="P236" si="812">P217+P223+P229+P235</f>
        <v>0</v>
      </c>
      <c r="Q236" s="169">
        <f t="shared" ref="Q236" si="813">Q217+Q223+Q229+Q235</f>
        <v>0</v>
      </c>
      <c r="R236" s="169">
        <f t="shared" ref="R236" si="814">R217+R223+R229+R235</f>
        <v>0</v>
      </c>
      <c r="S236" s="169">
        <f t="shared" ref="S236" si="815">S217+S223+S229+S235</f>
        <v>0</v>
      </c>
      <c r="T236" s="169">
        <f t="shared" ref="T236" si="816">T217+T223+T229+T235</f>
        <v>0</v>
      </c>
      <c r="U236" s="169">
        <f t="shared" ref="U236" si="817">U217+U223+U229+U235</f>
        <v>0</v>
      </c>
      <c r="V236" s="169">
        <f t="shared" ref="V236" si="818">V217+V223+V229+V235</f>
        <v>0</v>
      </c>
      <c r="W236" s="169">
        <f t="shared" ref="W236" si="819">W217+W223+W229+W235</f>
        <v>0</v>
      </c>
      <c r="X236" s="169">
        <f t="shared" ref="X236" si="820">X217+X223+X229+X235</f>
        <v>0</v>
      </c>
      <c r="Y236" s="169">
        <f t="shared" ref="Y236" si="821">Y217+Y223+Y229+Y235</f>
        <v>0</v>
      </c>
      <c r="Z236" s="169">
        <f t="shared" ref="Z236" si="822">Z217+Z223+Z229+Z235</f>
        <v>0</v>
      </c>
      <c r="AA236" s="169">
        <f t="shared" ref="AA236" si="823">AA217+AA223+AA229+AA235</f>
        <v>0</v>
      </c>
      <c r="AB236" s="169">
        <f t="shared" ref="AB236" si="824">AB217+AB223+AB229+AB235</f>
        <v>0</v>
      </c>
      <c r="AC236" s="169">
        <f t="shared" ref="AC236" si="825">AC217+AC223+AC229+AC235</f>
        <v>0</v>
      </c>
      <c r="AD236" s="169">
        <f t="shared" ref="AD236" si="826">AD217+AD223+AD229+AD235</f>
        <v>0</v>
      </c>
      <c r="AE236" s="169">
        <f t="shared" ref="AE236" si="827">AE217+AE223+AE229+AE235</f>
        <v>0</v>
      </c>
      <c r="AF236" s="169">
        <f t="shared" ref="AF236" si="828">AF217+AF223+AF229+AF235</f>
        <v>0</v>
      </c>
      <c r="AG236" s="169">
        <f t="shared" ref="AG236" si="829">AG217+AG223+AG229+AG235</f>
        <v>0</v>
      </c>
      <c r="AH236" s="169">
        <f t="shared" ref="AH236" si="830">AH217+AH223+AH229+AH235</f>
        <v>0</v>
      </c>
      <c r="AI236" s="169">
        <f t="shared" ref="AI236" si="831">AI217+AI223+AI229+AI235</f>
        <v>0</v>
      </c>
      <c r="AJ236" s="169">
        <f t="shared" ref="AJ236" si="832">AJ217+AJ223+AJ229+AJ235</f>
        <v>0</v>
      </c>
      <c r="AK236" s="169">
        <f t="shared" ref="AK236" si="833">AK217+AK223+AK229+AK235</f>
        <v>0</v>
      </c>
      <c r="AL236" s="169">
        <f t="shared" ref="AL236" si="834">AL217+AL223+AL229+AL235</f>
        <v>0</v>
      </c>
      <c r="AM236" s="169">
        <f t="shared" ref="AM236" si="835">AM217+AM223+AM229+AM235</f>
        <v>0</v>
      </c>
      <c r="AN236" s="169">
        <f t="shared" ref="AN236" si="836">AN217+AN223+AN229+AN235</f>
        <v>0</v>
      </c>
      <c r="AO236" s="169">
        <f t="shared" ref="AO236" si="837">AO217+AO223+AO229+AO235</f>
        <v>0</v>
      </c>
      <c r="AP236" s="169">
        <f t="shared" ref="AP236" si="838">AP217+AP223+AP229+AP235</f>
        <v>0</v>
      </c>
    </row>
    <row r="237" spans="1:42" x14ac:dyDescent="0.2">
      <c r="A237" s="187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</row>
    <row r="238" spans="1:42" x14ac:dyDescent="0.2">
      <c r="A238" s="180" t="s">
        <v>124</v>
      </c>
      <c r="C238" s="169">
        <f>C210+C236</f>
        <v>-5029561.2693699962</v>
      </c>
      <c r="D238" s="169">
        <f t="shared" ref="D238:AP238" si="839">D210+D236</f>
        <v>-9166607.9961545821</v>
      </c>
      <c r="E238" s="169">
        <f t="shared" si="839"/>
        <v>-4671890.1258161534</v>
      </c>
      <c r="F238" s="169">
        <f t="shared" si="839"/>
        <v>-1927341.486393454</v>
      </c>
      <c r="G238" s="169">
        <f t="shared" si="839"/>
        <v>-1810373.7169205435</v>
      </c>
      <c r="H238" s="169">
        <f t="shared" si="839"/>
        <v>289446.58056714665</v>
      </c>
      <c r="I238" s="169">
        <f t="shared" si="839"/>
        <v>2395039.2281495854</v>
      </c>
      <c r="J238" s="169">
        <f t="shared" si="839"/>
        <v>2531818.4341264353</v>
      </c>
      <c r="K238" s="169">
        <f t="shared" si="839"/>
        <v>2677877.0460629282</v>
      </c>
      <c r="L238" s="169">
        <f t="shared" si="839"/>
        <v>2834706.8406448024</v>
      </c>
      <c r="M238" s="169">
        <f t="shared" si="839"/>
        <v>3002293.0097537055</v>
      </c>
      <c r="N238" s="169">
        <f t="shared" si="839"/>
        <v>2593340.5805996433</v>
      </c>
      <c r="O238" s="169">
        <f t="shared" si="839"/>
        <v>2380681.5734405164</v>
      </c>
      <c r="P238" s="169">
        <f t="shared" si="839"/>
        <v>2962650.0617863424</v>
      </c>
      <c r="Q238" s="169">
        <f t="shared" si="839"/>
        <v>3408259.9674550891</v>
      </c>
      <c r="R238" s="169">
        <f t="shared" si="839"/>
        <v>3684502.4241658309</v>
      </c>
      <c r="S238" s="169">
        <f t="shared" si="839"/>
        <v>3951245.2176652299</v>
      </c>
      <c r="T238" s="169">
        <f t="shared" si="839"/>
        <v>4152524.6222394179</v>
      </c>
      <c r="U238" s="169">
        <f t="shared" si="839"/>
        <v>4184068.6364398277</v>
      </c>
      <c r="V238" s="169">
        <f t="shared" si="839"/>
        <v>4215497.8042727914</v>
      </c>
      <c r="W238" s="169">
        <f t="shared" si="839"/>
        <v>4280812.4295817297</v>
      </c>
      <c r="X238" s="169">
        <f t="shared" si="839"/>
        <v>4331798.1856505126</v>
      </c>
      <c r="Y238" s="169">
        <f t="shared" si="839"/>
        <v>4348651.6986494195</v>
      </c>
      <c r="Z238" s="169">
        <f t="shared" si="839"/>
        <v>3661184.3940180503</v>
      </c>
      <c r="AA238" s="169">
        <f t="shared" si="839"/>
        <v>3193639.1744986284</v>
      </c>
      <c r="AB238" s="169">
        <f t="shared" si="839"/>
        <v>3661767.1761972443</v>
      </c>
      <c r="AC238" s="169">
        <f t="shared" si="839"/>
        <v>3949476.5230466793</v>
      </c>
      <c r="AD238" s="169">
        <f t="shared" si="839"/>
        <v>3966626.1435710206</v>
      </c>
      <c r="AE238" s="169">
        <f t="shared" si="839"/>
        <v>4186425.7137250523</v>
      </c>
      <c r="AF238" s="169">
        <f t="shared" si="839"/>
        <v>4406063.7583092032</v>
      </c>
      <c r="AG238" s="169">
        <f t="shared" si="839"/>
        <v>4422728.6825980684</v>
      </c>
      <c r="AH238" s="169">
        <f t="shared" si="839"/>
        <v>4439221.3902266882</v>
      </c>
      <c r="AI238" s="169">
        <f t="shared" si="839"/>
        <v>4455536.349699338</v>
      </c>
      <c r="AJ238" s="169">
        <f t="shared" si="839"/>
        <v>4471667.9018938839</v>
      </c>
      <c r="AK238" s="169">
        <f t="shared" si="839"/>
        <v>4487610.2572413096</v>
      </c>
      <c r="AL238" s="169">
        <f t="shared" si="839"/>
        <v>3661416.8336814255</v>
      </c>
      <c r="AM238" s="169">
        <f t="shared" si="839"/>
        <v>3098128.6871884419</v>
      </c>
      <c r="AN238" s="169">
        <f t="shared" si="839"/>
        <v>3646170.2377080778</v>
      </c>
      <c r="AO238" s="169">
        <f t="shared" si="839"/>
        <v>3978461.2612677841</v>
      </c>
      <c r="AP238" s="169">
        <f t="shared" si="839"/>
        <v>8012848.2349189082</v>
      </c>
    </row>
    <row r="239" spans="1:42" x14ac:dyDescent="0.2">
      <c r="A239" s="180" t="s">
        <v>122</v>
      </c>
      <c r="C239" s="177">
        <f t="shared" ref="C239:AP239" si="840">C238*-StateTax</f>
        <v>276625.86981534981</v>
      </c>
      <c r="D239" s="177">
        <f t="shared" si="840"/>
        <v>504163.439788502</v>
      </c>
      <c r="E239" s="177">
        <f t="shared" si="840"/>
        <v>256953.95691988844</v>
      </c>
      <c r="F239" s="177">
        <f t="shared" si="840"/>
        <v>106003.78175163997</v>
      </c>
      <c r="G239" s="177">
        <f t="shared" si="840"/>
        <v>99570.554430629898</v>
      </c>
      <c r="H239" s="177">
        <f t="shared" si="840"/>
        <v>-15919.561931193066</v>
      </c>
      <c r="I239" s="177">
        <f t="shared" si="840"/>
        <v>-131727.1575482272</v>
      </c>
      <c r="J239" s="177">
        <f t="shared" si="840"/>
        <v>-139250.01387695395</v>
      </c>
      <c r="K239" s="177">
        <f t="shared" si="840"/>
        <v>-147283.23753346104</v>
      </c>
      <c r="L239" s="177">
        <f t="shared" si="840"/>
        <v>-155908.87623546412</v>
      </c>
      <c r="M239" s="177">
        <f t="shared" si="840"/>
        <v>-165126.11553645381</v>
      </c>
      <c r="N239" s="177">
        <f t="shared" si="840"/>
        <v>-142633.73193298039</v>
      </c>
      <c r="O239" s="177">
        <f t="shared" si="840"/>
        <v>-130937.4865392284</v>
      </c>
      <c r="P239" s="177">
        <f t="shared" si="840"/>
        <v>-162945.75339824884</v>
      </c>
      <c r="Q239" s="177">
        <f t="shared" si="840"/>
        <v>-187454.2982100299</v>
      </c>
      <c r="R239" s="177">
        <f t="shared" si="840"/>
        <v>-202647.6333291207</v>
      </c>
      <c r="S239" s="177">
        <f t="shared" si="840"/>
        <v>-217318.48697158764</v>
      </c>
      <c r="T239" s="177">
        <f t="shared" si="840"/>
        <v>-228388.85422316799</v>
      </c>
      <c r="U239" s="177">
        <f t="shared" si="840"/>
        <v>-230123.77500419054</v>
      </c>
      <c r="V239" s="177">
        <f t="shared" si="840"/>
        <v>-231852.37923500352</v>
      </c>
      <c r="W239" s="177">
        <f t="shared" si="840"/>
        <v>-235444.68362699513</v>
      </c>
      <c r="X239" s="177">
        <f t="shared" si="840"/>
        <v>-238248.9002107782</v>
      </c>
      <c r="Y239" s="177">
        <f t="shared" si="840"/>
        <v>-239175.84342571808</v>
      </c>
      <c r="Z239" s="177">
        <f t="shared" si="840"/>
        <v>-201365.14167099277</v>
      </c>
      <c r="AA239" s="177">
        <f t="shared" si="840"/>
        <v>-175650.15459742455</v>
      </c>
      <c r="AB239" s="177">
        <f t="shared" si="840"/>
        <v>-201397.19469084844</v>
      </c>
      <c r="AC239" s="177">
        <f t="shared" si="840"/>
        <v>-217221.20876756735</v>
      </c>
      <c r="AD239" s="177">
        <f t="shared" si="840"/>
        <v>-218164.43789640613</v>
      </c>
      <c r="AE239" s="177">
        <f t="shared" si="840"/>
        <v>-230253.41425487789</v>
      </c>
      <c r="AF239" s="177">
        <f t="shared" si="840"/>
        <v>-242333.50670700616</v>
      </c>
      <c r="AG239" s="177">
        <f t="shared" si="840"/>
        <v>-243250.07754289376</v>
      </c>
      <c r="AH239" s="177">
        <f t="shared" si="840"/>
        <v>-244157.17646246785</v>
      </c>
      <c r="AI239" s="177">
        <f t="shared" si="840"/>
        <v>-245054.49923346358</v>
      </c>
      <c r="AJ239" s="177">
        <f t="shared" si="840"/>
        <v>-245941.73460416362</v>
      </c>
      <c r="AK239" s="177">
        <f t="shared" si="840"/>
        <v>-246818.56414827204</v>
      </c>
      <c r="AL239" s="177">
        <f t="shared" si="840"/>
        <v>-201377.92585247839</v>
      </c>
      <c r="AM239" s="177">
        <f t="shared" si="840"/>
        <v>-170397.07779536431</v>
      </c>
      <c r="AN239" s="177">
        <f t="shared" si="840"/>
        <v>-200539.36307394429</v>
      </c>
      <c r="AO239" s="177">
        <f t="shared" si="840"/>
        <v>-218815.36936972811</v>
      </c>
      <c r="AP239" s="177">
        <f t="shared" si="840"/>
        <v>-440706.65292053996</v>
      </c>
    </row>
    <row r="240" spans="1:42" s="101" customFormat="1" x14ac:dyDescent="0.2">
      <c r="A240" s="25"/>
    </row>
    <row r="241" spans="1:42" s="101" customFormat="1" x14ac:dyDescent="0.2">
      <c r="A241" s="178" t="s">
        <v>115</v>
      </c>
    </row>
    <row r="242" spans="1:42" s="101" customFormat="1" x14ac:dyDescent="0.2">
      <c r="A242" s="25" t="s">
        <v>112</v>
      </c>
      <c r="C242" s="181">
        <f>C$43</f>
        <v>3731001.0132801849</v>
      </c>
      <c r="D242" s="181">
        <f t="shared" ref="D242:AP242" si="841">D$43</f>
        <v>3758854.3555844845</v>
      </c>
      <c r="E242" s="181">
        <f t="shared" si="841"/>
        <v>3786649.6299761124</v>
      </c>
      <c r="F242" s="181">
        <f t="shared" si="841"/>
        <v>3814383.9864899842</v>
      </c>
      <c r="G242" s="181">
        <f t="shared" si="841"/>
        <v>3842054.506843809</v>
      </c>
      <c r="H242" s="181">
        <f t="shared" si="841"/>
        <v>3869658.2029270036</v>
      </c>
      <c r="I242" s="181">
        <f t="shared" si="841"/>
        <v>3897192.0152563346</v>
      </c>
      <c r="J242" s="181">
        <f t="shared" si="841"/>
        <v>3924652.8113975525</v>
      </c>
      <c r="K242" s="181">
        <f t="shared" si="841"/>
        <v>3952037.3843522924</v>
      </c>
      <c r="L242" s="181">
        <f t="shared" si="841"/>
        <v>3979342.4509094106</v>
      </c>
      <c r="M242" s="181">
        <f t="shared" si="841"/>
        <v>4006564.6499600406</v>
      </c>
      <c r="N242" s="181">
        <f t="shared" si="841"/>
        <v>4033700.5407754984</v>
      </c>
      <c r="O242" s="181">
        <f t="shared" si="841"/>
        <v>4060746.6012472692</v>
      </c>
      <c r="P242" s="181">
        <f t="shared" si="841"/>
        <v>4087699.22608817</v>
      </c>
      <c r="Q242" s="181">
        <f t="shared" si="841"/>
        <v>4114554.7249938948</v>
      </c>
      <c r="R242" s="181">
        <f t="shared" si="841"/>
        <v>4141309.3207640052</v>
      </c>
      <c r="S242" s="181">
        <f t="shared" si="841"/>
        <v>4167959.147381512</v>
      </c>
      <c r="T242" s="181">
        <f t="shared" si="841"/>
        <v>4194500.2480500722</v>
      </c>
      <c r="U242" s="181">
        <f t="shared" si="841"/>
        <v>4220928.5731879221</v>
      </c>
      <c r="V242" s="181">
        <f t="shared" si="841"/>
        <v>4247239.978377548</v>
      </c>
      <c r="W242" s="181">
        <f t="shared" si="841"/>
        <v>4273430.222270105</v>
      </c>
      <c r="X242" s="181">
        <f t="shared" si="841"/>
        <v>4285164.0422560945</v>
      </c>
      <c r="Y242" s="181">
        <f t="shared" si="841"/>
        <v>4296767.9188387962</v>
      </c>
      <c r="Z242" s="181">
        <f t="shared" si="841"/>
        <v>4308237.3068343168</v>
      </c>
      <c r="AA242" s="181">
        <f t="shared" si="841"/>
        <v>4319567.5552723026</v>
      </c>
      <c r="AB242" s="181">
        <f t="shared" si="841"/>
        <v>4330753.9050586084</v>
      </c>
      <c r="AC242" s="181">
        <f t="shared" si="841"/>
        <v>4341791.4865863631</v>
      </c>
      <c r="AD242" s="181">
        <f t="shared" si="841"/>
        <v>4352675.3172942605</v>
      </c>
      <c r="AE242" s="181">
        <f t="shared" si="841"/>
        <v>4363400.2991709113</v>
      </c>
      <c r="AF242" s="181">
        <f t="shared" si="841"/>
        <v>4373961.216204023</v>
      </c>
      <c r="AG242" s="181">
        <f t="shared" si="841"/>
        <v>4384352.7317732368</v>
      </c>
      <c r="AH242" s="181">
        <f t="shared" si="841"/>
        <v>4394569.3859853167</v>
      </c>
      <c r="AI242" s="181">
        <f t="shared" si="841"/>
        <v>4404605.5929504344</v>
      </c>
      <c r="AJ242" s="181">
        <f t="shared" si="841"/>
        <v>4414455.6379982121</v>
      </c>
      <c r="AK242" s="181">
        <f t="shared" si="841"/>
        <v>4424113.6748322137</v>
      </c>
      <c r="AL242" s="181">
        <f t="shared" si="841"/>
        <v>4433573.722621494</v>
      </c>
      <c r="AM242" s="181">
        <f t="shared" si="841"/>
        <v>4442829.6630278053</v>
      </c>
      <c r="AN242" s="181">
        <f t="shared" si="841"/>
        <v>4451875.2371670138</v>
      </c>
      <c r="AO242" s="181">
        <f t="shared" si="841"/>
        <v>4460704.0425033029</v>
      </c>
      <c r="AP242" s="181">
        <f t="shared" si="841"/>
        <v>8492024.5296746008</v>
      </c>
    </row>
    <row r="243" spans="1:42" s="101" customFormat="1" x14ac:dyDescent="0.2">
      <c r="A243" s="25" t="s">
        <v>121</v>
      </c>
      <c r="C243" s="181">
        <f t="shared" ref="C243:AP243" si="842">C775</f>
        <v>29367.940740299098</v>
      </c>
      <c r="D243" s="181">
        <f t="shared" si="842"/>
        <v>33794.501200713072</v>
      </c>
      <c r="E243" s="181">
        <f t="shared" si="842"/>
        <v>38222.159336134631</v>
      </c>
      <c r="F243" s="181">
        <f t="shared" si="842"/>
        <v>42650.92639319937</v>
      </c>
      <c r="G243" s="181">
        <f t="shared" si="842"/>
        <v>47080.813797189818</v>
      </c>
      <c r="H243" s="181">
        <f t="shared" si="842"/>
        <v>51511.8331555806</v>
      </c>
      <c r="I243" s="181">
        <f t="shared" si="842"/>
        <v>55943.996261659493</v>
      </c>
      <c r="J243" s="181">
        <f t="shared" si="842"/>
        <v>60377.315098226289</v>
      </c>
      <c r="K243" s="181">
        <f t="shared" si="842"/>
        <v>64811.801841371205</v>
      </c>
      <c r="L243" s="181">
        <f t="shared" si="842"/>
        <v>69247.468864334194</v>
      </c>
      <c r="M243" s="181">
        <f t="shared" si="842"/>
        <v>73684.328741447462</v>
      </c>
      <c r="N243" s="181">
        <f t="shared" si="842"/>
        <v>78122.394252162732</v>
      </c>
      <c r="O243" s="181">
        <f t="shared" si="842"/>
        <v>30715.263160839462</v>
      </c>
      <c r="P243" s="181">
        <f t="shared" si="842"/>
        <v>35995.881993492687</v>
      </c>
      <c r="Q243" s="181">
        <f t="shared" si="842"/>
        <v>41277.746070404472</v>
      </c>
      <c r="R243" s="181">
        <f t="shared" si="842"/>
        <v>21620.793204951438</v>
      </c>
      <c r="S243" s="181">
        <f t="shared" si="842"/>
        <v>26732.458565163892</v>
      </c>
      <c r="T243" s="181">
        <f t="shared" si="842"/>
        <v>31846.115485115948</v>
      </c>
      <c r="U243" s="181">
        <f t="shared" si="842"/>
        <v>36961.804547676074</v>
      </c>
      <c r="V243" s="181">
        <f t="shared" si="842"/>
        <v>42079.567191013273</v>
      </c>
      <c r="W243" s="181">
        <f t="shared" si="842"/>
        <v>47199.445727059538</v>
      </c>
      <c r="X243" s="181">
        <f t="shared" si="842"/>
        <v>52446.878929518141</v>
      </c>
      <c r="Y243" s="181">
        <f t="shared" si="842"/>
        <v>57696.515345723783</v>
      </c>
      <c r="Z243" s="181">
        <f t="shared" si="842"/>
        <v>62948.400023769842</v>
      </c>
      <c r="AA243" s="181">
        <f t="shared" si="842"/>
        <v>6586.0784493241936</v>
      </c>
      <c r="AB243" s="181">
        <f t="shared" si="842"/>
        <v>12847.040886474646</v>
      </c>
      <c r="AC243" s="181">
        <f t="shared" si="842"/>
        <v>19110.392523059818</v>
      </c>
      <c r="AD243" s="181">
        <f t="shared" si="842"/>
        <v>25376.182339503135</v>
      </c>
      <c r="AE243" s="181">
        <f t="shared" si="842"/>
        <v>31644.460353062212</v>
      </c>
      <c r="AF243" s="181">
        <f t="shared" si="842"/>
        <v>37915.277640280299</v>
      </c>
      <c r="AG243" s="181">
        <f t="shared" si="842"/>
        <v>44188.686359931598</v>
      </c>
      <c r="AH243" s="181">
        <f t="shared" si="842"/>
        <v>50464.739776471564</v>
      </c>
      <c r="AI243" s="181">
        <f t="shared" si="842"/>
        <v>56743.492284003289</v>
      </c>
      <c r="AJ243" s="181">
        <f t="shared" si="842"/>
        <v>63024.999430771604</v>
      </c>
      <c r="AK243" s="181">
        <f t="shared" si="842"/>
        <v>69309.317944196475</v>
      </c>
      <c r="AL243" s="181">
        <f t="shared" si="842"/>
        <v>75596.50575645786</v>
      </c>
      <c r="AM243" s="181">
        <f t="shared" si="842"/>
        <v>8216.8143540193832</v>
      </c>
      <c r="AN243" s="181">
        <f t="shared" si="842"/>
        <v>8370.7688711335886</v>
      </c>
      <c r="AO243" s="181">
        <f t="shared" si="842"/>
        <v>8527.773976562974</v>
      </c>
      <c r="AP243" s="181">
        <f t="shared" si="842"/>
        <v>8687.8926888390088</v>
      </c>
    </row>
    <row r="244" spans="1:42" s="101" customFormat="1" x14ac:dyDescent="0.2">
      <c r="A244" s="25" t="s">
        <v>113</v>
      </c>
      <c r="C244" s="181">
        <f>-C612</f>
        <v>-1813879.1376327234</v>
      </c>
      <c r="D244" s="181">
        <f t="shared" ref="D244:AP244" si="843">-D612</f>
        <v>-1754355.7994579498</v>
      </c>
      <c r="E244" s="181">
        <f t="shared" si="843"/>
        <v>-1688620.4144053103</v>
      </c>
      <c r="F244" s="181">
        <f t="shared" si="843"/>
        <v>-1616194.8823700899</v>
      </c>
      <c r="G244" s="181">
        <f t="shared" si="843"/>
        <v>-1536564.2140985662</v>
      </c>
      <c r="H244" s="181">
        <f t="shared" si="843"/>
        <v>-1449173.6762008723</v>
      </c>
      <c r="I244" s="181">
        <f t="shared" si="843"/>
        <v>-1353425.714989109</v>
      </c>
      <c r="J244" s="181">
        <f t="shared" si="843"/>
        <v>-1248676.6420015651</v>
      </c>
      <c r="K244" s="181">
        <f t="shared" si="843"/>
        <v>-1134233.0627456757</v>
      </c>
      <c r="L244" s="181">
        <f t="shared" si="843"/>
        <v>-1009348.0287611643</v>
      </c>
      <c r="M244" s="181">
        <f t="shared" si="843"/>
        <v>-873216.89156272251</v>
      </c>
      <c r="N244" s="181">
        <f t="shared" si="843"/>
        <v>-724972.83535997651</v>
      </c>
      <c r="O244" s="181">
        <f t="shared" si="843"/>
        <v>-563682.06366211164</v>
      </c>
      <c r="P244" s="181">
        <f t="shared" si="843"/>
        <v>-391094.50597528962</v>
      </c>
      <c r="Q244" s="181">
        <f t="shared" si="843"/>
        <v>-203584.1322527983</v>
      </c>
      <c r="R244" s="181">
        <f t="shared" si="843"/>
        <v>0</v>
      </c>
      <c r="S244" s="181">
        <f t="shared" si="843"/>
        <v>0</v>
      </c>
      <c r="T244" s="181">
        <f t="shared" si="843"/>
        <v>0</v>
      </c>
      <c r="U244" s="181">
        <f t="shared" si="843"/>
        <v>0</v>
      </c>
      <c r="V244" s="181">
        <f t="shared" si="843"/>
        <v>0</v>
      </c>
      <c r="W244" s="181">
        <f t="shared" si="843"/>
        <v>0</v>
      </c>
      <c r="X244" s="181">
        <f t="shared" si="843"/>
        <v>0</v>
      </c>
      <c r="Y244" s="181">
        <f t="shared" si="843"/>
        <v>0</v>
      </c>
      <c r="Z244" s="181">
        <f t="shared" si="843"/>
        <v>0</v>
      </c>
      <c r="AA244" s="181">
        <f t="shared" si="843"/>
        <v>0</v>
      </c>
      <c r="AB244" s="181">
        <f t="shared" si="843"/>
        <v>0</v>
      </c>
      <c r="AC244" s="181">
        <f t="shared" si="843"/>
        <v>0</v>
      </c>
      <c r="AD244" s="181">
        <f t="shared" si="843"/>
        <v>0</v>
      </c>
      <c r="AE244" s="181">
        <f t="shared" si="843"/>
        <v>0</v>
      </c>
      <c r="AF244" s="181">
        <f t="shared" si="843"/>
        <v>0</v>
      </c>
      <c r="AG244" s="181">
        <f t="shared" si="843"/>
        <v>0</v>
      </c>
      <c r="AH244" s="181">
        <f t="shared" si="843"/>
        <v>0</v>
      </c>
      <c r="AI244" s="181">
        <f t="shared" si="843"/>
        <v>0</v>
      </c>
      <c r="AJ244" s="181">
        <f t="shared" si="843"/>
        <v>0</v>
      </c>
      <c r="AK244" s="181">
        <f t="shared" si="843"/>
        <v>0</v>
      </c>
      <c r="AL244" s="181">
        <f t="shared" si="843"/>
        <v>0</v>
      </c>
      <c r="AM244" s="181">
        <f t="shared" si="843"/>
        <v>0</v>
      </c>
      <c r="AN244" s="181">
        <f t="shared" si="843"/>
        <v>0</v>
      </c>
      <c r="AO244" s="181">
        <f t="shared" si="843"/>
        <v>0</v>
      </c>
      <c r="AP244" s="181">
        <f t="shared" si="843"/>
        <v>0</v>
      </c>
    </row>
    <row r="245" spans="1:42" s="25" customFormat="1" x14ac:dyDescent="0.2">
      <c r="A245" s="25" t="s">
        <v>116</v>
      </c>
      <c r="B245" s="101"/>
      <c r="C245" s="124">
        <f t="shared" ref="C245:AP245" si="844">IF(C$2&lt;=AnalysisPeriod,-C465-C496-C522-C548,0)</f>
        <v>-6976051.0857577566</v>
      </c>
      <c r="D245" s="124">
        <f t="shared" si="844"/>
        <v>-11204901.05348183</v>
      </c>
      <c r="E245" s="124">
        <f t="shared" si="844"/>
        <v>-6808141.50072309</v>
      </c>
      <c r="F245" s="124">
        <f t="shared" si="844"/>
        <v>-4168181.5169065478</v>
      </c>
      <c r="G245" s="124">
        <f t="shared" si="844"/>
        <v>-4162944.8234629761</v>
      </c>
      <c r="H245" s="124">
        <f t="shared" si="844"/>
        <v>-2182549.7793145655</v>
      </c>
      <c r="I245" s="124">
        <f t="shared" si="844"/>
        <v>-204671.06837929957</v>
      </c>
      <c r="J245" s="124">
        <f t="shared" si="844"/>
        <v>-204535.05036777823</v>
      </c>
      <c r="K245" s="124">
        <f t="shared" si="844"/>
        <v>-204739.07738506023</v>
      </c>
      <c r="L245" s="124">
        <f t="shared" si="844"/>
        <v>-204535.05036777823</v>
      </c>
      <c r="M245" s="124">
        <f t="shared" si="844"/>
        <v>-204739.07738506023</v>
      </c>
      <c r="N245" s="124">
        <f t="shared" si="844"/>
        <v>-793509.51906804112</v>
      </c>
      <c r="O245" s="124">
        <f t="shared" si="844"/>
        <v>-1147098.2273054807</v>
      </c>
      <c r="P245" s="124">
        <f t="shared" si="844"/>
        <v>-769950.54032003065</v>
      </c>
      <c r="Q245" s="124">
        <f t="shared" si="844"/>
        <v>-543988.3713564116</v>
      </c>
      <c r="R245" s="124">
        <f t="shared" si="844"/>
        <v>-478427.68980312557</v>
      </c>
      <c r="S245" s="124">
        <f t="shared" si="844"/>
        <v>-243446.38828144583</v>
      </c>
      <c r="T245" s="124">
        <f t="shared" si="844"/>
        <v>-73821.741295770174</v>
      </c>
      <c r="U245" s="124">
        <f t="shared" si="844"/>
        <v>-73821.741295770174</v>
      </c>
      <c r="V245" s="124">
        <f t="shared" si="844"/>
        <v>-73821.741295770174</v>
      </c>
      <c r="W245" s="124">
        <f t="shared" si="844"/>
        <v>-39817.238415435095</v>
      </c>
      <c r="X245" s="124">
        <f t="shared" si="844"/>
        <v>-5812.7355351000133</v>
      </c>
      <c r="Y245" s="124">
        <f t="shared" si="844"/>
        <v>-5812.7355351000133</v>
      </c>
      <c r="Z245" s="124">
        <f t="shared" si="844"/>
        <v>-710001.31284003623</v>
      </c>
      <c r="AA245" s="124">
        <f t="shared" si="844"/>
        <v>-1132514.459222998</v>
      </c>
      <c r="AB245" s="124">
        <f t="shared" si="844"/>
        <v>-681833.76974783873</v>
      </c>
      <c r="AC245" s="124">
        <f t="shared" si="844"/>
        <v>-411425.35606274323</v>
      </c>
      <c r="AD245" s="124">
        <f t="shared" si="844"/>
        <v>-411425.35606274323</v>
      </c>
      <c r="AE245" s="124">
        <f t="shared" si="844"/>
        <v>-208619.04579892164</v>
      </c>
      <c r="AF245" s="124">
        <f t="shared" si="844"/>
        <v>-5812.7355351000133</v>
      </c>
      <c r="AG245" s="124">
        <f t="shared" si="844"/>
        <v>-5812.7355351000133</v>
      </c>
      <c r="AH245" s="124">
        <f t="shared" si="844"/>
        <v>-5812.7355351000133</v>
      </c>
      <c r="AI245" s="124">
        <f t="shared" si="844"/>
        <v>-5812.7355351000133</v>
      </c>
      <c r="AJ245" s="124">
        <f t="shared" si="844"/>
        <v>-5812.7355351000133</v>
      </c>
      <c r="AK245" s="124">
        <f t="shared" si="844"/>
        <v>-5812.7355351000133</v>
      </c>
      <c r="AL245" s="124">
        <f t="shared" si="844"/>
        <v>-847753.39469652658</v>
      </c>
      <c r="AM245" s="124">
        <f t="shared" si="844"/>
        <v>-1352917.7901933824</v>
      </c>
      <c r="AN245" s="124">
        <f t="shared" si="844"/>
        <v>-814075.76833006949</v>
      </c>
      <c r="AO245" s="124">
        <f t="shared" si="844"/>
        <v>-490770.55521208164</v>
      </c>
      <c r="AP245" s="124">
        <f t="shared" si="844"/>
        <v>-487864.18744453165</v>
      </c>
    </row>
    <row r="246" spans="1:42" s="101" customFormat="1" x14ac:dyDescent="0.2">
      <c r="A246" s="25" t="s">
        <v>122</v>
      </c>
      <c r="C246" s="124">
        <f>C239</f>
        <v>276625.86981534981</v>
      </c>
      <c r="D246" s="124">
        <f t="shared" ref="D246:AP246" si="845">D239</f>
        <v>504163.439788502</v>
      </c>
      <c r="E246" s="124">
        <f t="shared" si="845"/>
        <v>256953.95691988844</v>
      </c>
      <c r="F246" s="124">
        <f t="shared" si="845"/>
        <v>106003.78175163997</v>
      </c>
      <c r="G246" s="124">
        <f t="shared" si="845"/>
        <v>99570.554430629898</v>
      </c>
      <c r="H246" s="124">
        <f t="shared" si="845"/>
        <v>-15919.561931193066</v>
      </c>
      <c r="I246" s="124">
        <f t="shared" si="845"/>
        <v>-131727.1575482272</v>
      </c>
      <c r="J246" s="124">
        <f t="shared" si="845"/>
        <v>-139250.01387695395</v>
      </c>
      <c r="K246" s="124">
        <f t="shared" si="845"/>
        <v>-147283.23753346104</v>
      </c>
      <c r="L246" s="124">
        <f t="shared" si="845"/>
        <v>-155908.87623546412</v>
      </c>
      <c r="M246" s="124">
        <f t="shared" si="845"/>
        <v>-165126.11553645381</v>
      </c>
      <c r="N246" s="124">
        <f t="shared" si="845"/>
        <v>-142633.73193298039</v>
      </c>
      <c r="O246" s="124">
        <f t="shared" si="845"/>
        <v>-130937.4865392284</v>
      </c>
      <c r="P246" s="124">
        <f t="shared" si="845"/>
        <v>-162945.75339824884</v>
      </c>
      <c r="Q246" s="124">
        <f t="shared" si="845"/>
        <v>-187454.2982100299</v>
      </c>
      <c r="R246" s="124">
        <f t="shared" si="845"/>
        <v>-202647.6333291207</v>
      </c>
      <c r="S246" s="124">
        <f t="shared" si="845"/>
        <v>-217318.48697158764</v>
      </c>
      <c r="T246" s="124">
        <f t="shared" si="845"/>
        <v>-228388.85422316799</v>
      </c>
      <c r="U246" s="124">
        <f t="shared" si="845"/>
        <v>-230123.77500419054</v>
      </c>
      <c r="V246" s="124">
        <f t="shared" si="845"/>
        <v>-231852.37923500352</v>
      </c>
      <c r="W246" s="124">
        <f t="shared" si="845"/>
        <v>-235444.68362699513</v>
      </c>
      <c r="X246" s="124">
        <f t="shared" si="845"/>
        <v>-238248.9002107782</v>
      </c>
      <c r="Y246" s="124">
        <f t="shared" si="845"/>
        <v>-239175.84342571808</v>
      </c>
      <c r="Z246" s="124">
        <f t="shared" si="845"/>
        <v>-201365.14167099277</v>
      </c>
      <c r="AA246" s="124">
        <f t="shared" si="845"/>
        <v>-175650.15459742455</v>
      </c>
      <c r="AB246" s="124">
        <f t="shared" si="845"/>
        <v>-201397.19469084844</v>
      </c>
      <c r="AC246" s="124">
        <f t="shared" si="845"/>
        <v>-217221.20876756735</v>
      </c>
      <c r="AD246" s="124">
        <f t="shared" si="845"/>
        <v>-218164.43789640613</v>
      </c>
      <c r="AE246" s="124">
        <f t="shared" si="845"/>
        <v>-230253.41425487789</v>
      </c>
      <c r="AF246" s="124">
        <f t="shared" si="845"/>
        <v>-242333.50670700616</v>
      </c>
      <c r="AG246" s="124">
        <f t="shared" si="845"/>
        <v>-243250.07754289376</v>
      </c>
      <c r="AH246" s="124">
        <f t="shared" si="845"/>
        <v>-244157.17646246785</v>
      </c>
      <c r="AI246" s="124">
        <f t="shared" si="845"/>
        <v>-245054.49923346358</v>
      </c>
      <c r="AJ246" s="124">
        <f t="shared" si="845"/>
        <v>-245941.73460416362</v>
      </c>
      <c r="AK246" s="124">
        <f t="shared" si="845"/>
        <v>-246818.56414827204</v>
      </c>
      <c r="AL246" s="124">
        <f t="shared" si="845"/>
        <v>-201377.92585247839</v>
      </c>
      <c r="AM246" s="124">
        <f t="shared" si="845"/>
        <v>-170397.07779536431</v>
      </c>
      <c r="AN246" s="124">
        <f t="shared" si="845"/>
        <v>-200539.36307394429</v>
      </c>
      <c r="AO246" s="124">
        <f t="shared" si="845"/>
        <v>-218815.36936972811</v>
      </c>
      <c r="AP246" s="124">
        <f t="shared" si="845"/>
        <v>-440706.65292053996</v>
      </c>
    </row>
    <row r="247" spans="1:42" s="101" customFormat="1" x14ac:dyDescent="0.2">
      <c r="A247" s="25" t="s">
        <v>147</v>
      </c>
      <c r="C247" s="124">
        <f>C99</f>
        <v>0</v>
      </c>
      <c r="D247" s="124">
        <f t="shared" ref="D247:AP247" si="846">D99</f>
        <v>0</v>
      </c>
      <c r="E247" s="124">
        <f t="shared" si="846"/>
        <v>0</v>
      </c>
      <c r="F247" s="124">
        <f t="shared" si="846"/>
        <v>0</v>
      </c>
      <c r="G247" s="124">
        <f t="shared" si="846"/>
        <v>0</v>
      </c>
      <c r="H247" s="124">
        <f t="shared" si="846"/>
        <v>0</v>
      </c>
      <c r="I247" s="124">
        <f t="shared" si="846"/>
        <v>0</v>
      </c>
      <c r="J247" s="124">
        <f t="shared" si="846"/>
        <v>0</v>
      </c>
      <c r="K247" s="124">
        <f t="shared" si="846"/>
        <v>0</v>
      </c>
      <c r="L247" s="124">
        <f t="shared" si="846"/>
        <v>0</v>
      </c>
      <c r="M247" s="124">
        <f t="shared" si="846"/>
        <v>0</v>
      </c>
      <c r="N247" s="124">
        <f t="shared" si="846"/>
        <v>0</v>
      </c>
      <c r="O247" s="124">
        <f t="shared" si="846"/>
        <v>0</v>
      </c>
      <c r="P247" s="124">
        <f t="shared" si="846"/>
        <v>0</v>
      </c>
      <c r="Q247" s="124">
        <f t="shared" si="846"/>
        <v>0</v>
      </c>
      <c r="R247" s="124">
        <f t="shared" si="846"/>
        <v>0</v>
      </c>
      <c r="S247" s="124">
        <f t="shared" si="846"/>
        <v>0</v>
      </c>
      <c r="T247" s="124">
        <f t="shared" si="846"/>
        <v>0</v>
      </c>
      <c r="U247" s="124">
        <f t="shared" si="846"/>
        <v>0</v>
      </c>
      <c r="V247" s="124">
        <f t="shared" si="846"/>
        <v>0</v>
      </c>
      <c r="W247" s="124">
        <f t="shared" si="846"/>
        <v>0</v>
      </c>
      <c r="X247" s="124">
        <f t="shared" si="846"/>
        <v>0</v>
      </c>
      <c r="Y247" s="124">
        <f t="shared" si="846"/>
        <v>0</v>
      </c>
      <c r="Z247" s="124">
        <f t="shared" si="846"/>
        <v>0</v>
      </c>
      <c r="AA247" s="124">
        <f t="shared" si="846"/>
        <v>0</v>
      </c>
      <c r="AB247" s="124">
        <f t="shared" si="846"/>
        <v>0</v>
      </c>
      <c r="AC247" s="124">
        <f t="shared" si="846"/>
        <v>0</v>
      </c>
      <c r="AD247" s="124">
        <f t="shared" si="846"/>
        <v>0</v>
      </c>
      <c r="AE247" s="124">
        <f t="shared" si="846"/>
        <v>0</v>
      </c>
      <c r="AF247" s="124">
        <f t="shared" si="846"/>
        <v>0</v>
      </c>
      <c r="AG247" s="124">
        <f t="shared" si="846"/>
        <v>0</v>
      </c>
      <c r="AH247" s="124">
        <f t="shared" si="846"/>
        <v>0</v>
      </c>
      <c r="AI247" s="124">
        <f t="shared" si="846"/>
        <v>0</v>
      </c>
      <c r="AJ247" s="124">
        <f t="shared" si="846"/>
        <v>0</v>
      </c>
      <c r="AK247" s="124">
        <f t="shared" si="846"/>
        <v>0</v>
      </c>
      <c r="AL247" s="124">
        <f t="shared" si="846"/>
        <v>0</v>
      </c>
      <c r="AM247" s="124">
        <f t="shared" si="846"/>
        <v>0</v>
      </c>
      <c r="AN247" s="124">
        <f t="shared" si="846"/>
        <v>0</v>
      </c>
      <c r="AO247" s="124">
        <f t="shared" si="846"/>
        <v>0</v>
      </c>
      <c r="AP247" s="124">
        <f t="shared" si="846"/>
        <v>0</v>
      </c>
    </row>
    <row r="248" spans="1:42" s="101" customFormat="1" x14ac:dyDescent="0.2">
      <c r="A248" s="25" t="s">
        <v>411</v>
      </c>
      <c r="C248" s="186">
        <f>C103</f>
        <v>0</v>
      </c>
      <c r="D248" s="186">
        <f t="shared" ref="D248:AP248" si="847">D103</f>
        <v>0</v>
      </c>
      <c r="E248" s="186">
        <f t="shared" si="847"/>
        <v>0</v>
      </c>
      <c r="F248" s="186">
        <f t="shared" si="847"/>
        <v>0</v>
      </c>
      <c r="G248" s="186">
        <f t="shared" si="847"/>
        <v>0</v>
      </c>
      <c r="H248" s="186">
        <f t="shared" si="847"/>
        <v>0</v>
      </c>
      <c r="I248" s="186">
        <f t="shared" si="847"/>
        <v>0</v>
      </c>
      <c r="J248" s="186">
        <f t="shared" si="847"/>
        <v>0</v>
      </c>
      <c r="K248" s="186">
        <f t="shared" si="847"/>
        <v>0</v>
      </c>
      <c r="L248" s="186">
        <f t="shared" si="847"/>
        <v>0</v>
      </c>
      <c r="M248" s="186">
        <f t="shared" si="847"/>
        <v>0</v>
      </c>
      <c r="N248" s="186">
        <f t="shared" si="847"/>
        <v>0</v>
      </c>
      <c r="O248" s="186">
        <f t="shared" si="847"/>
        <v>0</v>
      </c>
      <c r="P248" s="186">
        <f t="shared" si="847"/>
        <v>0</v>
      </c>
      <c r="Q248" s="186">
        <f t="shared" si="847"/>
        <v>0</v>
      </c>
      <c r="R248" s="186">
        <f t="shared" si="847"/>
        <v>0</v>
      </c>
      <c r="S248" s="186">
        <f t="shared" si="847"/>
        <v>0</v>
      </c>
      <c r="T248" s="186">
        <f t="shared" si="847"/>
        <v>0</v>
      </c>
      <c r="U248" s="186">
        <f t="shared" si="847"/>
        <v>0</v>
      </c>
      <c r="V248" s="186">
        <f t="shared" si="847"/>
        <v>0</v>
      </c>
      <c r="W248" s="186">
        <f t="shared" si="847"/>
        <v>0</v>
      </c>
      <c r="X248" s="186">
        <f t="shared" si="847"/>
        <v>0</v>
      </c>
      <c r="Y248" s="186">
        <f t="shared" si="847"/>
        <v>0</v>
      </c>
      <c r="Z248" s="186">
        <f t="shared" si="847"/>
        <v>0</v>
      </c>
      <c r="AA248" s="186">
        <f t="shared" si="847"/>
        <v>0</v>
      </c>
      <c r="AB248" s="186">
        <f t="shared" si="847"/>
        <v>0</v>
      </c>
      <c r="AC248" s="186">
        <f t="shared" si="847"/>
        <v>0</v>
      </c>
      <c r="AD248" s="186">
        <f t="shared" si="847"/>
        <v>0</v>
      </c>
      <c r="AE248" s="186">
        <f t="shared" si="847"/>
        <v>0</v>
      </c>
      <c r="AF248" s="186">
        <f t="shared" si="847"/>
        <v>0</v>
      </c>
      <c r="AG248" s="186">
        <f t="shared" si="847"/>
        <v>0</v>
      </c>
      <c r="AH248" s="186">
        <f t="shared" si="847"/>
        <v>0</v>
      </c>
      <c r="AI248" s="186">
        <f t="shared" si="847"/>
        <v>0</v>
      </c>
      <c r="AJ248" s="186">
        <f t="shared" si="847"/>
        <v>0</v>
      </c>
      <c r="AK248" s="186">
        <f t="shared" si="847"/>
        <v>0</v>
      </c>
      <c r="AL248" s="186">
        <f t="shared" si="847"/>
        <v>0</v>
      </c>
      <c r="AM248" s="186">
        <f t="shared" si="847"/>
        <v>0</v>
      </c>
      <c r="AN248" s="186">
        <f t="shared" si="847"/>
        <v>0</v>
      </c>
      <c r="AO248" s="186">
        <f t="shared" si="847"/>
        <v>0</v>
      </c>
      <c r="AP248" s="186">
        <f t="shared" si="847"/>
        <v>0</v>
      </c>
    </row>
    <row r="249" spans="1:42" s="101" customFormat="1" x14ac:dyDescent="0.2">
      <c r="A249" s="25" t="s">
        <v>114</v>
      </c>
      <c r="C249" s="181">
        <f>SUM(C242:C248)</f>
        <v>-4752935.3995546466</v>
      </c>
      <c r="D249" s="181">
        <f t="shared" ref="D249:AP249" si="848">SUM(D242:D248)</f>
        <v>-8662444.5563660804</v>
      </c>
      <c r="E249" s="181">
        <f t="shared" si="848"/>
        <v>-4414936.1688962653</v>
      </c>
      <c r="F249" s="181">
        <f t="shared" si="848"/>
        <v>-1821337.7046418141</v>
      </c>
      <c r="G249" s="181">
        <f t="shared" si="848"/>
        <v>-1710803.1624899136</v>
      </c>
      <c r="H249" s="181">
        <f t="shared" si="848"/>
        <v>273527.0186359536</v>
      </c>
      <c r="I249" s="181">
        <f t="shared" si="848"/>
        <v>2263312.0706013581</v>
      </c>
      <c r="J249" s="181">
        <f t="shared" si="848"/>
        <v>2392568.4202494812</v>
      </c>
      <c r="K249" s="181">
        <f t="shared" si="848"/>
        <v>2530593.8085294673</v>
      </c>
      <c r="L249" s="181">
        <f t="shared" si="848"/>
        <v>2678797.9644093383</v>
      </c>
      <c r="M249" s="181">
        <f t="shared" si="848"/>
        <v>2837166.8942172518</v>
      </c>
      <c r="N249" s="181">
        <f t="shared" si="848"/>
        <v>2450706.8486666628</v>
      </c>
      <c r="O249" s="181">
        <f t="shared" si="848"/>
        <v>2249744.086901288</v>
      </c>
      <c r="P249" s="181">
        <f t="shared" si="848"/>
        <v>2799704.3083880935</v>
      </c>
      <c r="Q249" s="181">
        <f t="shared" si="848"/>
        <v>3220805.6692450591</v>
      </c>
      <c r="R249" s="181">
        <f t="shared" si="848"/>
        <v>3481854.7908367105</v>
      </c>
      <c r="S249" s="181">
        <f t="shared" si="848"/>
        <v>3733926.7306936421</v>
      </c>
      <c r="T249" s="181">
        <f t="shared" si="848"/>
        <v>3924135.7680162499</v>
      </c>
      <c r="U249" s="181">
        <f t="shared" si="848"/>
        <v>3953944.8614356373</v>
      </c>
      <c r="V249" s="181">
        <f t="shared" si="848"/>
        <v>3983645.4250377878</v>
      </c>
      <c r="W249" s="181">
        <f t="shared" si="848"/>
        <v>4045367.7459547347</v>
      </c>
      <c r="X249" s="181">
        <f t="shared" si="848"/>
        <v>4093549.2854397343</v>
      </c>
      <c r="Y249" s="181">
        <f t="shared" si="848"/>
        <v>4109475.8552237013</v>
      </c>
      <c r="Z249" s="181">
        <f t="shared" si="848"/>
        <v>3459819.2523470577</v>
      </c>
      <c r="AA249" s="181">
        <f t="shared" si="848"/>
        <v>3017989.0199012039</v>
      </c>
      <c r="AB249" s="181">
        <f t="shared" si="848"/>
        <v>3460369.9815063961</v>
      </c>
      <c r="AC249" s="181">
        <f t="shared" si="848"/>
        <v>3732255.314279112</v>
      </c>
      <c r="AD249" s="181">
        <f t="shared" si="848"/>
        <v>3748461.7056746143</v>
      </c>
      <c r="AE249" s="181">
        <f t="shared" si="848"/>
        <v>3956172.2994701746</v>
      </c>
      <c r="AF249" s="181">
        <f t="shared" si="848"/>
        <v>4163730.2516021971</v>
      </c>
      <c r="AG249" s="181">
        <f t="shared" si="848"/>
        <v>4179478.6050551748</v>
      </c>
      <c r="AH249" s="181">
        <f t="shared" si="848"/>
        <v>4195064.2137642205</v>
      </c>
      <c r="AI249" s="181">
        <f t="shared" si="848"/>
        <v>4210481.8504658742</v>
      </c>
      <c r="AJ249" s="181">
        <f t="shared" si="848"/>
        <v>4225726.1672897199</v>
      </c>
      <c r="AK249" s="181">
        <f t="shared" si="848"/>
        <v>4240791.6930930372</v>
      </c>
      <c r="AL249" s="181">
        <f t="shared" si="848"/>
        <v>3460038.9078289471</v>
      </c>
      <c r="AM249" s="181">
        <f t="shared" si="848"/>
        <v>2927731.6093930774</v>
      </c>
      <c r="AN249" s="181">
        <f t="shared" si="848"/>
        <v>3445630.8746341337</v>
      </c>
      <c r="AO249" s="181">
        <f t="shared" si="848"/>
        <v>3759645.891898056</v>
      </c>
      <c r="AP249" s="181">
        <f t="shared" si="848"/>
        <v>7572141.5819983687</v>
      </c>
    </row>
    <row r="250" spans="1:42" s="101" customFormat="1" x14ac:dyDescent="0.2">
      <c r="A250" s="25" t="str">
        <f>'Inputs &amp; Results'!A53</f>
        <v>Investment Based Incentive (IBI)</v>
      </c>
    </row>
    <row r="251" spans="1:42" s="101" customFormat="1" x14ac:dyDescent="0.2">
      <c r="A251" s="187" t="str">
        <f>'Inputs &amp; Results'!A54</f>
        <v>Fixed Amount ($)</v>
      </c>
    </row>
    <row r="252" spans="1:42" s="101" customFormat="1" x14ac:dyDescent="0.2">
      <c r="A252" s="188" t="str">
        <f>'Inputs &amp; Results'!A55</f>
        <v>Federal</v>
      </c>
      <c r="C252" s="181">
        <f>IF(IBIFedFixedFedTax="Yes",C565,0)</f>
        <v>0</v>
      </c>
    </row>
    <row r="253" spans="1:42" s="101" customFormat="1" x14ac:dyDescent="0.2">
      <c r="A253" s="188" t="str">
        <f>'Inputs &amp; Results'!A56</f>
        <v>State</v>
      </c>
      <c r="C253" s="181">
        <f>IF(IBIStateFixedFedTax="Yes",C566,0)</f>
        <v>0</v>
      </c>
    </row>
    <row r="254" spans="1:42" s="101" customFormat="1" x14ac:dyDescent="0.2">
      <c r="A254" s="188" t="str">
        <f>'Inputs &amp; Results'!A57</f>
        <v>Utility</v>
      </c>
      <c r="C254" s="181">
        <f>IF(IBIUtilityFixedFedTax="Yes",C567,0)</f>
        <v>0</v>
      </c>
    </row>
    <row r="255" spans="1:42" x14ac:dyDescent="0.2">
      <c r="A255" s="188" t="str">
        <f>'Inputs &amp; Results'!A58</f>
        <v>Other</v>
      </c>
      <c r="C255" s="186">
        <f>IF(IBIOtherFixedFedTax="Yes",C568,0)</f>
        <v>0</v>
      </c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</row>
    <row r="256" spans="1:42" x14ac:dyDescent="0.2">
      <c r="A256" s="188" t="s">
        <v>53</v>
      </c>
      <c r="C256" s="169">
        <f>SUM(C252:C255)</f>
        <v>0</v>
      </c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</row>
    <row r="257" spans="1:42" x14ac:dyDescent="0.2">
      <c r="A257" s="187" t="str">
        <f>'Inputs &amp; Results'!A59</f>
        <v>Percentage of Pre-Financing Costs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</row>
    <row r="258" spans="1:42" x14ac:dyDescent="0.2">
      <c r="A258" s="188" t="str">
        <f>'Inputs &amp; Results'!A60</f>
        <v>Federal</v>
      </c>
      <c r="C258" s="181">
        <f>IF(IBIFedPercentFedTax="Yes",C571,0)</f>
        <v>0</v>
      </c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</row>
    <row r="259" spans="1:42" x14ac:dyDescent="0.2">
      <c r="A259" s="188" t="str">
        <f>'Inputs &amp; Results'!A61</f>
        <v>State</v>
      </c>
      <c r="C259" s="181">
        <f>IF(IBIStatePercentFedTax="Yes",C572,0)</f>
        <v>0</v>
      </c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</row>
    <row r="260" spans="1:42" x14ac:dyDescent="0.2">
      <c r="A260" s="188" t="str">
        <f>'Inputs &amp; Results'!A62</f>
        <v>Utility</v>
      </c>
      <c r="C260" s="181">
        <f>IF(IBIUtilityPercentFedTax="Yes",C573,0)</f>
        <v>0</v>
      </c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</row>
    <row r="261" spans="1:42" x14ac:dyDescent="0.2">
      <c r="A261" s="188" t="str">
        <f>'Inputs &amp; Results'!A63</f>
        <v>Other</v>
      </c>
      <c r="C261" s="186">
        <f>IF(IBIOtherPercentFedTax="Yes",C574,0)</f>
        <v>0</v>
      </c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</row>
    <row r="262" spans="1:42" x14ac:dyDescent="0.2">
      <c r="A262" s="188" t="s">
        <v>53</v>
      </c>
      <c r="C262" s="169">
        <f>SUM(C258:C261)</f>
        <v>0</v>
      </c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</row>
    <row r="263" spans="1:42" x14ac:dyDescent="0.2">
      <c r="A263" s="180" t="str">
        <f>'Inputs &amp; Results'!A64</f>
        <v>Capacity Based Incentive (CBI) ($/DC-Watt)</v>
      </c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</row>
    <row r="264" spans="1:42" x14ac:dyDescent="0.2">
      <c r="A264" s="187" t="str">
        <f>'Inputs &amp; Results'!A65</f>
        <v>Federal</v>
      </c>
      <c r="C264" s="124">
        <f>IF(CBIFedFedTax="Yes",C577,0)</f>
        <v>0</v>
      </c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</row>
    <row r="265" spans="1:42" x14ac:dyDescent="0.2">
      <c r="A265" s="187" t="str">
        <f>'Inputs &amp; Results'!A66</f>
        <v>State</v>
      </c>
      <c r="C265" s="124">
        <f>IF(CBIStateFedTax="Yes",C578,0)</f>
        <v>0</v>
      </c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</row>
    <row r="266" spans="1:42" x14ac:dyDescent="0.2">
      <c r="A266" s="187" t="str">
        <f>'Inputs &amp; Results'!A67</f>
        <v>Utility</v>
      </c>
      <c r="C266" s="124">
        <f>IF(CBIUtilityFedTax="Yes",C579,0)</f>
        <v>0</v>
      </c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</row>
    <row r="267" spans="1:42" x14ac:dyDescent="0.2">
      <c r="A267" s="187" t="str">
        <f>'Inputs &amp; Results'!A68</f>
        <v>Other</v>
      </c>
      <c r="C267" s="186">
        <f>IF(CBIOtherFedTax="Yes",C580,0)</f>
        <v>0</v>
      </c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</row>
    <row r="268" spans="1:42" x14ac:dyDescent="0.2">
      <c r="A268" s="187" t="s">
        <v>53</v>
      </c>
      <c r="C268" s="169">
        <f>SUM(C264:C267)</f>
        <v>0</v>
      </c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</row>
    <row r="269" spans="1:42" x14ac:dyDescent="0.2">
      <c r="A269" s="180" t="str">
        <f>'Inputs &amp; Results'!A71</f>
        <v>Production Based Incentive (PBI) ($/kWh)</v>
      </c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</row>
    <row r="270" spans="1:42" x14ac:dyDescent="0.2">
      <c r="A270" s="187" t="str">
        <f>'Inputs &amp; Results'!A72</f>
        <v>Federal</v>
      </c>
      <c r="C270" s="124">
        <f t="shared" ref="C270:AP270" si="849">IF(AND(PBIFedFedTax="Yes",PBIFedDebtSwitch="No"),C587,0)</f>
        <v>0</v>
      </c>
      <c r="D270" s="124">
        <f t="shared" si="849"/>
        <v>0</v>
      </c>
      <c r="E270" s="124">
        <f t="shared" si="849"/>
        <v>0</v>
      </c>
      <c r="F270" s="124">
        <f t="shared" si="849"/>
        <v>0</v>
      </c>
      <c r="G270" s="124">
        <f t="shared" si="849"/>
        <v>0</v>
      </c>
      <c r="H270" s="124">
        <f t="shared" si="849"/>
        <v>0</v>
      </c>
      <c r="I270" s="124">
        <f t="shared" si="849"/>
        <v>0</v>
      </c>
      <c r="J270" s="124">
        <f t="shared" si="849"/>
        <v>0</v>
      </c>
      <c r="K270" s="124">
        <f t="shared" si="849"/>
        <v>0</v>
      </c>
      <c r="L270" s="124">
        <f t="shared" si="849"/>
        <v>0</v>
      </c>
      <c r="M270" s="124">
        <f t="shared" si="849"/>
        <v>0</v>
      </c>
      <c r="N270" s="124">
        <f t="shared" si="849"/>
        <v>0</v>
      </c>
      <c r="O270" s="124">
        <f t="shared" si="849"/>
        <v>0</v>
      </c>
      <c r="P270" s="124">
        <f t="shared" si="849"/>
        <v>0</v>
      </c>
      <c r="Q270" s="124">
        <f t="shared" si="849"/>
        <v>0</v>
      </c>
      <c r="R270" s="124">
        <f t="shared" si="849"/>
        <v>0</v>
      </c>
      <c r="S270" s="124">
        <f t="shared" si="849"/>
        <v>0</v>
      </c>
      <c r="T270" s="124">
        <f t="shared" si="849"/>
        <v>0</v>
      </c>
      <c r="U270" s="124">
        <f t="shared" si="849"/>
        <v>0</v>
      </c>
      <c r="V270" s="124">
        <f t="shared" si="849"/>
        <v>0</v>
      </c>
      <c r="W270" s="124">
        <f t="shared" si="849"/>
        <v>0</v>
      </c>
      <c r="X270" s="124">
        <f t="shared" si="849"/>
        <v>0</v>
      </c>
      <c r="Y270" s="124">
        <f t="shared" si="849"/>
        <v>0</v>
      </c>
      <c r="Z270" s="124">
        <f t="shared" si="849"/>
        <v>0</v>
      </c>
      <c r="AA270" s="124">
        <f t="shared" si="849"/>
        <v>0</v>
      </c>
      <c r="AB270" s="124">
        <f t="shared" si="849"/>
        <v>0</v>
      </c>
      <c r="AC270" s="124">
        <f t="shared" si="849"/>
        <v>0</v>
      </c>
      <c r="AD270" s="124">
        <f t="shared" si="849"/>
        <v>0</v>
      </c>
      <c r="AE270" s="124">
        <f t="shared" si="849"/>
        <v>0</v>
      </c>
      <c r="AF270" s="124">
        <f t="shared" si="849"/>
        <v>0</v>
      </c>
      <c r="AG270" s="124">
        <f t="shared" si="849"/>
        <v>0</v>
      </c>
      <c r="AH270" s="124">
        <f t="shared" si="849"/>
        <v>0</v>
      </c>
      <c r="AI270" s="124">
        <f t="shared" si="849"/>
        <v>0</v>
      </c>
      <c r="AJ270" s="124">
        <f t="shared" si="849"/>
        <v>0</v>
      </c>
      <c r="AK270" s="124">
        <f t="shared" si="849"/>
        <v>0</v>
      </c>
      <c r="AL270" s="124">
        <f t="shared" si="849"/>
        <v>0</v>
      </c>
      <c r="AM270" s="124">
        <f t="shared" si="849"/>
        <v>0</v>
      </c>
      <c r="AN270" s="124">
        <f t="shared" si="849"/>
        <v>0</v>
      </c>
      <c r="AO270" s="124">
        <f t="shared" si="849"/>
        <v>0</v>
      </c>
      <c r="AP270" s="124">
        <f t="shared" si="849"/>
        <v>0</v>
      </c>
    </row>
    <row r="271" spans="1:42" x14ac:dyDescent="0.2">
      <c r="A271" s="187" t="str">
        <f>'Inputs &amp; Results'!A73</f>
        <v>State</v>
      </c>
      <c r="C271" s="124">
        <f t="shared" ref="C271:AP271" si="850">IF(AND(PBIStateFedTax="Yes",PBIStateDebtSwitch="No"),C591,0)</f>
        <v>0</v>
      </c>
      <c r="D271" s="124">
        <f t="shared" si="850"/>
        <v>0</v>
      </c>
      <c r="E271" s="124">
        <f t="shared" si="850"/>
        <v>0</v>
      </c>
      <c r="F271" s="124">
        <f t="shared" si="850"/>
        <v>0</v>
      </c>
      <c r="G271" s="124">
        <f t="shared" si="850"/>
        <v>0</v>
      </c>
      <c r="H271" s="124">
        <f t="shared" si="850"/>
        <v>0</v>
      </c>
      <c r="I271" s="124">
        <f t="shared" si="850"/>
        <v>0</v>
      </c>
      <c r="J271" s="124">
        <f t="shared" si="850"/>
        <v>0</v>
      </c>
      <c r="K271" s="124">
        <f t="shared" si="850"/>
        <v>0</v>
      </c>
      <c r="L271" s="124">
        <f t="shared" si="850"/>
        <v>0</v>
      </c>
      <c r="M271" s="124">
        <f t="shared" si="850"/>
        <v>0</v>
      </c>
      <c r="N271" s="124">
        <f t="shared" si="850"/>
        <v>0</v>
      </c>
      <c r="O271" s="124">
        <f t="shared" si="850"/>
        <v>0</v>
      </c>
      <c r="P271" s="124">
        <f t="shared" si="850"/>
        <v>0</v>
      </c>
      <c r="Q271" s="124">
        <f t="shared" si="850"/>
        <v>0</v>
      </c>
      <c r="R271" s="124">
        <f t="shared" si="850"/>
        <v>0</v>
      </c>
      <c r="S271" s="124">
        <f t="shared" si="850"/>
        <v>0</v>
      </c>
      <c r="T271" s="124">
        <f t="shared" si="850"/>
        <v>0</v>
      </c>
      <c r="U271" s="124">
        <f t="shared" si="850"/>
        <v>0</v>
      </c>
      <c r="V271" s="124">
        <f t="shared" si="850"/>
        <v>0</v>
      </c>
      <c r="W271" s="124">
        <f t="shared" si="850"/>
        <v>0</v>
      </c>
      <c r="X271" s="124">
        <f t="shared" si="850"/>
        <v>0</v>
      </c>
      <c r="Y271" s="124">
        <f t="shared" si="850"/>
        <v>0</v>
      </c>
      <c r="Z271" s="124">
        <f t="shared" si="850"/>
        <v>0</v>
      </c>
      <c r="AA271" s="124">
        <f t="shared" si="850"/>
        <v>0</v>
      </c>
      <c r="AB271" s="124">
        <f t="shared" si="850"/>
        <v>0</v>
      </c>
      <c r="AC271" s="124">
        <f t="shared" si="850"/>
        <v>0</v>
      </c>
      <c r="AD271" s="124">
        <f t="shared" si="850"/>
        <v>0</v>
      </c>
      <c r="AE271" s="124">
        <f t="shared" si="850"/>
        <v>0</v>
      </c>
      <c r="AF271" s="124">
        <f t="shared" si="850"/>
        <v>0</v>
      </c>
      <c r="AG271" s="124">
        <f t="shared" si="850"/>
        <v>0</v>
      </c>
      <c r="AH271" s="124">
        <f t="shared" si="850"/>
        <v>0</v>
      </c>
      <c r="AI271" s="124">
        <f t="shared" si="850"/>
        <v>0</v>
      </c>
      <c r="AJ271" s="124">
        <f t="shared" si="850"/>
        <v>0</v>
      </c>
      <c r="AK271" s="124">
        <f t="shared" si="850"/>
        <v>0</v>
      </c>
      <c r="AL271" s="124">
        <f t="shared" si="850"/>
        <v>0</v>
      </c>
      <c r="AM271" s="124">
        <f t="shared" si="850"/>
        <v>0</v>
      </c>
      <c r="AN271" s="124">
        <f t="shared" si="850"/>
        <v>0</v>
      </c>
      <c r="AO271" s="124">
        <f t="shared" si="850"/>
        <v>0</v>
      </c>
      <c r="AP271" s="124">
        <f t="shared" si="850"/>
        <v>0</v>
      </c>
    </row>
    <row r="272" spans="1:42" x14ac:dyDescent="0.2">
      <c r="A272" s="187" t="str">
        <f>'Inputs &amp; Results'!A74</f>
        <v>Utility</v>
      </c>
      <c r="C272" s="124">
        <f t="shared" ref="C272:AP272" si="851">IF(AND(PBIUtilityFedTax="Yes",PBIUtilityDebtSwitch="No"),C595,0)</f>
        <v>0</v>
      </c>
      <c r="D272" s="124">
        <f t="shared" si="851"/>
        <v>0</v>
      </c>
      <c r="E272" s="124">
        <f t="shared" si="851"/>
        <v>0</v>
      </c>
      <c r="F272" s="124">
        <f t="shared" si="851"/>
        <v>0</v>
      </c>
      <c r="G272" s="124">
        <f t="shared" si="851"/>
        <v>0</v>
      </c>
      <c r="H272" s="124">
        <f t="shared" si="851"/>
        <v>0</v>
      </c>
      <c r="I272" s="124">
        <f t="shared" si="851"/>
        <v>0</v>
      </c>
      <c r="J272" s="124">
        <f t="shared" si="851"/>
        <v>0</v>
      </c>
      <c r="K272" s="124">
        <f t="shared" si="851"/>
        <v>0</v>
      </c>
      <c r="L272" s="124">
        <f t="shared" si="851"/>
        <v>0</v>
      </c>
      <c r="M272" s="124">
        <f t="shared" si="851"/>
        <v>0</v>
      </c>
      <c r="N272" s="124">
        <f t="shared" si="851"/>
        <v>0</v>
      </c>
      <c r="O272" s="124">
        <f t="shared" si="851"/>
        <v>0</v>
      </c>
      <c r="P272" s="124">
        <f t="shared" si="851"/>
        <v>0</v>
      </c>
      <c r="Q272" s="124">
        <f t="shared" si="851"/>
        <v>0</v>
      </c>
      <c r="R272" s="124">
        <f t="shared" si="851"/>
        <v>0</v>
      </c>
      <c r="S272" s="124">
        <f t="shared" si="851"/>
        <v>0</v>
      </c>
      <c r="T272" s="124">
        <f t="shared" si="851"/>
        <v>0</v>
      </c>
      <c r="U272" s="124">
        <f t="shared" si="851"/>
        <v>0</v>
      </c>
      <c r="V272" s="124">
        <f t="shared" si="851"/>
        <v>0</v>
      </c>
      <c r="W272" s="124">
        <f t="shared" si="851"/>
        <v>0</v>
      </c>
      <c r="X272" s="124">
        <f t="shared" si="851"/>
        <v>0</v>
      </c>
      <c r="Y272" s="124">
        <f t="shared" si="851"/>
        <v>0</v>
      </c>
      <c r="Z272" s="124">
        <f t="shared" si="851"/>
        <v>0</v>
      </c>
      <c r="AA272" s="124">
        <f t="shared" si="851"/>
        <v>0</v>
      </c>
      <c r="AB272" s="124">
        <f t="shared" si="851"/>
        <v>0</v>
      </c>
      <c r="AC272" s="124">
        <f t="shared" si="851"/>
        <v>0</v>
      </c>
      <c r="AD272" s="124">
        <f t="shared" si="851"/>
        <v>0</v>
      </c>
      <c r="AE272" s="124">
        <f t="shared" si="851"/>
        <v>0</v>
      </c>
      <c r="AF272" s="124">
        <f t="shared" si="851"/>
        <v>0</v>
      </c>
      <c r="AG272" s="124">
        <f t="shared" si="851"/>
        <v>0</v>
      </c>
      <c r="AH272" s="124">
        <f t="shared" si="851"/>
        <v>0</v>
      </c>
      <c r="AI272" s="124">
        <f t="shared" si="851"/>
        <v>0</v>
      </c>
      <c r="AJ272" s="124">
        <f t="shared" si="851"/>
        <v>0</v>
      </c>
      <c r="AK272" s="124">
        <f t="shared" si="851"/>
        <v>0</v>
      </c>
      <c r="AL272" s="124">
        <f t="shared" si="851"/>
        <v>0</v>
      </c>
      <c r="AM272" s="124">
        <f t="shared" si="851"/>
        <v>0</v>
      </c>
      <c r="AN272" s="124">
        <f t="shared" si="851"/>
        <v>0</v>
      </c>
      <c r="AO272" s="124">
        <f t="shared" si="851"/>
        <v>0</v>
      </c>
      <c r="AP272" s="124">
        <f t="shared" si="851"/>
        <v>0</v>
      </c>
    </row>
    <row r="273" spans="1:42" x14ac:dyDescent="0.2">
      <c r="A273" s="187" t="str">
        <f>'Inputs &amp; Results'!A75</f>
        <v>Other</v>
      </c>
      <c r="C273" s="186">
        <f t="shared" ref="C273:AP273" si="852">IF(AND(PBIOtherFedTax="Yes",PBIOtherDebtSwitch="No"),C599,0)</f>
        <v>0</v>
      </c>
      <c r="D273" s="186">
        <f t="shared" si="852"/>
        <v>0</v>
      </c>
      <c r="E273" s="186">
        <f t="shared" si="852"/>
        <v>0</v>
      </c>
      <c r="F273" s="186">
        <f t="shared" si="852"/>
        <v>0</v>
      </c>
      <c r="G273" s="186">
        <f t="shared" si="852"/>
        <v>0</v>
      </c>
      <c r="H273" s="186">
        <f t="shared" si="852"/>
        <v>0</v>
      </c>
      <c r="I273" s="186">
        <f t="shared" si="852"/>
        <v>0</v>
      </c>
      <c r="J273" s="186">
        <f t="shared" si="852"/>
        <v>0</v>
      </c>
      <c r="K273" s="186">
        <f t="shared" si="852"/>
        <v>0</v>
      </c>
      <c r="L273" s="186">
        <f t="shared" si="852"/>
        <v>0</v>
      </c>
      <c r="M273" s="186">
        <f t="shared" si="852"/>
        <v>0</v>
      </c>
      <c r="N273" s="186">
        <f t="shared" si="852"/>
        <v>0</v>
      </c>
      <c r="O273" s="186">
        <f t="shared" si="852"/>
        <v>0</v>
      </c>
      <c r="P273" s="186">
        <f t="shared" si="852"/>
        <v>0</v>
      </c>
      <c r="Q273" s="186">
        <f t="shared" si="852"/>
        <v>0</v>
      </c>
      <c r="R273" s="186">
        <f t="shared" si="852"/>
        <v>0</v>
      </c>
      <c r="S273" s="186">
        <f t="shared" si="852"/>
        <v>0</v>
      </c>
      <c r="T273" s="186">
        <f t="shared" si="852"/>
        <v>0</v>
      </c>
      <c r="U273" s="186">
        <f t="shared" si="852"/>
        <v>0</v>
      </c>
      <c r="V273" s="186">
        <f t="shared" si="852"/>
        <v>0</v>
      </c>
      <c r="W273" s="186">
        <f t="shared" si="852"/>
        <v>0</v>
      </c>
      <c r="X273" s="186">
        <f t="shared" si="852"/>
        <v>0</v>
      </c>
      <c r="Y273" s="186">
        <f t="shared" si="852"/>
        <v>0</v>
      </c>
      <c r="Z273" s="186">
        <f t="shared" si="852"/>
        <v>0</v>
      </c>
      <c r="AA273" s="186">
        <f t="shared" si="852"/>
        <v>0</v>
      </c>
      <c r="AB273" s="186">
        <f t="shared" si="852"/>
        <v>0</v>
      </c>
      <c r="AC273" s="186">
        <f t="shared" si="852"/>
        <v>0</v>
      </c>
      <c r="AD273" s="186">
        <f t="shared" si="852"/>
        <v>0</v>
      </c>
      <c r="AE273" s="186">
        <f t="shared" si="852"/>
        <v>0</v>
      </c>
      <c r="AF273" s="186">
        <f t="shared" si="852"/>
        <v>0</v>
      </c>
      <c r="AG273" s="186">
        <f t="shared" si="852"/>
        <v>0</v>
      </c>
      <c r="AH273" s="186">
        <f t="shared" si="852"/>
        <v>0</v>
      </c>
      <c r="AI273" s="186">
        <f t="shared" si="852"/>
        <v>0</v>
      </c>
      <c r="AJ273" s="186">
        <f t="shared" si="852"/>
        <v>0</v>
      </c>
      <c r="AK273" s="186">
        <f t="shared" si="852"/>
        <v>0</v>
      </c>
      <c r="AL273" s="186">
        <f t="shared" si="852"/>
        <v>0</v>
      </c>
      <c r="AM273" s="186">
        <f t="shared" si="852"/>
        <v>0</v>
      </c>
      <c r="AN273" s="186">
        <f t="shared" si="852"/>
        <v>0</v>
      </c>
      <c r="AO273" s="186">
        <f t="shared" si="852"/>
        <v>0</v>
      </c>
      <c r="AP273" s="186">
        <f t="shared" si="852"/>
        <v>0</v>
      </c>
    </row>
    <row r="274" spans="1:42" x14ac:dyDescent="0.2">
      <c r="A274" s="187" t="s">
        <v>53</v>
      </c>
      <c r="C274" s="177">
        <f>SUM(C270:C273)</f>
        <v>0</v>
      </c>
      <c r="D274" s="177">
        <f t="shared" ref="D274:AL274" si="853">SUM(D270:D273)</f>
        <v>0</v>
      </c>
      <c r="E274" s="177">
        <f t="shared" si="853"/>
        <v>0</v>
      </c>
      <c r="F274" s="177">
        <f t="shared" si="853"/>
        <v>0</v>
      </c>
      <c r="G274" s="177">
        <f t="shared" si="853"/>
        <v>0</v>
      </c>
      <c r="H274" s="177">
        <f t="shared" si="853"/>
        <v>0</v>
      </c>
      <c r="I274" s="177">
        <f t="shared" si="853"/>
        <v>0</v>
      </c>
      <c r="J274" s="177">
        <f t="shared" si="853"/>
        <v>0</v>
      </c>
      <c r="K274" s="177">
        <f t="shared" si="853"/>
        <v>0</v>
      </c>
      <c r="L274" s="177">
        <f t="shared" si="853"/>
        <v>0</v>
      </c>
      <c r="M274" s="177">
        <f t="shared" si="853"/>
        <v>0</v>
      </c>
      <c r="N274" s="177">
        <f t="shared" si="853"/>
        <v>0</v>
      </c>
      <c r="O274" s="177">
        <f t="shared" si="853"/>
        <v>0</v>
      </c>
      <c r="P274" s="177">
        <f t="shared" si="853"/>
        <v>0</v>
      </c>
      <c r="Q274" s="177">
        <f t="shared" si="853"/>
        <v>0</v>
      </c>
      <c r="R274" s="177">
        <f t="shared" si="853"/>
        <v>0</v>
      </c>
      <c r="S274" s="177">
        <f t="shared" si="853"/>
        <v>0</v>
      </c>
      <c r="T274" s="177">
        <f t="shared" si="853"/>
        <v>0</v>
      </c>
      <c r="U274" s="177">
        <f t="shared" si="853"/>
        <v>0</v>
      </c>
      <c r="V274" s="177">
        <f t="shared" si="853"/>
        <v>0</v>
      </c>
      <c r="W274" s="177">
        <f t="shared" si="853"/>
        <v>0</v>
      </c>
      <c r="X274" s="177">
        <f t="shared" si="853"/>
        <v>0</v>
      </c>
      <c r="Y274" s="177">
        <f t="shared" si="853"/>
        <v>0</v>
      </c>
      <c r="Z274" s="177">
        <f t="shared" si="853"/>
        <v>0</v>
      </c>
      <c r="AA274" s="177">
        <f t="shared" si="853"/>
        <v>0</v>
      </c>
      <c r="AB274" s="177">
        <f t="shared" si="853"/>
        <v>0</v>
      </c>
      <c r="AC274" s="177">
        <f t="shared" si="853"/>
        <v>0</v>
      </c>
      <c r="AD274" s="177">
        <f t="shared" si="853"/>
        <v>0</v>
      </c>
      <c r="AE274" s="177">
        <f t="shared" si="853"/>
        <v>0</v>
      </c>
      <c r="AF274" s="177">
        <f t="shared" si="853"/>
        <v>0</v>
      </c>
      <c r="AG274" s="177">
        <f t="shared" si="853"/>
        <v>0</v>
      </c>
      <c r="AH274" s="177">
        <f t="shared" si="853"/>
        <v>0</v>
      </c>
      <c r="AI274" s="177">
        <f t="shared" si="853"/>
        <v>0</v>
      </c>
      <c r="AJ274" s="177">
        <f t="shared" si="853"/>
        <v>0</v>
      </c>
      <c r="AK274" s="177">
        <f t="shared" si="853"/>
        <v>0</v>
      </c>
      <c r="AL274" s="177">
        <f t="shared" si="853"/>
        <v>0</v>
      </c>
      <c r="AM274" s="177">
        <f>SUM(AM270:AM273)</f>
        <v>0</v>
      </c>
      <c r="AN274" s="177">
        <f t="shared" ref="AN274" si="854">SUM(AN270:AN273)</f>
        <v>0</v>
      </c>
      <c r="AO274" s="177">
        <f t="shared" ref="AO274" si="855">SUM(AO270:AO273)</f>
        <v>0</v>
      </c>
      <c r="AP274" s="177">
        <f t="shared" ref="AP274" si="856">SUM(AP270:AP273)</f>
        <v>0</v>
      </c>
    </row>
    <row r="275" spans="1:42" x14ac:dyDescent="0.2">
      <c r="A275" s="180" t="s">
        <v>123</v>
      </c>
      <c r="C275" s="169">
        <f>C256+C262+C268+C274</f>
        <v>0</v>
      </c>
      <c r="D275" s="169">
        <f t="shared" ref="D275:AP275" si="857">D256+D262+D268+D274</f>
        <v>0</v>
      </c>
      <c r="E275" s="169">
        <f t="shared" si="857"/>
        <v>0</v>
      </c>
      <c r="F275" s="169">
        <f t="shared" si="857"/>
        <v>0</v>
      </c>
      <c r="G275" s="169">
        <f t="shared" si="857"/>
        <v>0</v>
      </c>
      <c r="H275" s="169">
        <f t="shared" si="857"/>
        <v>0</v>
      </c>
      <c r="I275" s="169">
        <f t="shared" si="857"/>
        <v>0</v>
      </c>
      <c r="J275" s="169">
        <f t="shared" si="857"/>
        <v>0</v>
      </c>
      <c r="K275" s="169">
        <f t="shared" si="857"/>
        <v>0</v>
      </c>
      <c r="L275" s="169">
        <f t="shared" si="857"/>
        <v>0</v>
      </c>
      <c r="M275" s="169">
        <f t="shared" si="857"/>
        <v>0</v>
      </c>
      <c r="N275" s="169">
        <f t="shared" si="857"/>
        <v>0</v>
      </c>
      <c r="O275" s="169">
        <f t="shared" si="857"/>
        <v>0</v>
      </c>
      <c r="P275" s="169">
        <f t="shared" si="857"/>
        <v>0</v>
      </c>
      <c r="Q275" s="169">
        <f t="shared" si="857"/>
        <v>0</v>
      </c>
      <c r="R275" s="169">
        <f t="shared" si="857"/>
        <v>0</v>
      </c>
      <c r="S275" s="169">
        <f t="shared" si="857"/>
        <v>0</v>
      </c>
      <c r="T275" s="169">
        <f t="shared" si="857"/>
        <v>0</v>
      </c>
      <c r="U275" s="169">
        <f t="shared" si="857"/>
        <v>0</v>
      </c>
      <c r="V275" s="169">
        <f t="shared" si="857"/>
        <v>0</v>
      </c>
      <c r="W275" s="169">
        <f t="shared" si="857"/>
        <v>0</v>
      </c>
      <c r="X275" s="169">
        <f t="shared" si="857"/>
        <v>0</v>
      </c>
      <c r="Y275" s="169">
        <f t="shared" si="857"/>
        <v>0</v>
      </c>
      <c r="Z275" s="169">
        <f t="shared" si="857"/>
        <v>0</v>
      </c>
      <c r="AA275" s="169">
        <f t="shared" si="857"/>
        <v>0</v>
      </c>
      <c r="AB275" s="169">
        <f t="shared" si="857"/>
        <v>0</v>
      </c>
      <c r="AC275" s="169">
        <f t="shared" si="857"/>
        <v>0</v>
      </c>
      <c r="AD275" s="169">
        <f t="shared" si="857"/>
        <v>0</v>
      </c>
      <c r="AE275" s="169">
        <f t="shared" si="857"/>
        <v>0</v>
      </c>
      <c r="AF275" s="169">
        <f t="shared" si="857"/>
        <v>0</v>
      </c>
      <c r="AG275" s="169">
        <f t="shared" si="857"/>
        <v>0</v>
      </c>
      <c r="AH275" s="169">
        <f t="shared" si="857"/>
        <v>0</v>
      </c>
      <c r="AI275" s="169">
        <f t="shared" si="857"/>
        <v>0</v>
      </c>
      <c r="AJ275" s="169">
        <f t="shared" si="857"/>
        <v>0</v>
      </c>
      <c r="AK275" s="169">
        <f t="shared" si="857"/>
        <v>0</v>
      </c>
      <c r="AL275" s="169">
        <f t="shared" si="857"/>
        <v>0</v>
      </c>
      <c r="AM275" s="169">
        <f t="shared" si="857"/>
        <v>0</v>
      </c>
      <c r="AN275" s="169">
        <f t="shared" si="857"/>
        <v>0</v>
      </c>
      <c r="AO275" s="169">
        <f t="shared" si="857"/>
        <v>0</v>
      </c>
      <c r="AP275" s="169">
        <f t="shared" si="857"/>
        <v>0</v>
      </c>
    </row>
    <row r="276" spans="1:42" x14ac:dyDescent="0.2">
      <c r="A276" s="187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</row>
    <row r="277" spans="1:42" x14ac:dyDescent="0.2">
      <c r="A277" s="180" t="s">
        <v>124</v>
      </c>
      <c r="C277" s="177">
        <f>C249+C275</f>
        <v>-4752935.3995546466</v>
      </c>
      <c r="D277" s="177">
        <f t="shared" ref="D277:AP277" si="858">D249+D275</f>
        <v>-8662444.5563660804</v>
      </c>
      <c r="E277" s="177">
        <f t="shared" si="858"/>
        <v>-4414936.1688962653</v>
      </c>
      <c r="F277" s="177">
        <f t="shared" si="858"/>
        <v>-1821337.7046418141</v>
      </c>
      <c r="G277" s="177">
        <f t="shared" si="858"/>
        <v>-1710803.1624899136</v>
      </c>
      <c r="H277" s="177">
        <f t="shared" si="858"/>
        <v>273527.0186359536</v>
      </c>
      <c r="I277" s="177">
        <f t="shared" si="858"/>
        <v>2263312.0706013581</v>
      </c>
      <c r="J277" s="177">
        <f t="shared" si="858"/>
        <v>2392568.4202494812</v>
      </c>
      <c r="K277" s="177">
        <f t="shared" si="858"/>
        <v>2530593.8085294673</v>
      </c>
      <c r="L277" s="177">
        <f t="shared" si="858"/>
        <v>2678797.9644093383</v>
      </c>
      <c r="M277" s="177">
        <f t="shared" si="858"/>
        <v>2837166.8942172518</v>
      </c>
      <c r="N277" s="177">
        <f t="shared" si="858"/>
        <v>2450706.8486666628</v>
      </c>
      <c r="O277" s="177">
        <f t="shared" si="858"/>
        <v>2249744.086901288</v>
      </c>
      <c r="P277" s="177">
        <f t="shared" si="858"/>
        <v>2799704.3083880935</v>
      </c>
      <c r="Q277" s="177">
        <f t="shared" si="858"/>
        <v>3220805.6692450591</v>
      </c>
      <c r="R277" s="177">
        <f t="shared" si="858"/>
        <v>3481854.7908367105</v>
      </c>
      <c r="S277" s="177">
        <f t="shared" si="858"/>
        <v>3733926.7306936421</v>
      </c>
      <c r="T277" s="177">
        <f t="shared" si="858"/>
        <v>3924135.7680162499</v>
      </c>
      <c r="U277" s="177">
        <f t="shared" si="858"/>
        <v>3953944.8614356373</v>
      </c>
      <c r="V277" s="177">
        <f t="shared" si="858"/>
        <v>3983645.4250377878</v>
      </c>
      <c r="W277" s="177">
        <f t="shared" si="858"/>
        <v>4045367.7459547347</v>
      </c>
      <c r="X277" s="177">
        <f t="shared" si="858"/>
        <v>4093549.2854397343</v>
      </c>
      <c r="Y277" s="177">
        <f t="shared" si="858"/>
        <v>4109475.8552237013</v>
      </c>
      <c r="Z277" s="177">
        <f t="shared" si="858"/>
        <v>3459819.2523470577</v>
      </c>
      <c r="AA277" s="177">
        <f t="shared" si="858"/>
        <v>3017989.0199012039</v>
      </c>
      <c r="AB277" s="177">
        <f t="shared" si="858"/>
        <v>3460369.9815063961</v>
      </c>
      <c r="AC277" s="177">
        <f t="shared" si="858"/>
        <v>3732255.314279112</v>
      </c>
      <c r="AD277" s="177">
        <f t="shared" si="858"/>
        <v>3748461.7056746143</v>
      </c>
      <c r="AE277" s="177">
        <f t="shared" si="858"/>
        <v>3956172.2994701746</v>
      </c>
      <c r="AF277" s="177">
        <f t="shared" si="858"/>
        <v>4163730.2516021971</v>
      </c>
      <c r="AG277" s="177">
        <f t="shared" si="858"/>
        <v>4179478.6050551748</v>
      </c>
      <c r="AH277" s="177">
        <f t="shared" si="858"/>
        <v>4195064.2137642205</v>
      </c>
      <c r="AI277" s="177">
        <f t="shared" si="858"/>
        <v>4210481.8504658742</v>
      </c>
      <c r="AJ277" s="177">
        <f t="shared" si="858"/>
        <v>4225726.1672897199</v>
      </c>
      <c r="AK277" s="177">
        <f t="shared" si="858"/>
        <v>4240791.6930930372</v>
      </c>
      <c r="AL277" s="177">
        <f t="shared" si="858"/>
        <v>3460038.9078289471</v>
      </c>
      <c r="AM277" s="177">
        <f t="shared" si="858"/>
        <v>2927731.6093930774</v>
      </c>
      <c r="AN277" s="177">
        <f t="shared" si="858"/>
        <v>3445630.8746341337</v>
      </c>
      <c r="AO277" s="177">
        <f t="shared" si="858"/>
        <v>3759645.891898056</v>
      </c>
      <c r="AP277" s="177">
        <f t="shared" si="858"/>
        <v>7572141.5819983687</v>
      </c>
    </row>
    <row r="278" spans="1:42" x14ac:dyDescent="0.2">
      <c r="A278" s="180" t="s">
        <v>207</v>
      </c>
      <c r="C278" s="177">
        <f t="shared" ref="C278:AP278" si="859">C277*-FedTax</f>
        <v>1663527.3898441263</v>
      </c>
      <c r="D278" s="177">
        <f t="shared" si="859"/>
        <v>3031855.5947281281</v>
      </c>
      <c r="E278" s="177">
        <f t="shared" si="859"/>
        <v>1545227.6591136928</v>
      </c>
      <c r="F278" s="177">
        <f t="shared" si="859"/>
        <v>637468.1966246349</v>
      </c>
      <c r="G278" s="177">
        <f t="shared" si="859"/>
        <v>598781.10687146976</v>
      </c>
      <c r="H278" s="177">
        <f t="shared" si="859"/>
        <v>-95734.456522583758</v>
      </c>
      <c r="I278" s="177">
        <f t="shared" si="859"/>
        <v>-792159.2247104753</v>
      </c>
      <c r="J278" s="177">
        <f t="shared" si="859"/>
        <v>-837398.9470873184</v>
      </c>
      <c r="K278" s="177">
        <f t="shared" si="859"/>
        <v>-885707.83298531349</v>
      </c>
      <c r="L278" s="177">
        <f t="shared" si="859"/>
        <v>-937579.28754326829</v>
      </c>
      <c r="M278" s="177">
        <f t="shared" si="859"/>
        <v>-993008.41297603806</v>
      </c>
      <c r="N278" s="177">
        <f t="shared" si="859"/>
        <v>-857747.39703333192</v>
      </c>
      <c r="O278" s="177">
        <f t="shared" si="859"/>
        <v>-787410.43041545071</v>
      </c>
      <c r="P278" s="177">
        <f t="shared" si="859"/>
        <v>-979896.5079358326</v>
      </c>
      <c r="Q278" s="177">
        <f t="shared" si="859"/>
        <v>-1127281.9842357705</v>
      </c>
      <c r="R278" s="177">
        <f t="shared" si="859"/>
        <v>-1218649.1767928486</v>
      </c>
      <c r="S278" s="177">
        <f t="shared" si="859"/>
        <v>-1306874.3557427747</v>
      </c>
      <c r="T278" s="177">
        <f t="shared" si="859"/>
        <v>-1373447.5188056873</v>
      </c>
      <c r="U278" s="177">
        <f t="shared" si="859"/>
        <v>-1383880.7015024731</v>
      </c>
      <c r="V278" s="177">
        <f t="shared" si="859"/>
        <v>-1394275.8987632256</v>
      </c>
      <c r="W278" s="177">
        <f t="shared" si="859"/>
        <v>-1415878.711084157</v>
      </c>
      <c r="X278" s="177">
        <f t="shared" si="859"/>
        <v>-1432742.2499039068</v>
      </c>
      <c r="Y278" s="177">
        <f t="shared" si="859"/>
        <v>-1438316.5493282953</v>
      </c>
      <c r="Z278" s="177">
        <f t="shared" si="859"/>
        <v>-1210936.7383214701</v>
      </c>
      <c r="AA278" s="177">
        <f t="shared" si="859"/>
        <v>-1056296.1569654213</v>
      </c>
      <c r="AB278" s="177">
        <f t="shared" si="859"/>
        <v>-1211129.4935272385</v>
      </c>
      <c r="AC278" s="177">
        <f t="shared" si="859"/>
        <v>-1306289.359997689</v>
      </c>
      <c r="AD278" s="177">
        <f t="shared" si="859"/>
        <v>-1311961.596986115</v>
      </c>
      <c r="AE278" s="177">
        <f t="shared" si="859"/>
        <v>-1384660.304814561</v>
      </c>
      <c r="AF278" s="177">
        <f t="shared" si="859"/>
        <v>-1457305.5880607688</v>
      </c>
      <c r="AG278" s="177">
        <f t="shared" si="859"/>
        <v>-1462817.511769311</v>
      </c>
      <c r="AH278" s="177">
        <f t="shared" si="859"/>
        <v>-1468272.4748174772</v>
      </c>
      <c r="AI278" s="177">
        <f t="shared" si="859"/>
        <v>-1473668.6476630559</v>
      </c>
      <c r="AJ278" s="177">
        <f t="shared" si="859"/>
        <v>-1479004.1585514019</v>
      </c>
      <c r="AK278" s="177">
        <f t="shared" si="859"/>
        <v>-1484277.0925825629</v>
      </c>
      <c r="AL278" s="177">
        <f t="shared" si="859"/>
        <v>-1211013.6177401314</v>
      </c>
      <c r="AM278" s="177">
        <f t="shared" si="859"/>
        <v>-1024706.063287577</v>
      </c>
      <c r="AN278" s="177">
        <f t="shared" si="859"/>
        <v>-1205970.8061219468</v>
      </c>
      <c r="AO278" s="177">
        <f t="shared" si="859"/>
        <v>-1315876.0621643194</v>
      </c>
      <c r="AP278" s="177">
        <f t="shared" si="859"/>
        <v>-2650249.5536994287</v>
      </c>
    </row>
    <row r="279" spans="1:42" x14ac:dyDescent="0.2">
      <c r="A279" s="187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</row>
    <row r="280" spans="1:42" x14ac:dyDescent="0.2">
      <c r="A280" s="162" t="s">
        <v>393</v>
      </c>
    </row>
    <row r="281" spans="1:42" x14ac:dyDescent="0.2">
      <c r="A281" s="178" t="s">
        <v>394</v>
      </c>
    </row>
    <row r="282" spans="1:42" x14ac:dyDescent="0.2">
      <c r="A282" s="20" t="s">
        <v>82</v>
      </c>
      <c r="G282" s="267" t="s">
        <v>153</v>
      </c>
      <c r="H282" s="268"/>
      <c r="I282" s="268"/>
      <c r="J282" s="269"/>
      <c r="K282" s="209" t="s">
        <v>154</v>
      </c>
      <c r="L282" s="210"/>
    </row>
    <row r="283" spans="1:42" ht="51" x14ac:dyDescent="0.2">
      <c r="B283" s="112" t="s">
        <v>143</v>
      </c>
      <c r="C283" s="112" t="s">
        <v>139</v>
      </c>
      <c r="D283" s="112" t="s">
        <v>141</v>
      </c>
      <c r="E283" s="189" t="s">
        <v>142</v>
      </c>
      <c r="F283" s="112" t="s">
        <v>144</v>
      </c>
      <c r="G283" s="112" t="s">
        <v>148</v>
      </c>
      <c r="H283" s="112" t="s">
        <v>150</v>
      </c>
      <c r="I283" s="112" t="s">
        <v>149</v>
      </c>
      <c r="J283" s="112" t="s">
        <v>151</v>
      </c>
      <c r="K283" s="211" t="s">
        <v>34</v>
      </c>
      <c r="L283" s="112" t="s">
        <v>151</v>
      </c>
      <c r="M283" s="190" t="s">
        <v>155</v>
      </c>
      <c r="N283" s="190" t="s">
        <v>156</v>
      </c>
      <c r="O283" s="112" t="s">
        <v>145</v>
      </c>
      <c r="P283" s="191" t="s">
        <v>268</v>
      </c>
      <c r="Q283" s="112" t="s">
        <v>273</v>
      </c>
    </row>
    <row r="284" spans="1:42" s="101" customFormat="1" x14ac:dyDescent="0.2">
      <c r="A284" s="234" t="str">
        <f>'Inputs &amp; Results'!A245</f>
        <v>5-yr MACRS</v>
      </c>
      <c r="B284" s="324">
        <f t="shared" ref="B284:B289" si="860">C284/$C$291</f>
        <v>0.91752577319587625</v>
      </c>
      <c r="C284" s="124">
        <f>'Inputs &amp; Results'!C254</f>
        <v>40352010.084664293</v>
      </c>
      <c r="D284" s="124">
        <f>IF(StateBasisReduction="5-Yr MACRS",D291,$B284*D$291)</f>
        <v>0</v>
      </c>
      <c r="E284" s="124">
        <f>IF(StateBasisReduction="5-Yr MACRS",E291,$B284*E$291)</f>
        <v>0</v>
      </c>
      <c r="F284" s="206">
        <f>C284-D284-E284</f>
        <v>40352010.084664293</v>
      </c>
      <c r="G284" s="325">
        <f>IF('Inputs &amp; Results'!B284="Yes",F284,0)</f>
        <v>40352010.084664293</v>
      </c>
      <c r="H284" s="369">
        <f>IF($G$291=0,0,G284/$G$291)</f>
        <v>1</v>
      </c>
      <c r="I284" s="326">
        <f t="shared" ref="I284:I289" si="861">$I$291*H284</f>
        <v>0</v>
      </c>
      <c r="J284" s="327">
        <f>I284*0.5</f>
        <v>0</v>
      </c>
      <c r="K284" s="328">
        <f t="shared" ref="K284:K289" si="862">H284*$K$291</f>
        <v>0</v>
      </c>
      <c r="L284" s="327">
        <f>K284*0.5</f>
        <v>0</v>
      </c>
      <c r="M284" s="124">
        <f t="shared" ref="M284:M289" si="863">IF(ITCStateFixedStateDeprec="Yes",L284,0)+IF(ITCStatePercentStateDeprec="Yes",J284,0)</f>
        <v>0</v>
      </c>
      <c r="N284" s="124">
        <f t="shared" ref="N284:N289" si="864">IF(ITCFedFixedStateDeprec="Yes",L418,0)+IF(ITCFedPercentStateDeprec="Yes",J418,0)</f>
        <v>6052801.5126996441</v>
      </c>
      <c r="O284" s="329">
        <f t="shared" ref="O284:O289" si="865">F284-M284-N284</f>
        <v>34299208.571964651</v>
      </c>
      <c r="P284" s="124">
        <f>IF('Inputs &amp; Results'!B266="Yes",O284*StateBonusDeprec,0)</f>
        <v>0</v>
      </c>
      <c r="Q284" s="206">
        <f>O284-P284</f>
        <v>34299208.571964651</v>
      </c>
    </row>
    <row r="285" spans="1:42" s="101" customFormat="1" x14ac:dyDescent="0.2">
      <c r="A285" s="234" t="str">
        <f>'Inputs &amp; Results'!A246</f>
        <v>15-yr MACRS</v>
      </c>
      <c r="B285" s="324">
        <f t="shared" si="860"/>
        <v>1.5463917525773196E-2</v>
      </c>
      <c r="C285" s="124">
        <f>'Inputs &amp; Results'!C255</f>
        <v>680090.05760670162</v>
      </c>
      <c r="D285" s="124">
        <f t="shared" ref="D285:E289" si="866">IF(StateBasisReduction="5-Yr MACRS",0,$B285*D$291)</f>
        <v>0</v>
      </c>
      <c r="E285" s="124">
        <f t="shared" si="866"/>
        <v>0</v>
      </c>
      <c r="F285" s="206">
        <f t="shared" ref="F285:F289" si="867">C285-D285-E285</f>
        <v>680090.05760670162</v>
      </c>
      <c r="G285" s="328">
        <f>IF('Inputs &amp; Results'!B285="Yes",F285,0)</f>
        <v>0</v>
      </c>
      <c r="H285" s="370">
        <f t="shared" ref="H285:H289" si="868">IF($G$291=0,0,G285/$G$291)</f>
        <v>0</v>
      </c>
      <c r="I285" s="124">
        <f t="shared" si="861"/>
        <v>0</v>
      </c>
      <c r="J285" s="300">
        <f t="shared" ref="J285:J289" si="869">I285*0.5</f>
        <v>0</v>
      </c>
      <c r="K285" s="328">
        <f t="shared" si="862"/>
        <v>0</v>
      </c>
      <c r="L285" s="300">
        <f t="shared" ref="L285:L289" si="870">K285*0.5</f>
        <v>0</v>
      </c>
      <c r="M285" s="124">
        <f t="shared" si="863"/>
        <v>0</v>
      </c>
      <c r="N285" s="124">
        <f t="shared" si="864"/>
        <v>0</v>
      </c>
      <c r="O285" s="206">
        <f t="shared" si="865"/>
        <v>680090.05760670162</v>
      </c>
      <c r="P285" s="124">
        <f>IF('Inputs &amp; Results'!B267="Yes",O285*StateBonusDeprec,0)</f>
        <v>0</v>
      </c>
      <c r="Q285" s="206">
        <f t="shared" ref="Q285:Q289" si="871">O285-P285</f>
        <v>680090.05760670162</v>
      </c>
    </row>
    <row r="286" spans="1:42" s="101" customFormat="1" x14ac:dyDescent="0.2">
      <c r="A286" s="234" t="str">
        <f>'Inputs &amp; Results'!A247</f>
        <v>5-yr SL</v>
      </c>
      <c r="B286" s="324">
        <f t="shared" si="860"/>
        <v>0</v>
      </c>
      <c r="C286" s="124">
        <f>'Inputs &amp; Results'!C256</f>
        <v>0</v>
      </c>
      <c r="D286" s="124">
        <f t="shared" si="866"/>
        <v>0</v>
      </c>
      <c r="E286" s="124">
        <f t="shared" si="866"/>
        <v>0</v>
      </c>
      <c r="F286" s="206">
        <f t="shared" si="867"/>
        <v>0</v>
      </c>
      <c r="G286" s="328">
        <f>IF('Inputs &amp; Results'!B286="Yes",F286,0)</f>
        <v>0</v>
      </c>
      <c r="H286" s="370">
        <f t="shared" si="868"/>
        <v>0</v>
      </c>
      <c r="I286" s="124">
        <f t="shared" si="861"/>
        <v>0</v>
      </c>
      <c r="J286" s="300">
        <f t="shared" si="869"/>
        <v>0</v>
      </c>
      <c r="K286" s="328">
        <f t="shared" si="862"/>
        <v>0</v>
      </c>
      <c r="L286" s="300">
        <f t="shared" si="870"/>
        <v>0</v>
      </c>
      <c r="M286" s="124">
        <f t="shared" si="863"/>
        <v>0</v>
      </c>
      <c r="N286" s="124">
        <f t="shared" si="864"/>
        <v>0</v>
      </c>
      <c r="O286" s="206">
        <f t="shared" si="865"/>
        <v>0</v>
      </c>
      <c r="P286" s="124">
        <f>IF('Inputs &amp; Results'!B268="Yes",O286*StateBonusDeprec,0)</f>
        <v>0</v>
      </c>
      <c r="Q286" s="206">
        <f t="shared" si="871"/>
        <v>0</v>
      </c>
    </row>
    <row r="287" spans="1:42" s="101" customFormat="1" x14ac:dyDescent="0.2">
      <c r="A287" s="234" t="str">
        <f>'Inputs &amp; Results'!A248</f>
        <v>15-yr SL</v>
      </c>
      <c r="B287" s="324">
        <f t="shared" si="860"/>
        <v>3.0927835051546393E-2</v>
      </c>
      <c r="C287" s="124">
        <f>'Inputs &amp; Results'!C257</f>
        <v>1360180.1152134032</v>
      </c>
      <c r="D287" s="124">
        <f t="shared" si="866"/>
        <v>0</v>
      </c>
      <c r="E287" s="124">
        <f t="shared" si="866"/>
        <v>0</v>
      </c>
      <c r="F287" s="206">
        <f t="shared" si="867"/>
        <v>1360180.1152134032</v>
      </c>
      <c r="G287" s="328">
        <f>IF('Inputs &amp; Results'!B287="Yes",F287,0)</f>
        <v>0</v>
      </c>
      <c r="H287" s="370">
        <f t="shared" si="868"/>
        <v>0</v>
      </c>
      <c r="I287" s="124">
        <f t="shared" si="861"/>
        <v>0</v>
      </c>
      <c r="J287" s="300">
        <f t="shared" si="869"/>
        <v>0</v>
      </c>
      <c r="K287" s="328">
        <f t="shared" si="862"/>
        <v>0</v>
      </c>
      <c r="L287" s="300">
        <f t="shared" si="870"/>
        <v>0</v>
      </c>
      <c r="M287" s="124">
        <f t="shared" si="863"/>
        <v>0</v>
      </c>
      <c r="N287" s="124">
        <f t="shared" si="864"/>
        <v>0</v>
      </c>
      <c r="O287" s="206">
        <f t="shared" si="865"/>
        <v>1360180.1152134032</v>
      </c>
      <c r="P287" s="124">
        <f>IF('Inputs &amp; Results'!B269="Yes",O287*StateBonusDeprec,0)</f>
        <v>0</v>
      </c>
      <c r="Q287" s="206">
        <f t="shared" si="871"/>
        <v>1360180.1152134032</v>
      </c>
    </row>
    <row r="288" spans="1:42" s="101" customFormat="1" x14ac:dyDescent="0.2">
      <c r="A288" s="234" t="str">
        <f>'Inputs &amp; Results'!A249</f>
        <v>20-yr SL</v>
      </c>
      <c r="B288" s="324">
        <f t="shared" si="860"/>
        <v>3.0927835051546393E-2</v>
      </c>
      <c r="C288" s="124">
        <f>'Inputs &amp; Results'!C258</f>
        <v>1360180.1152134032</v>
      </c>
      <c r="D288" s="124">
        <f t="shared" si="866"/>
        <v>0</v>
      </c>
      <c r="E288" s="124">
        <f t="shared" si="866"/>
        <v>0</v>
      </c>
      <c r="F288" s="206">
        <f t="shared" si="867"/>
        <v>1360180.1152134032</v>
      </c>
      <c r="G288" s="328">
        <f>IF('Inputs &amp; Results'!B288="Yes",F288,0)</f>
        <v>0</v>
      </c>
      <c r="H288" s="370">
        <f t="shared" si="868"/>
        <v>0</v>
      </c>
      <c r="I288" s="124">
        <f t="shared" si="861"/>
        <v>0</v>
      </c>
      <c r="J288" s="300">
        <f t="shared" si="869"/>
        <v>0</v>
      </c>
      <c r="K288" s="328">
        <f t="shared" si="862"/>
        <v>0</v>
      </c>
      <c r="L288" s="300">
        <f t="shared" si="870"/>
        <v>0</v>
      </c>
      <c r="M288" s="124">
        <f t="shared" si="863"/>
        <v>0</v>
      </c>
      <c r="N288" s="124">
        <f t="shared" si="864"/>
        <v>0</v>
      </c>
      <c r="O288" s="206">
        <f t="shared" si="865"/>
        <v>1360180.1152134032</v>
      </c>
      <c r="P288" s="124">
        <f>IF('Inputs &amp; Results'!B270="Yes",O288*StateBonusDeprec,0)</f>
        <v>0</v>
      </c>
      <c r="Q288" s="206">
        <f t="shared" si="871"/>
        <v>1360180.1152134032</v>
      </c>
    </row>
    <row r="289" spans="1:17" s="101" customFormat="1" x14ac:dyDescent="0.2">
      <c r="A289" s="234" t="str">
        <f>'Inputs &amp; Results'!A250</f>
        <v>39-yr SL</v>
      </c>
      <c r="B289" s="324">
        <f t="shared" si="860"/>
        <v>5.1546391752577319E-3</v>
      </c>
      <c r="C289" s="124">
        <f>'Inputs &amp; Results'!C259</f>
        <v>226696.68586890053</v>
      </c>
      <c r="D289" s="124">
        <f t="shared" si="866"/>
        <v>0</v>
      </c>
      <c r="E289" s="124">
        <f t="shared" si="866"/>
        <v>0</v>
      </c>
      <c r="F289" s="206">
        <f t="shared" si="867"/>
        <v>226696.68586890053</v>
      </c>
      <c r="G289" s="328">
        <f>IF('Inputs &amp; Results'!B289="Yes",F289,0)</f>
        <v>0</v>
      </c>
      <c r="H289" s="370">
        <f t="shared" si="868"/>
        <v>0</v>
      </c>
      <c r="I289" s="124">
        <f t="shared" si="861"/>
        <v>0</v>
      </c>
      <c r="J289" s="300">
        <f t="shared" si="869"/>
        <v>0</v>
      </c>
      <c r="K289" s="328">
        <f t="shared" si="862"/>
        <v>0</v>
      </c>
      <c r="L289" s="300">
        <f t="shared" si="870"/>
        <v>0</v>
      </c>
      <c r="M289" s="124">
        <f t="shared" si="863"/>
        <v>0</v>
      </c>
      <c r="N289" s="124">
        <f t="shared" si="864"/>
        <v>0</v>
      </c>
      <c r="O289" s="206">
        <f t="shared" si="865"/>
        <v>226696.68586890053</v>
      </c>
      <c r="P289" s="124">
        <f>IF('Inputs &amp; Results'!B271="Yes",O289*StateBonusDeprec,0)</f>
        <v>0</v>
      </c>
      <c r="Q289" s="206">
        <f t="shared" si="871"/>
        <v>226696.68586890053</v>
      </c>
    </row>
    <row r="290" spans="1:17" x14ac:dyDescent="0.2">
      <c r="A290" s="238" t="s">
        <v>311</v>
      </c>
      <c r="B290" s="192"/>
      <c r="C290" s="193"/>
      <c r="D290" s="194"/>
      <c r="E290" s="194"/>
      <c r="F290" s="86"/>
      <c r="G290" s="192"/>
      <c r="H290" s="213"/>
      <c r="I290" s="213"/>
      <c r="J290" s="270"/>
      <c r="K290" s="192"/>
      <c r="L290" s="270"/>
      <c r="M290" s="194"/>
      <c r="N290" s="194"/>
      <c r="O290" s="86"/>
      <c r="P290" s="194"/>
      <c r="Q290" s="86"/>
    </row>
    <row r="291" spans="1:17" s="101" customFormat="1" x14ac:dyDescent="0.2">
      <c r="B291" s="330">
        <f>SUM(B284:B290)</f>
        <v>1</v>
      </c>
      <c r="C291" s="186">
        <f>SUM(C284:C290)</f>
        <v>43979157.058566704</v>
      </c>
      <c r="D291" s="186">
        <f>B300+B306</f>
        <v>0</v>
      </c>
      <c r="E291" s="186">
        <f>B312</f>
        <v>0</v>
      </c>
      <c r="F291" s="207">
        <f t="shared" ref="F291:Q291" si="872">SUM(F284:F290)</f>
        <v>43979157.058566704</v>
      </c>
      <c r="G291" s="207">
        <f>SUM(G284:G290)</f>
        <v>40352010.084664293</v>
      </c>
      <c r="H291" s="331">
        <f>SUM(H284:H290)</f>
        <v>1</v>
      </c>
      <c r="I291" s="207">
        <f>MIN(ITCStateMax,ITCStatePercent*G291)</f>
        <v>0</v>
      </c>
      <c r="J291" s="207">
        <f>SUM(J284:J290)</f>
        <v>0</v>
      </c>
      <c r="K291" s="207">
        <f>ITCStateFixed</f>
        <v>0</v>
      </c>
      <c r="L291" s="207">
        <f>SUM(L284:L290)</f>
        <v>0</v>
      </c>
      <c r="M291" s="186">
        <f t="shared" si="872"/>
        <v>0</v>
      </c>
      <c r="N291" s="186">
        <f t="shared" si="872"/>
        <v>6052801.5126996441</v>
      </c>
      <c r="O291" s="207">
        <f t="shared" si="872"/>
        <v>37926355.545867063</v>
      </c>
      <c r="P291" s="207">
        <f t="shared" si="872"/>
        <v>0</v>
      </c>
      <c r="Q291" s="207">
        <f t="shared" si="872"/>
        <v>37926355.545867063</v>
      </c>
    </row>
    <row r="293" spans="1:17" x14ac:dyDescent="0.2">
      <c r="A293" s="20" t="s">
        <v>152</v>
      </c>
    </row>
    <row r="294" spans="1:17" x14ac:dyDescent="0.2">
      <c r="A294" s="167" t="str">
        <f>A563</f>
        <v>Investment Based Incentive (IBI)</v>
      </c>
    </row>
    <row r="295" spans="1:17" x14ac:dyDescent="0.2">
      <c r="A295" s="183" t="str">
        <f t="shared" ref="A295:A311" si="873">A564</f>
        <v>Fixed Amount ($)</v>
      </c>
    </row>
    <row r="296" spans="1:17" x14ac:dyDescent="0.2">
      <c r="A296" s="196" t="str">
        <f t="shared" si="873"/>
        <v>Federal</v>
      </c>
      <c r="B296" s="135">
        <f>IF(IBIFedFixedStateDeprec="Yes",IBIFedFixed,0)</f>
        <v>0</v>
      </c>
    </row>
    <row r="297" spans="1:17" x14ac:dyDescent="0.2">
      <c r="A297" s="196" t="str">
        <f t="shared" si="873"/>
        <v>State</v>
      </c>
      <c r="B297" s="135">
        <f>IF(IBIStateFixedStateDeprec="Yes",IBIStateFixed,0)</f>
        <v>0</v>
      </c>
    </row>
    <row r="298" spans="1:17" x14ac:dyDescent="0.2">
      <c r="A298" s="196" t="str">
        <f t="shared" si="873"/>
        <v>Utility</v>
      </c>
      <c r="B298" s="135">
        <f>IF(IBIUtilityFixedStateDeprec="Yes",IBIUtilityFixed,0)</f>
        <v>0</v>
      </c>
    </row>
    <row r="299" spans="1:17" x14ac:dyDescent="0.2">
      <c r="A299" s="196" t="str">
        <f t="shared" si="873"/>
        <v>Other</v>
      </c>
      <c r="B299" s="170">
        <f>IF(IBIOtherFixedStateDeprec="Yes",IBIOtherFixed,0)</f>
        <v>0</v>
      </c>
    </row>
    <row r="300" spans="1:17" x14ac:dyDescent="0.2">
      <c r="A300" s="196" t="str">
        <f t="shared" si="873"/>
        <v>Total</v>
      </c>
      <c r="B300" s="135">
        <f>SUM(B296:B299)</f>
        <v>0</v>
      </c>
    </row>
    <row r="301" spans="1:17" x14ac:dyDescent="0.2">
      <c r="A301" s="183" t="str">
        <f t="shared" si="873"/>
        <v>Percentage of Pre-Financing Costs</v>
      </c>
    </row>
    <row r="302" spans="1:17" x14ac:dyDescent="0.2">
      <c r="A302" s="196" t="str">
        <f t="shared" si="873"/>
        <v>Federal</v>
      </c>
      <c r="B302" s="135">
        <f>IF(IBIFedPercentStateDeprec="Yes",IBIFedPercent,0)</f>
        <v>0</v>
      </c>
    </row>
    <row r="303" spans="1:17" x14ac:dyDescent="0.2">
      <c r="A303" s="196" t="str">
        <f>A572</f>
        <v>State</v>
      </c>
      <c r="B303" s="135">
        <f>IF(IBIStatePercentStateDeprec="Yes",IBIStatePercent,0)</f>
        <v>0</v>
      </c>
    </row>
    <row r="304" spans="1:17" x14ac:dyDescent="0.2">
      <c r="A304" s="196" t="str">
        <f t="shared" si="873"/>
        <v>Utility</v>
      </c>
      <c r="B304" s="135">
        <f>IF(IBIUtilityPercentStateDeprec="Yes",IBIUtilityPercent,0)</f>
        <v>0</v>
      </c>
    </row>
    <row r="305" spans="1:42" x14ac:dyDescent="0.2">
      <c r="A305" s="196" t="str">
        <f t="shared" si="873"/>
        <v>Other</v>
      </c>
      <c r="B305" s="170">
        <f>IF(IBIOtherPercentStateDeprec="Yes",IBIOtherPercent,0)</f>
        <v>0</v>
      </c>
    </row>
    <row r="306" spans="1:42" x14ac:dyDescent="0.2">
      <c r="A306" s="196" t="str">
        <f t="shared" si="873"/>
        <v>Total</v>
      </c>
      <c r="B306" s="135">
        <f>SUM(B302:B305)</f>
        <v>0</v>
      </c>
    </row>
    <row r="307" spans="1:42" x14ac:dyDescent="0.2">
      <c r="A307" s="167" t="str">
        <f t="shared" si="873"/>
        <v>Capacity Based Incentive (CBI)</v>
      </c>
    </row>
    <row r="308" spans="1:42" x14ac:dyDescent="0.2">
      <c r="A308" s="183" t="str">
        <f t="shared" si="873"/>
        <v>Federal</v>
      </c>
      <c r="B308" s="135">
        <f>IF(CBIFedStateDeprec="Yes",CBIFed,0)</f>
        <v>0</v>
      </c>
    </row>
    <row r="309" spans="1:42" x14ac:dyDescent="0.2">
      <c r="A309" s="183" t="str">
        <f>A578</f>
        <v>State</v>
      </c>
      <c r="B309" s="135">
        <f>IF(CBIStateStateDeprec="Yes",CBIState,0)</f>
        <v>0</v>
      </c>
    </row>
    <row r="310" spans="1:42" x14ac:dyDescent="0.2">
      <c r="A310" s="183" t="str">
        <f t="shared" si="873"/>
        <v>Utility</v>
      </c>
      <c r="B310" s="135">
        <f>IF(CBIUtilityStateDeprec="Yes",CBIUtility,0)</f>
        <v>0</v>
      </c>
    </row>
    <row r="311" spans="1:42" x14ac:dyDescent="0.2">
      <c r="A311" s="183" t="str">
        <f t="shared" si="873"/>
        <v>Other</v>
      </c>
      <c r="B311" s="170">
        <f>IF(CBIOtherStateDeprec="Yes",CBIOther,0)</f>
        <v>0</v>
      </c>
    </row>
    <row r="312" spans="1:42" x14ac:dyDescent="0.2">
      <c r="A312" s="183" t="str">
        <f>A581</f>
        <v>Total</v>
      </c>
      <c r="B312" s="177">
        <f>SUM(B308:B311)</f>
        <v>0</v>
      </c>
    </row>
    <row r="313" spans="1:42" x14ac:dyDescent="0.2">
      <c r="A313" s="167" t="s">
        <v>140</v>
      </c>
      <c r="B313" s="135">
        <f>B300+B306+B312</f>
        <v>0</v>
      </c>
    </row>
    <row r="315" spans="1:42" x14ac:dyDescent="0.2">
      <c r="A315" s="20" t="s">
        <v>235</v>
      </c>
    </row>
    <row r="316" spans="1:42" x14ac:dyDescent="0.2">
      <c r="A316" s="167" t="s">
        <v>146</v>
      </c>
    </row>
    <row r="317" spans="1:42" x14ac:dyDescent="0.2">
      <c r="A317" s="188" t="str">
        <f>A284</f>
        <v>5-yr MACRS</v>
      </c>
      <c r="B317" s="197">
        <f>SUM(C317:AP317)</f>
        <v>0.99999999999999989</v>
      </c>
      <c r="C317" s="198">
        <f>LOOKUP(C$2,'Depreciation Schedules'!$A$3:$A$42,'Depreciation Schedules'!$B$3:$B$42)</f>
        <v>0.2</v>
      </c>
      <c r="D317" s="198">
        <f>LOOKUP(D$2,'Depreciation Schedules'!$A$3:$A$42,'Depreciation Schedules'!$B$3:$B$42)</f>
        <v>0.32</v>
      </c>
      <c r="E317" s="198">
        <f>LOOKUP(E$2,'Depreciation Schedules'!$A$3:$A$42,'Depreciation Schedules'!$B$3:$B$42)</f>
        <v>0.192</v>
      </c>
      <c r="F317" s="198">
        <f>LOOKUP(F$2,'Depreciation Schedules'!$A$3:$A$42,'Depreciation Schedules'!$B$3:$B$42)</f>
        <v>0.1152</v>
      </c>
      <c r="G317" s="198">
        <f>LOOKUP(G$2,'Depreciation Schedules'!$A$3:$A$42,'Depreciation Schedules'!$B$3:$B$42)</f>
        <v>0.1152</v>
      </c>
      <c r="H317" s="198">
        <f>LOOKUP(H$2,'Depreciation Schedules'!$A$3:$A$42,'Depreciation Schedules'!$B$3:$B$42)</f>
        <v>5.7599999999999998E-2</v>
      </c>
      <c r="I317" s="198">
        <f>LOOKUP(I$2,'Depreciation Schedules'!$A$3:$A$42,'Depreciation Schedules'!$B$3:$B$42)</f>
        <v>0</v>
      </c>
      <c r="J317" s="198">
        <f>LOOKUP(J$2,'Depreciation Schedules'!$A$3:$A$42,'Depreciation Schedules'!$B$3:$B$42)</f>
        <v>0</v>
      </c>
      <c r="K317" s="198">
        <f>LOOKUP(K$2,'Depreciation Schedules'!$A$3:$A$42,'Depreciation Schedules'!$B$3:$B$42)</f>
        <v>0</v>
      </c>
      <c r="L317" s="198">
        <f>LOOKUP(L$2,'Depreciation Schedules'!$A$3:$A$42,'Depreciation Schedules'!$B$3:$B$42)</f>
        <v>0</v>
      </c>
      <c r="M317" s="198">
        <f>LOOKUP(M$2,'Depreciation Schedules'!$A$3:$A$42,'Depreciation Schedules'!$B$3:$B$42)</f>
        <v>0</v>
      </c>
      <c r="N317" s="198">
        <f>LOOKUP(N$2,'Depreciation Schedules'!$A$3:$A$42,'Depreciation Schedules'!$B$3:$B$42)</f>
        <v>0</v>
      </c>
      <c r="O317" s="198">
        <f>LOOKUP(O$2,'Depreciation Schedules'!$A$3:$A$42,'Depreciation Schedules'!$B$3:$B$42)</f>
        <v>0</v>
      </c>
      <c r="P317" s="198">
        <f>LOOKUP(P$2,'Depreciation Schedules'!$A$3:$A$42,'Depreciation Schedules'!$B$3:$B$42)</f>
        <v>0</v>
      </c>
      <c r="Q317" s="198">
        <f>LOOKUP(Q$2,'Depreciation Schedules'!$A$3:$A$42,'Depreciation Schedules'!$B$3:$B$42)</f>
        <v>0</v>
      </c>
      <c r="R317" s="198">
        <f>LOOKUP(R$2,'Depreciation Schedules'!$A$3:$A$42,'Depreciation Schedules'!$B$3:$B$42)</f>
        <v>0</v>
      </c>
      <c r="S317" s="198">
        <f>LOOKUP(S$2,'Depreciation Schedules'!$A$3:$A$42,'Depreciation Schedules'!$B$3:$B$42)</f>
        <v>0</v>
      </c>
      <c r="T317" s="198">
        <f>LOOKUP(T$2,'Depreciation Schedules'!$A$3:$A$42,'Depreciation Schedules'!$B$3:$B$42)</f>
        <v>0</v>
      </c>
      <c r="U317" s="198">
        <f>LOOKUP(U$2,'Depreciation Schedules'!$A$3:$A$42,'Depreciation Schedules'!$B$3:$B$42)</f>
        <v>0</v>
      </c>
      <c r="V317" s="198">
        <f>LOOKUP(V$2,'Depreciation Schedules'!$A$3:$A$42,'Depreciation Schedules'!$B$3:$B$42)</f>
        <v>0</v>
      </c>
      <c r="W317" s="198">
        <f>LOOKUP(W$2,'Depreciation Schedules'!$A$3:$A$42,'Depreciation Schedules'!$B$3:$B$42)</f>
        <v>0</v>
      </c>
      <c r="X317" s="198">
        <f>LOOKUP(X$2,'Depreciation Schedules'!$A$3:$A$42,'Depreciation Schedules'!$B$3:$B$42)</f>
        <v>0</v>
      </c>
      <c r="Y317" s="198">
        <f>LOOKUP(Y$2,'Depreciation Schedules'!$A$3:$A$42,'Depreciation Schedules'!$B$3:$B$42)</f>
        <v>0</v>
      </c>
      <c r="Z317" s="198">
        <f>LOOKUP(Z$2,'Depreciation Schedules'!$A$3:$A$42,'Depreciation Schedules'!$B$3:$B$42)</f>
        <v>0</v>
      </c>
      <c r="AA317" s="198">
        <f>LOOKUP(AA$2,'Depreciation Schedules'!$A$3:$A$42,'Depreciation Schedules'!$B$3:$B$42)</f>
        <v>0</v>
      </c>
      <c r="AB317" s="198">
        <f>LOOKUP(AB$2,'Depreciation Schedules'!$A$3:$A$42,'Depreciation Schedules'!$B$3:$B$42)</f>
        <v>0</v>
      </c>
      <c r="AC317" s="198">
        <f>LOOKUP(AC$2,'Depreciation Schedules'!$A$3:$A$42,'Depreciation Schedules'!$B$3:$B$42)</f>
        <v>0</v>
      </c>
      <c r="AD317" s="198">
        <f>LOOKUP(AD$2,'Depreciation Schedules'!$A$3:$A$42,'Depreciation Schedules'!$B$3:$B$42)</f>
        <v>0</v>
      </c>
      <c r="AE317" s="198">
        <f>LOOKUP(AE$2,'Depreciation Schedules'!$A$3:$A$42,'Depreciation Schedules'!$B$3:$B$42)</f>
        <v>0</v>
      </c>
      <c r="AF317" s="198">
        <f>LOOKUP(AF$2,'Depreciation Schedules'!$A$3:$A$42,'Depreciation Schedules'!$B$3:$B$42)</f>
        <v>0</v>
      </c>
      <c r="AG317" s="198">
        <f>LOOKUP(AG$2,'Depreciation Schedules'!$A$3:$A$42,'Depreciation Schedules'!$B$3:$B$42)</f>
        <v>0</v>
      </c>
      <c r="AH317" s="198">
        <f>LOOKUP(AH$2,'Depreciation Schedules'!$A$3:$A$42,'Depreciation Schedules'!$B$3:$B$42)</f>
        <v>0</v>
      </c>
      <c r="AI317" s="198">
        <f>LOOKUP(AI$2,'Depreciation Schedules'!$A$3:$A$42,'Depreciation Schedules'!$B$3:$B$42)</f>
        <v>0</v>
      </c>
      <c r="AJ317" s="198">
        <f>LOOKUP(AJ$2,'Depreciation Schedules'!$A$3:$A$42,'Depreciation Schedules'!$B$3:$B$42)</f>
        <v>0</v>
      </c>
      <c r="AK317" s="198">
        <f>LOOKUP(AK$2,'Depreciation Schedules'!$A$3:$A$42,'Depreciation Schedules'!$B$3:$B$42)</f>
        <v>0</v>
      </c>
      <c r="AL317" s="198">
        <f>LOOKUP(AL$2,'Depreciation Schedules'!$A$3:$A$42,'Depreciation Schedules'!$B$3:$B$42)</f>
        <v>0</v>
      </c>
      <c r="AM317" s="198">
        <f>LOOKUP(AM$2,'Depreciation Schedules'!$A$3:$A$42,'Depreciation Schedules'!$B$3:$B$42)</f>
        <v>0</v>
      </c>
      <c r="AN317" s="198">
        <f>LOOKUP(AN$2,'Depreciation Schedules'!$A$3:$A$42,'Depreciation Schedules'!$B$3:$B$42)</f>
        <v>0</v>
      </c>
      <c r="AO317" s="198">
        <f>LOOKUP(AO$2,'Depreciation Schedules'!$A$3:$A$42,'Depreciation Schedules'!$B$3:$B$42)</f>
        <v>0</v>
      </c>
      <c r="AP317" s="198">
        <f>LOOKUP(AP$2,'Depreciation Schedules'!$A$3:$A$42,'Depreciation Schedules'!$B$3:$B$42)</f>
        <v>0</v>
      </c>
    </row>
    <row r="318" spans="1:42" x14ac:dyDescent="0.2">
      <c r="A318" s="188" t="str">
        <f t="shared" ref="A318:A322" si="874">A285</f>
        <v>15-yr MACRS</v>
      </c>
      <c r="B318" s="199">
        <f t="shared" ref="B318:B322" si="875">SUM(C318:AP318)</f>
        <v>1.0000000000000002</v>
      </c>
      <c r="C318" s="198">
        <f>LOOKUP(C$2,'Depreciation Schedules'!$A$3:$A$42,'Depreciation Schedules'!$C$3:$C$42)</f>
        <v>0.05</v>
      </c>
      <c r="D318" s="198">
        <f>LOOKUP(D$2,'Depreciation Schedules'!$A$3:$A$42,'Depreciation Schedules'!$C$3:$C$42)</f>
        <v>9.5000000000000001E-2</v>
      </c>
      <c r="E318" s="198">
        <f>LOOKUP(E$2,'Depreciation Schedules'!$A$3:$A$42,'Depreciation Schedules'!$C$3:$C$42)</f>
        <v>8.5500000000000007E-2</v>
      </c>
      <c r="F318" s="198">
        <f>LOOKUP(F$2,'Depreciation Schedules'!$A$3:$A$42,'Depreciation Schedules'!$C$3:$C$42)</f>
        <v>7.6999999999999999E-2</v>
      </c>
      <c r="G318" s="198">
        <f>LOOKUP(G$2,'Depreciation Schedules'!$A$3:$A$42,'Depreciation Schedules'!$C$3:$C$42)</f>
        <v>6.93E-2</v>
      </c>
      <c r="H318" s="198">
        <f>LOOKUP(H$2,'Depreciation Schedules'!$A$3:$A$42,'Depreciation Schedules'!$C$3:$C$42)</f>
        <v>6.2300000000000001E-2</v>
      </c>
      <c r="I318" s="198">
        <f>LOOKUP(I$2,'Depreciation Schedules'!$A$3:$A$42,'Depreciation Schedules'!$C$3:$C$42)</f>
        <v>5.8999999999999997E-2</v>
      </c>
      <c r="J318" s="198">
        <f>LOOKUP(J$2,'Depreciation Schedules'!$A$3:$A$42,'Depreciation Schedules'!$C$3:$C$42)</f>
        <v>5.8999999999999997E-2</v>
      </c>
      <c r="K318" s="198">
        <f>LOOKUP(K$2,'Depreciation Schedules'!$A$3:$A$42,'Depreciation Schedules'!$C$3:$C$42)</f>
        <v>5.91E-2</v>
      </c>
      <c r="L318" s="198">
        <f>LOOKUP(L$2,'Depreciation Schedules'!$A$3:$A$42,'Depreciation Schedules'!$C$3:$C$42)</f>
        <v>5.8999999999999997E-2</v>
      </c>
      <c r="M318" s="198">
        <f>LOOKUP(M$2,'Depreciation Schedules'!$A$3:$A$42,'Depreciation Schedules'!$C$3:$C$42)</f>
        <v>5.91E-2</v>
      </c>
      <c r="N318" s="198">
        <f>LOOKUP(N$2,'Depreciation Schedules'!$A$3:$A$42,'Depreciation Schedules'!$C$3:$C$42)</f>
        <v>5.8999999999999997E-2</v>
      </c>
      <c r="O318" s="198">
        <f>LOOKUP(O$2,'Depreciation Schedules'!$A$3:$A$42,'Depreciation Schedules'!$C$3:$C$42)</f>
        <v>5.91E-2</v>
      </c>
      <c r="P318" s="198">
        <f>LOOKUP(P$2,'Depreciation Schedules'!$A$3:$A$42,'Depreciation Schedules'!$C$3:$C$42)</f>
        <v>5.8999999999999997E-2</v>
      </c>
      <c r="Q318" s="198">
        <f>LOOKUP(Q$2,'Depreciation Schedules'!$A$3:$A$42,'Depreciation Schedules'!$C$3:$C$42)</f>
        <v>5.91E-2</v>
      </c>
      <c r="R318" s="198">
        <f>LOOKUP(R$2,'Depreciation Schedules'!$A$3:$A$42,'Depreciation Schedules'!$C$3:$C$42)</f>
        <v>2.9499999999999998E-2</v>
      </c>
      <c r="S318" s="198">
        <f>LOOKUP(S$2,'Depreciation Schedules'!$A$3:$A$42,'Depreciation Schedules'!$C$3:$C$42)</f>
        <v>0</v>
      </c>
      <c r="T318" s="198">
        <f>LOOKUP(T$2,'Depreciation Schedules'!$A$3:$A$42,'Depreciation Schedules'!$C$3:$C$42)</f>
        <v>0</v>
      </c>
      <c r="U318" s="198">
        <f>LOOKUP(U$2,'Depreciation Schedules'!$A$3:$A$42,'Depreciation Schedules'!$C$3:$C$42)</f>
        <v>0</v>
      </c>
      <c r="V318" s="198">
        <f>LOOKUP(V$2,'Depreciation Schedules'!$A$3:$A$42,'Depreciation Schedules'!$C$3:$C$42)</f>
        <v>0</v>
      </c>
      <c r="W318" s="198">
        <f>LOOKUP(W$2,'Depreciation Schedules'!$A$3:$A$42,'Depreciation Schedules'!$C$3:$C$42)</f>
        <v>0</v>
      </c>
      <c r="X318" s="198">
        <f>LOOKUP(X$2,'Depreciation Schedules'!$A$3:$A$42,'Depreciation Schedules'!$C$3:$C$42)</f>
        <v>0</v>
      </c>
      <c r="Y318" s="198">
        <f>LOOKUP(Y$2,'Depreciation Schedules'!$A$3:$A$42,'Depreciation Schedules'!$C$3:$C$42)</f>
        <v>0</v>
      </c>
      <c r="Z318" s="198">
        <f>LOOKUP(Z$2,'Depreciation Schedules'!$A$3:$A$42,'Depreciation Schedules'!$C$3:$C$42)</f>
        <v>0</v>
      </c>
      <c r="AA318" s="198">
        <f>LOOKUP(AA$2,'Depreciation Schedules'!$A$3:$A$42,'Depreciation Schedules'!$C$3:$C$42)</f>
        <v>0</v>
      </c>
      <c r="AB318" s="198">
        <f>LOOKUP(AB$2,'Depreciation Schedules'!$A$3:$A$42,'Depreciation Schedules'!$C$3:$C$42)</f>
        <v>0</v>
      </c>
      <c r="AC318" s="198">
        <f>LOOKUP(AC$2,'Depreciation Schedules'!$A$3:$A$42,'Depreciation Schedules'!$C$3:$C$42)</f>
        <v>0</v>
      </c>
      <c r="AD318" s="198">
        <f>LOOKUP(AD$2,'Depreciation Schedules'!$A$3:$A$42,'Depreciation Schedules'!$C$3:$C$42)</f>
        <v>0</v>
      </c>
      <c r="AE318" s="198">
        <f>LOOKUP(AE$2,'Depreciation Schedules'!$A$3:$A$42,'Depreciation Schedules'!$C$3:$C$42)</f>
        <v>0</v>
      </c>
      <c r="AF318" s="198">
        <f>LOOKUP(AF$2,'Depreciation Schedules'!$A$3:$A$42,'Depreciation Schedules'!$C$3:$C$42)</f>
        <v>0</v>
      </c>
      <c r="AG318" s="198">
        <f>LOOKUP(AG$2,'Depreciation Schedules'!$A$3:$A$42,'Depreciation Schedules'!$C$3:$C$42)</f>
        <v>0</v>
      </c>
      <c r="AH318" s="198">
        <f>LOOKUP(AH$2,'Depreciation Schedules'!$A$3:$A$42,'Depreciation Schedules'!$C$3:$C$42)</f>
        <v>0</v>
      </c>
      <c r="AI318" s="198">
        <f>LOOKUP(AI$2,'Depreciation Schedules'!$A$3:$A$42,'Depreciation Schedules'!$C$3:$C$42)</f>
        <v>0</v>
      </c>
      <c r="AJ318" s="198">
        <f>LOOKUP(AJ$2,'Depreciation Schedules'!$A$3:$A$42,'Depreciation Schedules'!$C$3:$C$42)</f>
        <v>0</v>
      </c>
      <c r="AK318" s="198">
        <f>LOOKUP(AK$2,'Depreciation Schedules'!$A$3:$A$42,'Depreciation Schedules'!$C$3:$C$42)</f>
        <v>0</v>
      </c>
      <c r="AL318" s="198">
        <f>LOOKUP(AL$2,'Depreciation Schedules'!$A$3:$A$42,'Depreciation Schedules'!$C$3:$C$42)</f>
        <v>0</v>
      </c>
      <c r="AM318" s="198">
        <f>LOOKUP(AM$2,'Depreciation Schedules'!$A$3:$A$42,'Depreciation Schedules'!$C$3:$C$42)</f>
        <v>0</v>
      </c>
      <c r="AN318" s="198">
        <f>LOOKUP(AN$2,'Depreciation Schedules'!$A$3:$A$42,'Depreciation Schedules'!$C$3:$C$42)</f>
        <v>0</v>
      </c>
      <c r="AO318" s="198">
        <f>LOOKUP(AO$2,'Depreciation Schedules'!$A$3:$A$42,'Depreciation Schedules'!$C$3:$C$42)</f>
        <v>0</v>
      </c>
      <c r="AP318" s="198">
        <f>LOOKUP(AP$2,'Depreciation Schedules'!$A$3:$A$42,'Depreciation Schedules'!$C$3:$C$42)</f>
        <v>0</v>
      </c>
    </row>
    <row r="319" spans="1:42" x14ac:dyDescent="0.2">
      <c r="A319" s="188" t="str">
        <f t="shared" si="874"/>
        <v>5-yr SL</v>
      </c>
      <c r="B319" s="199">
        <f t="shared" si="875"/>
        <v>0.99999999999999989</v>
      </c>
      <c r="C319" s="198">
        <f>LOOKUP(C$2,'Depreciation Schedules'!$A$3:$A$42,'Depreciation Schedules'!$D$3:$D$42)</f>
        <v>0.1</v>
      </c>
      <c r="D319" s="198">
        <f>LOOKUP(D$2,'Depreciation Schedules'!$A$3:$A$42,'Depreciation Schedules'!$D$3:$D$42)</f>
        <v>0.2</v>
      </c>
      <c r="E319" s="198">
        <f>LOOKUP(E$2,'Depreciation Schedules'!$A$3:$A$42,'Depreciation Schedules'!$D$3:$D$42)</f>
        <v>0.2</v>
      </c>
      <c r="F319" s="198">
        <f>LOOKUP(F$2,'Depreciation Schedules'!$A$3:$A$42,'Depreciation Schedules'!$D$3:$D$42)</f>
        <v>0.2</v>
      </c>
      <c r="G319" s="198">
        <f>LOOKUP(G$2,'Depreciation Schedules'!$A$3:$A$42,'Depreciation Schedules'!$D$3:$D$42)</f>
        <v>0.2</v>
      </c>
      <c r="H319" s="198">
        <f>LOOKUP(H$2,'Depreciation Schedules'!$A$3:$A$42,'Depreciation Schedules'!$D$3:$D$42)</f>
        <v>0.1</v>
      </c>
      <c r="I319" s="198">
        <f>LOOKUP(I$2,'Depreciation Schedules'!$A$3:$A$42,'Depreciation Schedules'!$D$3:$D$42)</f>
        <v>0</v>
      </c>
      <c r="J319" s="198">
        <f>LOOKUP(J$2,'Depreciation Schedules'!$A$3:$A$42,'Depreciation Schedules'!$D$3:$D$42)</f>
        <v>0</v>
      </c>
      <c r="K319" s="198">
        <f>LOOKUP(K$2,'Depreciation Schedules'!$A$3:$A$42,'Depreciation Schedules'!$D$3:$D$42)</f>
        <v>0</v>
      </c>
      <c r="L319" s="198">
        <f>LOOKUP(L$2,'Depreciation Schedules'!$A$3:$A$42,'Depreciation Schedules'!$D$3:$D$42)</f>
        <v>0</v>
      </c>
      <c r="M319" s="198">
        <f>LOOKUP(M$2,'Depreciation Schedules'!$A$3:$A$42,'Depreciation Schedules'!$D$3:$D$42)</f>
        <v>0</v>
      </c>
      <c r="N319" s="198">
        <f>LOOKUP(N$2,'Depreciation Schedules'!$A$3:$A$42,'Depreciation Schedules'!$D$3:$D$42)</f>
        <v>0</v>
      </c>
      <c r="O319" s="198">
        <f>LOOKUP(O$2,'Depreciation Schedules'!$A$3:$A$42,'Depreciation Schedules'!$D$3:$D$42)</f>
        <v>0</v>
      </c>
      <c r="P319" s="198">
        <f>LOOKUP(P$2,'Depreciation Schedules'!$A$3:$A$42,'Depreciation Schedules'!$D$3:$D$42)</f>
        <v>0</v>
      </c>
      <c r="Q319" s="198">
        <f>LOOKUP(Q$2,'Depreciation Schedules'!$A$3:$A$42,'Depreciation Schedules'!$D$3:$D$42)</f>
        <v>0</v>
      </c>
      <c r="R319" s="198">
        <f>LOOKUP(R$2,'Depreciation Schedules'!$A$3:$A$42,'Depreciation Schedules'!$D$3:$D$42)</f>
        <v>0</v>
      </c>
      <c r="S319" s="198">
        <f>LOOKUP(S$2,'Depreciation Schedules'!$A$3:$A$42,'Depreciation Schedules'!$D$3:$D$42)</f>
        <v>0</v>
      </c>
      <c r="T319" s="198">
        <f>LOOKUP(T$2,'Depreciation Schedules'!$A$3:$A$42,'Depreciation Schedules'!$D$3:$D$42)</f>
        <v>0</v>
      </c>
      <c r="U319" s="198">
        <f>LOOKUP(U$2,'Depreciation Schedules'!$A$3:$A$42,'Depreciation Schedules'!$D$3:$D$42)</f>
        <v>0</v>
      </c>
      <c r="V319" s="198">
        <f>LOOKUP(V$2,'Depreciation Schedules'!$A$3:$A$42,'Depreciation Schedules'!$D$3:$D$42)</f>
        <v>0</v>
      </c>
      <c r="W319" s="198">
        <f>LOOKUP(W$2,'Depreciation Schedules'!$A$3:$A$42,'Depreciation Schedules'!$D$3:$D$42)</f>
        <v>0</v>
      </c>
      <c r="X319" s="198">
        <f>LOOKUP(X$2,'Depreciation Schedules'!$A$3:$A$42,'Depreciation Schedules'!$D$3:$D$42)</f>
        <v>0</v>
      </c>
      <c r="Y319" s="198">
        <f>LOOKUP(Y$2,'Depreciation Schedules'!$A$3:$A$42,'Depreciation Schedules'!$D$3:$D$42)</f>
        <v>0</v>
      </c>
      <c r="Z319" s="198">
        <f>LOOKUP(Z$2,'Depreciation Schedules'!$A$3:$A$42,'Depreciation Schedules'!$D$3:$D$42)</f>
        <v>0</v>
      </c>
      <c r="AA319" s="198">
        <f>LOOKUP(AA$2,'Depreciation Schedules'!$A$3:$A$42,'Depreciation Schedules'!$D$3:$D$42)</f>
        <v>0</v>
      </c>
      <c r="AB319" s="198">
        <f>LOOKUP(AB$2,'Depreciation Schedules'!$A$3:$A$42,'Depreciation Schedules'!$D$3:$D$42)</f>
        <v>0</v>
      </c>
      <c r="AC319" s="198">
        <f>LOOKUP(AC$2,'Depreciation Schedules'!$A$3:$A$42,'Depreciation Schedules'!$D$3:$D$42)</f>
        <v>0</v>
      </c>
      <c r="AD319" s="198">
        <f>LOOKUP(AD$2,'Depreciation Schedules'!$A$3:$A$42,'Depreciation Schedules'!$D$3:$D$42)</f>
        <v>0</v>
      </c>
      <c r="AE319" s="198">
        <f>LOOKUP(AE$2,'Depreciation Schedules'!$A$3:$A$42,'Depreciation Schedules'!$D$3:$D$42)</f>
        <v>0</v>
      </c>
      <c r="AF319" s="198">
        <f>LOOKUP(AF$2,'Depreciation Schedules'!$A$3:$A$42,'Depreciation Schedules'!$D$3:$D$42)</f>
        <v>0</v>
      </c>
      <c r="AG319" s="198">
        <f>LOOKUP(AG$2,'Depreciation Schedules'!$A$3:$A$42,'Depreciation Schedules'!$D$3:$D$42)</f>
        <v>0</v>
      </c>
      <c r="AH319" s="198">
        <f>LOOKUP(AH$2,'Depreciation Schedules'!$A$3:$A$42,'Depreciation Schedules'!$D$3:$D$42)</f>
        <v>0</v>
      </c>
      <c r="AI319" s="198">
        <f>LOOKUP(AI$2,'Depreciation Schedules'!$A$3:$A$42,'Depreciation Schedules'!$D$3:$D$42)</f>
        <v>0</v>
      </c>
      <c r="AJ319" s="198">
        <f>LOOKUP(AJ$2,'Depreciation Schedules'!$A$3:$A$42,'Depreciation Schedules'!$D$3:$D$42)</f>
        <v>0</v>
      </c>
      <c r="AK319" s="198">
        <f>LOOKUP(AK$2,'Depreciation Schedules'!$A$3:$A$42,'Depreciation Schedules'!$D$3:$D$42)</f>
        <v>0</v>
      </c>
      <c r="AL319" s="198">
        <f>LOOKUP(AL$2,'Depreciation Schedules'!$A$3:$A$42,'Depreciation Schedules'!$D$3:$D$42)</f>
        <v>0</v>
      </c>
      <c r="AM319" s="198">
        <f>LOOKUP(AM$2,'Depreciation Schedules'!$A$3:$A$42,'Depreciation Schedules'!$D$3:$D$42)</f>
        <v>0</v>
      </c>
      <c r="AN319" s="198">
        <f>LOOKUP(AN$2,'Depreciation Schedules'!$A$3:$A$42,'Depreciation Schedules'!$D$3:$D$42)</f>
        <v>0</v>
      </c>
      <c r="AO319" s="198">
        <f>LOOKUP(AO$2,'Depreciation Schedules'!$A$3:$A$42,'Depreciation Schedules'!$D$3:$D$42)</f>
        <v>0</v>
      </c>
      <c r="AP319" s="198">
        <f>LOOKUP(AP$2,'Depreciation Schedules'!$A$3:$A$42,'Depreciation Schedules'!$D$3:$D$42)</f>
        <v>0</v>
      </c>
    </row>
    <row r="320" spans="1:42" x14ac:dyDescent="0.2">
      <c r="A320" s="188" t="str">
        <f t="shared" si="874"/>
        <v>15-yr SL</v>
      </c>
      <c r="B320" s="199">
        <f t="shared" si="875"/>
        <v>0.99999999999999989</v>
      </c>
      <c r="C320" s="198">
        <f>LOOKUP(C$2,'Depreciation Schedules'!$A$3:$A$42,'Depreciation Schedules'!$E$3:$E$42)</f>
        <v>3.3300000000000003E-2</v>
      </c>
      <c r="D320" s="198">
        <f>LOOKUP(D$2,'Depreciation Schedules'!$A$3:$A$42,'Depreciation Schedules'!$E$3:$E$42)</f>
        <v>6.6699999999999995E-2</v>
      </c>
      <c r="E320" s="198">
        <f>LOOKUP(E$2,'Depreciation Schedules'!$A$3:$A$42,'Depreciation Schedules'!$E$3:$E$42)</f>
        <v>6.6699999999999995E-2</v>
      </c>
      <c r="F320" s="198">
        <f>LOOKUP(F$2,'Depreciation Schedules'!$A$3:$A$42,'Depreciation Schedules'!$E$3:$E$42)</f>
        <v>6.6699999999999995E-2</v>
      </c>
      <c r="G320" s="198">
        <f>LOOKUP(G$2,'Depreciation Schedules'!$A$3:$A$42,'Depreciation Schedules'!$E$3:$E$42)</f>
        <v>6.6699999999999995E-2</v>
      </c>
      <c r="H320" s="198">
        <f>LOOKUP(H$2,'Depreciation Schedules'!$A$3:$A$42,'Depreciation Schedules'!$E$3:$E$42)</f>
        <v>6.6699999999999995E-2</v>
      </c>
      <c r="I320" s="198">
        <f>LOOKUP(I$2,'Depreciation Schedules'!$A$3:$A$42,'Depreciation Schedules'!$E$3:$E$42)</f>
        <v>6.6699999999999995E-2</v>
      </c>
      <c r="J320" s="198">
        <f>LOOKUP(J$2,'Depreciation Schedules'!$A$3:$A$42,'Depreciation Schedules'!$E$3:$E$42)</f>
        <v>6.6600000000000006E-2</v>
      </c>
      <c r="K320" s="198">
        <f>LOOKUP(K$2,'Depreciation Schedules'!$A$3:$A$42,'Depreciation Schedules'!$E$3:$E$42)</f>
        <v>6.6699999999999995E-2</v>
      </c>
      <c r="L320" s="198">
        <f>LOOKUP(L$2,'Depreciation Schedules'!$A$3:$A$42,'Depreciation Schedules'!$E$3:$E$42)</f>
        <v>6.6600000000000006E-2</v>
      </c>
      <c r="M320" s="198">
        <f>LOOKUP(M$2,'Depreciation Schedules'!$A$3:$A$42,'Depreciation Schedules'!$E$3:$E$42)</f>
        <v>6.6699999999999995E-2</v>
      </c>
      <c r="N320" s="198">
        <f>LOOKUP(N$2,'Depreciation Schedules'!$A$3:$A$42,'Depreciation Schedules'!$E$3:$E$42)</f>
        <v>6.6600000000000006E-2</v>
      </c>
      <c r="O320" s="198">
        <f>LOOKUP(O$2,'Depreciation Schedules'!$A$3:$A$42,'Depreciation Schedules'!$E$3:$E$42)</f>
        <v>6.6699999999999995E-2</v>
      </c>
      <c r="P320" s="198">
        <f>LOOKUP(P$2,'Depreciation Schedules'!$A$3:$A$42,'Depreciation Schedules'!$E$3:$E$42)</f>
        <v>6.6600000000000006E-2</v>
      </c>
      <c r="Q320" s="198">
        <f>LOOKUP(Q$2,'Depreciation Schedules'!$A$3:$A$42,'Depreciation Schedules'!$E$3:$E$42)</f>
        <v>6.6699999999999995E-2</v>
      </c>
      <c r="R320" s="198">
        <f>LOOKUP(R$2,'Depreciation Schedules'!$A$3:$A$42,'Depreciation Schedules'!$E$3:$E$42)</f>
        <v>3.3300000000000003E-2</v>
      </c>
      <c r="S320" s="198">
        <f>LOOKUP(S$2,'Depreciation Schedules'!$A$3:$A$42,'Depreciation Schedules'!$E$3:$E$42)</f>
        <v>0</v>
      </c>
      <c r="T320" s="198">
        <f>LOOKUP(T$2,'Depreciation Schedules'!$A$3:$A$42,'Depreciation Schedules'!$E$3:$E$42)</f>
        <v>0</v>
      </c>
      <c r="U320" s="198">
        <f>LOOKUP(U$2,'Depreciation Schedules'!$A$3:$A$42,'Depreciation Schedules'!$E$3:$E$42)</f>
        <v>0</v>
      </c>
      <c r="V320" s="198">
        <f>LOOKUP(V$2,'Depreciation Schedules'!$A$3:$A$42,'Depreciation Schedules'!$E$3:$E$42)</f>
        <v>0</v>
      </c>
      <c r="W320" s="198">
        <f>LOOKUP(W$2,'Depreciation Schedules'!$A$3:$A$42,'Depreciation Schedules'!$E$3:$E$42)</f>
        <v>0</v>
      </c>
      <c r="X320" s="198">
        <f>LOOKUP(X$2,'Depreciation Schedules'!$A$3:$A$42,'Depreciation Schedules'!$E$3:$E$42)</f>
        <v>0</v>
      </c>
      <c r="Y320" s="198">
        <f>LOOKUP(Y$2,'Depreciation Schedules'!$A$3:$A$42,'Depreciation Schedules'!$E$3:$E$42)</f>
        <v>0</v>
      </c>
      <c r="Z320" s="198">
        <f>LOOKUP(Z$2,'Depreciation Schedules'!$A$3:$A$42,'Depreciation Schedules'!$E$3:$E$42)</f>
        <v>0</v>
      </c>
      <c r="AA320" s="198">
        <f>LOOKUP(AA$2,'Depreciation Schedules'!$A$3:$A$42,'Depreciation Schedules'!$E$3:$E$42)</f>
        <v>0</v>
      </c>
      <c r="AB320" s="198">
        <f>LOOKUP(AB$2,'Depreciation Schedules'!$A$3:$A$42,'Depreciation Schedules'!$E$3:$E$42)</f>
        <v>0</v>
      </c>
      <c r="AC320" s="198">
        <f>LOOKUP(AC$2,'Depreciation Schedules'!$A$3:$A$42,'Depreciation Schedules'!$E$3:$E$42)</f>
        <v>0</v>
      </c>
      <c r="AD320" s="198">
        <f>LOOKUP(AD$2,'Depreciation Schedules'!$A$3:$A$42,'Depreciation Schedules'!$E$3:$E$42)</f>
        <v>0</v>
      </c>
      <c r="AE320" s="198">
        <f>LOOKUP(AE$2,'Depreciation Schedules'!$A$3:$A$42,'Depreciation Schedules'!$E$3:$E$42)</f>
        <v>0</v>
      </c>
      <c r="AF320" s="198">
        <f>LOOKUP(AF$2,'Depreciation Schedules'!$A$3:$A$42,'Depreciation Schedules'!$E$3:$E$42)</f>
        <v>0</v>
      </c>
      <c r="AG320" s="198">
        <f>LOOKUP(AG$2,'Depreciation Schedules'!$A$3:$A$42,'Depreciation Schedules'!$E$3:$E$42)</f>
        <v>0</v>
      </c>
      <c r="AH320" s="198">
        <f>LOOKUP(AH$2,'Depreciation Schedules'!$A$3:$A$42,'Depreciation Schedules'!$E$3:$E$42)</f>
        <v>0</v>
      </c>
      <c r="AI320" s="198">
        <f>LOOKUP(AI$2,'Depreciation Schedules'!$A$3:$A$42,'Depreciation Schedules'!$E$3:$E$42)</f>
        <v>0</v>
      </c>
      <c r="AJ320" s="198">
        <f>LOOKUP(AJ$2,'Depreciation Schedules'!$A$3:$A$42,'Depreciation Schedules'!$E$3:$E$42)</f>
        <v>0</v>
      </c>
      <c r="AK320" s="198">
        <f>LOOKUP(AK$2,'Depreciation Schedules'!$A$3:$A$42,'Depreciation Schedules'!$E$3:$E$42)</f>
        <v>0</v>
      </c>
      <c r="AL320" s="198">
        <f>LOOKUP(AL$2,'Depreciation Schedules'!$A$3:$A$42,'Depreciation Schedules'!$E$3:$E$42)</f>
        <v>0</v>
      </c>
      <c r="AM320" s="198">
        <f>LOOKUP(AM$2,'Depreciation Schedules'!$A$3:$A$42,'Depreciation Schedules'!$E$3:$E$42)</f>
        <v>0</v>
      </c>
      <c r="AN320" s="198">
        <f>LOOKUP(AN$2,'Depreciation Schedules'!$A$3:$A$42,'Depreciation Schedules'!$E$3:$E$42)</f>
        <v>0</v>
      </c>
      <c r="AO320" s="198">
        <f>LOOKUP(AO$2,'Depreciation Schedules'!$A$3:$A$42,'Depreciation Schedules'!$E$3:$E$42)</f>
        <v>0</v>
      </c>
      <c r="AP320" s="198">
        <f>LOOKUP(AP$2,'Depreciation Schedules'!$A$3:$A$42,'Depreciation Schedules'!$E$3:$E$42)</f>
        <v>0</v>
      </c>
    </row>
    <row r="321" spans="1:42" x14ac:dyDescent="0.2">
      <c r="A321" s="188" t="str">
        <f t="shared" si="874"/>
        <v>20-yr SL</v>
      </c>
      <c r="B321" s="199">
        <f t="shared" si="875"/>
        <v>1.0000000000000002</v>
      </c>
      <c r="C321" s="198">
        <f>LOOKUP(C$2,'Depreciation Schedules'!$A$3:$A$42,'Depreciation Schedules'!$F$3:$F$42)</f>
        <v>2.5000000000000001E-2</v>
      </c>
      <c r="D321" s="198">
        <f>LOOKUP(D$2,'Depreciation Schedules'!$A$3:$A$42,'Depreciation Schedules'!$F$3:$F$42)</f>
        <v>0.05</v>
      </c>
      <c r="E321" s="198">
        <f>LOOKUP(E$2,'Depreciation Schedules'!$A$3:$A$42,'Depreciation Schedules'!$F$3:$F$42)</f>
        <v>0.05</v>
      </c>
      <c r="F321" s="198">
        <f>LOOKUP(F$2,'Depreciation Schedules'!$A$3:$A$42,'Depreciation Schedules'!$F$3:$F$42)</f>
        <v>0.05</v>
      </c>
      <c r="G321" s="198">
        <f>LOOKUP(G$2,'Depreciation Schedules'!$A$3:$A$42,'Depreciation Schedules'!$F$3:$F$42)</f>
        <v>0.05</v>
      </c>
      <c r="H321" s="198">
        <f>LOOKUP(H$2,'Depreciation Schedules'!$A$3:$A$42,'Depreciation Schedules'!$F$3:$F$42)</f>
        <v>0.05</v>
      </c>
      <c r="I321" s="198">
        <f>LOOKUP(I$2,'Depreciation Schedules'!$A$3:$A$42,'Depreciation Schedules'!$F$3:$F$42)</f>
        <v>0.05</v>
      </c>
      <c r="J321" s="198">
        <f>LOOKUP(J$2,'Depreciation Schedules'!$A$3:$A$42,'Depreciation Schedules'!$F$3:$F$42)</f>
        <v>0.05</v>
      </c>
      <c r="K321" s="198">
        <f>LOOKUP(K$2,'Depreciation Schedules'!$A$3:$A$42,'Depreciation Schedules'!$F$3:$F$42)</f>
        <v>0.05</v>
      </c>
      <c r="L321" s="198">
        <f>LOOKUP(L$2,'Depreciation Schedules'!$A$3:$A$42,'Depreciation Schedules'!$F$3:$F$42)</f>
        <v>0.05</v>
      </c>
      <c r="M321" s="198">
        <f>LOOKUP(M$2,'Depreciation Schedules'!$A$3:$A$42,'Depreciation Schedules'!$F$3:$F$42)</f>
        <v>0.05</v>
      </c>
      <c r="N321" s="198">
        <f>LOOKUP(N$2,'Depreciation Schedules'!$A$3:$A$42,'Depreciation Schedules'!$F$3:$F$42)</f>
        <v>0.05</v>
      </c>
      <c r="O321" s="198">
        <f>LOOKUP(O$2,'Depreciation Schedules'!$A$3:$A$42,'Depreciation Schedules'!$F$3:$F$42)</f>
        <v>0.05</v>
      </c>
      <c r="P321" s="198">
        <f>LOOKUP(P$2,'Depreciation Schedules'!$A$3:$A$42,'Depreciation Schedules'!$F$3:$F$42)</f>
        <v>0.05</v>
      </c>
      <c r="Q321" s="198">
        <f>LOOKUP(Q$2,'Depreciation Schedules'!$A$3:$A$42,'Depreciation Schedules'!$F$3:$F$42)</f>
        <v>0.05</v>
      </c>
      <c r="R321" s="198">
        <f>LOOKUP(R$2,'Depreciation Schedules'!$A$3:$A$42,'Depreciation Schedules'!$F$3:$F$42)</f>
        <v>0.05</v>
      </c>
      <c r="S321" s="198">
        <f>LOOKUP(S$2,'Depreciation Schedules'!$A$3:$A$42,'Depreciation Schedules'!$F$3:$F$42)</f>
        <v>0.05</v>
      </c>
      <c r="T321" s="198">
        <f>LOOKUP(T$2,'Depreciation Schedules'!$A$3:$A$42,'Depreciation Schedules'!$F$3:$F$42)</f>
        <v>0.05</v>
      </c>
      <c r="U321" s="198">
        <f>LOOKUP(U$2,'Depreciation Schedules'!$A$3:$A$42,'Depreciation Schedules'!$F$3:$F$42)</f>
        <v>0.05</v>
      </c>
      <c r="V321" s="198">
        <f>LOOKUP(V$2,'Depreciation Schedules'!$A$3:$A$42,'Depreciation Schedules'!$F$3:$F$42)</f>
        <v>0.05</v>
      </c>
      <c r="W321" s="198">
        <f>LOOKUP(W$2,'Depreciation Schedules'!$A$3:$A$42,'Depreciation Schedules'!$F$3:$F$42)</f>
        <v>2.5000000000000001E-2</v>
      </c>
      <c r="X321" s="198">
        <f>LOOKUP(X$2,'Depreciation Schedules'!$A$3:$A$42,'Depreciation Schedules'!$F$3:$F$42)</f>
        <v>0</v>
      </c>
      <c r="Y321" s="198">
        <f>LOOKUP(Y$2,'Depreciation Schedules'!$A$3:$A$42,'Depreciation Schedules'!$F$3:$F$42)</f>
        <v>0</v>
      </c>
      <c r="Z321" s="198">
        <f>LOOKUP(Z$2,'Depreciation Schedules'!$A$3:$A$42,'Depreciation Schedules'!$F$3:$F$42)</f>
        <v>0</v>
      </c>
      <c r="AA321" s="198">
        <f>LOOKUP(AA$2,'Depreciation Schedules'!$A$3:$A$42,'Depreciation Schedules'!$F$3:$F$42)</f>
        <v>0</v>
      </c>
      <c r="AB321" s="198">
        <f>LOOKUP(AB$2,'Depreciation Schedules'!$A$3:$A$42,'Depreciation Schedules'!$F$3:$F$42)</f>
        <v>0</v>
      </c>
      <c r="AC321" s="198">
        <f>LOOKUP(AC$2,'Depreciation Schedules'!$A$3:$A$42,'Depreciation Schedules'!$F$3:$F$42)</f>
        <v>0</v>
      </c>
      <c r="AD321" s="198">
        <f>LOOKUP(AD$2,'Depreciation Schedules'!$A$3:$A$42,'Depreciation Schedules'!$F$3:$F$42)</f>
        <v>0</v>
      </c>
      <c r="AE321" s="198">
        <f>LOOKUP(AE$2,'Depreciation Schedules'!$A$3:$A$42,'Depreciation Schedules'!$F$3:$F$42)</f>
        <v>0</v>
      </c>
      <c r="AF321" s="198">
        <f>LOOKUP(AF$2,'Depreciation Schedules'!$A$3:$A$42,'Depreciation Schedules'!$F$3:$F$42)</f>
        <v>0</v>
      </c>
      <c r="AG321" s="198">
        <f>LOOKUP(AG$2,'Depreciation Schedules'!$A$3:$A$42,'Depreciation Schedules'!$F$3:$F$42)</f>
        <v>0</v>
      </c>
      <c r="AH321" s="198">
        <f>LOOKUP(AH$2,'Depreciation Schedules'!$A$3:$A$42,'Depreciation Schedules'!$F$3:$F$42)</f>
        <v>0</v>
      </c>
      <c r="AI321" s="198">
        <f>LOOKUP(AI$2,'Depreciation Schedules'!$A$3:$A$42,'Depreciation Schedules'!$F$3:$F$42)</f>
        <v>0</v>
      </c>
      <c r="AJ321" s="198">
        <f>LOOKUP(AJ$2,'Depreciation Schedules'!$A$3:$A$42,'Depreciation Schedules'!$F$3:$F$42)</f>
        <v>0</v>
      </c>
      <c r="AK321" s="198">
        <f>LOOKUP(AK$2,'Depreciation Schedules'!$A$3:$A$42,'Depreciation Schedules'!$F$3:$F$42)</f>
        <v>0</v>
      </c>
      <c r="AL321" s="198">
        <f>LOOKUP(AL$2,'Depreciation Schedules'!$A$3:$A$42,'Depreciation Schedules'!$F$3:$F$42)</f>
        <v>0</v>
      </c>
      <c r="AM321" s="198">
        <f>LOOKUP(AM$2,'Depreciation Schedules'!$A$3:$A$42,'Depreciation Schedules'!$F$3:$F$42)</f>
        <v>0</v>
      </c>
      <c r="AN321" s="198">
        <f>LOOKUP(AN$2,'Depreciation Schedules'!$A$3:$A$42,'Depreciation Schedules'!$F$3:$F$42)</f>
        <v>0</v>
      </c>
      <c r="AO321" s="198">
        <f>LOOKUP(AO$2,'Depreciation Schedules'!$A$3:$A$42,'Depreciation Schedules'!$F$3:$F$42)</f>
        <v>0</v>
      </c>
      <c r="AP321" s="198">
        <f>LOOKUP(AP$2,'Depreciation Schedules'!$A$3:$A$42,'Depreciation Schedules'!$F$3:$F$42)</f>
        <v>0</v>
      </c>
    </row>
    <row r="322" spans="1:42" x14ac:dyDescent="0.2">
      <c r="A322" s="188" t="str">
        <f t="shared" si="874"/>
        <v>39-yr SL</v>
      </c>
      <c r="B322" s="200">
        <f t="shared" si="875"/>
        <v>1.0000000000000004</v>
      </c>
      <c r="C322" s="198">
        <f>LOOKUP(C$2,'Depreciation Schedules'!$A$3:$A$42,'Depreciation Schedules'!$G$3:$G$42)</f>
        <v>1.2820512820512799E-2</v>
      </c>
      <c r="D322" s="198">
        <f>LOOKUP(D$2,'Depreciation Schedules'!$A$3:$A$42,'Depreciation Schedules'!$G$3:$G$42)</f>
        <v>2.564102564102564E-2</v>
      </c>
      <c r="E322" s="198">
        <f>LOOKUP(E$2,'Depreciation Schedules'!$A$3:$A$42,'Depreciation Schedules'!$G$3:$G$42)</f>
        <v>2.564102564102564E-2</v>
      </c>
      <c r="F322" s="198">
        <f>LOOKUP(F$2,'Depreciation Schedules'!$A$3:$A$42,'Depreciation Schedules'!$G$3:$G$42)</f>
        <v>2.564102564102564E-2</v>
      </c>
      <c r="G322" s="198">
        <f>LOOKUP(G$2,'Depreciation Schedules'!$A$3:$A$42,'Depreciation Schedules'!$G$3:$G$42)</f>
        <v>2.564102564102564E-2</v>
      </c>
      <c r="H322" s="198">
        <f>LOOKUP(H$2,'Depreciation Schedules'!$A$3:$A$42,'Depreciation Schedules'!$G$3:$G$42)</f>
        <v>2.564102564102564E-2</v>
      </c>
      <c r="I322" s="198">
        <f>LOOKUP(I$2,'Depreciation Schedules'!$A$3:$A$42,'Depreciation Schedules'!$G$3:$G$42)</f>
        <v>2.564102564102564E-2</v>
      </c>
      <c r="J322" s="198">
        <f>LOOKUP(J$2,'Depreciation Schedules'!$A$3:$A$42,'Depreciation Schedules'!$G$3:$G$42)</f>
        <v>2.564102564102564E-2</v>
      </c>
      <c r="K322" s="198">
        <f>LOOKUP(K$2,'Depreciation Schedules'!$A$3:$A$42,'Depreciation Schedules'!$G$3:$G$42)</f>
        <v>2.564102564102564E-2</v>
      </c>
      <c r="L322" s="198">
        <f>LOOKUP(L$2,'Depreciation Schedules'!$A$3:$A$42,'Depreciation Schedules'!$G$3:$G$42)</f>
        <v>2.564102564102564E-2</v>
      </c>
      <c r="M322" s="198">
        <f>LOOKUP(M$2,'Depreciation Schedules'!$A$3:$A$42,'Depreciation Schedules'!$G$3:$G$42)</f>
        <v>2.564102564102564E-2</v>
      </c>
      <c r="N322" s="198">
        <f>LOOKUP(N$2,'Depreciation Schedules'!$A$3:$A$42,'Depreciation Schedules'!$G$3:$G$42)</f>
        <v>2.564102564102564E-2</v>
      </c>
      <c r="O322" s="198">
        <f>LOOKUP(O$2,'Depreciation Schedules'!$A$3:$A$42,'Depreciation Schedules'!$G$3:$G$42)</f>
        <v>2.564102564102564E-2</v>
      </c>
      <c r="P322" s="198">
        <f>LOOKUP(P$2,'Depreciation Schedules'!$A$3:$A$42,'Depreciation Schedules'!$G$3:$G$42)</f>
        <v>2.564102564102564E-2</v>
      </c>
      <c r="Q322" s="198">
        <f>LOOKUP(Q$2,'Depreciation Schedules'!$A$3:$A$42,'Depreciation Schedules'!$G$3:$G$42)</f>
        <v>2.564102564102564E-2</v>
      </c>
      <c r="R322" s="198">
        <f>LOOKUP(R$2,'Depreciation Schedules'!$A$3:$A$42,'Depreciation Schedules'!$G$3:$G$42)</f>
        <v>2.564102564102564E-2</v>
      </c>
      <c r="S322" s="198">
        <f>LOOKUP(S$2,'Depreciation Schedules'!$A$3:$A$42,'Depreciation Schedules'!$G$3:$G$42)</f>
        <v>2.564102564102564E-2</v>
      </c>
      <c r="T322" s="198">
        <f>LOOKUP(T$2,'Depreciation Schedules'!$A$3:$A$42,'Depreciation Schedules'!$G$3:$G$42)</f>
        <v>2.564102564102564E-2</v>
      </c>
      <c r="U322" s="198">
        <f>LOOKUP(U$2,'Depreciation Schedules'!$A$3:$A$42,'Depreciation Schedules'!$G$3:$G$42)</f>
        <v>2.564102564102564E-2</v>
      </c>
      <c r="V322" s="198">
        <f>LOOKUP(V$2,'Depreciation Schedules'!$A$3:$A$42,'Depreciation Schedules'!$G$3:$G$42)</f>
        <v>2.564102564102564E-2</v>
      </c>
      <c r="W322" s="198">
        <f>LOOKUP(W$2,'Depreciation Schedules'!$A$3:$A$42,'Depreciation Schedules'!$G$3:$G$42)</f>
        <v>2.564102564102564E-2</v>
      </c>
      <c r="X322" s="198">
        <f>LOOKUP(X$2,'Depreciation Schedules'!$A$3:$A$42,'Depreciation Schedules'!$G$3:$G$42)</f>
        <v>2.564102564102564E-2</v>
      </c>
      <c r="Y322" s="198">
        <f>LOOKUP(Y$2,'Depreciation Schedules'!$A$3:$A$42,'Depreciation Schedules'!$G$3:$G$42)</f>
        <v>2.564102564102564E-2</v>
      </c>
      <c r="Z322" s="198">
        <f>LOOKUP(Z$2,'Depreciation Schedules'!$A$3:$A$42,'Depreciation Schedules'!$G$3:$G$42)</f>
        <v>2.564102564102564E-2</v>
      </c>
      <c r="AA322" s="198">
        <f>LOOKUP(AA$2,'Depreciation Schedules'!$A$3:$A$42,'Depreciation Schedules'!$G$3:$G$42)</f>
        <v>2.564102564102564E-2</v>
      </c>
      <c r="AB322" s="198">
        <f>LOOKUP(AB$2,'Depreciation Schedules'!$A$3:$A$42,'Depreciation Schedules'!$G$3:$G$42)</f>
        <v>2.564102564102564E-2</v>
      </c>
      <c r="AC322" s="198">
        <f>LOOKUP(AC$2,'Depreciation Schedules'!$A$3:$A$42,'Depreciation Schedules'!$G$3:$G$42)</f>
        <v>2.564102564102564E-2</v>
      </c>
      <c r="AD322" s="198">
        <f>LOOKUP(AD$2,'Depreciation Schedules'!$A$3:$A$42,'Depreciation Schedules'!$G$3:$G$42)</f>
        <v>2.564102564102564E-2</v>
      </c>
      <c r="AE322" s="198">
        <f>LOOKUP(AE$2,'Depreciation Schedules'!$A$3:$A$42,'Depreciation Schedules'!$G$3:$G$42)</f>
        <v>2.564102564102564E-2</v>
      </c>
      <c r="AF322" s="198">
        <f>LOOKUP(AF$2,'Depreciation Schedules'!$A$3:$A$42,'Depreciation Schedules'!$G$3:$G$42)</f>
        <v>2.564102564102564E-2</v>
      </c>
      <c r="AG322" s="198">
        <f>LOOKUP(AG$2,'Depreciation Schedules'!$A$3:$A$42,'Depreciation Schedules'!$G$3:$G$42)</f>
        <v>2.564102564102564E-2</v>
      </c>
      <c r="AH322" s="198">
        <f>LOOKUP(AH$2,'Depreciation Schedules'!$A$3:$A$42,'Depreciation Schedules'!$G$3:$G$42)</f>
        <v>2.564102564102564E-2</v>
      </c>
      <c r="AI322" s="198">
        <f>LOOKUP(AI$2,'Depreciation Schedules'!$A$3:$A$42,'Depreciation Schedules'!$G$3:$G$42)</f>
        <v>2.564102564102564E-2</v>
      </c>
      <c r="AJ322" s="198">
        <f>LOOKUP(AJ$2,'Depreciation Schedules'!$A$3:$A$42,'Depreciation Schedules'!$G$3:$G$42)</f>
        <v>2.564102564102564E-2</v>
      </c>
      <c r="AK322" s="198">
        <f>LOOKUP(AK$2,'Depreciation Schedules'!$A$3:$A$42,'Depreciation Schedules'!$G$3:$G$42)</f>
        <v>2.564102564102564E-2</v>
      </c>
      <c r="AL322" s="198">
        <f>LOOKUP(AL$2,'Depreciation Schedules'!$A$3:$A$42,'Depreciation Schedules'!$G$3:$G$42)</f>
        <v>2.564102564102564E-2</v>
      </c>
      <c r="AM322" s="198">
        <f>LOOKUP(AM$2,'Depreciation Schedules'!$A$3:$A$42,'Depreciation Schedules'!$G$3:$G$42)</f>
        <v>2.564102564102564E-2</v>
      </c>
      <c r="AN322" s="198">
        <f>LOOKUP(AN$2,'Depreciation Schedules'!$A$3:$A$42,'Depreciation Schedules'!$G$3:$G$42)</f>
        <v>2.564102564102564E-2</v>
      </c>
      <c r="AO322" s="198">
        <f>LOOKUP(AO$2,'Depreciation Schedules'!$A$3:$A$42,'Depreciation Schedules'!$G$3:$G$42)</f>
        <v>2.564102564102564E-2</v>
      </c>
      <c r="AP322" s="198">
        <f>LOOKUP(AP$2,'Depreciation Schedules'!$A$3:$A$42,'Depreciation Schedules'!$G$3:$G$42)</f>
        <v>1.2820512820512799E-2</v>
      </c>
    </row>
    <row r="323" spans="1:42" x14ac:dyDescent="0.2">
      <c r="A323" s="167" t="s">
        <v>34</v>
      </c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</row>
    <row r="324" spans="1:42" x14ac:dyDescent="0.2">
      <c r="A324" s="188" t="str">
        <f>A317</f>
        <v>5-yr MACRS</v>
      </c>
      <c r="B324" s="201">
        <f>SUM(C324:AP324)</f>
        <v>34299208.571964659</v>
      </c>
      <c r="C324" s="169">
        <f t="shared" ref="C324:AP324" si="876">C317*$Q284</f>
        <v>6859841.7143929303</v>
      </c>
      <c r="D324" s="169">
        <f t="shared" si="876"/>
        <v>10975746.743028689</v>
      </c>
      <c r="E324" s="169">
        <f t="shared" si="876"/>
        <v>6585448.0458172131</v>
      </c>
      <c r="F324" s="169">
        <f t="shared" si="876"/>
        <v>3951268.8274903279</v>
      </c>
      <c r="G324" s="169">
        <f t="shared" si="876"/>
        <v>3951268.8274903279</v>
      </c>
      <c r="H324" s="169">
        <f t="shared" si="876"/>
        <v>1975634.4137451639</v>
      </c>
      <c r="I324" s="169">
        <f t="shared" si="876"/>
        <v>0</v>
      </c>
      <c r="J324" s="169">
        <f t="shared" si="876"/>
        <v>0</v>
      </c>
      <c r="K324" s="169">
        <f t="shared" si="876"/>
        <v>0</v>
      </c>
      <c r="L324" s="169">
        <f t="shared" si="876"/>
        <v>0</v>
      </c>
      <c r="M324" s="169">
        <f t="shared" si="876"/>
        <v>0</v>
      </c>
      <c r="N324" s="169">
        <f t="shared" si="876"/>
        <v>0</v>
      </c>
      <c r="O324" s="169">
        <f t="shared" si="876"/>
        <v>0</v>
      </c>
      <c r="P324" s="169">
        <f t="shared" si="876"/>
        <v>0</v>
      </c>
      <c r="Q324" s="169">
        <f t="shared" si="876"/>
        <v>0</v>
      </c>
      <c r="R324" s="169">
        <f t="shared" si="876"/>
        <v>0</v>
      </c>
      <c r="S324" s="169">
        <f t="shared" si="876"/>
        <v>0</v>
      </c>
      <c r="T324" s="169">
        <f t="shared" si="876"/>
        <v>0</v>
      </c>
      <c r="U324" s="169">
        <f t="shared" si="876"/>
        <v>0</v>
      </c>
      <c r="V324" s="169">
        <f t="shared" si="876"/>
        <v>0</v>
      </c>
      <c r="W324" s="169">
        <f t="shared" si="876"/>
        <v>0</v>
      </c>
      <c r="X324" s="169">
        <f t="shared" si="876"/>
        <v>0</v>
      </c>
      <c r="Y324" s="169">
        <f t="shared" si="876"/>
        <v>0</v>
      </c>
      <c r="Z324" s="169">
        <f t="shared" si="876"/>
        <v>0</v>
      </c>
      <c r="AA324" s="169">
        <f t="shared" si="876"/>
        <v>0</v>
      </c>
      <c r="AB324" s="169">
        <f t="shared" si="876"/>
        <v>0</v>
      </c>
      <c r="AC324" s="169">
        <f t="shared" si="876"/>
        <v>0</v>
      </c>
      <c r="AD324" s="169">
        <f t="shared" si="876"/>
        <v>0</v>
      </c>
      <c r="AE324" s="169">
        <f t="shared" si="876"/>
        <v>0</v>
      </c>
      <c r="AF324" s="169">
        <f t="shared" si="876"/>
        <v>0</v>
      </c>
      <c r="AG324" s="169">
        <f t="shared" si="876"/>
        <v>0</v>
      </c>
      <c r="AH324" s="169">
        <f t="shared" si="876"/>
        <v>0</v>
      </c>
      <c r="AI324" s="169">
        <f t="shared" si="876"/>
        <v>0</v>
      </c>
      <c r="AJ324" s="169">
        <f t="shared" si="876"/>
        <v>0</v>
      </c>
      <c r="AK324" s="169">
        <f t="shared" si="876"/>
        <v>0</v>
      </c>
      <c r="AL324" s="169">
        <f t="shared" si="876"/>
        <v>0</v>
      </c>
      <c r="AM324" s="169">
        <f t="shared" si="876"/>
        <v>0</v>
      </c>
      <c r="AN324" s="169">
        <f t="shared" si="876"/>
        <v>0</v>
      </c>
      <c r="AO324" s="169">
        <f t="shared" si="876"/>
        <v>0</v>
      </c>
      <c r="AP324" s="169">
        <f t="shared" si="876"/>
        <v>0</v>
      </c>
    </row>
    <row r="325" spans="1:42" x14ac:dyDescent="0.2">
      <c r="A325" s="188" t="str">
        <f t="shared" ref="A325:A329" si="877">A318</f>
        <v>15-yr MACRS</v>
      </c>
      <c r="B325" s="136">
        <f t="shared" ref="B325:B331" si="878">SUM(C325:AP325)</f>
        <v>680090.05760670174</v>
      </c>
      <c r="C325" s="169">
        <f t="shared" ref="C325:AP325" si="879">C318*$Q285</f>
        <v>34004.50288033508</v>
      </c>
      <c r="D325" s="169">
        <f t="shared" si="879"/>
        <v>64608.555472636654</v>
      </c>
      <c r="E325" s="169">
        <f t="shared" si="879"/>
        <v>58147.699925372995</v>
      </c>
      <c r="F325" s="169">
        <f t="shared" si="879"/>
        <v>52366.934435716023</v>
      </c>
      <c r="G325" s="169">
        <f t="shared" si="879"/>
        <v>47130.24099214442</v>
      </c>
      <c r="H325" s="169">
        <f t="shared" si="879"/>
        <v>42369.610588897514</v>
      </c>
      <c r="I325" s="169">
        <f t="shared" si="879"/>
        <v>40125.313398795392</v>
      </c>
      <c r="J325" s="169">
        <f t="shared" si="879"/>
        <v>40125.313398795392</v>
      </c>
      <c r="K325" s="169">
        <f t="shared" si="879"/>
        <v>40193.322404556064</v>
      </c>
      <c r="L325" s="169">
        <f t="shared" si="879"/>
        <v>40125.313398795392</v>
      </c>
      <c r="M325" s="169">
        <f t="shared" si="879"/>
        <v>40193.322404556064</v>
      </c>
      <c r="N325" s="169">
        <f t="shared" si="879"/>
        <v>40125.313398795392</v>
      </c>
      <c r="O325" s="169">
        <f t="shared" si="879"/>
        <v>40193.322404556064</v>
      </c>
      <c r="P325" s="169">
        <f t="shared" si="879"/>
        <v>40125.313398795392</v>
      </c>
      <c r="Q325" s="169">
        <f t="shared" si="879"/>
        <v>40193.322404556064</v>
      </c>
      <c r="R325" s="169">
        <f t="shared" si="879"/>
        <v>20062.656699397696</v>
      </c>
      <c r="S325" s="169">
        <f t="shared" si="879"/>
        <v>0</v>
      </c>
      <c r="T325" s="169">
        <f t="shared" si="879"/>
        <v>0</v>
      </c>
      <c r="U325" s="169">
        <f t="shared" si="879"/>
        <v>0</v>
      </c>
      <c r="V325" s="169">
        <f t="shared" si="879"/>
        <v>0</v>
      </c>
      <c r="W325" s="169">
        <f t="shared" si="879"/>
        <v>0</v>
      </c>
      <c r="X325" s="169">
        <f t="shared" si="879"/>
        <v>0</v>
      </c>
      <c r="Y325" s="169">
        <f t="shared" si="879"/>
        <v>0</v>
      </c>
      <c r="Z325" s="169">
        <f t="shared" si="879"/>
        <v>0</v>
      </c>
      <c r="AA325" s="169">
        <f t="shared" si="879"/>
        <v>0</v>
      </c>
      <c r="AB325" s="169">
        <f t="shared" si="879"/>
        <v>0</v>
      </c>
      <c r="AC325" s="169">
        <f t="shared" si="879"/>
        <v>0</v>
      </c>
      <c r="AD325" s="169">
        <f t="shared" si="879"/>
        <v>0</v>
      </c>
      <c r="AE325" s="169">
        <f t="shared" si="879"/>
        <v>0</v>
      </c>
      <c r="AF325" s="169">
        <f t="shared" si="879"/>
        <v>0</v>
      </c>
      <c r="AG325" s="169">
        <f t="shared" si="879"/>
        <v>0</v>
      </c>
      <c r="AH325" s="169">
        <f t="shared" si="879"/>
        <v>0</v>
      </c>
      <c r="AI325" s="169">
        <f t="shared" si="879"/>
        <v>0</v>
      </c>
      <c r="AJ325" s="169">
        <f t="shared" si="879"/>
        <v>0</v>
      </c>
      <c r="AK325" s="169">
        <f t="shared" si="879"/>
        <v>0</v>
      </c>
      <c r="AL325" s="169">
        <f t="shared" si="879"/>
        <v>0</v>
      </c>
      <c r="AM325" s="169">
        <f t="shared" si="879"/>
        <v>0</v>
      </c>
      <c r="AN325" s="169">
        <f t="shared" si="879"/>
        <v>0</v>
      </c>
      <c r="AO325" s="169">
        <f t="shared" si="879"/>
        <v>0</v>
      </c>
      <c r="AP325" s="169">
        <f t="shared" si="879"/>
        <v>0</v>
      </c>
    </row>
    <row r="326" spans="1:42" x14ac:dyDescent="0.2">
      <c r="A326" s="188" t="str">
        <f t="shared" si="877"/>
        <v>5-yr SL</v>
      </c>
      <c r="B326" s="136">
        <f t="shared" si="878"/>
        <v>0</v>
      </c>
      <c r="C326" s="169">
        <f t="shared" ref="C326:AP326" si="880">C319*$Q286</f>
        <v>0</v>
      </c>
      <c r="D326" s="169">
        <f t="shared" si="880"/>
        <v>0</v>
      </c>
      <c r="E326" s="169">
        <f t="shared" si="880"/>
        <v>0</v>
      </c>
      <c r="F326" s="169">
        <f t="shared" si="880"/>
        <v>0</v>
      </c>
      <c r="G326" s="169">
        <f t="shared" si="880"/>
        <v>0</v>
      </c>
      <c r="H326" s="169">
        <f t="shared" si="880"/>
        <v>0</v>
      </c>
      <c r="I326" s="169">
        <f t="shared" si="880"/>
        <v>0</v>
      </c>
      <c r="J326" s="169">
        <f t="shared" si="880"/>
        <v>0</v>
      </c>
      <c r="K326" s="169">
        <f t="shared" si="880"/>
        <v>0</v>
      </c>
      <c r="L326" s="169">
        <f t="shared" si="880"/>
        <v>0</v>
      </c>
      <c r="M326" s="169">
        <f t="shared" si="880"/>
        <v>0</v>
      </c>
      <c r="N326" s="169">
        <f t="shared" si="880"/>
        <v>0</v>
      </c>
      <c r="O326" s="169">
        <f t="shared" si="880"/>
        <v>0</v>
      </c>
      <c r="P326" s="169">
        <f t="shared" si="880"/>
        <v>0</v>
      </c>
      <c r="Q326" s="169">
        <f t="shared" si="880"/>
        <v>0</v>
      </c>
      <c r="R326" s="169">
        <f t="shared" si="880"/>
        <v>0</v>
      </c>
      <c r="S326" s="169">
        <f t="shared" si="880"/>
        <v>0</v>
      </c>
      <c r="T326" s="169">
        <f t="shared" si="880"/>
        <v>0</v>
      </c>
      <c r="U326" s="169">
        <f t="shared" si="880"/>
        <v>0</v>
      </c>
      <c r="V326" s="169">
        <f t="shared" si="880"/>
        <v>0</v>
      </c>
      <c r="W326" s="169">
        <f t="shared" si="880"/>
        <v>0</v>
      </c>
      <c r="X326" s="169">
        <f t="shared" si="880"/>
        <v>0</v>
      </c>
      <c r="Y326" s="169">
        <f t="shared" si="880"/>
        <v>0</v>
      </c>
      <c r="Z326" s="169">
        <f t="shared" si="880"/>
        <v>0</v>
      </c>
      <c r="AA326" s="169">
        <f t="shared" si="880"/>
        <v>0</v>
      </c>
      <c r="AB326" s="169">
        <f t="shared" si="880"/>
        <v>0</v>
      </c>
      <c r="AC326" s="169">
        <f t="shared" si="880"/>
        <v>0</v>
      </c>
      <c r="AD326" s="169">
        <f t="shared" si="880"/>
        <v>0</v>
      </c>
      <c r="AE326" s="169">
        <f t="shared" si="880"/>
        <v>0</v>
      </c>
      <c r="AF326" s="169">
        <f t="shared" si="880"/>
        <v>0</v>
      </c>
      <c r="AG326" s="169">
        <f t="shared" si="880"/>
        <v>0</v>
      </c>
      <c r="AH326" s="169">
        <f t="shared" si="880"/>
        <v>0</v>
      </c>
      <c r="AI326" s="169">
        <f t="shared" si="880"/>
        <v>0</v>
      </c>
      <c r="AJ326" s="169">
        <f t="shared" si="880"/>
        <v>0</v>
      </c>
      <c r="AK326" s="169">
        <f t="shared" si="880"/>
        <v>0</v>
      </c>
      <c r="AL326" s="169">
        <f t="shared" si="880"/>
        <v>0</v>
      </c>
      <c r="AM326" s="169">
        <f t="shared" si="880"/>
        <v>0</v>
      </c>
      <c r="AN326" s="169">
        <f t="shared" si="880"/>
        <v>0</v>
      </c>
      <c r="AO326" s="169">
        <f t="shared" si="880"/>
        <v>0</v>
      </c>
      <c r="AP326" s="169">
        <f t="shared" si="880"/>
        <v>0</v>
      </c>
    </row>
    <row r="327" spans="1:42" x14ac:dyDescent="0.2">
      <c r="A327" s="188" t="str">
        <f t="shared" si="877"/>
        <v>15-yr SL</v>
      </c>
      <c r="B327" s="136">
        <f t="shared" si="878"/>
        <v>1360180.1152134032</v>
      </c>
      <c r="C327" s="169">
        <f t="shared" ref="C327:AP327" si="881">C320*$Q287</f>
        <v>45293.99783660633</v>
      </c>
      <c r="D327" s="169">
        <f t="shared" si="881"/>
        <v>90724.013684733989</v>
      </c>
      <c r="E327" s="169">
        <f t="shared" si="881"/>
        <v>90724.013684733989</v>
      </c>
      <c r="F327" s="169">
        <f t="shared" si="881"/>
        <v>90724.013684733989</v>
      </c>
      <c r="G327" s="169">
        <f t="shared" si="881"/>
        <v>90724.013684733989</v>
      </c>
      <c r="H327" s="169">
        <f t="shared" si="881"/>
        <v>90724.013684733989</v>
      </c>
      <c r="I327" s="169">
        <f t="shared" si="881"/>
        <v>90724.013684733989</v>
      </c>
      <c r="J327" s="169">
        <f t="shared" si="881"/>
        <v>90587.995673212659</v>
      </c>
      <c r="K327" s="169">
        <f t="shared" si="881"/>
        <v>90724.013684733989</v>
      </c>
      <c r="L327" s="169">
        <f t="shared" si="881"/>
        <v>90587.995673212659</v>
      </c>
      <c r="M327" s="169">
        <f t="shared" si="881"/>
        <v>90724.013684733989</v>
      </c>
      <c r="N327" s="169">
        <f t="shared" si="881"/>
        <v>90587.995673212659</v>
      </c>
      <c r="O327" s="169">
        <f t="shared" si="881"/>
        <v>90724.013684733989</v>
      </c>
      <c r="P327" s="169">
        <f t="shared" si="881"/>
        <v>90587.995673212659</v>
      </c>
      <c r="Q327" s="169">
        <f t="shared" si="881"/>
        <v>90724.013684733989</v>
      </c>
      <c r="R327" s="169">
        <f t="shared" si="881"/>
        <v>45293.99783660633</v>
      </c>
      <c r="S327" s="169">
        <f t="shared" si="881"/>
        <v>0</v>
      </c>
      <c r="T327" s="169">
        <f t="shared" si="881"/>
        <v>0</v>
      </c>
      <c r="U327" s="169">
        <f t="shared" si="881"/>
        <v>0</v>
      </c>
      <c r="V327" s="169">
        <f t="shared" si="881"/>
        <v>0</v>
      </c>
      <c r="W327" s="169">
        <f t="shared" si="881"/>
        <v>0</v>
      </c>
      <c r="X327" s="169">
        <f t="shared" si="881"/>
        <v>0</v>
      </c>
      <c r="Y327" s="169">
        <f t="shared" si="881"/>
        <v>0</v>
      </c>
      <c r="Z327" s="169">
        <f t="shared" si="881"/>
        <v>0</v>
      </c>
      <c r="AA327" s="169">
        <f t="shared" si="881"/>
        <v>0</v>
      </c>
      <c r="AB327" s="169">
        <f t="shared" si="881"/>
        <v>0</v>
      </c>
      <c r="AC327" s="169">
        <f t="shared" si="881"/>
        <v>0</v>
      </c>
      <c r="AD327" s="169">
        <f t="shared" si="881"/>
        <v>0</v>
      </c>
      <c r="AE327" s="169">
        <f t="shared" si="881"/>
        <v>0</v>
      </c>
      <c r="AF327" s="169">
        <f t="shared" si="881"/>
        <v>0</v>
      </c>
      <c r="AG327" s="169">
        <f t="shared" si="881"/>
        <v>0</v>
      </c>
      <c r="AH327" s="169">
        <f t="shared" si="881"/>
        <v>0</v>
      </c>
      <c r="AI327" s="169">
        <f t="shared" si="881"/>
        <v>0</v>
      </c>
      <c r="AJ327" s="169">
        <f t="shared" si="881"/>
        <v>0</v>
      </c>
      <c r="AK327" s="169">
        <f t="shared" si="881"/>
        <v>0</v>
      </c>
      <c r="AL327" s="169">
        <f t="shared" si="881"/>
        <v>0</v>
      </c>
      <c r="AM327" s="169">
        <f t="shared" si="881"/>
        <v>0</v>
      </c>
      <c r="AN327" s="169">
        <f t="shared" si="881"/>
        <v>0</v>
      </c>
      <c r="AO327" s="169">
        <f t="shared" si="881"/>
        <v>0</v>
      </c>
      <c r="AP327" s="169">
        <f t="shared" si="881"/>
        <v>0</v>
      </c>
    </row>
    <row r="328" spans="1:42" x14ac:dyDescent="0.2">
      <c r="A328" s="188" t="str">
        <f t="shared" si="877"/>
        <v>20-yr SL</v>
      </c>
      <c r="B328" s="136">
        <f t="shared" si="878"/>
        <v>1360180.1152134032</v>
      </c>
      <c r="C328" s="169">
        <f t="shared" ref="C328:AP328" si="882">C321*$Q288</f>
        <v>34004.50288033508</v>
      </c>
      <c r="D328" s="169">
        <f t="shared" si="882"/>
        <v>68009.005760670159</v>
      </c>
      <c r="E328" s="169">
        <f t="shared" si="882"/>
        <v>68009.005760670159</v>
      </c>
      <c r="F328" s="169">
        <f t="shared" si="882"/>
        <v>68009.005760670159</v>
      </c>
      <c r="G328" s="169">
        <f t="shared" si="882"/>
        <v>68009.005760670159</v>
      </c>
      <c r="H328" s="169">
        <f t="shared" si="882"/>
        <v>68009.005760670159</v>
      </c>
      <c r="I328" s="169">
        <f t="shared" si="882"/>
        <v>68009.005760670159</v>
      </c>
      <c r="J328" s="169">
        <f t="shared" si="882"/>
        <v>68009.005760670159</v>
      </c>
      <c r="K328" s="169">
        <f t="shared" si="882"/>
        <v>68009.005760670159</v>
      </c>
      <c r="L328" s="169">
        <f t="shared" si="882"/>
        <v>68009.005760670159</v>
      </c>
      <c r="M328" s="169">
        <f t="shared" si="882"/>
        <v>68009.005760670159</v>
      </c>
      <c r="N328" s="169">
        <f t="shared" si="882"/>
        <v>68009.005760670159</v>
      </c>
      <c r="O328" s="169">
        <f t="shared" si="882"/>
        <v>68009.005760670159</v>
      </c>
      <c r="P328" s="169">
        <f t="shared" si="882"/>
        <v>68009.005760670159</v>
      </c>
      <c r="Q328" s="169">
        <f t="shared" si="882"/>
        <v>68009.005760670159</v>
      </c>
      <c r="R328" s="169">
        <f t="shared" si="882"/>
        <v>68009.005760670159</v>
      </c>
      <c r="S328" s="169">
        <f t="shared" si="882"/>
        <v>68009.005760670159</v>
      </c>
      <c r="T328" s="169">
        <f t="shared" si="882"/>
        <v>68009.005760670159</v>
      </c>
      <c r="U328" s="169">
        <f t="shared" si="882"/>
        <v>68009.005760670159</v>
      </c>
      <c r="V328" s="169">
        <f t="shared" si="882"/>
        <v>68009.005760670159</v>
      </c>
      <c r="W328" s="169">
        <f t="shared" si="882"/>
        <v>34004.50288033508</v>
      </c>
      <c r="X328" s="169">
        <f t="shared" si="882"/>
        <v>0</v>
      </c>
      <c r="Y328" s="169">
        <f t="shared" si="882"/>
        <v>0</v>
      </c>
      <c r="Z328" s="169">
        <f t="shared" si="882"/>
        <v>0</v>
      </c>
      <c r="AA328" s="169">
        <f t="shared" si="882"/>
        <v>0</v>
      </c>
      <c r="AB328" s="169">
        <f t="shared" si="882"/>
        <v>0</v>
      </c>
      <c r="AC328" s="169">
        <f t="shared" si="882"/>
        <v>0</v>
      </c>
      <c r="AD328" s="169">
        <f t="shared" si="882"/>
        <v>0</v>
      </c>
      <c r="AE328" s="169">
        <f t="shared" si="882"/>
        <v>0</v>
      </c>
      <c r="AF328" s="169">
        <f t="shared" si="882"/>
        <v>0</v>
      </c>
      <c r="AG328" s="169">
        <f t="shared" si="882"/>
        <v>0</v>
      </c>
      <c r="AH328" s="169">
        <f t="shared" si="882"/>
        <v>0</v>
      </c>
      <c r="AI328" s="169">
        <f t="shared" si="882"/>
        <v>0</v>
      </c>
      <c r="AJ328" s="169">
        <f t="shared" si="882"/>
        <v>0</v>
      </c>
      <c r="AK328" s="169">
        <f t="shared" si="882"/>
        <v>0</v>
      </c>
      <c r="AL328" s="169">
        <f t="shared" si="882"/>
        <v>0</v>
      </c>
      <c r="AM328" s="169">
        <f t="shared" si="882"/>
        <v>0</v>
      </c>
      <c r="AN328" s="169">
        <f t="shared" si="882"/>
        <v>0</v>
      </c>
      <c r="AO328" s="169">
        <f t="shared" si="882"/>
        <v>0</v>
      </c>
      <c r="AP328" s="169">
        <f t="shared" si="882"/>
        <v>0</v>
      </c>
    </row>
    <row r="329" spans="1:42" x14ac:dyDescent="0.2">
      <c r="A329" s="188" t="str">
        <f t="shared" si="877"/>
        <v>39-yr SL</v>
      </c>
      <c r="B329" s="136">
        <f t="shared" si="878"/>
        <v>226696.68586890056</v>
      </c>
      <c r="C329" s="169">
        <f t="shared" ref="C329:AP329" si="883">C322*$Q289</f>
        <v>2906.3677675500021</v>
      </c>
      <c r="D329" s="169">
        <f t="shared" si="883"/>
        <v>5812.7355351000133</v>
      </c>
      <c r="E329" s="169">
        <f t="shared" si="883"/>
        <v>5812.7355351000133</v>
      </c>
      <c r="F329" s="169">
        <f t="shared" si="883"/>
        <v>5812.7355351000133</v>
      </c>
      <c r="G329" s="169">
        <f t="shared" si="883"/>
        <v>5812.7355351000133</v>
      </c>
      <c r="H329" s="169">
        <f t="shared" si="883"/>
        <v>5812.7355351000133</v>
      </c>
      <c r="I329" s="169">
        <f t="shared" si="883"/>
        <v>5812.7355351000133</v>
      </c>
      <c r="J329" s="169">
        <f t="shared" si="883"/>
        <v>5812.7355351000133</v>
      </c>
      <c r="K329" s="169">
        <f t="shared" si="883"/>
        <v>5812.7355351000133</v>
      </c>
      <c r="L329" s="169">
        <f t="shared" si="883"/>
        <v>5812.7355351000133</v>
      </c>
      <c r="M329" s="169">
        <f t="shared" si="883"/>
        <v>5812.7355351000133</v>
      </c>
      <c r="N329" s="169">
        <f t="shared" si="883"/>
        <v>5812.7355351000133</v>
      </c>
      <c r="O329" s="169">
        <f t="shared" si="883"/>
        <v>5812.7355351000133</v>
      </c>
      <c r="P329" s="169">
        <f t="shared" si="883"/>
        <v>5812.7355351000133</v>
      </c>
      <c r="Q329" s="169">
        <f t="shared" si="883"/>
        <v>5812.7355351000133</v>
      </c>
      <c r="R329" s="169">
        <f t="shared" si="883"/>
        <v>5812.7355351000133</v>
      </c>
      <c r="S329" s="169">
        <f t="shared" si="883"/>
        <v>5812.7355351000133</v>
      </c>
      <c r="T329" s="169">
        <f t="shared" si="883"/>
        <v>5812.7355351000133</v>
      </c>
      <c r="U329" s="169">
        <f t="shared" si="883"/>
        <v>5812.7355351000133</v>
      </c>
      <c r="V329" s="169">
        <f t="shared" si="883"/>
        <v>5812.7355351000133</v>
      </c>
      <c r="W329" s="169">
        <f t="shared" si="883"/>
        <v>5812.7355351000133</v>
      </c>
      <c r="X329" s="169">
        <f t="shared" si="883"/>
        <v>5812.7355351000133</v>
      </c>
      <c r="Y329" s="169">
        <f t="shared" si="883"/>
        <v>5812.7355351000133</v>
      </c>
      <c r="Z329" s="169">
        <f t="shared" si="883"/>
        <v>5812.7355351000133</v>
      </c>
      <c r="AA329" s="169">
        <f t="shared" si="883"/>
        <v>5812.7355351000133</v>
      </c>
      <c r="AB329" s="169">
        <f t="shared" si="883"/>
        <v>5812.7355351000133</v>
      </c>
      <c r="AC329" s="169">
        <f t="shared" si="883"/>
        <v>5812.7355351000133</v>
      </c>
      <c r="AD329" s="169">
        <f t="shared" si="883"/>
        <v>5812.7355351000133</v>
      </c>
      <c r="AE329" s="169">
        <f t="shared" si="883"/>
        <v>5812.7355351000133</v>
      </c>
      <c r="AF329" s="169">
        <f t="shared" si="883"/>
        <v>5812.7355351000133</v>
      </c>
      <c r="AG329" s="169">
        <f t="shared" si="883"/>
        <v>5812.7355351000133</v>
      </c>
      <c r="AH329" s="169">
        <f t="shared" si="883"/>
        <v>5812.7355351000133</v>
      </c>
      <c r="AI329" s="169">
        <f t="shared" si="883"/>
        <v>5812.7355351000133</v>
      </c>
      <c r="AJ329" s="169">
        <f t="shared" si="883"/>
        <v>5812.7355351000133</v>
      </c>
      <c r="AK329" s="169">
        <f t="shared" si="883"/>
        <v>5812.7355351000133</v>
      </c>
      <c r="AL329" s="169">
        <f t="shared" si="883"/>
        <v>5812.7355351000133</v>
      </c>
      <c r="AM329" s="169">
        <f t="shared" si="883"/>
        <v>5812.7355351000133</v>
      </c>
      <c r="AN329" s="169">
        <f t="shared" si="883"/>
        <v>5812.7355351000133</v>
      </c>
      <c r="AO329" s="169">
        <f t="shared" si="883"/>
        <v>5812.7355351000133</v>
      </c>
      <c r="AP329" s="169">
        <f t="shared" si="883"/>
        <v>2906.3677675500021</v>
      </c>
    </row>
    <row r="330" spans="1:42" x14ac:dyDescent="0.2">
      <c r="A330" s="188" t="s">
        <v>268</v>
      </c>
      <c r="B330" s="195">
        <f t="shared" ref="B330" si="884">SUM(C330:AP330)</f>
        <v>0</v>
      </c>
      <c r="C330" s="170">
        <f>P291</f>
        <v>0</v>
      </c>
      <c r="D330" s="170">
        <v>0</v>
      </c>
      <c r="E330" s="170">
        <v>0</v>
      </c>
      <c r="F330" s="170">
        <v>0</v>
      </c>
      <c r="G330" s="170">
        <v>0</v>
      </c>
      <c r="H330" s="170">
        <v>0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170">
        <v>0</v>
      </c>
      <c r="AI330" s="170">
        <v>0</v>
      </c>
      <c r="AJ330" s="170">
        <v>0</v>
      </c>
      <c r="AK330" s="170">
        <v>0</v>
      </c>
      <c r="AL330" s="170">
        <v>0</v>
      </c>
      <c r="AM330" s="170">
        <v>0</v>
      </c>
      <c r="AN330" s="170">
        <v>0</v>
      </c>
      <c r="AO330" s="170">
        <v>0</v>
      </c>
      <c r="AP330" s="170">
        <v>0</v>
      </c>
    </row>
    <row r="331" spans="1:42" x14ac:dyDescent="0.2">
      <c r="A331" s="187"/>
      <c r="B331" s="195">
        <f t="shared" si="878"/>
        <v>37926355.545867063</v>
      </c>
      <c r="C331" s="169">
        <f>SUM(C324:C330)</f>
        <v>6976051.0857577566</v>
      </c>
      <c r="D331" s="169">
        <f t="shared" ref="D331:AP331" si="885">SUM(D324:D330)</f>
        <v>11204901.05348183</v>
      </c>
      <c r="E331" s="169">
        <f t="shared" si="885"/>
        <v>6808141.50072309</v>
      </c>
      <c r="F331" s="169">
        <f t="shared" si="885"/>
        <v>4168181.5169065478</v>
      </c>
      <c r="G331" s="169">
        <f t="shared" si="885"/>
        <v>4162944.8234629761</v>
      </c>
      <c r="H331" s="169">
        <f t="shared" si="885"/>
        <v>2182549.7793145655</v>
      </c>
      <c r="I331" s="169">
        <f t="shared" si="885"/>
        <v>204671.06837929957</v>
      </c>
      <c r="J331" s="169">
        <f t="shared" si="885"/>
        <v>204535.05036777823</v>
      </c>
      <c r="K331" s="169">
        <f t="shared" si="885"/>
        <v>204739.07738506023</v>
      </c>
      <c r="L331" s="169">
        <f t="shared" si="885"/>
        <v>204535.05036777823</v>
      </c>
      <c r="M331" s="169">
        <f t="shared" si="885"/>
        <v>204739.07738506023</v>
      </c>
      <c r="N331" s="169">
        <f t="shared" si="885"/>
        <v>204535.05036777823</v>
      </c>
      <c r="O331" s="169">
        <f t="shared" si="885"/>
        <v>204739.07738506023</v>
      </c>
      <c r="P331" s="169">
        <f t="shared" si="885"/>
        <v>204535.05036777823</v>
      </c>
      <c r="Q331" s="169">
        <f t="shared" si="885"/>
        <v>204739.07738506023</v>
      </c>
      <c r="R331" s="169">
        <f t="shared" si="885"/>
        <v>139178.39583177419</v>
      </c>
      <c r="S331" s="169">
        <f t="shared" si="885"/>
        <v>73821.741295770174</v>
      </c>
      <c r="T331" s="169">
        <f t="shared" si="885"/>
        <v>73821.741295770174</v>
      </c>
      <c r="U331" s="169">
        <f t="shared" si="885"/>
        <v>73821.741295770174</v>
      </c>
      <c r="V331" s="169">
        <f t="shared" si="885"/>
        <v>73821.741295770174</v>
      </c>
      <c r="W331" s="169">
        <f t="shared" si="885"/>
        <v>39817.238415435095</v>
      </c>
      <c r="X331" s="169">
        <f t="shared" si="885"/>
        <v>5812.7355351000133</v>
      </c>
      <c r="Y331" s="169">
        <f t="shared" si="885"/>
        <v>5812.7355351000133</v>
      </c>
      <c r="Z331" s="169">
        <f t="shared" si="885"/>
        <v>5812.7355351000133</v>
      </c>
      <c r="AA331" s="169">
        <f t="shared" si="885"/>
        <v>5812.7355351000133</v>
      </c>
      <c r="AB331" s="169">
        <f t="shared" si="885"/>
        <v>5812.7355351000133</v>
      </c>
      <c r="AC331" s="169">
        <f t="shared" si="885"/>
        <v>5812.7355351000133</v>
      </c>
      <c r="AD331" s="169">
        <f t="shared" si="885"/>
        <v>5812.7355351000133</v>
      </c>
      <c r="AE331" s="169">
        <f t="shared" si="885"/>
        <v>5812.7355351000133</v>
      </c>
      <c r="AF331" s="169">
        <f t="shared" si="885"/>
        <v>5812.7355351000133</v>
      </c>
      <c r="AG331" s="169">
        <f t="shared" si="885"/>
        <v>5812.7355351000133</v>
      </c>
      <c r="AH331" s="169">
        <f t="shared" si="885"/>
        <v>5812.7355351000133</v>
      </c>
      <c r="AI331" s="169">
        <f t="shared" si="885"/>
        <v>5812.7355351000133</v>
      </c>
      <c r="AJ331" s="169">
        <f t="shared" si="885"/>
        <v>5812.7355351000133</v>
      </c>
      <c r="AK331" s="169">
        <f t="shared" si="885"/>
        <v>5812.7355351000133</v>
      </c>
      <c r="AL331" s="169">
        <f t="shared" si="885"/>
        <v>5812.7355351000133</v>
      </c>
      <c r="AM331" s="169">
        <f t="shared" si="885"/>
        <v>5812.7355351000133</v>
      </c>
      <c r="AN331" s="169">
        <f t="shared" si="885"/>
        <v>5812.7355351000133</v>
      </c>
      <c r="AO331" s="169">
        <f t="shared" si="885"/>
        <v>5812.7355351000133</v>
      </c>
      <c r="AP331" s="169">
        <f t="shared" si="885"/>
        <v>2906.3677675500021</v>
      </c>
    </row>
    <row r="332" spans="1:42" x14ac:dyDescent="0.2">
      <c r="A332" s="187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</row>
    <row r="333" spans="1:42" x14ac:dyDescent="0.2">
      <c r="A333" s="180" t="s">
        <v>191</v>
      </c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</row>
    <row r="334" spans="1:42" x14ac:dyDescent="0.2">
      <c r="A334" s="187" t="s">
        <v>193</v>
      </c>
      <c r="B334" s="202" t="str">
        <f>MMStateTaxTreatment</f>
        <v>5-yr MACRS</v>
      </c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</row>
    <row r="335" spans="1:42" x14ac:dyDescent="0.2">
      <c r="A335" s="187" t="s">
        <v>194</v>
      </c>
      <c r="B335" s="169">
        <f t="shared" ref="B335:AP335" si="886">B2</f>
        <v>0</v>
      </c>
      <c r="C335" s="169">
        <f t="shared" si="886"/>
        <v>1</v>
      </c>
      <c r="D335" s="169">
        <f t="shared" si="886"/>
        <v>2</v>
      </c>
      <c r="E335" s="169">
        <f t="shared" si="886"/>
        <v>3</v>
      </c>
      <c r="F335" s="169">
        <f t="shared" si="886"/>
        <v>4</v>
      </c>
      <c r="G335" s="169">
        <f t="shared" si="886"/>
        <v>5</v>
      </c>
      <c r="H335" s="169">
        <f t="shared" si="886"/>
        <v>6</v>
      </c>
      <c r="I335" s="169">
        <f t="shared" si="886"/>
        <v>7</v>
      </c>
      <c r="J335" s="169">
        <f t="shared" si="886"/>
        <v>8</v>
      </c>
      <c r="K335" s="169">
        <f t="shared" si="886"/>
        <v>9</v>
      </c>
      <c r="L335" s="169">
        <f t="shared" si="886"/>
        <v>10</v>
      </c>
      <c r="M335" s="169">
        <f t="shared" si="886"/>
        <v>11</v>
      </c>
      <c r="N335" s="169">
        <f t="shared" si="886"/>
        <v>12</v>
      </c>
      <c r="O335" s="169">
        <f t="shared" si="886"/>
        <v>13</v>
      </c>
      <c r="P335" s="169">
        <f t="shared" si="886"/>
        <v>14</v>
      </c>
      <c r="Q335" s="169">
        <f t="shared" si="886"/>
        <v>15</v>
      </c>
      <c r="R335" s="169">
        <f t="shared" si="886"/>
        <v>16</v>
      </c>
      <c r="S335" s="169">
        <f t="shared" si="886"/>
        <v>17</v>
      </c>
      <c r="T335" s="169">
        <f t="shared" si="886"/>
        <v>18</v>
      </c>
      <c r="U335" s="169">
        <f t="shared" si="886"/>
        <v>19</v>
      </c>
      <c r="V335" s="169">
        <f t="shared" si="886"/>
        <v>20</v>
      </c>
      <c r="W335" s="169">
        <f t="shared" si="886"/>
        <v>21</v>
      </c>
      <c r="X335" s="169">
        <f t="shared" si="886"/>
        <v>22</v>
      </c>
      <c r="Y335" s="169">
        <f t="shared" si="886"/>
        <v>23</v>
      </c>
      <c r="Z335" s="169">
        <f t="shared" si="886"/>
        <v>24</v>
      </c>
      <c r="AA335" s="169">
        <f t="shared" si="886"/>
        <v>25</v>
      </c>
      <c r="AB335" s="169">
        <f t="shared" si="886"/>
        <v>26</v>
      </c>
      <c r="AC335" s="169">
        <f t="shared" si="886"/>
        <v>27</v>
      </c>
      <c r="AD335" s="169">
        <f t="shared" si="886"/>
        <v>28</v>
      </c>
      <c r="AE335" s="169">
        <f t="shared" si="886"/>
        <v>29</v>
      </c>
      <c r="AF335" s="169">
        <f t="shared" si="886"/>
        <v>30</v>
      </c>
      <c r="AG335" s="169">
        <f t="shared" si="886"/>
        <v>31</v>
      </c>
      <c r="AH335" s="169">
        <f t="shared" si="886"/>
        <v>32</v>
      </c>
      <c r="AI335" s="169">
        <f t="shared" si="886"/>
        <v>33</v>
      </c>
      <c r="AJ335" s="169">
        <f t="shared" si="886"/>
        <v>34</v>
      </c>
      <c r="AK335" s="169">
        <f t="shared" si="886"/>
        <v>35</v>
      </c>
      <c r="AL335" s="169">
        <f t="shared" si="886"/>
        <v>36</v>
      </c>
      <c r="AM335" s="169">
        <f t="shared" si="886"/>
        <v>37</v>
      </c>
      <c r="AN335" s="169">
        <f t="shared" si="886"/>
        <v>38</v>
      </c>
      <c r="AO335" s="169">
        <f t="shared" si="886"/>
        <v>39</v>
      </c>
      <c r="AP335" s="169">
        <f t="shared" si="886"/>
        <v>40</v>
      </c>
    </row>
    <row r="336" spans="1:42" x14ac:dyDescent="0.2">
      <c r="A336" s="187" t="s">
        <v>195</v>
      </c>
      <c r="B336" s="203">
        <v>0</v>
      </c>
      <c r="C336" s="198">
        <f t="shared" ref="C336:AP336" si="887">IF($B$334=$A317,C317,0)+IF($B$334=$A318,C318,0)+IF($B$334=$A319,C319,0)+IF($B$334=$A320,C320,0)+IF($B$334=$A321,C321,0)+IF($B$334=$A322,C322,0)</f>
        <v>0.2</v>
      </c>
      <c r="D336" s="198">
        <f t="shared" si="887"/>
        <v>0.32</v>
      </c>
      <c r="E336" s="198">
        <f t="shared" si="887"/>
        <v>0.192</v>
      </c>
      <c r="F336" s="198">
        <f t="shared" si="887"/>
        <v>0.1152</v>
      </c>
      <c r="G336" s="198">
        <f t="shared" si="887"/>
        <v>0.1152</v>
      </c>
      <c r="H336" s="198">
        <f t="shared" si="887"/>
        <v>5.7599999999999998E-2</v>
      </c>
      <c r="I336" s="198">
        <f t="shared" si="887"/>
        <v>0</v>
      </c>
      <c r="J336" s="198">
        <f t="shared" si="887"/>
        <v>0</v>
      </c>
      <c r="K336" s="198">
        <f t="shared" si="887"/>
        <v>0</v>
      </c>
      <c r="L336" s="198">
        <f t="shared" si="887"/>
        <v>0</v>
      </c>
      <c r="M336" s="198">
        <f t="shared" si="887"/>
        <v>0</v>
      </c>
      <c r="N336" s="198">
        <f t="shared" si="887"/>
        <v>0</v>
      </c>
      <c r="O336" s="198">
        <f t="shared" si="887"/>
        <v>0</v>
      </c>
      <c r="P336" s="198">
        <f t="shared" si="887"/>
        <v>0</v>
      </c>
      <c r="Q336" s="198">
        <f t="shared" si="887"/>
        <v>0</v>
      </c>
      <c r="R336" s="198">
        <f t="shared" si="887"/>
        <v>0</v>
      </c>
      <c r="S336" s="198">
        <f t="shared" si="887"/>
        <v>0</v>
      </c>
      <c r="T336" s="198">
        <f t="shared" si="887"/>
        <v>0</v>
      </c>
      <c r="U336" s="198">
        <f t="shared" si="887"/>
        <v>0</v>
      </c>
      <c r="V336" s="198">
        <f t="shared" si="887"/>
        <v>0</v>
      </c>
      <c r="W336" s="198">
        <f t="shared" si="887"/>
        <v>0</v>
      </c>
      <c r="X336" s="198">
        <f t="shared" si="887"/>
        <v>0</v>
      </c>
      <c r="Y336" s="198">
        <f t="shared" si="887"/>
        <v>0</v>
      </c>
      <c r="Z336" s="198">
        <f t="shared" si="887"/>
        <v>0</v>
      </c>
      <c r="AA336" s="198">
        <f t="shared" si="887"/>
        <v>0</v>
      </c>
      <c r="AB336" s="198">
        <f t="shared" si="887"/>
        <v>0</v>
      </c>
      <c r="AC336" s="198">
        <f t="shared" si="887"/>
        <v>0</v>
      </c>
      <c r="AD336" s="198">
        <f t="shared" si="887"/>
        <v>0</v>
      </c>
      <c r="AE336" s="198">
        <f t="shared" si="887"/>
        <v>0</v>
      </c>
      <c r="AF336" s="198">
        <f t="shared" si="887"/>
        <v>0</v>
      </c>
      <c r="AG336" s="198">
        <f t="shared" si="887"/>
        <v>0</v>
      </c>
      <c r="AH336" s="198">
        <f t="shared" si="887"/>
        <v>0</v>
      </c>
      <c r="AI336" s="198">
        <f t="shared" si="887"/>
        <v>0</v>
      </c>
      <c r="AJ336" s="198">
        <f t="shared" si="887"/>
        <v>0</v>
      </c>
      <c r="AK336" s="198">
        <f t="shared" si="887"/>
        <v>0</v>
      </c>
      <c r="AL336" s="198">
        <f t="shared" si="887"/>
        <v>0</v>
      </c>
      <c r="AM336" s="198">
        <f t="shared" si="887"/>
        <v>0</v>
      </c>
      <c r="AN336" s="198">
        <f t="shared" si="887"/>
        <v>0</v>
      </c>
      <c r="AO336" s="198">
        <f t="shared" si="887"/>
        <v>0</v>
      </c>
      <c r="AP336" s="198">
        <f t="shared" si="887"/>
        <v>0</v>
      </c>
    </row>
    <row r="337" spans="1:42" x14ac:dyDescent="0.2">
      <c r="A337" s="187"/>
      <c r="B337" s="203"/>
      <c r="C337" s="198"/>
      <c r="D337" s="198"/>
      <c r="E337" s="198"/>
      <c r="F337" s="198"/>
      <c r="G337" s="198"/>
      <c r="H337" s="198"/>
      <c r="I337" s="198"/>
      <c r="J337" s="198"/>
      <c r="K337" s="198"/>
      <c r="L337" s="198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  <c r="AA337" s="198"/>
      <c r="AB337" s="198"/>
      <c r="AC337" s="198"/>
      <c r="AD337" s="198"/>
      <c r="AE337" s="198"/>
      <c r="AF337" s="198"/>
      <c r="AG337" s="198"/>
      <c r="AH337" s="198"/>
      <c r="AI337" s="198"/>
      <c r="AJ337" s="198"/>
      <c r="AK337" s="198"/>
      <c r="AL337" s="198"/>
      <c r="AM337" s="198"/>
      <c r="AN337" s="198"/>
      <c r="AO337" s="198"/>
      <c r="AP337" s="198"/>
    </row>
    <row r="338" spans="1:42" x14ac:dyDescent="0.2">
      <c r="A338" s="180" t="s">
        <v>303</v>
      </c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</row>
    <row r="339" spans="1:42" x14ac:dyDescent="0.2">
      <c r="A339" s="187" t="s">
        <v>192</v>
      </c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</row>
    <row r="340" spans="1:42" x14ac:dyDescent="0.2">
      <c r="A340" s="20">
        <v>1</v>
      </c>
      <c r="C340" s="169">
        <f>IF(C$2&lt;=AnalysisPeriod,IF(SUM($C685:C685)&gt;0,B340+1,0),0)</f>
        <v>0</v>
      </c>
      <c r="D340" s="169">
        <f>IF(D$2&lt;=AnalysisPeriod,IF(SUM($C685:D685)&gt;0,C340+1,0),0)</f>
        <v>0</v>
      </c>
      <c r="E340" s="169">
        <f>IF(E$2&lt;=AnalysisPeriod,IF(SUM($C685:E685)&gt;0,D340+1,0),0)</f>
        <v>0</v>
      </c>
      <c r="F340" s="169">
        <f>IF(F$2&lt;=AnalysisPeriod,IF(SUM($C685:F685)&gt;0,E340+1,0),0)</f>
        <v>0</v>
      </c>
      <c r="G340" s="169">
        <f>IF(G$2&lt;=AnalysisPeriod,IF(SUM($C685:G685)&gt;0,F340+1,0),0)</f>
        <v>0</v>
      </c>
      <c r="H340" s="169">
        <f>IF(H$2&lt;=AnalysisPeriod,IF(SUM($C685:H685)&gt;0,G340+1,0),0)</f>
        <v>0</v>
      </c>
      <c r="I340" s="169">
        <f>IF(I$2&lt;=AnalysisPeriod,IF(SUM($C685:I685)&gt;0,H340+1,0),0)</f>
        <v>0</v>
      </c>
      <c r="J340" s="169">
        <f>IF(J$2&lt;=AnalysisPeriod,IF(SUM($C685:J685)&gt;0,I340+1,0),0)</f>
        <v>0</v>
      </c>
      <c r="K340" s="169">
        <f>IF(K$2&lt;=AnalysisPeriod,IF(SUM($C685:K685)&gt;0,J340+1,0),0)</f>
        <v>0</v>
      </c>
      <c r="L340" s="169">
        <f>IF(L$2&lt;=AnalysisPeriod,IF(SUM($C685:L685)&gt;0,K340+1,0),0)</f>
        <v>0</v>
      </c>
      <c r="M340" s="169">
        <f>IF(M$2&lt;=AnalysisPeriod,IF(SUM($C685:M685)&gt;0,L340+1,0),0)</f>
        <v>0</v>
      </c>
      <c r="N340" s="169">
        <f>IF(N$2&lt;=AnalysisPeriod,IF(SUM($C685:N685)&gt;0,M340+1,0),0)</f>
        <v>1</v>
      </c>
      <c r="O340" s="169">
        <f>IF(O$2&lt;=AnalysisPeriod,IF(SUM($C685:O685)&gt;0,N340+1,0),0)</f>
        <v>2</v>
      </c>
      <c r="P340" s="169">
        <f>IF(P$2&lt;=AnalysisPeriod,IF(SUM($C685:P685)&gt;0,O340+1,0),0)</f>
        <v>3</v>
      </c>
      <c r="Q340" s="169">
        <f>IF(Q$2&lt;=AnalysisPeriod,IF(SUM($C685:Q685)&gt;0,P340+1,0),0)</f>
        <v>4</v>
      </c>
      <c r="R340" s="169">
        <f>IF(R$2&lt;=AnalysisPeriod,IF(SUM($C685:R685)&gt;0,Q340+1,0),0)</f>
        <v>5</v>
      </c>
      <c r="S340" s="169">
        <f>IF(S$2&lt;=AnalysisPeriod,IF(SUM($C685:S685)&gt;0,R340+1,0),0)</f>
        <v>6</v>
      </c>
      <c r="T340" s="169">
        <f>IF(T$2&lt;=AnalysisPeriod,IF(SUM($C685:T685)&gt;0,S340+1,0),0)</f>
        <v>7</v>
      </c>
      <c r="U340" s="169">
        <f>IF(U$2&lt;=AnalysisPeriod,IF(SUM($C685:U685)&gt;0,T340+1,0),0)</f>
        <v>8</v>
      </c>
      <c r="V340" s="169">
        <f>IF(V$2&lt;=AnalysisPeriod,IF(SUM($C685:V685)&gt;0,U340+1,0),0)</f>
        <v>9</v>
      </c>
      <c r="W340" s="169">
        <f>IF(W$2&lt;=AnalysisPeriod,IF(SUM($C685:W685)&gt;0,V340+1,0),0)</f>
        <v>10</v>
      </c>
      <c r="X340" s="169">
        <f>IF(X$2&lt;=AnalysisPeriod,IF(SUM($C685:X685)&gt;0,W340+1,0),0)</f>
        <v>11</v>
      </c>
      <c r="Y340" s="169">
        <f>IF(Y$2&lt;=AnalysisPeriod,IF(SUM($C685:Y685)&gt;0,X340+1,0),0)</f>
        <v>12</v>
      </c>
      <c r="Z340" s="169">
        <f>IF(Z$2&lt;=AnalysisPeriod,IF(SUM($C685:Z685)&gt;0,Y340+1,0),0)</f>
        <v>13</v>
      </c>
      <c r="AA340" s="169">
        <f>IF(AA$2&lt;=AnalysisPeriod,IF(SUM($C685:AA685)&gt;0,Z340+1,0),0)</f>
        <v>14</v>
      </c>
      <c r="AB340" s="169">
        <f>IF(AB$2&lt;=AnalysisPeriod,IF(SUM($C685:AB685)&gt;0,AA340+1,0),0)</f>
        <v>15</v>
      </c>
      <c r="AC340" s="169">
        <f>IF(AC$2&lt;=AnalysisPeriod,IF(SUM($C685:AC685)&gt;0,AB340+1,0),0)</f>
        <v>16</v>
      </c>
      <c r="AD340" s="169">
        <f>IF(AD$2&lt;=AnalysisPeriod,IF(SUM($C685:AD685)&gt;0,AC340+1,0),0)</f>
        <v>17</v>
      </c>
      <c r="AE340" s="169">
        <f>IF(AE$2&lt;=AnalysisPeriod,IF(SUM($C685:AE685)&gt;0,AD340+1,0),0)</f>
        <v>18</v>
      </c>
      <c r="AF340" s="169">
        <f>IF(AF$2&lt;=AnalysisPeriod,IF(SUM($C685:AF685)&gt;0,AE340+1,0),0)</f>
        <v>19</v>
      </c>
      <c r="AG340" s="169">
        <f>IF(AG$2&lt;=AnalysisPeriod,IF(SUM($C685:AG685)&gt;0,AF340+1,0),0)</f>
        <v>20</v>
      </c>
      <c r="AH340" s="169">
        <f>IF(AH$2&lt;=AnalysisPeriod,IF(SUM($C685:AH685)&gt;0,AG340+1,0),0)</f>
        <v>21</v>
      </c>
      <c r="AI340" s="169">
        <f>IF(AI$2&lt;=AnalysisPeriod,IF(SUM($C685:AI685)&gt;0,AH340+1,0),0)</f>
        <v>22</v>
      </c>
      <c r="AJ340" s="169">
        <f>IF(AJ$2&lt;=AnalysisPeriod,IF(SUM($C685:AJ685)&gt;0,AI340+1,0),0)</f>
        <v>23</v>
      </c>
      <c r="AK340" s="169">
        <f>IF(AK$2&lt;=AnalysisPeriod,IF(SUM($C685:AK685)&gt;0,AJ340+1,0),0)</f>
        <v>24</v>
      </c>
      <c r="AL340" s="169">
        <f>IF(AL$2&lt;=AnalysisPeriod,IF(SUM($C685:AL685)&gt;0,AK340+1,0),0)</f>
        <v>25</v>
      </c>
      <c r="AM340" s="169">
        <f>IF(AM$2&lt;=AnalysisPeriod,IF(SUM($C685:AM685)&gt;0,AL340+1,0),0)</f>
        <v>26</v>
      </c>
      <c r="AN340" s="169">
        <f>IF(AN$2&lt;=AnalysisPeriod,IF(SUM($C685:AN685)&gt;0,AM340+1,0),0)</f>
        <v>27</v>
      </c>
      <c r="AO340" s="169">
        <f>IF(AO$2&lt;=AnalysisPeriod,IF(SUM($C685:AO685)&gt;0,AN340+1,0),0)</f>
        <v>28</v>
      </c>
      <c r="AP340" s="169">
        <f>IF(AP$2&lt;=AnalysisPeriod,IF(SUM($C685:AP685)&gt;0,AO340+1,0),0)</f>
        <v>29</v>
      </c>
    </row>
    <row r="341" spans="1:42" x14ac:dyDescent="0.2">
      <c r="A341" s="20">
        <f>A340+1</f>
        <v>2</v>
      </c>
      <c r="C341" s="169">
        <f>IF(C$2&lt;=AnalysisPeriod,IF(SUM($C686:C686)&gt;0,B341+1,0),0)</f>
        <v>0</v>
      </c>
      <c r="D341" s="169">
        <f>IF(D$2&lt;=AnalysisPeriod,IF(SUM($C686:D686)&gt;0,C341+1,0),0)</f>
        <v>0</v>
      </c>
      <c r="E341" s="169">
        <f>IF(E$2&lt;=AnalysisPeriod,IF(SUM($C686:E686)&gt;0,D341+1,0),0)</f>
        <v>0</v>
      </c>
      <c r="F341" s="169">
        <f>IF(F$2&lt;=AnalysisPeriod,IF(SUM($C686:F686)&gt;0,E341+1,0),0)</f>
        <v>0</v>
      </c>
      <c r="G341" s="169">
        <f>IF(G$2&lt;=AnalysisPeriod,IF(SUM($C686:G686)&gt;0,F341+1,0),0)</f>
        <v>0</v>
      </c>
      <c r="H341" s="169">
        <f>IF(H$2&lt;=AnalysisPeriod,IF(SUM($C686:H686)&gt;0,G341+1,0),0)</f>
        <v>0</v>
      </c>
      <c r="I341" s="169">
        <f>IF(I$2&lt;=AnalysisPeriod,IF(SUM($C686:I686)&gt;0,H341+1,0),0)</f>
        <v>0</v>
      </c>
      <c r="J341" s="169">
        <f>IF(J$2&lt;=AnalysisPeriod,IF(SUM($C686:J686)&gt;0,I341+1,0),0)</f>
        <v>0</v>
      </c>
      <c r="K341" s="169">
        <f>IF(K$2&lt;=AnalysisPeriod,IF(SUM($C686:K686)&gt;0,J341+1,0),0)</f>
        <v>0</v>
      </c>
      <c r="L341" s="169">
        <f>IF(L$2&lt;=AnalysisPeriod,IF(SUM($C686:L686)&gt;0,K341+1,0),0)</f>
        <v>0</v>
      </c>
      <c r="M341" s="169">
        <f>IF(M$2&lt;=AnalysisPeriod,IF(SUM($C686:M686)&gt;0,L341+1,0),0)</f>
        <v>0</v>
      </c>
      <c r="N341" s="169">
        <f>IF(N$2&lt;=AnalysisPeriod,IF(SUM($C686:N686)&gt;0,M341+1,0),0)</f>
        <v>0</v>
      </c>
      <c r="O341" s="169">
        <f>IF(O$2&lt;=AnalysisPeriod,IF(SUM($C686:O686)&gt;0,N341+1,0),0)</f>
        <v>0</v>
      </c>
      <c r="P341" s="169">
        <f>IF(P$2&lt;=AnalysisPeriod,IF(SUM($C686:P686)&gt;0,O341+1,0),0)</f>
        <v>0</v>
      </c>
      <c r="Q341" s="169">
        <f>IF(Q$2&lt;=AnalysisPeriod,IF(SUM($C686:Q686)&gt;0,P341+1,0),0)</f>
        <v>0</v>
      </c>
      <c r="R341" s="169">
        <f>IF(R$2&lt;=AnalysisPeriod,IF(SUM($C686:R686)&gt;0,Q341+1,0),0)</f>
        <v>0</v>
      </c>
      <c r="S341" s="169">
        <f>IF(S$2&lt;=AnalysisPeriod,IF(SUM($C686:S686)&gt;0,R341+1,0),0)</f>
        <v>0</v>
      </c>
      <c r="T341" s="169">
        <f>IF(T$2&lt;=AnalysisPeriod,IF(SUM($C686:T686)&gt;0,S341+1,0),0)</f>
        <v>0</v>
      </c>
      <c r="U341" s="169">
        <f>IF(U$2&lt;=AnalysisPeriod,IF(SUM($C686:U686)&gt;0,T341+1,0),0)</f>
        <v>0</v>
      </c>
      <c r="V341" s="169">
        <f>IF(V$2&lt;=AnalysisPeriod,IF(SUM($C686:V686)&gt;0,U341+1,0),0)</f>
        <v>0</v>
      </c>
      <c r="W341" s="169">
        <f>IF(W$2&lt;=AnalysisPeriod,IF(SUM($C686:W686)&gt;0,V341+1,0),0)</f>
        <v>0</v>
      </c>
      <c r="X341" s="169">
        <f>IF(X$2&lt;=AnalysisPeriod,IF(SUM($C686:X686)&gt;0,W341+1,0),0)</f>
        <v>0</v>
      </c>
      <c r="Y341" s="169">
        <f>IF(Y$2&lt;=AnalysisPeriod,IF(SUM($C686:Y686)&gt;0,X341+1,0),0)</f>
        <v>0</v>
      </c>
      <c r="Z341" s="169">
        <f>IF(Z$2&lt;=AnalysisPeriod,IF(SUM($C686:Z686)&gt;0,Y341+1,0),0)</f>
        <v>1</v>
      </c>
      <c r="AA341" s="169">
        <f>IF(AA$2&lt;=AnalysisPeriod,IF(SUM($C686:AA686)&gt;0,Z341+1,0),0)</f>
        <v>2</v>
      </c>
      <c r="AB341" s="169">
        <f>IF(AB$2&lt;=AnalysisPeriod,IF(SUM($C686:AB686)&gt;0,AA341+1,0),0)</f>
        <v>3</v>
      </c>
      <c r="AC341" s="169">
        <f>IF(AC$2&lt;=AnalysisPeriod,IF(SUM($C686:AC686)&gt;0,AB341+1,0),0)</f>
        <v>4</v>
      </c>
      <c r="AD341" s="169">
        <f>IF(AD$2&lt;=AnalysisPeriod,IF(SUM($C686:AD686)&gt;0,AC341+1,0),0)</f>
        <v>5</v>
      </c>
      <c r="AE341" s="169">
        <f>IF(AE$2&lt;=AnalysisPeriod,IF(SUM($C686:AE686)&gt;0,AD341+1,0),0)</f>
        <v>6</v>
      </c>
      <c r="AF341" s="169">
        <f>IF(AF$2&lt;=AnalysisPeriod,IF(SUM($C686:AF686)&gt;0,AE341+1,0),0)</f>
        <v>7</v>
      </c>
      <c r="AG341" s="169">
        <f>IF(AG$2&lt;=AnalysisPeriod,IF(SUM($C686:AG686)&gt;0,AF341+1,0),0)</f>
        <v>8</v>
      </c>
      <c r="AH341" s="169">
        <f>IF(AH$2&lt;=AnalysisPeriod,IF(SUM($C686:AH686)&gt;0,AG341+1,0),0)</f>
        <v>9</v>
      </c>
      <c r="AI341" s="169">
        <f>IF(AI$2&lt;=AnalysisPeriod,IF(SUM($C686:AI686)&gt;0,AH341+1,0),0)</f>
        <v>10</v>
      </c>
      <c r="AJ341" s="169">
        <f>IF(AJ$2&lt;=AnalysisPeriod,IF(SUM($C686:AJ686)&gt;0,AI341+1,0),0)</f>
        <v>11</v>
      </c>
      <c r="AK341" s="169">
        <f>IF(AK$2&lt;=AnalysisPeriod,IF(SUM($C686:AK686)&gt;0,AJ341+1,0),0)</f>
        <v>12</v>
      </c>
      <c r="AL341" s="169">
        <f>IF(AL$2&lt;=AnalysisPeriod,IF(SUM($C686:AL686)&gt;0,AK341+1,0),0)</f>
        <v>13</v>
      </c>
      <c r="AM341" s="169">
        <f>IF(AM$2&lt;=AnalysisPeriod,IF(SUM($C686:AM686)&gt;0,AL341+1,0),0)</f>
        <v>14</v>
      </c>
      <c r="AN341" s="169">
        <f>IF(AN$2&lt;=AnalysisPeriod,IF(SUM($C686:AN686)&gt;0,AM341+1,0),0)</f>
        <v>15</v>
      </c>
      <c r="AO341" s="169">
        <f>IF(AO$2&lt;=AnalysisPeriod,IF(SUM($C686:AO686)&gt;0,AN341+1,0),0)</f>
        <v>16</v>
      </c>
      <c r="AP341" s="169">
        <f>IF(AP$2&lt;=AnalysisPeriod,IF(SUM($C686:AP686)&gt;0,AO341+1,0),0)</f>
        <v>17</v>
      </c>
    </row>
    <row r="342" spans="1:42" x14ac:dyDescent="0.2">
      <c r="A342" s="20">
        <f t="shared" ref="A342:A349" si="888">A341+1</f>
        <v>3</v>
      </c>
      <c r="C342" s="169">
        <f>IF(C$2&lt;=AnalysisPeriod,IF(SUM($C687:C687)&gt;0,B342+1,0),0)</f>
        <v>0</v>
      </c>
      <c r="D342" s="169">
        <f>IF(D$2&lt;=AnalysisPeriod,IF(SUM($C687:D687)&gt;0,C342+1,0),0)</f>
        <v>0</v>
      </c>
      <c r="E342" s="169">
        <f>IF(E$2&lt;=AnalysisPeriod,IF(SUM($C687:E687)&gt;0,D342+1,0),0)</f>
        <v>0</v>
      </c>
      <c r="F342" s="169">
        <f>IF(F$2&lt;=AnalysisPeriod,IF(SUM($C687:F687)&gt;0,E342+1,0),0)</f>
        <v>0</v>
      </c>
      <c r="G342" s="169">
        <f>IF(G$2&lt;=AnalysisPeriod,IF(SUM($C687:G687)&gt;0,F342+1,0),0)</f>
        <v>0</v>
      </c>
      <c r="H342" s="169">
        <f>IF(H$2&lt;=AnalysisPeriod,IF(SUM($C687:H687)&gt;0,G342+1,0),0)</f>
        <v>0</v>
      </c>
      <c r="I342" s="169">
        <f>IF(I$2&lt;=AnalysisPeriod,IF(SUM($C687:I687)&gt;0,H342+1,0),0)</f>
        <v>0</v>
      </c>
      <c r="J342" s="169">
        <f>IF(J$2&lt;=AnalysisPeriod,IF(SUM($C687:J687)&gt;0,I342+1,0),0)</f>
        <v>0</v>
      </c>
      <c r="K342" s="169">
        <f>IF(K$2&lt;=AnalysisPeriod,IF(SUM($C687:K687)&gt;0,J342+1,0),0)</f>
        <v>0</v>
      </c>
      <c r="L342" s="169">
        <f>IF(L$2&lt;=AnalysisPeriod,IF(SUM($C687:L687)&gt;0,K342+1,0),0)</f>
        <v>0</v>
      </c>
      <c r="M342" s="169">
        <f>IF(M$2&lt;=AnalysisPeriod,IF(SUM($C687:M687)&gt;0,L342+1,0),0)</f>
        <v>0</v>
      </c>
      <c r="N342" s="169">
        <f>IF(N$2&lt;=AnalysisPeriod,IF(SUM($C687:N687)&gt;0,M342+1,0),0)</f>
        <v>0</v>
      </c>
      <c r="O342" s="169">
        <f>IF(O$2&lt;=AnalysisPeriod,IF(SUM($C687:O687)&gt;0,N342+1,0),0)</f>
        <v>0</v>
      </c>
      <c r="P342" s="169">
        <f>IF(P$2&lt;=AnalysisPeriod,IF(SUM($C687:P687)&gt;0,O342+1,0),0)</f>
        <v>0</v>
      </c>
      <c r="Q342" s="169">
        <f>IF(Q$2&lt;=AnalysisPeriod,IF(SUM($C687:Q687)&gt;0,P342+1,0),0)</f>
        <v>0</v>
      </c>
      <c r="R342" s="169">
        <f>IF(R$2&lt;=AnalysisPeriod,IF(SUM($C687:R687)&gt;0,Q342+1,0),0)</f>
        <v>0</v>
      </c>
      <c r="S342" s="169">
        <f>IF(S$2&lt;=AnalysisPeriod,IF(SUM($C687:S687)&gt;0,R342+1,0),0)</f>
        <v>0</v>
      </c>
      <c r="T342" s="169">
        <f>IF(T$2&lt;=AnalysisPeriod,IF(SUM($C687:T687)&gt;0,S342+1,0),0)</f>
        <v>0</v>
      </c>
      <c r="U342" s="169">
        <f>IF(U$2&lt;=AnalysisPeriod,IF(SUM($C687:U687)&gt;0,T342+1,0),0)</f>
        <v>0</v>
      </c>
      <c r="V342" s="169">
        <f>IF(V$2&lt;=AnalysisPeriod,IF(SUM($C687:V687)&gt;0,U342+1,0),0)</f>
        <v>0</v>
      </c>
      <c r="W342" s="169">
        <f>IF(W$2&lt;=AnalysisPeriod,IF(SUM($C687:W687)&gt;0,V342+1,0),0)</f>
        <v>0</v>
      </c>
      <c r="X342" s="169">
        <f>IF(X$2&lt;=AnalysisPeriod,IF(SUM($C687:X687)&gt;0,W342+1,0),0)</f>
        <v>0</v>
      </c>
      <c r="Y342" s="169">
        <f>IF(Y$2&lt;=AnalysisPeriod,IF(SUM($C687:Y687)&gt;0,X342+1,0),0)</f>
        <v>0</v>
      </c>
      <c r="Z342" s="169">
        <f>IF(Z$2&lt;=AnalysisPeriod,IF(SUM($C687:Z687)&gt;0,Y342+1,0),0)</f>
        <v>0</v>
      </c>
      <c r="AA342" s="169">
        <f>IF(AA$2&lt;=AnalysisPeriod,IF(SUM($C687:AA687)&gt;0,Z342+1,0),0)</f>
        <v>0</v>
      </c>
      <c r="AB342" s="169">
        <f>IF(AB$2&lt;=AnalysisPeriod,IF(SUM($C687:AB687)&gt;0,AA342+1,0),0)</f>
        <v>0</v>
      </c>
      <c r="AC342" s="169">
        <f>IF(AC$2&lt;=AnalysisPeriod,IF(SUM($C687:AC687)&gt;0,AB342+1,0),0)</f>
        <v>0</v>
      </c>
      <c r="AD342" s="169">
        <f>IF(AD$2&lt;=AnalysisPeriod,IF(SUM($C687:AD687)&gt;0,AC342+1,0),0)</f>
        <v>0</v>
      </c>
      <c r="AE342" s="169">
        <f>IF(AE$2&lt;=AnalysisPeriod,IF(SUM($C687:AE687)&gt;0,AD342+1,0),0)</f>
        <v>0</v>
      </c>
      <c r="AF342" s="169">
        <f>IF(AF$2&lt;=AnalysisPeriod,IF(SUM($C687:AF687)&gt;0,AE342+1,0),0)</f>
        <v>0</v>
      </c>
      <c r="AG342" s="169">
        <f>IF(AG$2&lt;=AnalysisPeriod,IF(SUM($C687:AG687)&gt;0,AF342+1,0),0)</f>
        <v>0</v>
      </c>
      <c r="AH342" s="169">
        <f>IF(AH$2&lt;=AnalysisPeriod,IF(SUM($C687:AH687)&gt;0,AG342+1,0),0)</f>
        <v>0</v>
      </c>
      <c r="AI342" s="169">
        <f>IF(AI$2&lt;=AnalysisPeriod,IF(SUM($C687:AI687)&gt;0,AH342+1,0),0)</f>
        <v>0</v>
      </c>
      <c r="AJ342" s="169">
        <f>IF(AJ$2&lt;=AnalysisPeriod,IF(SUM($C687:AJ687)&gt;0,AI342+1,0),0)</f>
        <v>0</v>
      </c>
      <c r="AK342" s="169">
        <f>IF(AK$2&lt;=AnalysisPeriod,IF(SUM($C687:AK687)&gt;0,AJ342+1,0),0)</f>
        <v>0</v>
      </c>
      <c r="AL342" s="169">
        <f>IF(AL$2&lt;=AnalysisPeriod,IF(SUM($C687:AL687)&gt;0,AK342+1,0),0)</f>
        <v>1</v>
      </c>
      <c r="AM342" s="169">
        <f>IF(AM$2&lt;=AnalysisPeriod,IF(SUM($C687:AM687)&gt;0,AL342+1,0),0)</f>
        <v>2</v>
      </c>
      <c r="AN342" s="169">
        <f>IF(AN$2&lt;=AnalysisPeriod,IF(SUM($C687:AN687)&gt;0,AM342+1,0),0)</f>
        <v>3</v>
      </c>
      <c r="AO342" s="169">
        <f>IF(AO$2&lt;=AnalysisPeriod,IF(SUM($C687:AO687)&gt;0,AN342+1,0),0)</f>
        <v>4</v>
      </c>
      <c r="AP342" s="169">
        <f>IF(AP$2&lt;=AnalysisPeriod,IF(SUM($C687:AP687)&gt;0,AO342+1,0),0)</f>
        <v>5</v>
      </c>
    </row>
    <row r="343" spans="1:42" x14ac:dyDescent="0.2">
      <c r="A343" s="20">
        <f t="shared" si="888"/>
        <v>4</v>
      </c>
      <c r="C343" s="169">
        <f>IF(C$2&lt;=AnalysisPeriod,IF(SUM($C688:C688)&gt;0,B343+1,0),0)</f>
        <v>0</v>
      </c>
      <c r="D343" s="169">
        <f>IF(D$2&lt;=AnalysisPeriod,IF(SUM($C688:D688)&gt;0,C343+1,0),0)</f>
        <v>0</v>
      </c>
      <c r="E343" s="169">
        <f>IF(E$2&lt;=AnalysisPeriod,IF(SUM($C688:E688)&gt;0,D343+1,0),0)</f>
        <v>0</v>
      </c>
      <c r="F343" s="169">
        <f>IF(F$2&lt;=AnalysisPeriod,IF(SUM($C688:F688)&gt;0,E343+1,0),0)</f>
        <v>0</v>
      </c>
      <c r="G343" s="169">
        <f>IF(G$2&lt;=AnalysisPeriod,IF(SUM($C688:G688)&gt;0,F343+1,0),0)</f>
        <v>0</v>
      </c>
      <c r="H343" s="169">
        <f>IF(H$2&lt;=AnalysisPeriod,IF(SUM($C688:H688)&gt;0,G343+1,0),0)</f>
        <v>0</v>
      </c>
      <c r="I343" s="169">
        <f>IF(I$2&lt;=AnalysisPeriod,IF(SUM($C688:I688)&gt;0,H343+1,0),0)</f>
        <v>0</v>
      </c>
      <c r="J343" s="169">
        <f>IF(J$2&lt;=AnalysisPeriod,IF(SUM($C688:J688)&gt;0,I343+1,0),0)</f>
        <v>0</v>
      </c>
      <c r="K343" s="169">
        <f>IF(K$2&lt;=AnalysisPeriod,IF(SUM($C688:K688)&gt;0,J343+1,0),0)</f>
        <v>0</v>
      </c>
      <c r="L343" s="169">
        <f>IF(L$2&lt;=AnalysisPeriod,IF(SUM($C688:L688)&gt;0,K343+1,0),0)</f>
        <v>0</v>
      </c>
      <c r="M343" s="169">
        <f>IF(M$2&lt;=AnalysisPeriod,IF(SUM($C688:M688)&gt;0,L343+1,0),0)</f>
        <v>0</v>
      </c>
      <c r="N343" s="169">
        <f>IF(N$2&lt;=AnalysisPeriod,IF(SUM($C688:N688)&gt;0,M343+1,0),0)</f>
        <v>0</v>
      </c>
      <c r="O343" s="169">
        <f>IF(O$2&lt;=AnalysisPeriod,IF(SUM($C688:O688)&gt;0,N343+1,0),0)</f>
        <v>0</v>
      </c>
      <c r="P343" s="169">
        <f>IF(P$2&lt;=AnalysisPeriod,IF(SUM($C688:P688)&gt;0,O343+1,0),0)</f>
        <v>0</v>
      </c>
      <c r="Q343" s="169">
        <f>IF(Q$2&lt;=AnalysisPeriod,IF(SUM($C688:Q688)&gt;0,P343+1,0),0)</f>
        <v>0</v>
      </c>
      <c r="R343" s="169">
        <f>IF(R$2&lt;=AnalysisPeriod,IF(SUM($C688:R688)&gt;0,Q343+1,0),0)</f>
        <v>0</v>
      </c>
      <c r="S343" s="169">
        <f>IF(S$2&lt;=AnalysisPeriod,IF(SUM($C688:S688)&gt;0,R343+1,0),0)</f>
        <v>0</v>
      </c>
      <c r="T343" s="169">
        <f>IF(T$2&lt;=AnalysisPeriod,IF(SUM($C688:T688)&gt;0,S343+1,0),0)</f>
        <v>0</v>
      </c>
      <c r="U343" s="169">
        <f>IF(U$2&lt;=AnalysisPeriod,IF(SUM($C688:U688)&gt;0,T343+1,0),0)</f>
        <v>0</v>
      </c>
      <c r="V343" s="169">
        <f>IF(V$2&lt;=AnalysisPeriod,IF(SUM($C688:V688)&gt;0,U343+1,0),0)</f>
        <v>0</v>
      </c>
      <c r="W343" s="169">
        <f>IF(W$2&lt;=AnalysisPeriod,IF(SUM($C688:W688)&gt;0,V343+1,0),0)</f>
        <v>0</v>
      </c>
      <c r="X343" s="169">
        <f>IF(X$2&lt;=AnalysisPeriod,IF(SUM($C688:X688)&gt;0,W343+1,0),0)</f>
        <v>0</v>
      </c>
      <c r="Y343" s="169">
        <f>IF(Y$2&lt;=AnalysisPeriod,IF(SUM($C688:Y688)&gt;0,X343+1,0),0)</f>
        <v>0</v>
      </c>
      <c r="Z343" s="169">
        <f>IF(Z$2&lt;=AnalysisPeriod,IF(SUM($C688:Z688)&gt;0,Y343+1,0),0)</f>
        <v>0</v>
      </c>
      <c r="AA343" s="169">
        <f>IF(AA$2&lt;=AnalysisPeriod,IF(SUM($C688:AA688)&gt;0,Z343+1,0),0)</f>
        <v>0</v>
      </c>
      <c r="AB343" s="169">
        <f>IF(AB$2&lt;=AnalysisPeriod,IF(SUM($C688:AB688)&gt;0,AA343+1,0),0)</f>
        <v>0</v>
      </c>
      <c r="AC343" s="169">
        <f>IF(AC$2&lt;=AnalysisPeriod,IF(SUM($C688:AC688)&gt;0,AB343+1,0),0)</f>
        <v>0</v>
      </c>
      <c r="AD343" s="169">
        <f>IF(AD$2&lt;=AnalysisPeriod,IF(SUM($C688:AD688)&gt;0,AC343+1,0),0)</f>
        <v>0</v>
      </c>
      <c r="AE343" s="169">
        <f>IF(AE$2&lt;=AnalysisPeriod,IF(SUM($C688:AE688)&gt;0,AD343+1,0),0)</f>
        <v>0</v>
      </c>
      <c r="AF343" s="169">
        <f>IF(AF$2&lt;=AnalysisPeriod,IF(SUM($C688:AF688)&gt;0,AE343+1,0),0)</f>
        <v>0</v>
      </c>
      <c r="AG343" s="169">
        <f>IF(AG$2&lt;=AnalysisPeriod,IF(SUM($C688:AG688)&gt;0,AF343+1,0),0)</f>
        <v>0</v>
      </c>
      <c r="AH343" s="169">
        <f>IF(AH$2&lt;=AnalysisPeriod,IF(SUM($C688:AH688)&gt;0,AG343+1,0),0)</f>
        <v>0</v>
      </c>
      <c r="AI343" s="169">
        <f>IF(AI$2&lt;=AnalysisPeriod,IF(SUM($C688:AI688)&gt;0,AH343+1,0),0)</f>
        <v>0</v>
      </c>
      <c r="AJ343" s="169">
        <f>IF(AJ$2&lt;=AnalysisPeriod,IF(SUM($C688:AJ688)&gt;0,AI343+1,0),0)</f>
        <v>0</v>
      </c>
      <c r="AK343" s="169">
        <f>IF(AK$2&lt;=AnalysisPeriod,IF(SUM($C688:AK688)&gt;0,AJ343+1,0),0)</f>
        <v>0</v>
      </c>
      <c r="AL343" s="169">
        <f>IF(AL$2&lt;=AnalysisPeriod,IF(SUM($C688:AL688)&gt;0,AK343+1,0),0)</f>
        <v>0</v>
      </c>
      <c r="AM343" s="169">
        <f>IF(AM$2&lt;=AnalysisPeriod,IF(SUM($C688:AM688)&gt;0,AL343+1,0),0)</f>
        <v>0</v>
      </c>
      <c r="AN343" s="169">
        <f>IF(AN$2&lt;=AnalysisPeriod,IF(SUM($C688:AN688)&gt;0,AM343+1,0),0)</f>
        <v>0</v>
      </c>
      <c r="AO343" s="169">
        <f>IF(AO$2&lt;=AnalysisPeriod,IF(SUM($C688:AO688)&gt;0,AN343+1,0),0)</f>
        <v>0</v>
      </c>
      <c r="AP343" s="169">
        <f>IF(AP$2&lt;=AnalysisPeriod,IF(SUM($C688:AP688)&gt;0,AO343+1,0),0)</f>
        <v>0</v>
      </c>
    </row>
    <row r="344" spans="1:42" x14ac:dyDescent="0.2">
      <c r="A344" s="20">
        <f t="shared" si="888"/>
        <v>5</v>
      </c>
      <c r="C344" s="169">
        <f>IF(C$2&lt;=AnalysisPeriod,IF(SUM($C689:C689)&gt;0,B344+1,0),0)</f>
        <v>0</v>
      </c>
      <c r="D344" s="169">
        <f>IF(D$2&lt;=AnalysisPeriod,IF(SUM($C689:D689)&gt;0,C344+1,0),0)</f>
        <v>0</v>
      </c>
      <c r="E344" s="169">
        <f>IF(E$2&lt;=AnalysisPeriod,IF(SUM($C689:E689)&gt;0,D344+1,0),0)</f>
        <v>0</v>
      </c>
      <c r="F344" s="169">
        <f>IF(F$2&lt;=AnalysisPeriod,IF(SUM($C689:F689)&gt;0,E344+1,0),0)</f>
        <v>0</v>
      </c>
      <c r="G344" s="169">
        <f>IF(G$2&lt;=AnalysisPeriod,IF(SUM($C689:G689)&gt;0,F344+1,0),0)</f>
        <v>0</v>
      </c>
      <c r="H344" s="169">
        <f>IF(H$2&lt;=AnalysisPeriod,IF(SUM($C689:H689)&gt;0,G344+1,0),0)</f>
        <v>0</v>
      </c>
      <c r="I344" s="169">
        <f>IF(I$2&lt;=AnalysisPeriod,IF(SUM($C689:I689)&gt;0,H344+1,0),0)</f>
        <v>0</v>
      </c>
      <c r="J344" s="169">
        <f>IF(J$2&lt;=AnalysisPeriod,IF(SUM($C689:J689)&gt;0,I344+1,0),0)</f>
        <v>0</v>
      </c>
      <c r="K344" s="169">
        <f>IF(K$2&lt;=AnalysisPeriod,IF(SUM($C689:K689)&gt;0,J344+1,0),0)</f>
        <v>0</v>
      </c>
      <c r="L344" s="169">
        <f>IF(L$2&lt;=AnalysisPeriod,IF(SUM($C689:L689)&gt;0,K344+1,0),0)</f>
        <v>0</v>
      </c>
      <c r="M344" s="169">
        <f>IF(M$2&lt;=AnalysisPeriod,IF(SUM($C689:M689)&gt;0,L344+1,0),0)</f>
        <v>0</v>
      </c>
      <c r="N344" s="169">
        <f>IF(N$2&lt;=AnalysisPeriod,IF(SUM($C689:N689)&gt;0,M344+1,0),0)</f>
        <v>0</v>
      </c>
      <c r="O344" s="169">
        <f>IF(O$2&lt;=AnalysisPeriod,IF(SUM($C689:O689)&gt;0,N344+1,0),0)</f>
        <v>0</v>
      </c>
      <c r="P344" s="169">
        <f>IF(P$2&lt;=AnalysisPeriod,IF(SUM($C689:P689)&gt;0,O344+1,0),0)</f>
        <v>0</v>
      </c>
      <c r="Q344" s="169">
        <f>IF(Q$2&lt;=AnalysisPeriod,IF(SUM($C689:Q689)&gt;0,P344+1,0),0)</f>
        <v>0</v>
      </c>
      <c r="R344" s="169">
        <f>IF(R$2&lt;=AnalysisPeriod,IF(SUM($C689:R689)&gt;0,Q344+1,0),0)</f>
        <v>0</v>
      </c>
      <c r="S344" s="169">
        <f>IF(S$2&lt;=AnalysisPeriod,IF(SUM($C689:S689)&gt;0,R344+1,0),0)</f>
        <v>0</v>
      </c>
      <c r="T344" s="169">
        <f>IF(T$2&lt;=AnalysisPeriod,IF(SUM($C689:T689)&gt;0,S344+1,0),0)</f>
        <v>0</v>
      </c>
      <c r="U344" s="169">
        <f>IF(U$2&lt;=AnalysisPeriod,IF(SUM($C689:U689)&gt;0,T344+1,0),0)</f>
        <v>0</v>
      </c>
      <c r="V344" s="169">
        <f>IF(V$2&lt;=AnalysisPeriod,IF(SUM($C689:V689)&gt;0,U344+1,0),0)</f>
        <v>0</v>
      </c>
      <c r="W344" s="169">
        <f>IF(W$2&lt;=AnalysisPeriod,IF(SUM($C689:W689)&gt;0,V344+1,0),0)</f>
        <v>0</v>
      </c>
      <c r="X344" s="169">
        <f>IF(X$2&lt;=AnalysisPeriod,IF(SUM($C689:X689)&gt;0,W344+1,0),0)</f>
        <v>0</v>
      </c>
      <c r="Y344" s="169">
        <f>IF(Y$2&lt;=AnalysisPeriod,IF(SUM($C689:Y689)&gt;0,X344+1,0),0)</f>
        <v>0</v>
      </c>
      <c r="Z344" s="169">
        <f>IF(Z$2&lt;=AnalysisPeriod,IF(SUM($C689:Z689)&gt;0,Y344+1,0),0)</f>
        <v>0</v>
      </c>
      <c r="AA344" s="169">
        <f>IF(AA$2&lt;=AnalysisPeriod,IF(SUM($C689:AA689)&gt;0,Z344+1,0),0)</f>
        <v>0</v>
      </c>
      <c r="AB344" s="169">
        <f>IF(AB$2&lt;=AnalysisPeriod,IF(SUM($C689:AB689)&gt;0,AA344+1,0),0)</f>
        <v>0</v>
      </c>
      <c r="AC344" s="169">
        <f>IF(AC$2&lt;=AnalysisPeriod,IF(SUM($C689:AC689)&gt;0,AB344+1,0),0)</f>
        <v>0</v>
      </c>
      <c r="AD344" s="169">
        <f>IF(AD$2&lt;=AnalysisPeriod,IF(SUM($C689:AD689)&gt;0,AC344+1,0),0)</f>
        <v>0</v>
      </c>
      <c r="AE344" s="169">
        <f>IF(AE$2&lt;=AnalysisPeriod,IF(SUM($C689:AE689)&gt;0,AD344+1,0),0)</f>
        <v>0</v>
      </c>
      <c r="AF344" s="169">
        <f>IF(AF$2&lt;=AnalysisPeriod,IF(SUM($C689:AF689)&gt;0,AE344+1,0),0)</f>
        <v>0</v>
      </c>
      <c r="AG344" s="169">
        <f>IF(AG$2&lt;=AnalysisPeriod,IF(SUM($C689:AG689)&gt;0,AF344+1,0),0)</f>
        <v>0</v>
      </c>
      <c r="AH344" s="169">
        <f>IF(AH$2&lt;=AnalysisPeriod,IF(SUM($C689:AH689)&gt;0,AG344+1,0),0)</f>
        <v>0</v>
      </c>
      <c r="AI344" s="169">
        <f>IF(AI$2&lt;=AnalysisPeriod,IF(SUM($C689:AI689)&gt;0,AH344+1,0),0)</f>
        <v>0</v>
      </c>
      <c r="AJ344" s="169">
        <f>IF(AJ$2&lt;=AnalysisPeriod,IF(SUM($C689:AJ689)&gt;0,AI344+1,0),0)</f>
        <v>0</v>
      </c>
      <c r="AK344" s="169">
        <f>IF(AK$2&lt;=AnalysisPeriod,IF(SUM($C689:AK689)&gt;0,AJ344+1,0),0)</f>
        <v>0</v>
      </c>
      <c r="AL344" s="169">
        <f>IF(AL$2&lt;=AnalysisPeriod,IF(SUM($C689:AL689)&gt;0,AK344+1,0),0)</f>
        <v>0</v>
      </c>
      <c r="AM344" s="169">
        <f>IF(AM$2&lt;=AnalysisPeriod,IF(SUM($C689:AM689)&gt;0,AL344+1,0),0)</f>
        <v>0</v>
      </c>
      <c r="AN344" s="169">
        <f>IF(AN$2&lt;=AnalysisPeriod,IF(SUM($C689:AN689)&gt;0,AM344+1,0),0)</f>
        <v>0</v>
      </c>
      <c r="AO344" s="169">
        <f>IF(AO$2&lt;=AnalysisPeriod,IF(SUM($C689:AO689)&gt;0,AN344+1,0),0)</f>
        <v>0</v>
      </c>
      <c r="AP344" s="169">
        <f>IF(AP$2&lt;=AnalysisPeriod,IF(SUM($C689:AP689)&gt;0,AO344+1,0),0)</f>
        <v>0</v>
      </c>
    </row>
    <row r="345" spans="1:42" x14ac:dyDescent="0.2">
      <c r="A345" s="20">
        <f t="shared" si="888"/>
        <v>6</v>
      </c>
      <c r="C345" s="169">
        <f>IF(C$2&lt;=AnalysisPeriod,IF(SUM($C690:C690)&gt;0,B345+1,0),0)</f>
        <v>0</v>
      </c>
      <c r="D345" s="169">
        <f>IF(D$2&lt;=AnalysisPeriod,IF(SUM($C690:D690)&gt;0,C345+1,0),0)</f>
        <v>0</v>
      </c>
      <c r="E345" s="169">
        <f>IF(E$2&lt;=AnalysisPeriod,IF(SUM($C690:E690)&gt;0,D345+1,0),0)</f>
        <v>0</v>
      </c>
      <c r="F345" s="169">
        <f>IF(F$2&lt;=AnalysisPeriod,IF(SUM($C690:F690)&gt;0,E345+1,0),0)</f>
        <v>0</v>
      </c>
      <c r="G345" s="169">
        <f>IF(G$2&lt;=AnalysisPeriod,IF(SUM($C690:G690)&gt;0,F345+1,0),0)</f>
        <v>0</v>
      </c>
      <c r="H345" s="169">
        <f>IF(H$2&lt;=AnalysisPeriod,IF(SUM($C690:H690)&gt;0,G345+1,0),0)</f>
        <v>0</v>
      </c>
      <c r="I345" s="169">
        <f>IF(I$2&lt;=AnalysisPeriod,IF(SUM($C690:I690)&gt;0,H345+1,0),0)</f>
        <v>0</v>
      </c>
      <c r="J345" s="169">
        <f>IF(J$2&lt;=AnalysisPeriod,IF(SUM($C690:J690)&gt;0,I345+1,0),0)</f>
        <v>0</v>
      </c>
      <c r="K345" s="169">
        <f>IF(K$2&lt;=AnalysisPeriod,IF(SUM($C690:K690)&gt;0,J345+1,0),0)</f>
        <v>0</v>
      </c>
      <c r="L345" s="169">
        <f>IF(L$2&lt;=AnalysisPeriod,IF(SUM($C690:L690)&gt;0,K345+1,0),0)</f>
        <v>0</v>
      </c>
      <c r="M345" s="169">
        <f>IF(M$2&lt;=AnalysisPeriod,IF(SUM($C690:M690)&gt;0,L345+1,0),0)</f>
        <v>0</v>
      </c>
      <c r="N345" s="169">
        <f>IF(N$2&lt;=AnalysisPeriod,IF(SUM($C690:N690)&gt;0,M345+1,0),0)</f>
        <v>0</v>
      </c>
      <c r="O345" s="169">
        <f>IF(O$2&lt;=AnalysisPeriod,IF(SUM($C690:O690)&gt;0,N345+1,0),0)</f>
        <v>0</v>
      </c>
      <c r="P345" s="169">
        <f>IF(P$2&lt;=AnalysisPeriod,IF(SUM($C690:P690)&gt;0,O345+1,0),0)</f>
        <v>0</v>
      </c>
      <c r="Q345" s="169">
        <f>IF(Q$2&lt;=AnalysisPeriod,IF(SUM($C690:Q690)&gt;0,P345+1,0),0)</f>
        <v>0</v>
      </c>
      <c r="R345" s="169">
        <f>IF(R$2&lt;=AnalysisPeriod,IF(SUM($C690:R690)&gt;0,Q345+1,0),0)</f>
        <v>0</v>
      </c>
      <c r="S345" s="169">
        <f>IF(S$2&lt;=AnalysisPeriod,IF(SUM($C690:S690)&gt;0,R345+1,0),0)</f>
        <v>0</v>
      </c>
      <c r="T345" s="169">
        <f>IF(T$2&lt;=AnalysisPeriod,IF(SUM($C690:T690)&gt;0,S345+1,0),0)</f>
        <v>0</v>
      </c>
      <c r="U345" s="169">
        <f>IF(U$2&lt;=AnalysisPeriod,IF(SUM($C690:U690)&gt;0,T345+1,0),0)</f>
        <v>0</v>
      </c>
      <c r="V345" s="169">
        <f>IF(V$2&lt;=AnalysisPeriod,IF(SUM($C690:V690)&gt;0,U345+1,0),0)</f>
        <v>0</v>
      </c>
      <c r="W345" s="169">
        <f>IF(W$2&lt;=AnalysisPeriod,IF(SUM($C690:W690)&gt;0,V345+1,0),0)</f>
        <v>0</v>
      </c>
      <c r="X345" s="169">
        <f>IF(X$2&lt;=AnalysisPeriod,IF(SUM($C690:X690)&gt;0,W345+1,0),0)</f>
        <v>0</v>
      </c>
      <c r="Y345" s="169">
        <f>IF(Y$2&lt;=AnalysisPeriod,IF(SUM($C690:Y690)&gt;0,X345+1,0),0)</f>
        <v>0</v>
      </c>
      <c r="Z345" s="169">
        <f>IF(Z$2&lt;=AnalysisPeriod,IF(SUM($C690:Z690)&gt;0,Y345+1,0),0)</f>
        <v>0</v>
      </c>
      <c r="AA345" s="169">
        <f>IF(AA$2&lt;=AnalysisPeriod,IF(SUM($C690:AA690)&gt;0,Z345+1,0),0)</f>
        <v>0</v>
      </c>
      <c r="AB345" s="169">
        <f>IF(AB$2&lt;=AnalysisPeriod,IF(SUM($C690:AB690)&gt;0,AA345+1,0),0)</f>
        <v>0</v>
      </c>
      <c r="AC345" s="169">
        <f>IF(AC$2&lt;=AnalysisPeriod,IF(SUM($C690:AC690)&gt;0,AB345+1,0),0)</f>
        <v>0</v>
      </c>
      <c r="AD345" s="169">
        <f>IF(AD$2&lt;=AnalysisPeriod,IF(SUM($C690:AD690)&gt;0,AC345+1,0),0)</f>
        <v>0</v>
      </c>
      <c r="AE345" s="169">
        <f>IF(AE$2&lt;=AnalysisPeriod,IF(SUM($C690:AE690)&gt;0,AD345+1,0),0)</f>
        <v>0</v>
      </c>
      <c r="AF345" s="169">
        <f>IF(AF$2&lt;=AnalysisPeriod,IF(SUM($C690:AF690)&gt;0,AE345+1,0),0)</f>
        <v>0</v>
      </c>
      <c r="AG345" s="169">
        <f>IF(AG$2&lt;=AnalysisPeriod,IF(SUM($C690:AG690)&gt;0,AF345+1,0),0)</f>
        <v>0</v>
      </c>
      <c r="AH345" s="169">
        <f>IF(AH$2&lt;=AnalysisPeriod,IF(SUM($C690:AH690)&gt;0,AG345+1,0),0)</f>
        <v>0</v>
      </c>
      <c r="AI345" s="169">
        <f>IF(AI$2&lt;=AnalysisPeriod,IF(SUM($C690:AI690)&gt;0,AH345+1,0),0)</f>
        <v>0</v>
      </c>
      <c r="AJ345" s="169">
        <f>IF(AJ$2&lt;=AnalysisPeriod,IF(SUM($C690:AJ690)&gt;0,AI345+1,0),0)</f>
        <v>0</v>
      </c>
      <c r="AK345" s="169">
        <f>IF(AK$2&lt;=AnalysisPeriod,IF(SUM($C690:AK690)&gt;0,AJ345+1,0),0)</f>
        <v>0</v>
      </c>
      <c r="AL345" s="169">
        <f>IF(AL$2&lt;=AnalysisPeriod,IF(SUM($C690:AL690)&gt;0,AK345+1,0),0)</f>
        <v>0</v>
      </c>
      <c r="AM345" s="169">
        <f>IF(AM$2&lt;=AnalysisPeriod,IF(SUM($C690:AM690)&gt;0,AL345+1,0),0)</f>
        <v>0</v>
      </c>
      <c r="AN345" s="169">
        <f>IF(AN$2&lt;=AnalysisPeriod,IF(SUM($C690:AN690)&gt;0,AM345+1,0),0)</f>
        <v>0</v>
      </c>
      <c r="AO345" s="169">
        <f>IF(AO$2&lt;=AnalysisPeriod,IF(SUM($C690:AO690)&gt;0,AN345+1,0),0)</f>
        <v>0</v>
      </c>
      <c r="AP345" s="169">
        <f>IF(AP$2&lt;=AnalysisPeriod,IF(SUM($C690:AP690)&gt;0,AO345+1,0),0)</f>
        <v>0</v>
      </c>
    </row>
    <row r="346" spans="1:42" x14ac:dyDescent="0.2">
      <c r="A346" s="20">
        <f t="shared" si="888"/>
        <v>7</v>
      </c>
      <c r="C346" s="169">
        <f>IF(C$2&lt;=AnalysisPeriod,IF(SUM($C691:C691)&gt;0,B346+1,0),0)</f>
        <v>0</v>
      </c>
      <c r="D346" s="169">
        <f>IF(D$2&lt;=AnalysisPeriod,IF(SUM($C691:D691)&gt;0,C346+1,0),0)</f>
        <v>0</v>
      </c>
      <c r="E346" s="169">
        <f>IF(E$2&lt;=AnalysisPeriod,IF(SUM($C691:E691)&gt;0,D346+1,0),0)</f>
        <v>0</v>
      </c>
      <c r="F346" s="169">
        <f>IF(F$2&lt;=AnalysisPeriod,IF(SUM($C691:F691)&gt;0,E346+1,0),0)</f>
        <v>0</v>
      </c>
      <c r="G346" s="169">
        <f>IF(G$2&lt;=AnalysisPeriod,IF(SUM($C691:G691)&gt;0,F346+1,0),0)</f>
        <v>0</v>
      </c>
      <c r="H346" s="169">
        <f>IF(H$2&lt;=AnalysisPeriod,IF(SUM($C691:H691)&gt;0,G346+1,0),0)</f>
        <v>0</v>
      </c>
      <c r="I346" s="169">
        <f>IF(I$2&lt;=AnalysisPeriod,IF(SUM($C691:I691)&gt;0,H346+1,0),0)</f>
        <v>0</v>
      </c>
      <c r="J346" s="169">
        <f>IF(J$2&lt;=AnalysisPeriod,IF(SUM($C691:J691)&gt;0,I346+1,0),0)</f>
        <v>0</v>
      </c>
      <c r="K346" s="169">
        <f>IF(K$2&lt;=AnalysisPeriod,IF(SUM($C691:K691)&gt;0,J346+1,0),0)</f>
        <v>0</v>
      </c>
      <c r="L346" s="169">
        <f>IF(L$2&lt;=AnalysisPeriod,IF(SUM($C691:L691)&gt;0,K346+1,0),0)</f>
        <v>0</v>
      </c>
      <c r="M346" s="169">
        <f>IF(M$2&lt;=AnalysisPeriod,IF(SUM($C691:M691)&gt;0,L346+1,0),0)</f>
        <v>0</v>
      </c>
      <c r="N346" s="169">
        <f>IF(N$2&lt;=AnalysisPeriod,IF(SUM($C691:N691)&gt;0,M346+1,0),0)</f>
        <v>0</v>
      </c>
      <c r="O346" s="169">
        <f>IF(O$2&lt;=AnalysisPeriod,IF(SUM($C691:O691)&gt;0,N346+1,0),0)</f>
        <v>0</v>
      </c>
      <c r="P346" s="169">
        <f>IF(P$2&lt;=AnalysisPeriod,IF(SUM($C691:P691)&gt;0,O346+1,0),0)</f>
        <v>0</v>
      </c>
      <c r="Q346" s="169">
        <f>IF(Q$2&lt;=AnalysisPeriod,IF(SUM($C691:Q691)&gt;0,P346+1,0),0)</f>
        <v>0</v>
      </c>
      <c r="R346" s="169">
        <f>IF(R$2&lt;=AnalysisPeriod,IF(SUM($C691:R691)&gt;0,Q346+1,0),0)</f>
        <v>0</v>
      </c>
      <c r="S346" s="169">
        <f>IF(S$2&lt;=AnalysisPeriod,IF(SUM($C691:S691)&gt;0,R346+1,0),0)</f>
        <v>0</v>
      </c>
      <c r="T346" s="169">
        <f>IF(T$2&lt;=AnalysisPeriod,IF(SUM($C691:T691)&gt;0,S346+1,0),0)</f>
        <v>0</v>
      </c>
      <c r="U346" s="169">
        <f>IF(U$2&lt;=AnalysisPeriod,IF(SUM($C691:U691)&gt;0,T346+1,0),0)</f>
        <v>0</v>
      </c>
      <c r="V346" s="169">
        <f>IF(V$2&lt;=AnalysisPeriod,IF(SUM($C691:V691)&gt;0,U346+1,0),0)</f>
        <v>0</v>
      </c>
      <c r="W346" s="169">
        <f>IF(W$2&lt;=AnalysisPeriod,IF(SUM($C691:W691)&gt;0,V346+1,0),0)</f>
        <v>0</v>
      </c>
      <c r="X346" s="169">
        <f>IF(X$2&lt;=AnalysisPeriod,IF(SUM($C691:X691)&gt;0,W346+1,0),0)</f>
        <v>0</v>
      </c>
      <c r="Y346" s="169">
        <f>IF(Y$2&lt;=AnalysisPeriod,IF(SUM($C691:Y691)&gt;0,X346+1,0),0)</f>
        <v>0</v>
      </c>
      <c r="Z346" s="169">
        <f>IF(Z$2&lt;=AnalysisPeriod,IF(SUM($C691:Z691)&gt;0,Y346+1,0),0)</f>
        <v>0</v>
      </c>
      <c r="AA346" s="169">
        <f>IF(AA$2&lt;=AnalysisPeriod,IF(SUM($C691:AA691)&gt;0,Z346+1,0),0)</f>
        <v>0</v>
      </c>
      <c r="AB346" s="169">
        <f>IF(AB$2&lt;=AnalysisPeriod,IF(SUM($C691:AB691)&gt;0,AA346+1,0),0)</f>
        <v>0</v>
      </c>
      <c r="AC346" s="169">
        <f>IF(AC$2&lt;=AnalysisPeriod,IF(SUM($C691:AC691)&gt;0,AB346+1,0),0)</f>
        <v>0</v>
      </c>
      <c r="AD346" s="169">
        <f>IF(AD$2&lt;=AnalysisPeriod,IF(SUM($C691:AD691)&gt;0,AC346+1,0),0)</f>
        <v>0</v>
      </c>
      <c r="AE346" s="169">
        <f>IF(AE$2&lt;=AnalysisPeriod,IF(SUM($C691:AE691)&gt;0,AD346+1,0),0)</f>
        <v>0</v>
      </c>
      <c r="AF346" s="169">
        <f>IF(AF$2&lt;=AnalysisPeriod,IF(SUM($C691:AF691)&gt;0,AE346+1,0),0)</f>
        <v>0</v>
      </c>
      <c r="AG346" s="169">
        <f>IF(AG$2&lt;=AnalysisPeriod,IF(SUM($C691:AG691)&gt;0,AF346+1,0),0)</f>
        <v>0</v>
      </c>
      <c r="AH346" s="169">
        <f>IF(AH$2&lt;=AnalysisPeriod,IF(SUM($C691:AH691)&gt;0,AG346+1,0),0)</f>
        <v>0</v>
      </c>
      <c r="AI346" s="169">
        <f>IF(AI$2&lt;=AnalysisPeriod,IF(SUM($C691:AI691)&gt;0,AH346+1,0),0)</f>
        <v>0</v>
      </c>
      <c r="AJ346" s="169">
        <f>IF(AJ$2&lt;=AnalysisPeriod,IF(SUM($C691:AJ691)&gt;0,AI346+1,0),0)</f>
        <v>0</v>
      </c>
      <c r="AK346" s="169">
        <f>IF(AK$2&lt;=AnalysisPeriod,IF(SUM($C691:AK691)&gt;0,AJ346+1,0),0)</f>
        <v>0</v>
      </c>
      <c r="AL346" s="169">
        <f>IF(AL$2&lt;=AnalysisPeriod,IF(SUM($C691:AL691)&gt;0,AK346+1,0),0)</f>
        <v>0</v>
      </c>
      <c r="AM346" s="169">
        <f>IF(AM$2&lt;=AnalysisPeriod,IF(SUM($C691:AM691)&gt;0,AL346+1,0),0)</f>
        <v>0</v>
      </c>
      <c r="AN346" s="169">
        <f>IF(AN$2&lt;=AnalysisPeriod,IF(SUM($C691:AN691)&gt;0,AM346+1,0),0)</f>
        <v>0</v>
      </c>
      <c r="AO346" s="169">
        <f>IF(AO$2&lt;=AnalysisPeriod,IF(SUM($C691:AO691)&gt;0,AN346+1,0),0)</f>
        <v>0</v>
      </c>
      <c r="AP346" s="169">
        <f>IF(AP$2&lt;=AnalysisPeriod,IF(SUM($C691:AP691)&gt;0,AO346+1,0),0)</f>
        <v>0</v>
      </c>
    </row>
    <row r="347" spans="1:42" x14ac:dyDescent="0.2">
      <c r="A347" s="20">
        <f t="shared" si="888"/>
        <v>8</v>
      </c>
      <c r="C347" s="169">
        <f>IF(C$2&lt;=AnalysisPeriod,IF(SUM($C692:C692)&gt;0,B347+1,0),0)</f>
        <v>0</v>
      </c>
      <c r="D347" s="169">
        <f>IF(D$2&lt;=AnalysisPeriod,IF(SUM($C692:D692)&gt;0,C347+1,0),0)</f>
        <v>0</v>
      </c>
      <c r="E347" s="169">
        <f>IF(E$2&lt;=AnalysisPeriod,IF(SUM($C692:E692)&gt;0,D347+1,0),0)</f>
        <v>0</v>
      </c>
      <c r="F347" s="169">
        <f>IF(F$2&lt;=AnalysisPeriod,IF(SUM($C692:F692)&gt;0,E347+1,0),0)</f>
        <v>0</v>
      </c>
      <c r="G347" s="169">
        <f>IF(G$2&lt;=AnalysisPeriod,IF(SUM($C692:G692)&gt;0,F347+1,0),0)</f>
        <v>0</v>
      </c>
      <c r="H347" s="169">
        <f>IF(H$2&lt;=AnalysisPeriod,IF(SUM($C692:H692)&gt;0,G347+1,0),0)</f>
        <v>0</v>
      </c>
      <c r="I347" s="169">
        <f>IF(I$2&lt;=AnalysisPeriod,IF(SUM($C692:I692)&gt;0,H347+1,0),0)</f>
        <v>0</v>
      </c>
      <c r="J347" s="169">
        <f>IF(J$2&lt;=AnalysisPeriod,IF(SUM($C692:J692)&gt;0,I347+1,0),0)</f>
        <v>0</v>
      </c>
      <c r="K347" s="169">
        <f>IF(K$2&lt;=AnalysisPeriod,IF(SUM($C692:K692)&gt;0,J347+1,0),0)</f>
        <v>0</v>
      </c>
      <c r="L347" s="169">
        <f>IF(L$2&lt;=AnalysisPeriod,IF(SUM($C692:L692)&gt;0,K347+1,0),0)</f>
        <v>0</v>
      </c>
      <c r="M347" s="169">
        <f>IF(M$2&lt;=AnalysisPeriod,IF(SUM($C692:M692)&gt;0,L347+1,0),0)</f>
        <v>0</v>
      </c>
      <c r="N347" s="169">
        <f>IF(N$2&lt;=AnalysisPeriod,IF(SUM($C692:N692)&gt;0,M347+1,0),0)</f>
        <v>0</v>
      </c>
      <c r="O347" s="169">
        <f>IF(O$2&lt;=AnalysisPeriod,IF(SUM($C692:O692)&gt;0,N347+1,0),0)</f>
        <v>0</v>
      </c>
      <c r="P347" s="169">
        <f>IF(P$2&lt;=AnalysisPeriod,IF(SUM($C692:P692)&gt;0,O347+1,0),0)</f>
        <v>0</v>
      </c>
      <c r="Q347" s="169">
        <f>IF(Q$2&lt;=AnalysisPeriod,IF(SUM($C692:Q692)&gt;0,P347+1,0),0)</f>
        <v>0</v>
      </c>
      <c r="R347" s="169">
        <f>IF(R$2&lt;=AnalysisPeriod,IF(SUM($C692:R692)&gt;0,Q347+1,0),0)</f>
        <v>0</v>
      </c>
      <c r="S347" s="169">
        <f>IF(S$2&lt;=AnalysisPeriod,IF(SUM($C692:S692)&gt;0,R347+1,0),0)</f>
        <v>0</v>
      </c>
      <c r="T347" s="169">
        <f>IF(T$2&lt;=AnalysisPeriod,IF(SUM($C692:T692)&gt;0,S347+1,0),0)</f>
        <v>0</v>
      </c>
      <c r="U347" s="169">
        <f>IF(U$2&lt;=AnalysisPeriod,IF(SUM($C692:U692)&gt;0,T347+1,0),0)</f>
        <v>0</v>
      </c>
      <c r="V347" s="169">
        <f>IF(V$2&lt;=AnalysisPeriod,IF(SUM($C692:V692)&gt;0,U347+1,0),0)</f>
        <v>0</v>
      </c>
      <c r="W347" s="169">
        <f>IF(W$2&lt;=AnalysisPeriod,IF(SUM($C692:W692)&gt;0,V347+1,0),0)</f>
        <v>0</v>
      </c>
      <c r="X347" s="169">
        <f>IF(X$2&lt;=AnalysisPeriod,IF(SUM($C692:X692)&gt;0,W347+1,0),0)</f>
        <v>0</v>
      </c>
      <c r="Y347" s="169">
        <f>IF(Y$2&lt;=AnalysisPeriod,IF(SUM($C692:Y692)&gt;0,X347+1,0),0)</f>
        <v>0</v>
      </c>
      <c r="Z347" s="169">
        <f>IF(Z$2&lt;=AnalysisPeriod,IF(SUM($C692:Z692)&gt;0,Y347+1,0),0)</f>
        <v>0</v>
      </c>
      <c r="AA347" s="169">
        <f>IF(AA$2&lt;=AnalysisPeriod,IF(SUM($C692:AA692)&gt;0,Z347+1,0),0)</f>
        <v>0</v>
      </c>
      <c r="AB347" s="169">
        <f>IF(AB$2&lt;=AnalysisPeriod,IF(SUM($C692:AB692)&gt;0,AA347+1,0),0)</f>
        <v>0</v>
      </c>
      <c r="AC347" s="169">
        <f>IF(AC$2&lt;=AnalysisPeriod,IF(SUM($C692:AC692)&gt;0,AB347+1,0),0)</f>
        <v>0</v>
      </c>
      <c r="AD347" s="169">
        <f>IF(AD$2&lt;=AnalysisPeriod,IF(SUM($C692:AD692)&gt;0,AC347+1,0),0)</f>
        <v>0</v>
      </c>
      <c r="AE347" s="169">
        <f>IF(AE$2&lt;=AnalysisPeriod,IF(SUM($C692:AE692)&gt;0,AD347+1,0),0)</f>
        <v>0</v>
      </c>
      <c r="AF347" s="169">
        <f>IF(AF$2&lt;=AnalysisPeriod,IF(SUM($C692:AF692)&gt;0,AE347+1,0),0)</f>
        <v>0</v>
      </c>
      <c r="AG347" s="169">
        <f>IF(AG$2&lt;=AnalysisPeriod,IF(SUM($C692:AG692)&gt;0,AF347+1,0),0)</f>
        <v>0</v>
      </c>
      <c r="AH347" s="169">
        <f>IF(AH$2&lt;=AnalysisPeriod,IF(SUM($C692:AH692)&gt;0,AG347+1,0),0)</f>
        <v>0</v>
      </c>
      <c r="AI347" s="169">
        <f>IF(AI$2&lt;=AnalysisPeriod,IF(SUM($C692:AI692)&gt;0,AH347+1,0),0)</f>
        <v>0</v>
      </c>
      <c r="AJ347" s="169">
        <f>IF(AJ$2&lt;=AnalysisPeriod,IF(SUM($C692:AJ692)&gt;0,AI347+1,0),0)</f>
        <v>0</v>
      </c>
      <c r="AK347" s="169">
        <f>IF(AK$2&lt;=AnalysisPeriod,IF(SUM($C692:AK692)&gt;0,AJ347+1,0),0)</f>
        <v>0</v>
      </c>
      <c r="AL347" s="169">
        <f>IF(AL$2&lt;=AnalysisPeriod,IF(SUM($C692:AL692)&gt;0,AK347+1,0),0)</f>
        <v>0</v>
      </c>
      <c r="AM347" s="169">
        <f>IF(AM$2&lt;=AnalysisPeriod,IF(SUM($C692:AM692)&gt;0,AL347+1,0),0)</f>
        <v>0</v>
      </c>
      <c r="AN347" s="169">
        <f>IF(AN$2&lt;=AnalysisPeriod,IF(SUM($C692:AN692)&gt;0,AM347+1,0),0)</f>
        <v>0</v>
      </c>
      <c r="AO347" s="169">
        <f>IF(AO$2&lt;=AnalysisPeriod,IF(SUM($C692:AO692)&gt;0,AN347+1,0),0)</f>
        <v>0</v>
      </c>
      <c r="AP347" s="169">
        <f>IF(AP$2&lt;=AnalysisPeriod,IF(SUM($C692:AP692)&gt;0,AO347+1,0),0)</f>
        <v>0</v>
      </c>
    </row>
    <row r="348" spans="1:42" x14ac:dyDescent="0.2">
      <c r="A348" s="20">
        <f>A347+1</f>
        <v>9</v>
      </c>
      <c r="C348" s="169">
        <f>IF(C$2&lt;=AnalysisPeriod,IF(SUM($C693:C693)&gt;0,B348+1,0),0)</f>
        <v>0</v>
      </c>
      <c r="D348" s="169">
        <f>IF(D$2&lt;=AnalysisPeriod,IF(SUM($C693:D693)&gt;0,C348+1,0),0)</f>
        <v>0</v>
      </c>
      <c r="E348" s="169">
        <f>IF(E$2&lt;=AnalysisPeriod,IF(SUM($C693:E693)&gt;0,D348+1,0),0)</f>
        <v>0</v>
      </c>
      <c r="F348" s="169">
        <f>IF(F$2&lt;=AnalysisPeriod,IF(SUM($C693:F693)&gt;0,E348+1,0),0)</f>
        <v>0</v>
      </c>
      <c r="G348" s="169">
        <f>IF(G$2&lt;=AnalysisPeriod,IF(SUM($C693:G693)&gt;0,F348+1,0),0)</f>
        <v>0</v>
      </c>
      <c r="H348" s="169">
        <f>IF(H$2&lt;=AnalysisPeriod,IF(SUM($C693:H693)&gt;0,G348+1,0),0)</f>
        <v>0</v>
      </c>
      <c r="I348" s="169">
        <f>IF(I$2&lt;=AnalysisPeriod,IF(SUM($C693:I693)&gt;0,H348+1,0),0)</f>
        <v>0</v>
      </c>
      <c r="J348" s="169">
        <f>IF(J$2&lt;=AnalysisPeriod,IF(SUM($C693:J693)&gt;0,I348+1,0),0)</f>
        <v>0</v>
      </c>
      <c r="K348" s="169">
        <f>IF(K$2&lt;=AnalysisPeriod,IF(SUM($C693:K693)&gt;0,J348+1,0),0)</f>
        <v>0</v>
      </c>
      <c r="L348" s="169">
        <f>IF(L$2&lt;=AnalysisPeriod,IF(SUM($C693:L693)&gt;0,K348+1,0),0)</f>
        <v>0</v>
      </c>
      <c r="M348" s="169">
        <f>IF(M$2&lt;=AnalysisPeriod,IF(SUM($C693:M693)&gt;0,L348+1,0),0)</f>
        <v>0</v>
      </c>
      <c r="N348" s="169">
        <f>IF(N$2&lt;=AnalysisPeriod,IF(SUM($C693:N693)&gt;0,M348+1,0),0)</f>
        <v>0</v>
      </c>
      <c r="O348" s="169">
        <f>IF(O$2&lt;=AnalysisPeriod,IF(SUM($C693:O693)&gt;0,N348+1,0),0)</f>
        <v>0</v>
      </c>
      <c r="P348" s="169">
        <f>IF(P$2&lt;=AnalysisPeriod,IF(SUM($C693:P693)&gt;0,O348+1,0),0)</f>
        <v>0</v>
      </c>
      <c r="Q348" s="169">
        <f>IF(Q$2&lt;=AnalysisPeriod,IF(SUM($C693:Q693)&gt;0,P348+1,0),0)</f>
        <v>0</v>
      </c>
      <c r="R348" s="169">
        <f>IF(R$2&lt;=AnalysisPeriod,IF(SUM($C693:R693)&gt;0,Q348+1,0),0)</f>
        <v>0</v>
      </c>
      <c r="S348" s="169">
        <f>IF(S$2&lt;=AnalysisPeriod,IF(SUM($C693:S693)&gt;0,R348+1,0),0)</f>
        <v>0</v>
      </c>
      <c r="T348" s="169">
        <f>IF(T$2&lt;=AnalysisPeriod,IF(SUM($C693:T693)&gt;0,S348+1,0),0)</f>
        <v>0</v>
      </c>
      <c r="U348" s="169">
        <f>IF(U$2&lt;=AnalysisPeriod,IF(SUM($C693:U693)&gt;0,T348+1,0),0)</f>
        <v>0</v>
      </c>
      <c r="V348" s="169">
        <f>IF(V$2&lt;=AnalysisPeriod,IF(SUM($C693:V693)&gt;0,U348+1,0),0)</f>
        <v>0</v>
      </c>
      <c r="W348" s="169">
        <f>IF(W$2&lt;=AnalysisPeriod,IF(SUM($C693:W693)&gt;0,V348+1,0),0)</f>
        <v>0</v>
      </c>
      <c r="X348" s="169">
        <f>IF(X$2&lt;=AnalysisPeriod,IF(SUM($C693:X693)&gt;0,W348+1,0),0)</f>
        <v>0</v>
      </c>
      <c r="Y348" s="169">
        <f>IF(Y$2&lt;=AnalysisPeriod,IF(SUM($C693:Y693)&gt;0,X348+1,0),0)</f>
        <v>0</v>
      </c>
      <c r="Z348" s="169">
        <f>IF(Z$2&lt;=AnalysisPeriod,IF(SUM($C693:Z693)&gt;0,Y348+1,0),0)</f>
        <v>0</v>
      </c>
      <c r="AA348" s="169">
        <f>IF(AA$2&lt;=AnalysisPeriod,IF(SUM($C693:AA693)&gt;0,Z348+1,0),0)</f>
        <v>0</v>
      </c>
      <c r="AB348" s="169">
        <f>IF(AB$2&lt;=AnalysisPeriod,IF(SUM($C693:AB693)&gt;0,AA348+1,0),0)</f>
        <v>0</v>
      </c>
      <c r="AC348" s="169">
        <f>IF(AC$2&lt;=AnalysisPeriod,IF(SUM($C693:AC693)&gt;0,AB348+1,0),0)</f>
        <v>0</v>
      </c>
      <c r="AD348" s="169">
        <f>IF(AD$2&lt;=AnalysisPeriod,IF(SUM($C693:AD693)&gt;0,AC348+1,0),0)</f>
        <v>0</v>
      </c>
      <c r="AE348" s="169">
        <f>IF(AE$2&lt;=AnalysisPeriod,IF(SUM($C693:AE693)&gt;0,AD348+1,0),0)</f>
        <v>0</v>
      </c>
      <c r="AF348" s="169">
        <f>IF(AF$2&lt;=AnalysisPeriod,IF(SUM($C693:AF693)&gt;0,AE348+1,0),0)</f>
        <v>0</v>
      </c>
      <c r="AG348" s="169">
        <f>IF(AG$2&lt;=AnalysisPeriod,IF(SUM($C693:AG693)&gt;0,AF348+1,0),0)</f>
        <v>0</v>
      </c>
      <c r="AH348" s="169">
        <f>IF(AH$2&lt;=AnalysisPeriod,IF(SUM($C693:AH693)&gt;0,AG348+1,0),0)</f>
        <v>0</v>
      </c>
      <c r="AI348" s="169">
        <f>IF(AI$2&lt;=AnalysisPeriod,IF(SUM($C693:AI693)&gt;0,AH348+1,0),0)</f>
        <v>0</v>
      </c>
      <c r="AJ348" s="169">
        <f>IF(AJ$2&lt;=AnalysisPeriod,IF(SUM($C693:AJ693)&gt;0,AI348+1,0),0)</f>
        <v>0</v>
      </c>
      <c r="AK348" s="169">
        <f>IF(AK$2&lt;=AnalysisPeriod,IF(SUM($C693:AK693)&gt;0,AJ348+1,0),0)</f>
        <v>0</v>
      </c>
      <c r="AL348" s="169">
        <f>IF(AL$2&lt;=AnalysisPeriod,IF(SUM($C693:AL693)&gt;0,AK348+1,0),0)</f>
        <v>0</v>
      </c>
      <c r="AM348" s="169">
        <f>IF(AM$2&lt;=AnalysisPeriod,IF(SUM($C693:AM693)&gt;0,AL348+1,0),0)</f>
        <v>0</v>
      </c>
      <c r="AN348" s="169">
        <f>IF(AN$2&lt;=AnalysisPeriod,IF(SUM($C693:AN693)&gt;0,AM348+1,0),0)</f>
        <v>0</v>
      </c>
      <c r="AO348" s="169">
        <f>IF(AO$2&lt;=AnalysisPeriod,IF(SUM($C693:AO693)&gt;0,AN348+1,0),0)</f>
        <v>0</v>
      </c>
      <c r="AP348" s="169">
        <f>IF(AP$2&lt;=AnalysisPeriod,IF(SUM($C693:AP693)&gt;0,AO348+1,0),0)</f>
        <v>0</v>
      </c>
    </row>
    <row r="349" spans="1:42" x14ac:dyDescent="0.2">
      <c r="A349" s="20">
        <f t="shared" si="888"/>
        <v>10</v>
      </c>
      <c r="C349" s="169">
        <f>IF(C$2&lt;=AnalysisPeriod,IF(SUM($C694:C694)&gt;0,B349+1,0),0)</f>
        <v>0</v>
      </c>
      <c r="D349" s="169">
        <f>IF(D$2&lt;=AnalysisPeriod,IF(SUM($C694:D694)&gt;0,C349+1,0),0)</f>
        <v>0</v>
      </c>
      <c r="E349" s="169">
        <f>IF(E$2&lt;=AnalysisPeriod,IF(SUM($C694:E694)&gt;0,D349+1,0),0)</f>
        <v>0</v>
      </c>
      <c r="F349" s="169">
        <f>IF(F$2&lt;=AnalysisPeriod,IF(SUM($C694:F694)&gt;0,E349+1,0),0)</f>
        <v>0</v>
      </c>
      <c r="G349" s="169">
        <f>IF(G$2&lt;=AnalysisPeriod,IF(SUM($C694:G694)&gt;0,F349+1,0),0)</f>
        <v>0</v>
      </c>
      <c r="H349" s="169">
        <f>IF(H$2&lt;=AnalysisPeriod,IF(SUM($C694:H694)&gt;0,G349+1,0),0)</f>
        <v>0</v>
      </c>
      <c r="I349" s="169">
        <f>IF(I$2&lt;=AnalysisPeriod,IF(SUM($C694:I694)&gt;0,H349+1,0),0)</f>
        <v>0</v>
      </c>
      <c r="J349" s="169">
        <f>IF(J$2&lt;=AnalysisPeriod,IF(SUM($C694:J694)&gt;0,I349+1,0),0)</f>
        <v>0</v>
      </c>
      <c r="K349" s="169">
        <f>IF(K$2&lt;=AnalysisPeriod,IF(SUM($C694:K694)&gt;0,J349+1,0),0)</f>
        <v>0</v>
      </c>
      <c r="L349" s="169">
        <f>IF(L$2&lt;=AnalysisPeriod,IF(SUM($C694:L694)&gt;0,K349+1,0),0)</f>
        <v>0</v>
      </c>
      <c r="M349" s="169">
        <f>IF(M$2&lt;=AnalysisPeriod,IF(SUM($C694:M694)&gt;0,L349+1,0),0)</f>
        <v>0</v>
      </c>
      <c r="N349" s="169">
        <f>IF(N$2&lt;=AnalysisPeriod,IF(SUM($C694:N694)&gt;0,M349+1,0),0)</f>
        <v>0</v>
      </c>
      <c r="O349" s="169">
        <f>IF(O$2&lt;=AnalysisPeriod,IF(SUM($C694:O694)&gt;0,N349+1,0),0)</f>
        <v>0</v>
      </c>
      <c r="P349" s="169">
        <f>IF(P$2&lt;=AnalysisPeriod,IF(SUM($C694:P694)&gt;0,O349+1,0),0)</f>
        <v>0</v>
      </c>
      <c r="Q349" s="169">
        <f>IF(Q$2&lt;=AnalysisPeriod,IF(SUM($C694:Q694)&gt;0,P349+1,0),0)</f>
        <v>0</v>
      </c>
      <c r="R349" s="169">
        <f>IF(R$2&lt;=AnalysisPeriod,IF(SUM($C694:R694)&gt;0,Q349+1,0),0)</f>
        <v>0</v>
      </c>
      <c r="S349" s="169">
        <f>IF(S$2&lt;=AnalysisPeriod,IF(SUM($C694:S694)&gt;0,R349+1,0),0)</f>
        <v>0</v>
      </c>
      <c r="T349" s="169">
        <f>IF(T$2&lt;=AnalysisPeriod,IF(SUM($C694:T694)&gt;0,S349+1,0),0)</f>
        <v>0</v>
      </c>
      <c r="U349" s="169">
        <f>IF(U$2&lt;=AnalysisPeriod,IF(SUM($C694:U694)&gt;0,T349+1,0),0)</f>
        <v>0</v>
      </c>
      <c r="V349" s="169">
        <f>IF(V$2&lt;=AnalysisPeriod,IF(SUM($C694:V694)&gt;0,U349+1,0),0)</f>
        <v>0</v>
      </c>
      <c r="W349" s="169">
        <f>IF(W$2&lt;=AnalysisPeriod,IF(SUM($C694:W694)&gt;0,V349+1,0),0)</f>
        <v>0</v>
      </c>
      <c r="X349" s="169">
        <f>IF(X$2&lt;=AnalysisPeriod,IF(SUM($C694:X694)&gt;0,W349+1,0),0)</f>
        <v>0</v>
      </c>
      <c r="Y349" s="169">
        <f>IF(Y$2&lt;=AnalysisPeriod,IF(SUM($C694:Y694)&gt;0,X349+1,0),0)</f>
        <v>0</v>
      </c>
      <c r="Z349" s="169">
        <f>IF(Z$2&lt;=AnalysisPeriod,IF(SUM($C694:Z694)&gt;0,Y349+1,0),0)</f>
        <v>0</v>
      </c>
      <c r="AA349" s="169">
        <f>IF(AA$2&lt;=AnalysisPeriod,IF(SUM($C694:AA694)&gt;0,Z349+1,0),0)</f>
        <v>0</v>
      </c>
      <c r="AB349" s="169">
        <f>IF(AB$2&lt;=AnalysisPeriod,IF(SUM($C694:AB694)&gt;0,AA349+1,0),0)</f>
        <v>0</v>
      </c>
      <c r="AC349" s="169">
        <f>IF(AC$2&lt;=AnalysisPeriod,IF(SUM($C694:AC694)&gt;0,AB349+1,0),0)</f>
        <v>0</v>
      </c>
      <c r="AD349" s="169">
        <f>IF(AD$2&lt;=AnalysisPeriod,IF(SUM($C694:AD694)&gt;0,AC349+1,0),0)</f>
        <v>0</v>
      </c>
      <c r="AE349" s="169">
        <f>IF(AE$2&lt;=AnalysisPeriod,IF(SUM($C694:AE694)&gt;0,AD349+1,0),0)</f>
        <v>0</v>
      </c>
      <c r="AF349" s="169">
        <f>IF(AF$2&lt;=AnalysisPeriod,IF(SUM($C694:AF694)&gt;0,AE349+1,0),0)</f>
        <v>0</v>
      </c>
      <c r="AG349" s="169">
        <f>IF(AG$2&lt;=AnalysisPeriod,IF(SUM($C694:AG694)&gt;0,AF349+1,0),0)</f>
        <v>0</v>
      </c>
      <c r="AH349" s="169">
        <f>IF(AH$2&lt;=AnalysisPeriod,IF(SUM($C694:AH694)&gt;0,AG349+1,0),0)</f>
        <v>0</v>
      </c>
      <c r="AI349" s="169">
        <f>IF(AI$2&lt;=AnalysisPeriod,IF(SUM($C694:AI694)&gt;0,AH349+1,0),0)</f>
        <v>0</v>
      </c>
      <c r="AJ349" s="169">
        <f>IF(AJ$2&lt;=AnalysisPeriod,IF(SUM($C694:AJ694)&gt;0,AI349+1,0),0)</f>
        <v>0</v>
      </c>
      <c r="AK349" s="169">
        <f>IF(AK$2&lt;=AnalysisPeriod,IF(SUM($C694:AK694)&gt;0,AJ349+1,0),0)</f>
        <v>0</v>
      </c>
      <c r="AL349" s="169">
        <f>IF(AL$2&lt;=AnalysisPeriod,IF(SUM($C694:AL694)&gt;0,AK349+1,0),0)</f>
        <v>0</v>
      </c>
      <c r="AM349" s="169">
        <f>IF(AM$2&lt;=AnalysisPeriod,IF(SUM($C694:AM694)&gt;0,AL349+1,0),0)</f>
        <v>0</v>
      </c>
      <c r="AN349" s="169">
        <f>IF(AN$2&lt;=AnalysisPeriod,IF(SUM($C694:AN694)&gt;0,AM349+1,0),0)</f>
        <v>0</v>
      </c>
      <c r="AO349" s="169">
        <f>IF(AO$2&lt;=AnalysisPeriod,IF(SUM($C694:AO694)&gt;0,AN349+1,0),0)</f>
        <v>0</v>
      </c>
      <c r="AP349" s="169">
        <f>IF(AP$2&lt;=AnalysisPeriod,IF(SUM($C694:AP694)&gt;0,AO349+1,0),0)</f>
        <v>0</v>
      </c>
    </row>
    <row r="350" spans="1:42" x14ac:dyDescent="0.2">
      <c r="A350" s="187" t="s">
        <v>196</v>
      </c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</row>
    <row r="351" spans="1:42" x14ac:dyDescent="0.2">
      <c r="A351" s="20">
        <v>1</v>
      </c>
      <c r="B351" s="179">
        <f t="shared" ref="B351:B360" si="889">SUM(C351:AP351)</f>
        <v>2944872.3435013141</v>
      </c>
      <c r="C351" s="169">
        <f t="shared" ref="C351:AP351" si="890">LOOKUP(C340,$B$335:$AP$335,$B$336:$AP$336)*$B685</f>
        <v>0</v>
      </c>
      <c r="D351" s="169">
        <f t="shared" si="890"/>
        <v>0</v>
      </c>
      <c r="E351" s="169">
        <f t="shared" si="890"/>
        <v>0</v>
      </c>
      <c r="F351" s="169">
        <f t="shared" si="890"/>
        <v>0</v>
      </c>
      <c r="G351" s="169">
        <f t="shared" si="890"/>
        <v>0</v>
      </c>
      <c r="H351" s="169">
        <f t="shared" si="890"/>
        <v>0</v>
      </c>
      <c r="I351" s="169">
        <f t="shared" si="890"/>
        <v>0</v>
      </c>
      <c r="J351" s="169">
        <f t="shared" si="890"/>
        <v>0</v>
      </c>
      <c r="K351" s="169">
        <f t="shared" si="890"/>
        <v>0</v>
      </c>
      <c r="L351" s="169">
        <f t="shared" si="890"/>
        <v>0</v>
      </c>
      <c r="M351" s="169">
        <f t="shared" si="890"/>
        <v>0</v>
      </c>
      <c r="N351" s="169">
        <f t="shared" si="890"/>
        <v>588974.46870026283</v>
      </c>
      <c r="O351" s="169">
        <f t="shared" si="890"/>
        <v>942359.14992042049</v>
      </c>
      <c r="P351" s="169">
        <f t="shared" si="890"/>
        <v>565415.48995225236</v>
      </c>
      <c r="Q351" s="169">
        <f t="shared" si="890"/>
        <v>339249.29397135135</v>
      </c>
      <c r="R351" s="169">
        <f t="shared" si="890"/>
        <v>339249.29397135135</v>
      </c>
      <c r="S351" s="169">
        <f t="shared" si="890"/>
        <v>169624.64698567567</v>
      </c>
      <c r="T351" s="169">
        <f t="shared" si="890"/>
        <v>0</v>
      </c>
      <c r="U351" s="169">
        <f t="shared" si="890"/>
        <v>0</v>
      </c>
      <c r="V351" s="169">
        <f t="shared" si="890"/>
        <v>0</v>
      </c>
      <c r="W351" s="169">
        <f t="shared" si="890"/>
        <v>0</v>
      </c>
      <c r="X351" s="169">
        <f t="shared" si="890"/>
        <v>0</v>
      </c>
      <c r="Y351" s="169">
        <f t="shared" si="890"/>
        <v>0</v>
      </c>
      <c r="Z351" s="169">
        <f t="shared" si="890"/>
        <v>0</v>
      </c>
      <c r="AA351" s="169">
        <f t="shared" si="890"/>
        <v>0</v>
      </c>
      <c r="AB351" s="169">
        <f t="shared" si="890"/>
        <v>0</v>
      </c>
      <c r="AC351" s="169">
        <f t="shared" si="890"/>
        <v>0</v>
      </c>
      <c r="AD351" s="169">
        <f t="shared" si="890"/>
        <v>0</v>
      </c>
      <c r="AE351" s="169">
        <f t="shared" si="890"/>
        <v>0</v>
      </c>
      <c r="AF351" s="169">
        <f t="shared" si="890"/>
        <v>0</v>
      </c>
      <c r="AG351" s="169">
        <f t="shared" si="890"/>
        <v>0</v>
      </c>
      <c r="AH351" s="169">
        <f t="shared" si="890"/>
        <v>0</v>
      </c>
      <c r="AI351" s="169">
        <f t="shared" si="890"/>
        <v>0</v>
      </c>
      <c r="AJ351" s="169">
        <f t="shared" si="890"/>
        <v>0</v>
      </c>
      <c r="AK351" s="169">
        <f t="shared" si="890"/>
        <v>0</v>
      </c>
      <c r="AL351" s="169">
        <f t="shared" si="890"/>
        <v>0</v>
      </c>
      <c r="AM351" s="169">
        <f t="shared" si="890"/>
        <v>0</v>
      </c>
      <c r="AN351" s="169">
        <f t="shared" si="890"/>
        <v>0</v>
      </c>
      <c r="AO351" s="169">
        <f t="shared" si="890"/>
        <v>0</v>
      </c>
      <c r="AP351" s="169">
        <f t="shared" si="890"/>
        <v>0</v>
      </c>
    </row>
    <row r="352" spans="1:42" x14ac:dyDescent="0.2">
      <c r="A352" s="20">
        <f>A351+1</f>
        <v>2</v>
      </c>
      <c r="B352" s="179">
        <f t="shared" si="889"/>
        <v>3520942.886524681</v>
      </c>
      <c r="C352" s="169">
        <f t="shared" ref="C352:AP352" si="891">LOOKUP(C341,$B$335:$AP$335,$B$336:$AP$336)*$B686</f>
        <v>0</v>
      </c>
      <c r="D352" s="169">
        <f t="shared" si="891"/>
        <v>0</v>
      </c>
      <c r="E352" s="169">
        <f t="shared" si="891"/>
        <v>0</v>
      </c>
      <c r="F352" s="169">
        <f t="shared" si="891"/>
        <v>0</v>
      </c>
      <c r="G352" s="169">
        <f t="shared" si="891"/>
        <v>0</v>
      </c>
      <c r="H352" s="169">
        <f t="shared" si="891"/>
        <v>0</v>
      </c>
      <c r="I352" s="169">
        <f t="shared" si="891"/>
        <v>0</v>
      </c>
      <c r="J352" s="169">
        <f t="shared" si="891"/>
        <v>0</v>
      </c>
      <c r="K352" s="169">
        <f t="shared" si="891"/>
        <v>0</v>
      </c>
      <c r="L352" s="169">
        <f t="shared" si="891"/>
        <v>0</v>
      </c>
      <c r="M352" s="169">
        <f t="shared" si="891"/>
        <v>0</v>
      </c>
      <c r="N352" s="169">
        <f t="shared" si="891"/>
        <v>0</v>
      </c>
      <c r="O352" s="169">
        <f t="shared" si="891"/>
        <v>0</v>
      </c>
      <c r="P352" s="169">
        <f t="shared" si="891"/>
        <v>0</v>
      </c>
      <c r="Q352" s="169">
        <f t="shared" si="891"/>
        <v>0</v>
      </c>
      <c r="R352" s="169">
        <f t="shared" si="891"/>
        <v>0</v>
      </c>
      <c r="S352" s="169">
        <f t="shared" si="891"/>
        <v>0</v>
      </c>
      <c r="T352" s="169">
        <f t="shared" si="891"/>
        <v>0</v>
      </c>
      <c r="U352" s="169">
        <f t="shared" si="891"/>
        <v>0</v>
      </c>
      <c r="V352" s="169">
        <f t="shared" si="891"/>
        <v>0</v>
      </c>
      <c r="W352" s="169">
        <f t="shared" si="891"/>
        <v>0</v>
      </c>
      <c r="X352" s="169">
        <f t="shared" si="891"/>
        <v>0</v>
      </c>
      <c r="Y352" s="169">
        <f t="shared" si="891"/>
        <v>0</v>
      </c>
      <c r="Z352" s="169">
        <f t="shared" si="891"/>
        <v>704188.57730493625</v>
      </c>
      <c r="AA352" s="169">
        <f t="shared" si="891"/>
        <v>1126701.7236878979</v>
      </c>
      <c r="AB352" s="169">
        <f t="shared" si="891"/>
        <v>676021.03421273874</v>
      </c>
      <c r="AC352" s="169">
        <f t="shared" si="891"/>
        <v>405612.62052764324</v>
      </c>
      <c r="AD352" s="169">
        <f t="shared" si="891"/>
        <v>405612.62052764324</v>
      </c>
      <c r="AE352" s="169">
        <f t="shared" si="891"/>
        <v>202806.31026382162</v>
      </c>
      <c r="AF352" s="169">
        <f t="shared" si="891"/>
        <v>0</v>
      </c>
      <c r="AG352" s="169">
        <f t="shared" si="891"/>
        <v>0</v>
      </c>
      <c r="AH352" s="169">
        <f t="shared" si="891"/>
        <v>0</v>
      </c>
      <c r="AI352" s="169">
        <f t="shared" si="891"/>
        <v>0</v>
      </c>
      <c r="AJ352" s="169">
        <f t="shared" si="891"/>
        <v>0</v>
      </c>
      <c r="AK352" s="169">
        <f t="shared" si="891"/>
        <v>0</v>
      </c>
      <c r="AL352" s="169">
        <f t="shared" si="891"/>
        <v>0</v>
      </c>
      <c r="AM352" s="169">
        <f t="shared" si="891"/>
        <v>0</v>
      </c>
      <c r="AN352" s="169">
        <f t="shared" si="891"/>
        <v>0</v>
      </c>
      <c r="AO352" s="169">
        <f t="shared" si="891"/>
        <v>0</v>
      </c>
      <c r="AP352" s="169">
        <f t="shared" si="891"/>
        <v>0</v>
      </c>
    </row>
    <row r="353" spans="1:42" x14ac:dyDescent="0.2">
      <c r="A353" s="20">
        <f t="shared" ref="A353:A360" si="892">A352+1</f>
        <v>3</v>
      </c>
      <c r="B353" s="179">
        <f t="shared" si="889"/>
        <v>3967224.3859686418</v>
      </c>
      <c r="C353" s="169">
        <f t="shared" ref="C353:AP353" si="893">LOOKUP(C342,$B$335:$AP$335,$B$336:$AP$336)*$B687</f>
        <v>0</v>
      </c>
      <c r="D353" s="169">
        <f t="shared" si="893"/>
        <v>0</v>
      </c>
      <c r="E353" s="169">
        <f t="shared" si="893"/>
        <v>0</v>
      </c>
      <c r="F353" s="169">
        <f t="shared" si="893"/>
        <v>0</v>
      </c>
      <c r="G353" s="169">
        <f t="shared" si="893"/>
        <v>0</v>
      </c>
      <c r="H353" s="169">
        <f t="shared" si="893"/>
        <v>0</v>
      </c>
      <c r="I353" s="169">
        <f t="shared" si="893"/>
        <v>0</v>
      </c>
      <c r="J353" s="169">
        <f t="shared" si="893"/>
        <v>0</v>
      </c>
      <c r="K353" s="169">
        <f t="shared" si="893"/>
        <v>0</v>
      </c>
      <c r="L353" s="169">
        <f t="shared" si="893"/>
        <v>0</v>
      </c>
      <c r="M353" s="169">
        <f t="shared" si="893"/>
        <v>0</v>
      </c>
      <c r="N353" s="169">
        <f t="shared" si="893"/>
        <v>0</v>
      </c>
      <c r="O353" s="169">
        <f t="shared" si="893"/>
        <v>0</v>
      </c>
      <c r="P353" s="169">
        <f t="shared" si="893"/>
        <v>0</v>
      </c>
      <c r="Q353" s="169">
        <f t="shared" si="893"/>
        <v>0</v>
      </c>
      <c r="R353" s="169">
        <f t="shared" si="893"/>
        <v>0</v>
      </c>
      <c r="S353" s="169">
        <f t="shared" si="893"/>
        <v>0</v>
      </c>
      <c r="T353" s="169">
        <f t="shared" si="893"/>
        <v>0</v>
      </c>
      <c r="U353" s="169">
        <f t="shared" si="893"/>
        <v>0</v>
      </c>
      <c r="V353" s="169">
        <f t="shared" si="893"/>
        <v>0</v>
      </c>
      <c r="W353" s="169">
        <f t="shared" si="893"/>
        <v>0</v>
      </c>
      <c r="X353" s="169">
        <f t="shared" si="893"/>
        <v>0</v>
      </c>
      <c r="Y353" s="169">
        <f t="shared" si="893"/>
        <v>0</v>
      </c>
      <c r="Z353" s="169">
        <f t="shared" si="893"/>
        <v>0</v>
      </c>
      <c r="AA353" s="169">
        <f t="shared" si="893"/>
        <v>0</v>
      </c>
      <c r="AB353" s="169">
        <f t="shared" si="893"/>
        <v>0</v>
      </c>
      <c r="AC353" s="169">
        <f t="shared" si="893"/>
        <v>0</v>
      </c>
      <c r="AD353" s="169">
        <f t="shared" si="893"/>
        <v>0</v>
      </c>
      <c r="AE353" s="169">
        <f t="shared" si="893"/>
        <v>0</v>
      </c>
      <c r="AF353" s="169">
        <f t="shared" si="893"/>
        <v>0</v>
      </c>
      <c r="AG353" s="169">
        <f t="shared" si="893"/>
        <v>0</v>
      </c>
      <c r="AH353" s="169">
        <f t="shared" si="893"/>
        <v>0</v>
      </c>
      <c r="AI353" s="169">
        <f t="shared" si="893"/>
        <v>0</v>
      </c>
      <c r="AJ353" s="169">
        <f t="shared" si="893"/>
        <v>0</v>
      </c>
      <c r="AK353" s="169">
        <f t="shared" si="893"/>
        <v>0</v>
      </c>
      <c r="AL353" s="169">
        <f t="shared" si="893"/>
        <v>841940.65916142659</v>
      </c>
      <c r="AM353" s="169">
        <f t="shared" si="893"/>
        <v>1347105.0546582823</v>
      </c>
      <c r="AN353" s="169">
        <f t="shared" si="893"/>
        <v>808263.03279496951</v>
      </c>
      <c r="AO353" s="169">
        <f t="shared" si="893"/>
        <v>484957.81967698166</v>
      </c>
      <c r="AP353" s="169">
        <f t="shared" si="893"/>
        <v>484957.81967698166</v>
      </c>
    </row>
    <row r="354" spans="1:42" x14ac:dyDescent="0.2">
      <c r="A354" s="20">
        <f t="shared" si="892"/>
        <v>4</v>
      </c>
      <c r="B354" s="179">
        <f t="shared" si="889"/>
        <v>0</v>
      </c>
      <c r="C354" s="169">
        <f t="shared" ref="C354:AP354" si="894">LOOKUP(C343,$B$335:$AP$335,$B$336:$AP$336)*$B688</f>
        <v>0</v>
      </c>
      <c r="D354" s="169">
        <f t="shared" si="894"/>
        <v>0</v>
      </c>
      <c r="E354" s="169">
        <f t="shared" si="894"/>
        <v>0</v>
      </c>
      <c r="F354" s="169">
        <f t="shared" si="894"/>
        <v>0</v>
      </c>
      <c r="G354" s="169">
        <f t="shared" si="894"/>
        <v>0</v>
      </c>
      <c r="H354" s="169">
        <f t="shared" si="894"/>
        <v>0</v>
      </c>
      <c r="I354" s="169">
        <f t="shared" si="894"/>
        <v>0</v>
      </c>
      <c r="J354" s="169">
        <f t="shared" si="894"/>
        <v>0</v>
      </c>
      <c r="K354" s="169">
        <f t="shared" si="894"/>
        <v>0</v>
      </c>
      <c r="L354" s="169">
        <f t="shared" si="894"/>
        <v>0</v>
      </c>
      <c r="M354" s="169">
        <f t="shared" si="894"/>
        <v>0</v>
      </c>
      <c r="N354" s="169">
        <f t="shared" si="894"/>
        <v>0</v>
      </c>
      <c r="O354" s="169">
        <f t="shared" si="894"/>
        <v>0</v>
      </c>
      <c r="P354" s="169">
        <f t="shared" si="894"/>
        <v>0</v>
      </c>
      <c r="Q354" s="169">
        <f t="shared" si="894"/>
        <v>0</v>
      </c>
      <c r="R354" s="169">
        <f t="shared" si="894"/>
        <v>0</v>
      </c>
      <c r="S354" s="169">
        <f t="shared" si="894"/>
        <v>0</v>
      </c>
      <c r="T354" s="169">
        <f t="shared" si="894"/>
        <v>0</v>
      </c>
      <c r="U354" s="169">
        <f t="shared" si="894"/>
        <v>0</v>
      </c>
      <c r="V354" s="169">
        <f t="shared" si="894"/>
        <v>0</v>
      </c>
      <c r="W354" s="169">
        <f t="shared" si="894"/>
        <v>0</v>
      </c>
      <c r="X354" s="169">
        <f t="shared" si="894"/>
        <v>0</v>
      </c>
      <c r="Y354" s="169">
        <f t="shared" si="894"/>
        <v>0</v>
      </c>
      <c r="Z354" s="169">
        <f t="shared" si="894"/>
        <v>0</v>
      </c>
      <c r="AA354" s="169">
        <f t="shared" si="894"/>
        <v>0</v>
      </c>
      <c r="AB354" s="169">
        <f t="shared" si="894"/>
        <v>0</v>
      </c>
      <c r="AC354" s="169">
        <f t="shared" si="894"/>
        <v>0</v>
      </c>
      <c r="AD354" s="169">
        <f t="shared" si="894"/>
        <v>0</v>
      </c>
      <c r="AE354" s="169">
        <f t="shared" si="894"/>
        <v>0</v>
      </c>
      <c r="AF354" s="169">
        <f t="shared" si="894"/>
        <v>0</v>
      </c>
      <c r="AG354" s="169">
        <f t="shared" si="894"/>
        <v>0</v>
      </c>
      <c r="AH354" s="169">
        <f t="shared" si="894"/>
        <v>0</v>
      </c>
      <c r="AI354" s="169">
        <f t="shared" si="894"/>
        <v>0</v>
      </c>
      <c r="AJ354" s="169">
        <f t="shared" si="894"/>
        <v>0</v>
      </c>
      <c r="AK354" s="169">
        <f t="shared" si="894"/>
        <v>0</v>
      </c>
      <c r="AL354" s="169">
        <f t="shared" si="894"/>
        <v>0</v>
      </c>
      <c r="AM354" s="169">
        <f t="shared" si="894"/>
        <v>0</v>
      </c>
      <c r="AN354" s="169">
        <f t="shared" si="894"/>
        <v>0</v>
      </c>
      <c r="AO354" s="169">
        <f t="shared" si="894"/>
        <v>0</v>
      </c>
      <c r="AP354" s="169">
        <f t="shared" si="894"/>
        <v>0</v>
      </c>
    </row>
    <row r="355" spans="1:42" x14ac:dyDescent="0.2">
      <c r="A355" s="20">
        <f t="shared" si="892"/>
        <v>5</v>
      </c>
      <c r="B355" s="179">
        <f t="shared" si="889"/>
        <v>0</v>
      </c>
      <c r="C355" s="169">
        <f t="shared" ref="C355:AP355" si="895">LOOKUP(C344,$B$335:$AP$335,$B$336:$AP$336)*$B689</f>
        <v>0</v>
      </c>
      <c r="D355" s="169">
        <f t="shared" si="895"/>
        <v>0</v>
      </c>
      <c r="E355" s="169">
        <f t="shared" si="895"/>
        <v>0</v>
      </c>
      <c r="F355" s="169">
        <f t="shared" si="895"/>
        <v>0</v>
      </c>
      <c r="G355" s="169">
        <f t="shared" si="895"/>
        <v>0</v>
      </c>
      <c r="H355" s="169">
        <f t="shared" si="895"/>
        <v>0</v>
      </c>
      <c r="I355" s="169">
        <f t="shared" si="895"/>
        <v>0</v>
      </c>
      <c r="J355" s="169">
        <f t="shared" si="895"/>
        <v>0</v>
      </c>
      <c r="K355" s="169">
        <f t="shared" si="895"/>
        <v>0</v>
      </c>
      <c r="L355" s="169">
        <f t="shared" si="895"/>
        <v>0</v>
      </c>
      <c r="M355" s="169">
        <f t="shared" si="895"/>
        <v>0</v>
      </c>
      <c r="N355" s="169">
        <f t="shared" si="895"/>
        <v>0</v>
      </c>
      <c r="O355" s="169">
        <f t="shared" si="895"/>
        <v>0</v>
      </c>
      <c r="P355" s="169">
        <f t="shared" si="895"/>
        <v>0</v>
      </c>
      <c r="Q355" s="169">
        <f t="shared" si="895"/>
        <v>0</v>
      </c>
      <c r="R355" s="169">
        <f t="shared" si="895"/>
        <v>0</v>
      </c>
      <c r="S355" s="169">
        <f t="shared" si="895"/>
        <v>0</v>
      </c>
      <c r="T355" s="169">
        <f t="shared" si="895"/>
        <v>0</v>
      </c>
      <c r="U355" s="169">
        <f t="shared" si="895"/>
        <v>0</v>
      </c>
      <c r="V355" s="169">
        <f t="shared" si="895"/>
        <v>0</v>
      </c>
      <c r="W355" s="169">
        <f t="shared" si="895"/>
        <v>0</v>
      </c>
      <c r="X355" s="169">
        <f t="shared" si="895"/>
        <v>0</v>
      </c>
      <c r="Y355" s="169">
        <f t="shared" si="895"/>
        <v>0</v>
      </c>
      <c r="Z355" s="169">
        <f t="shared" si="895"/>
        <v>0</v>
      </c>
      <c r="AA355" s="169">
        <f t="shared" si="895"/>
        <v>0</v>
      </c>
      <c r="AB355" s="169">
        <f t="shared" si="895"/>
        <v>0</v>
      </c>
      <c r="AC355" s="169">
        <f t="shared" si="895"/>
        <v>0</v>
      </c>
      <c r="AD355" s="169">
        <f t="shared" si="895"/>
        <v>0</v>
      </c>
      <c r="AE355" s="169">
        <f t="shared" si="895"/>
        <v>0</v>
      </c>
      <c r="AF355" s="169">
        <f t="shared" si="895"/>
        <v>0</v>
      </c>
      <c r="AG355" s="169">
        <f t="shared" si="895"/>
        <v>0</v>
      </c>
      <c r="AH355" s="169">
        <f t="shared" si="895"/>
        <v>0</v>
      </c>
      <c r="AI355" s="169">
        <f t="shared" si="895"/>
        <v>0</v>
      </c>
      <c r="AJ355" s="169">
        <f t="shared" si="895"/>
        <v>0</v>
      </c>
      <c r="AK355" s="169">
        <f t="shared" si="895"/>
        <v>0</v>
      </c>
      <c r="AL355" s="169">
        <f t="shared" si="895"/>
        <v>0</v>
      </c>
      <c r="AM355" s="169">
        <f t="shared" si="895"/>
        <v>0</v>
      </c>
      <c r="AN355" s="169">
        <f t="shared" si="895"/>
        <v>0</v>
      </c>
      <c r="AO355" s="169">
        <f t="shared" si="895"/>
        <v>0</v>
      </c>
      <c r="AP355" s="169">
        <f t="shared" si="895"/>
        <v>0</v>
      </c>
    </row>
    <row r="356" spans="1:42" x14ac:dyDescent="0.2">
      <c r="A356" s="101">
        <f t="shared" si="892"/>
        <v>6</v>
      </c>
      <c r="B356" s="179">
        <f t="shared" si="889"/>
        <v>0</v>
      </c>
      <c r="C356" s="169">
        <f t="shared" ref="C356:AP356" si="896">LOOKUP(C345,$B$335:$AP$335,$B$336:$AP$336)*$B690</f>
        <v>0</v>
      </c>
      <c r="D356" s="169">
        <f t="shared" si="896"/>
        <v>0</v>
      </c>
      <c r="E356" s="169">
        <f t="shared" si="896"/>
        <v>0</v>
      </c>
      <c r="F356" s="169">
        <f t="shared" si="896"/>
        <v>0</v>
      </c>
      <c r="G356" s="169">
        <f t="shared" si="896"/>
        <v>0</v>
      </c>
      <c r="H356" s="169">
        <f t="shared" si="896"/>
        <v>0</v>
      </c>
      <c r="I356" s="169">
        <f t="shared" si="896"/>
        <v>0</v>
      </c>
      <c r="J356" s="169">
        <f t="shared" si="896"/>
        <v>0</v>
      </c>
      <c r="K356" s="169">
        <f t="shared" si="896"/>
        <v>0</v>
      </c>
      <c r="L356" s="169">
        <f t="shared" si="896"/>
        <v>0</v>
      </c>
      <c r="M356" s="169">
        <f t="shared" si="896"/>
        <v>0</v>
      </c>
      <c r="N356" s="169">
        <f t="shared" si="896"/>
        <v>0</v>
      </c>
      <c r="O356" s="169">
        <f t="shared" si="896"/>
        <v>0</v>
      </c>
      <c r="P356" s="169">
        <f t="shared" si="896"/>
        <v>0</v>
      </c>
      <c r="Q356" s="169">
        <f t="shared" si="896"/>
        <v>0</v>
      </c>
      <c r="R356" s="169">
        <f t="shared" si="896"/>
        <v>0</v>
      </c>
      <c r="S356" s="169">
        <f t="shared" si="896"/>
        <v>0</v>
      </c>
      <c r="T356" s="169">
        <f t="shared" si="896"/>
        <v>0</v>
      </c>
      <c r="U356" s="169">
        <f t="shared" si="896"/>
        <v>0</v>
      </c>
      <c r="V356" s="169">
        <f t="shared" si="896"/>
        <v>0</v>
      </c>
      <c r="W356" s="169">
        <f t="shared" si="896"/>
        <v>0</v>
      </c>
      <c r="X356" s="169">
        <f t="shared" si="896"/>
        <v>0</v>
      </c>
      <c r="Y356" s="169">
        <f t="shared" si="896"/>
        <v>0</v>
      </c>
      <c r="Z356" s="169">
        <f t="shared" si="896"/>
        <v>0</v>
      </c>
      <c r="AA356" s="169">
        <f t="shared" si="896"/>
        <v>0</v>
      </c>
      <c r="AB356" s="169">
        <f t="shared" si="896"/>
        <v>0</v>
      </c>
      <c r="AC356" s="169">
        <f t="shared" si="896"/>
        <v>0</v>
      </c>
      <c r="AD356" s="169">
        <f t="shared" si="896"/>
        <v>0</v>
      </c>
      <c r="AE356" s="169">
        <f t="shared" si="896"/>
        <v>0</v>
      </c>
      <c r="AF356" s="169">
        <f t="shared" si="896"/>
        <v>0</v>
      </c>
      <c r="AG356" s="169">
        <f t="shared" si="896"/>
        <v>0</v>
      </c>
      <c r="AH356" s="169">
        <f t="shared" si="896"/>
        <v>0</v>
      </c>
      <c r="AI356" s="169">
        <f t="shared" si="896"/>
        <v>0</v>
      </c>
      <c r="AJ356" s="169">
        <f t="shared" si="896"/>
        <v>0</v>
      </c>
      <c r="AK356" s="169">
        <f t="shared" si="896"/>
        <v>0</v>
      </c>
      <c r="AL356" s="169">
        <f t="shared" si="896"/>
        <v>0</v>
      </c>
      <c r="AM356" s="169">
        <f t="shared" si="896"/>
        <v>0</v>
      </c>
      <c r="AN356" s="169">
        <f t="shared" si="896"/>
        <v>0</v>
      </c>
      <c r="AO356" s="169">
        <f t="shared" si="896"/>
        <v>0</v>
      </c>
      <c r="AP356" s="169">
        <f t="shared" si="896"/>
        <v>0</v>
      </c>
    </row>
    <row r="357" spans="1:42" x14ac:dyDescent="0.2">
      <c r="A357" s="101">
        <f t="shared" si="892"/>
        <v>7</v>
      </c>
      <c r="B357" s="179">
        <f t="shared" si="889"/>
        <v>0</v>
      </c>
      <c r="C357" s="169">
        <f t="shared" ref="C357:AP357" si="897">LOOKUP(C346,$B$335:$AP$335,$B$336:$AP$336)*$B691</f>
        <v>0</v>
      </c>
      <c r="D357" s="169">
        <f t="shared" si="897"/>
        <v>0</v>
      </c>
      <c r="E357" s="169">
        <f t="shared" si="897"/>
        <v>0</v>
      </c>
      <c r="F357" s="169">
        <f t="shared" si="897"/>
        <v>0</v>
      </c>
      <c r="G357" s="169">
        <f t="shared" si="897"/>
        <v>0</v>
      </c>
      <c r="H357" s="169">
        <f t="shared" si="897"/>
        <v>0</v>
      </c>
      <c r="I357" s="169">
        <f t="shared" si="897"/>
        <v>0</v>
      </c>
      <c r="J357" s="169">
        <f t="shared" si="897"/>
        <v>0</v>
      </c>
      <c r="K357" s="169">
        <f t="shared" si="897"/>
        <v>0</v>
      </c>
      <c r="L357" s="169">
        <f t="shared" si="897"/>
        <v>0</v>
      </c>
      <c r="M357" s="169">
        <f t="shared" si="897"/>
        <v>0</v>
      </c>
      <c r="N357" s="169">
        <f t="shared" si="897"/>
        <v>0</v>
      </c>
      <c r="O357" s="169">
        <f t="shared" si="897"/>
        <v>0</v>
      </c>
      <c r="P357" s="169">
        <f t="shared" si="897"/>
        <v>0</v>
      </c>
      <c r="Q357" s="169">
        <f t="shared" si="897"/>
        <v>0</v>
      </c>
      <c r="R357" s="169">
        <f t="shared" si="897"/>
        <v>0</v>
      </c>
      <c r="S357" s="169">
        <f t="shared" si="897"/>
        <v>0</v>
      </c>
      <c r="T357" s="169">
        <f t="shared" si="897"/>
        <v>0</v>
      </c>
      <c r="U357" s="169">
        <f t="shared" si="897"/>
        <v>0</v>
      </c>
      <c r="V357" s="169">
        <f t="shared" si="897"/>
        <v>0</v>
      </c>
      <c r="W357" s="169">
        <f t="shared" si="897"/>
        <v>0</v>
      </c>
      <c r="X357" s="169">
        <f t="shared" si="897"/>
        <v>0</v>
      </c>
      <c r="Y357" s="169">
        <f t="shared" si="897"/>
        <v>0</v>
      </c>
      <c r="Z357" s="169">
        <f t="shared" si="897"/>
        <v>0</v>
      </c>
      <c r="AA357" s="169">
        <f t="shared" si="897"/>
        <v>0</v>
      </c>
      <c r="AB357" s="169">
        <f t="shared" si="897"/>
        <v>0</v>
      </c>
      <c r="AC357" s="169">
        <f t="shared" si="897"/>
        <v>0</v>
      </c>
      <c r="AD357" s="169">
        <f t="shared" si="897"/>
        <v>0</v>
      </c>
      <c r="AE357" s="169">
        <f t="shared" si="897"/>
        <v>0</v>
      </c>
      <c r="AF357" s="169">
        <f t="shared" si="897"/>
        <v>0</v>
      </c>
      <c r="AG357" s="169">
        <f t="shared" si="897"/>
        <v>0</v>
      </c>
      <c r="AH357" s="169">
        <f t="shared" si="897"/>
        <v>0</v>
      </c>
      <c r="AI357" s="169">
        <f t="shared" si="897"/>
        <v>0</v>
      </c>
      <c r="AJ357" s="169">
        <f t="shared" si="897"/>
        <v>0</v>
      </c>
      <c r="AK357" s="169">
        <f t="shared" si="897"/>
        <v>0</v>
      </c>
      <c r="AL357" s="169">
        <f t="shared" si="897"/>
        <v>0</v>
      </c>
      <c r="AM357" s="169">
        <f t="shared" si="897"/>
        <v>0</v>
      </c>
      <c r="AN357" s="169">
        <f t="shared" si="897"/>
        <v>0</v>
      </c>
      <c r="AO357" s="169">
        <f t="shared" si="897"/>
        <v>0</v>
      </c>
      <c r="AP357" s="169">
        <f t="shared" si="897"/>
        <v>0</v>
      </c>
    </row>
    <row r="358" spans="1:42" x14ac:dyDescent="0.2">
      <c r="A358" s="101">
        <f t="shared" si="892"/>
        <v>8</v>
      </c>
      <c r="B358" s="179">
        <f t="shared" si="889"/>
        <v>0</v>
      </c>
      <c r="C358" s="169">
        <f t="shared" ref="C358:AP358" si="898">LOOKUP(C347,$B$335:$AP$335,$B$336:$AP$336)*$B692</f>
        <v>0</v>
      </c>
      <c r="D358" s="169">
        <f t="shared" si="898"/>
        <v>0</v>
      </c>
      <c r="E358" s="169">
        <f t="shared" si="898"/>
        <v>0</v>
      </c>
      <c r="F358" s="169">
        <f t="shared" si="898"/>
        <v>0</v>
      </c>
      <c r="G358" s="169">
        <f t="shared" si="898"/>
        <v>0</v>
      </c>
      <c r="H358" s="169">
        <f t="shared" si="898"/>
        <v>0</v>
      </c>
      <c r="I358" s="169">
        <f t="shared" si="898"/>
        <v>0</v>
      </c>
      <c r="J358" s="169">
        <f t="shared" si="898"/>
        <v>0</v>
      </c>
      <c r="K358" s="169">
        <f t="shared" si="898"/>
        <v>0</v>
      </c>
      <c r="L358" s="169">
        <f t="shared" si="898"/>
        <v>0</v>
      </c>
      <c r="M358" s="169">
        <f t="shared" si="898"/>
        <v>0</v>
      </c>
      <c r="N358" s="169">
        <f t="shared" si="898"/>
        <v>0</v>
      </c>
      <c r="O358" s="169">
        <f t="shared" si="898"/>
        <v>0</v>
      </c>
      <c r="P358" s="169">
        <f t="shared" si="898"/>
        <v>0</v>
      </c>
      <c r="Q358" s="169">
        <f t="shared" si="898"/>
        <v>0</v>
      </c>
      <c r="R358" s="169">
        <f t="shared" si="898"/>
        <v>0</v>
      </c>
      <c r="S358" s="169">
        <f t="shared" si="898"/>
        <v>0</v>
      </c>
      <c r="T358" s="169">
        <f t="shared" si="898"/>
        <v>0</v>
      </c>
      <c r="U358" s="169">
        <f t="shared" si="898"/>
        <v>0</v>
      </c>
      <c r="V358" s="169">
        <f t="shared" si="898"/>
        <v>0</v>
      </c>
      <c r="W358" s="169">
        <f t="shared" si="898"/>
        <v>0</v>
      </c>
      <c r="X358" s="169">
        <f t="shared" si="898"/>
        <v>0</v>
      </c>
      <c r="Y358" s="169">
        <f t="shared" si="898"/>
        <v>0</v>
      </c>
      <c r="Z358" s="169">
        <f t="shared" si="898"/>
        <v>0</v>
      </c>
      <c r="AA358" s="169">
        <f t="shared" si="898"/>
        <v>0</v>
      </c>
      <c r="AB358" s="169">
        <f t="shared" si="898"/>
        <v>0</v>
      </c>
      <c r="AC358" s="169">
        <f t="shared" si="898"/>
        <v>0</v>
      </c>
      <c r="AD358" s="169">
        <f t="shared" si="898"/>
        <v>0</v>
      </c>
      <c r="AE358" s="169">
        <f t="shared" si="898"/>
        <v>0</v>
      </c>
      <c r="AF358" s="169">
        <f t="shared" si="898"/>
        <v>0</v>
      </c>
      <c r="AG358" s="169">
        <f t="shared" si="898"/>
        <v>0</v>
      </c>
      <c r="AH358" s="169">
        <f t="shared" si="898"/>
        <v>0</v>
      </c>
      <c r="AI358" s="169">
        <f t="shared" si="898"/>
        <v>0</v>
      </c>
      <c r="AJ358" s="169">
        <f t="shared" si="898"/>
        <v>0</v>
      </c>
      <c r="AK358" s="169">
        <f t="shared" si="898"/>
        <v>0</v>
      </c>
      <c r="AL358" s="169">
        <f t="shared" si="898"/>
        <v>0</v>
      </c>
      <c r="AM358" s="169">
        <f t="shared" si="898"/>
        <v>0</v>
      </c>
      <c r="AN358" s="169">
        <f t="shared" si="898"/>
        <v>0</v>
      </c>
      <c r="AO358" s="169">
        <f t="shared" si="898"/>
        <v>0</v>
      </c>
      <c r="AP358" s="169">
        <f t="shared" si="898"/>
        <v>0</v>
      </c>
    </row>
    <row r="359" spans="1:42" x14ac:dyDescent="0.2">
      <c r="A359" s="101">
        <f>A358+1</f>
        <v>9</v>
      </c>
      <c r="B359" s="179">
        <f t="shared" si="889"/>
        <v>0</v>
      </c>
      <c r="C359" s="169">
        <f t="shared" ref="C359:AP359" si="899">LOOKUP(C348,$B$335:$AP$335,$B$336:$AP$336)*$B693</f>
        <v>0</v>
      </c>
      <c r="D359" s="169">
        <f t="shared" si="899"/>
        <v>0</v>
      </c>
      <c r="E359" s="169">
        <f t="shared" si="899"/>
        <v>0</v>
      </c>
      <c r="F359" s="169">
        <f t="shared" si="899"/>
        <v>0</v>
      </c>
      <c r="G359" s="169">
        <f t="shared" si="899"/>
        <v>0</v>
      </c>
      <c r="H359" s="169">
        <f t="shared" si="899"/>
        <v>0</v>
      </c>
      <c r="I359" s="169">
        <f t="shared" si="899"/>
        <v>0</v>
      </c>
      <c r="J359" s="169">
        <f t="shared" si="899"/>
        <v>0</v>
      </c>
      <c r="K359" s="169">
        <f t="shared" si="899"/>
        <v>0</v>
      </c>
      <c r="L359" s="169">
        <f t="shared" si="899"/>
        <v>0</v>
      </c>
      <c r="M359" s="169">
        <f t="shared" si="899"/>
        <v>0</v>
      </c>
      <c r="N359" s="169">
        <f t="shared" si="899"/>
        <v>0</v>
      </c>
      <c r="O359" s="169">
        <f t="shared" si="899"/>
        <v>0</v>
      </c>
      <c r="P359" s="169">
        <f t="shared" si="899"/>
        <v>0</v>
      </c>
      <c r="Q359" s="169">
        <f t="shared" si="899"/>
        <v>0</v>
      </c>
      <c r="R359" s="169">
        <f t="shared" si="899"/>
        <v>0</v>
      </c>
      <c r="S359" s="169">
        <f t="shared" si="899"/>
        <v>0</v>
      </c>
      <c r="T359" s="169">
        <f t="shared" si="899"/>
        <v>0</v>
      </c>
      <c r="U359" s="169">
        <f t="shared" si="899"/>
        <v>0</v>
      </c>
      <c r="V359" s="169">
        <f t="shared" si="899"/>
        <v>0</v>
      </c>
      <c r="W359" s="169">
        <f t="shared" si="899"/>
        <v>0</v>
      </c>
      <c r="X359" s="169">
        <f t="shared" si="899"/>
        <v>0</v>
      </c>
      <c r="Y359" s="169">
        <f t="shared" si="899"/>
        <v>0</v>
      </c>
      <c r="Z359" s="169">
        <f t="shared" si="899"/>
        <v>0</v>
      </c>
      <c r="AA359" s="169">
        <f t="shared" si="899"/>
        <v>0</v>
      </c>
      <c r="AB359" s="169">
        <f t="shared" si="899"/>
        <v>0</v>
      </c>
      <c r="AC359" s="169">
        <f t="shared" si="899"/>
        <v>0</v>
      </c>
      <c r="AD359" s="169">
        <f t="shared" si="899"/>
        <v>0</v>
      </c>
      <c r="AE359" s="169">
        <f t="shared" si="899"/>
        <v>0</v>
      </c>
      <c r="AF359" s="169">
        <f t="shared" si="899"/>
        <v>0</v>
      </c>
      <c r="AG359" s="169">
        <f t="shared" si="899"/>
        <v>0</v>
      </c>
      <c r="AH359" s="169">
        <f t="shared" si="899"/>
        <v>0</v>
      </c>
      <c r="AI359" s="169">
        <f t="shared" si="899"/>
        <v>0</v>
      </c>
      <c r="AJ359" s="169">
        <f t="shared" si="899"/>
        <v>0</v>
      </c>
      <c r="AK359" s="169">
        <f t="shared" si="899"/>
        <v>0</v>
      </c>
      <c r="AL359" s="169">
        <f t="shared" si="899"/>
        <v>0</v>
      </c>
      <c r="AM359" s="169">
        <f t="shared" si="899"/>
        <v>0</v>
      </c>
      <c r="AN359" s="169">
        <f t="shared" si="899"/>
        <v>0</v>
      </c>
      <c r="AO359" s="169">
        <f t="shared" si="899"/>
        <v>0</v>
      </c>
      <c r="AP359" s="169">
        <f t="shared" si="899"/>
        <v>0</v>
      </c>
    </row>
    <row r="360" spans="1:42" x14ac:dyDescent="0.2">
      <c r="A360" s="101">
        <f t="shared" si="892"/>
        <v>10</v>
      </c>
      <c r="B360" s="179">
        <f t="shared" si="889"/>
        <v>0</v>
      </c>
      <c r="C360" s="204">
        <f t="shared" ref="C360:AP360" si="900">LOOKUP(C349,$B$335:$AP$335,$B$336:$AP$336)*$B694</f>
        <v>0</v>
      </c>
      <c r="D360" s="170">
        <f t="shared" si="900"/>
        <v>0</v>
      </c>
      <c r="E360" s="170">
        <f t="shared" si="900"/>
        <v>0</v>
      </c>
      <c r="F360" s="170">
        <f t="shared" si="900"/>
        <v>0</v>
      </c>
      <c r="G360" s="170">
        <f t="shared" si="900"/>
        <v>0</v>
      </c>
      <c r="H360" s="170">
        <f t="shared" si="900"/>
        <v>0</v>
      </c>
      <c r="I360" s="170">
        <f t="shared" si="900"/>
        <v>0</v>
      </c>
      <c r="J360" s="170">
        <f t="shared" si="900"/>
        <v>0</v>
      </c>
      <c r="K360" s="170">
        <f t="shared" si="900"/>
        <v>0</v>
      </c>
      <c r="L360" s="170">
        <f t="shared" si="900"/>
        <v>0</v>
      </c>
      <c r="M360" s="170">
        <f t="shared" si="900"/>
        <v>0</v>
      </c>
      <c r="N360" s="170">
        <f t="shared" si="900"/>
        <v>0</v>
      </c>
      <c r="O360" s="170">
        <f t="shared" si="900"/>
        <v>0</v>
      </c>
      <c r="P360" s="170">
        <f t="shared" si="900"/>
        <v>0</v>
      </c>
      <c r="Q360" s="170">
        <f t="shared" si="900"/>
        <v>0</v>
      </c>
      <c r="R360" s="170">
        <f t="shared" si="900"/>
        <v>0</v>
      </c>
      <c r="S360" s="170">
        <f t="shared" si="900"/>
        <v>0</v>
      </c>
      <c r="T360" s="170">
        <f t="shared" si="900"/>
        <v>0</v>
      </c>
      <c r="U360" s="170">
        <f t="shared" si="900"/>
        <v>0</v>
      </c>
      <c r="V360" s="170">
        <f t="shared" si="900"/>
        <v>0</v>
      </c>
      <c r="W360" s="170">
        <f t="shared" si="900"/>
        <v>0</v>
      </c>
      <c r="X360" s="170">
        <f t="shared" si="900"/>
        <v>0</v>
      </c>
      <c r="Y360" s="170">
        <f t="shared" si="900"/>
        <v>0</v>
      </c>
      <c r="Z360" s="170">
        <f t="shared" si="900"/>
        <v>0</v>
      </c>
      <c r="AA360" s="170">
        <f t="shared" si="900"/>
        <v>0</v>
      </c>
      <c r="AB360" s="170">
        <f t="shared" si="900"/>
        <v>0</v>
      </c>
      <c r="AC360" s="170">
        <f t="shared" si="900"/>
        <v>0</v>
      </c>
      <c r="AD360" s="170">
        <f t="shared" si="900"/>
        <v>0</v>
      </c>
      <c r="AE360" s="170">
        <f t="shared" si="900"/>
        <v>0</v>
      </c>
      <c r="AF360" s="170">
        <f t="shared" si="900"/>
        <v>0</v>
      </c>
      <c r="AG360" s="170">
        <f t="shared" si="900"/>
        <v>0</v>
      </c>
      <c r="AH360" s="170">
        <f t="shared" si="900"/>
        <v>0</v>
      </c>
      <c r="AI360" s="170">
        <f t="shared" si="900"/>
        <v>0</v>
      </c>
      <c r="AJ360" s="170">
        <f t="shared" si="900"/>
        <v>0</v>
      </c>
      <c r="AK360" s="170">
        <f t="shared" si="900"/>
        <v>0</v>
      </c>
      <c r="AL360" s="170">
        <f t="shared" si="900"/>
        <v>0</v>
      </c>
      <c r="AM360" s="170">
        <f t="shared" si="900"/>
        <v>0</v>
      </c>
      <c r="AN360" s="170">
        <f t="shared" si="900"/>
        <v>0</v>
      </c>
      <c r="AO360" s="170">
        <f t="shared" si="900"/>
        <v>0</v>
      </c>
      <c r="AP360" s="170">
        <f t="shared" si="900"/>
        <v>0</v>
      </c>
    </row>
    <row r="361" spans="1:42" s="101" customFormat="1" ht="12" customHeight="1" x14ac:dyDescent="0.2">
      <c r="A361" s="205" t="s">
        <v>53</v>
      </c>
      <c r="B361" s="124"/>
      <c r="C361" s="124">
        <f>SUM(C351:C360)</f>
        <v>0</v>
      </c>
      <c r="D361" s="124">
        <f t="shared" ref="D361:AP361" si="901">SUM(D351:D360)</f>
        <v>0</v>
      </c>
      <c r="E361" s="124">
        <f t="shared" si="901"/>
        <v>0</v>
      </c>
      <c r="F361" s="124">
        <f t="shared" si="901"/>
        <v>0</v>
      </c>
      <c r="G361" s="124">
        <f t="shared" si="901"/>
        <v>0</v>
      </c>
      <c r="H361" s="124">
        <f t="shared" si="901"/>
        <v>0</v>
      </c>
      <c r="I361" s="124">
        <f t="shared" si="901"/>
        <v>0</v>
      </c>
      <c r="J361" s="124">
        <f t="shared" si="901"/>
        <v>0</v>
      </c>
      <c r="K361" s="124">
        <f t="shared" si="901"/>
        <v>0</v>
      </c>
      <c r="L361" s="124">
        <f t="shared" si="901"/>
        <v>0</v>
      </c>
      <c r="M361" s="124">
        <f t="shared" si="901"/>
        <v>0</v>
      </c>
      <c r="N361" s="124">
        <f t="shared" si="901"/>
        <v>588974.46870026283</v>
      </c>
      <c r="O361" s="124">
        <f t="shared" si="901"/>
        <v>942359.14992042049</v>
      </c>
      <c r="P361" s="124">
        <f t="shared" si="901"/>
        <v>565415.48995225236</v>
      </c>
      <c r="Q361" s="124">
        <f t="shared" si="901"/>
        <v>339249.29397135135</v>
      </c>
      <c r="R361" s="124">
        <f t="shared" si="901"/>
        <v>339249.29397135135</v>
      </c>
      <c r="S361" s="124">
        <f t="shared" si="901"/>
        <v>169624.64698567567</v>
      </c>
      <c r="T361" s="124">
        <f t="shared" si="901"/>
        <v>0</v>
      </c>
      <c r="U361" s="124">
        <f t="shared" si="901"/>
        <v>0</v>
      </c>
      <c r="V361" s="124">
        <f t="shared" si="901"/>
        <v>0</v>
      </c>
      <c r="W361" s="124">
        <f t="shared" si="901"/>
        <v>0</v>
      </c>
      <c r="X361" s="124">
        <f t="shared" si="901"/>
        <v>0</v>
      </c>
      <c r="Y361" s="124">
        <f t="shared" si="901"/>
        <v>0</v>
      </c>
      <c r="Z361" s="124">
        <f t="shared" si="901"/>
        <v>704188.57730493625</v>
      </c>
      <c r="AA361" s="124">
        <f t="shared" si="901"/>
        <v>1126701.7236878979</v>
      </c>
      <c r="AB361" s="124">
        <f t="shared" si="901"/>
        <v>676021.03421273874</v>
      </c>
      <c r="AC361" s="124">
        <f t="shared" si="901"/>
        <v>405612.62052764324</v>
      </c>
      <c r="AD361" s="124">
        <f t="shared" si="901"/>
        <v>405612.62052764324</v>
      </c>
      <c r="AE361" s="124">
        <f t="shared" si="901"/>
        <v>202806.31026382162</v>
      </c>
      <c r="AF361" s="124">
        <f t="shared" si="901"/>
        <v>0</v>
      </c>
      <c r="AG361" s="124">
        <f t="shared" si="901"/>
        <v>0</v>
      </c>
      <c r="AH361" s="124">
        <f t="shared" si="901"/>
        <v>0</v>
      </c>
      <c r="AI361" s="124">
        <f t="shared" si="901"/>
        <v>0</v>
      </c>
      <c r="AJ361" s="124">
        <f t="shared" si="901"/>
        <v>0</v>
      </c>
      <c r="AK361" s="124">
        <f t="shared" si="901"/>
        <v>0</v>
      </c>
      <c r="AL361" s="124">
        <f t="shared" si="901"/>
        <v>841940.65916142659</v>
      </c>
      <c r="AM361" s="124">
        <f t="shared" si="901"/>
        <v>1347105.0546582823</v>
      </c>
      <c r="AN361" s="124">
        <f t="shared" si="901"/>
        <v>808263.03279496951</v>
      </c>
      <c r="AO361" s="124">
        <f t="shared" si="901"/>
        <v>484957.81967698166</v>
      </c>
      <c r="AP361" s="124">
        <f t="shared" si="901"/>
        <v>484957.81967698166</v>
      </c>
    </row>
    <row r="362" spans="1:42" x14ac:dyDescent="0.2">
      <c r="A362" s="187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</row>
    <row r="363" spans="1:42" x14ac:dyDescent="0.2">
      <c r="A363" s="180" t="s">
        <v>304</v>
      </c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</row>
    <row r="364" spans="1:42" x14ac:dyDescent="0.2">
      <c r="A364" s="187" t="s">
        <v>192</v>
      </c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</row>
    <row r="365" spans="1:42" x14ac:dyDescent="0.2">
      <c r="A365" s="101">
        <v>1</v>
      </c>
      <c r="C365" s="169">
        <f>IF(C$2&lt;=AnalysisPeriod,IF(SUM($C717:C717)&gt;0,B365+1,0),0)</f>
        <v>0</v>
      </c>
      <c r="D365" s="169">
        <f>IF(D$2&lt;=AnalysisPeriod,IF(SUM($C717:D717)&gt;0,C365+1,0),0)</f>
        <v>0</v>
      </c>
      <c r="E365" s="169">
        <f>IF(E$2&lt;=AnalysisPeriod,IF(SUM($C717:E717)&gt;0,D365+1,0),0)</f>
        <v>0</v>
      </c>
      <c r="F365" s="169">
        <f>IF(F$2&lt;=AnalysisPeriod,IF(SUM($C717:F717)&gt;0,E365+1,0),0)</f>
        <v>0</v>
      </c>
      <c r="G365" s="169">
        <f>IF(G$2&lt;=AnalysisPeriod,IF(SUM($C717:G717)&gt;0,F365+1,0),0)</f>
        <v>0</v>
      </c>
      <c r="H365" s="169">
        <f>IF(H$2&lt;=AnalysisPeriod,IF(SUM($C717:H717)&gt;0,G365+1,0),0)</f>
        <v>0</v>
      </c>
      <c r="I365" s="169">
        <f>IF(I$2&lt;=AnalysisPeriod,IF(SUM($C717:I717)&gt;0,H365+1,0),0)</f>
        <v>0</v>
      </c>
      <c r="J365" s="169">
        <f>IF(J$2&lt;=AnalysisPeriod,IF(SUM($C717:J717)&gt;0,I365+1,0),0)</f>
        <v>0</v>
      </c>
      <c r="K365" s="169">
        <f>IF(K$2&lt;=AnalysisPeriod,IF(SUM($C717:K717)&gt;0,J365+1,0),0)</f>
        <v>0</v>
      </c>
      <c r="L365" s="169">
        <f>IF(L$2&lt;=AnalysisPeriod,IF(SUM($C717:L717)&gt;0,K365+1,0),0)</f>
        <v>0</v>
      </c>
      <c r="M365" s="169">
        <f>IF(M$2&lt;=AnalysisPeriod,IF(SUM($C717:M717)&gt;0,L365+1,0),0)</f>
        <v>0</v>
      </c>
      <c r="N365" s="169">
        <f>IF(N$2&lt;=AnalysisPeriod,IF(SUM($C717:N717)&gt;0,M365+1,0),0)</f>
        <v>0</v>
      </c>
      <c r="O365" s="169">
        <f>IF(O$2&lt;=AnalysisPeriod,IF(SUM($C717:O717)&gt;0,N365+1,0),0)</f>
        <v>0</v>
      </c>
      <c r="P365" s="169">
        <f>IF(P$2&lt;=AnalysisPeriod,IF(SUM($C717:P717)&gt;0,O365+1,0),0)</f>
        <v>0</v>
      </c>
      <c r="Q365" s="169">
        <f>IF(Q$2&lt;=AnalysisPeriod,IF(SUM($C717:Q717)&gt;0,P365+1,0),0)</f>
        <v>0</v>
      </c>
      <c r="R365" s="169">
        <f>IF(R$2&lt;=AnalysisPeriod,IF(SUM($C717:R717)&gt;0,Q365+1,0),0)</f>
        <v>0</v>
      </c>
      <c r="S365" s="169">
        <f>IF(S$2&lt;=AnalysisPeriod,IF(SUM($C717:S717)&gt;0,R365+1,0),0)</f>
        <v>0</v>
      </c>
      <c r="T365" s="169">
        <f>IF(T$2&lt;=AnalysisPeriod,IF(SUM($C717:T717)&gt;0,S365+1,0),0)</f>
        <v>0</v>
      </c>
      <c r="U365" s="169">
        <f>IF(U$2&lt;=AnalysisPeriod,IF(SUM($C717:U717)&gt;0,T365+1,0),0)</f>
        <v>0</v>
      </c>
      <c r="V365" s="169">
        <f>IF(V$2&lt;=AnalysisPeriod,IF(SUM($C717:V717)&gt;0,U365+1,0),0)</f>
        <v>0</v>
      </c>
      <c r="W365" s="169">
        <f>IF(W$2&lt;=AnalysisPeriod,IF(SUM($C717:W717)&gt;0,V365+1,0),0)</f>
        <v>0</v>
      </c>
      <c r="X365" s="169">
        <f>IF(X$2&lt;=AnalysisPeriod,IF(SUM($C717:X717)&gt;0,W365+1,0),0)</f>
        <v>0</v>
      </c>
      <c r="Y365" s="169">
        <f>IF(Y$2&lt;=AnalysisPeriod,IF(SUM($C717:Y717)&gt;0,X365+1,0),0)</f>
        <v>0</v>
      </c>
      <c r="Z365" s="169">
        <f>IF(Z$2&lt;=AnalysisPeriod,IF(SUM($C717:Z717)&gt;0,Y365+1,0),0)</f>
        <v>0</v>
      </c>
      <c r="AA365" s="169">
        <f>IF(AA$2&lt;=AnalysisPeriod,IF(SUM($C717:AA717)&gt;0,Z365+1,0),0)</f>
        <v>0</v>
      </c>
      <c r="AB365" s="169">
        <f>IF(AB$2&lt;=AnalysisPeriod,IF(SUM($C717:AB717)&gt;0,AA365+1,0),0)</f>
        <v>0</v>
      </c>
      <c r="AC365" s="169">
        <f>IF(AC$2&lt;=AnalysisPeriod,IF(SUM($C717:AC717)&gt;0,AB365+1,0),0)</f>
        <v>0</v>
      </c>
      <c r="AD365" s="169">
        <f>IF(AD$2&lt;=AnalysisPeriod,IF(SUM($C717:AD717)&gt;0,AC365+1,0),0)</f>
        <v>0</v>
      </c>
      <c r="AE365" s="169">
        <f>IF(AE$2&lt;=AnalysisPeriod,IF(SUM($C717:AE717)&gt;0,AD365+1,0),0)</f>
        <v>0</v>
      </c>
      <c r="AF365" s="169">
        <f>IF(AF$2&lt;=AnalysisPeriod,IF(SUM($C717:AF717)&gt;0,AE365+1,0),0)</f>
        <v>0</v>
      </c>
      <c r="AG365" s="169">
        <f>IF(AG$2&lt;=AnalysisPeriod,IF(SUM($C717:AG717)&gt;0,AF365+1,0),0)</f>
        <v>0</v>
      </c>
      <c r="AH365" s="169">
        <f>IF(AH$2&lt;=AnalysisPeriod,IF(SUM($C717:AH717)&gt;0,AG365+1,0),0)</f>
        <v>0</v>
      </c>
      <c r="AI365" s="169">
        <f>IF(AI$2&lt;=AnalysisPeriod,IF(SUM($C717:AI717)&gt;0,AH365+1,0),0)</f>
        <v>0</v>
      </c>
      <c r="AJ365" s="169">
        <f>IF(AJ$2&lt;=AnalysisPeriod,IF(SUM($C717:AJ717)&gt;0,AI365+1,0),0)</f>
        <v>0</v>
      </c>
      <c r="AK365" s="169">
        <f>IF(AK$2&lt;=AnalysisPeriod,IF(SUM($C717:AK717)&gt;0,AJ365+1,0),0)</f>
        <v>0</v>
      </c>
      <c r="AL365" s="169">
        <f>IF(AL$2&lt;=AnalysisPeriod,IF(SUM($C717:AL717)&gt;0,AK365+1,0),0)</f>
        <v>0</v>
      </c>
      <c r="AM365" s="169">
        <f>IF(AM$2&lt;=AnalysisPeriod,IF(SUM($C717:AM717)&gt;0,AL365+1,0),0)</f>
        <v>0</v>
      </c>
      <c r="AN365" s="169">
        <f>IF(AN$2&lt;=AnalysisPeriod,IF(SUM($C717:AN717)&gt;0,AM365+1,0),0)</f>
        <v>0</v>
      </c>
      <c r="AO365" s="169">
        <f>IF(AO$2&lt;=AnalysisPeriod,IF(SUM($C717:AO717)&gt;0,AN365+1,0),0)</f>
        <v>0</v>
      </c>
      <c r="AP365" s="169">
        <f>IF(AP$2&lt;=AnalysisPeriod,IF(SUM($C717:AP717)&gt;0,AO365+1,0),0)</f>
        <v>0</v>
      </c>
    </row>
    <row r="366" spans="1:42" x14ac:dyDescent="0.2">
      <c r="A366" s="101">
        <f>A365+1</f>
        <v>2</v>
      </c>
      <c r="C366" s="169">
        <f>IF(C$2&lt;=AnalysisPeriod,IF(SUM($C718:C718)&gt;0,B366+1,0),0)</f>
        <v>0</v>
      </c>
      <c r="D366" s="169">
        <f>IF(D$2&lt;=AnalysisPeriod,IF(SUM($C718:D718)&gt;0,C366+1,0),0)</f>
        <v>0</v>
      </c>
      <c r="E366" s="169">
        <f>IF(E$2&lt;=AnalysisPeriod,IF(SUM($C718:E718)&gt;0,D366+1,0),0)</f>
        <v>0</v>
      </c>
      <c r="F366" s="169">
        <f>IF(F$2&lt;=AnalysisPeriod,IF(SUM($C718:F718)&gt;0,E366+1,0),0)</f>
        <v>0</v>
      </c>
      <c r="G366" s="169">
        <f>IF(G$2&lt;=AnalysisPeriod,IF(SUM($C718:G718)&gt;0,F366+1,0),0)</f>
        <v>0</v>
      </c>
      <c r="H366" s="169">
        <f>IF(H$2&lt;=AnalysisPeriod,IF(SUM($C718:H718)&gt;0,G366+1,0),0)</f>
        <v>0</v>
      </c>
      <c r="I366" s="169">
        <f>IF(I$2&lt;=AnalysisPeriod,IF(SUM($C718:I718)&gt;0,H366+1,0),0)</f>
        <v>0</v>
      </c>
      <c r="J366" s="169">
        <f>IF(J$2&lt;=AnalysisPeriod,IF(SUM($C718:J718)&gt;0,I366+1,0),0)</f>
        <v>0</v>
      </c>
      <c r="K366" s="169">
        <f>IF(K$2&lt;=AnalysisPeriod,IF(SUM($C718:K718)&gt;0,J366+1,0),0)</f>
        <v>0</v>
      </c>
      <c r="L366" s="169">
        <f>IF(L$2&lt;=AnalysisPeriod,IF(SUM($C718:L718)&gt;0,K366+1,0),0)</f>
        <v>0</v>
      </c>
      <c r="M366" s="169">
        <f>IF(M$2&lt;=AnalysisPeriod,IF(SUM($C718:M718)&gt;0,L366+1,0),0)</f>
        <v>0</v>
      </c>
      <c r="N366" s="169">
        <f>IF(N$2&lt;=AnalysisPeriod,IF(SUM($C718:N718)&gt;0,M366+1,0),0)</f>
        <v>0</v>
      </c>
      <c r="O366" s="169">
        <f>IF(O$2&lt;=AnalysisPeriod,IF(SUM($C718:O718)&gt;0,N366+1,0),0)</f>
        <v>0</v>
      </c>
      <c r="P366" s="169">
        <f>IF(P$2&lt;=AnalysisPeriod,IF(SUM($C718:P718)&gt;0,O366+1,0),0)</f>
        <v>0</v>
      </c>
      <c r="Q366" s="169">
        <f>IF(Q$2&lt;=AnalysisPeriod,IF(SUM($C718:Q718)&gt;0,P366+1,0),0)</f>
        <v>0</v>
      </c>
      <c r="R366" s="169">
        <f>IF(R$2&lt;=AnalysisPeriod,IF(SUM($C718:R718)&gt;0,Q366+1,0),0)</f>
        <v>0</v>
      </c>
      <c r="S366" s="169">
        <f>IF(S$2&lt;=AnalysisPeriod,IF(SUM($C718:S718)&gt;0,R366+1,0),0)</f>
        <v>0</v>
      </c>
      <c r="T366" s="169">
        <f>IF(T$2&lt;=AnalysisPeriod,IF(SUM($C718:T718)&gt;0,S366+1,0),0)</f>
        <v>0</v>
      </c>
      <c r="U366" s="169">
        <f>IF(U$2&lt;=AnalysisPeriod,IF(SUM($C718:U718)&gt;0,T366+1,0),0)</f>
        <v>0</v>
      </c>
      <c r="V366" s="169">
        <f>IF(V$2&lt;=AnalysisPeriod,IF(SUM($C718:V718)&gt;0,U366+1,0),0)</f>
        <v>0</v>
      </c>
      <c r="W366" s="169">
        <f>IF(W$2&lt;=AnalysisPeriod,IF(SUM($C718:W718)&gt;0,V366+1,0),0)</f>
        <v>0</v>
      </c>
      <c r="X366" s="169">
        <f>IF(X$2&lt;=AnalysisPeriod,IF(SUM($C718:X718)&gt;0,W366+1,0),0)</f>
        <v>0</v>
      </c>
      <c r="Y366" s="169">
        <f>IF(Y$2&lt;=AnalysisPeriod,IF(SUM($C718:Y718)&gt;0,X366+1,0),0)</f>
        <v>0</v>
      </c>
      <c r="Z366" s="169">
        <f>IF(Z$2&lt;=AnalysisPeriod,IF(SUM($C718:Z718)&gt;0,Y366+1,0),0)</f>
        <v>0</v>
      </c>
      <c r="AA366" s="169">
        <f>IF(AA$2&lt;=AnalysisPeriod,IF(SUM($C718:AA718)&gt;0,Z366+1,0),0)</f>
        <v>0</v>
      </c>
      <c r="AB366" s="169">
        <f>IF(AB$2&lt;=AnalysisPeriod,IF(SUM($C718:AB718)&gt;0,AA366+1,0),0)</f>
        <v>0</v>
      </c>
      <c r="AC366" s="169">
        <f>IF(AC$2&lt;=AnalysisPeriod,IF(SUM($C718:AC718)&gt;0,AB366+1,0),0)</f>
        <v>0</v>
      </c>
      <c r="AD366" s="169">
        <f>IF(AD$2&lt;=AnalysisPeriod,IF(SUM($C718:AD718)&gt;0,AC366+1,0),0)</f>
        <v>0</v>
      </c>
      <c r="AE366" s="169">
        <f>IF(AE$2&lt;=AnalysisPeriod,IF(SUM($C718:AE718)&gt;0,AD366+1,0),0)</f>
        <v>0</v>
      </c>
      <c r="AF366" s="169">
        <f>IF(AF$2&lt;=AnalysisPeriod,IF(SUM($C718:AF718)&gt;0,AE366+1,0),0)</f>
        <v>0</v>
      </c>
      <c r="AG366" s="169">
        <f>IF(AG$2&lt;=AnalysisPeriod,IF(SUM($C718:AG718)&gt;0,AF366+1,0),0)</f>
        <v>0</v>
      </c>
      <c r="AH366" s="169">
        <f>IF(AH$2&lt;=AnalysisPeriod,IF(SUM($C718:AH718)&gt;0,AG366+1,0),0)</f>
        <v>0</v>
      </c>
      <c r="AI366" s="169">
        <f>IF(AI$2&lt;=AnalysisPeriod,IF(SUM($C718:AI718)&gt;0,AH366+1,0),0)</f>
        <v>0</v>
      </c>
      <c r="AJ366" s="169">
        <f>IF(AJ$2&lt;=AnalysisPeriod,IF(SUM($C718:AJ718)&gt;0,AI366+1,0),0)</f>
        <v>0</v>
      </c>
      <c r="AK366" s="169">
        <f>IF(AK$2&lt;=AnalysisPeriod,IF(SUM($C718:AK718)&gt;0,AJ366+1,0),0)</f>
        <v>0</v>
      </c>
      <c r="AL366" s="169">
        <f>IF(AL$2&lt;=AnalysisPeriod,IF(SUM($C718:AL718)&gt;0,AK366+1,0),0)</f>
        <v>0</v>
      </c>
      <c r="AM366" s="169">
        <f>IF(AM$2&lt;=AnalysisPeriod,IF(SUM($C718:AM718)&gt;0,AL366+1,0),0)</f>
        <v>0</v>
      </c>
      <c r="AN366" s="169">
        <f>IF(AN$2&lt;=AnalysisPeriod,IF(SUM($C718:AN718)&gt;0,AM366+1,0),0)</f>
        <v>0</v>
      </c>
      <c r="AO366" s="169">
        <f>IF(AO$2&lt;=AnalysisPeriod,IF(SUM($C718:AO718)&gt;0,AN366+1,0),0)</f>
        <v>0</v>
      </c>
      <c r="AP366" s="169">
        <f>IF(AP$2&lt;=AnalysisPeriod,IF(SUM($C718:AP718)&gt;0,AO366+1,0),0)</f>
        <v>0</v>
      </c>
    </row>
    <row r="367" spans="1:42" x14ac:dyDescent="0.2">
      <c r="A367" s="101">
        <f t="shared" ref="A367:A374" si="902">A366+1</f>
        <v>3</v>
      </c>
      <c r="C367" s="169">
        <f>IF(C$2&lt;=AnalysisPeriod,IF(SUM($C719:C719)&gt;0,B367+1,0),0)</f>
        <v>0</v>
      </c>
      <c r="D367" s="169">
        <f>IF(D$2&lt;=AnalysisPeriod,IF(SUM($C719:D719)&gt;0,C367+1,0),0)</f>
        <v>0</v>
      </c>
      <c r="E367" s="169">
        <f>IF(E$2&lt;=AnalysisPeriod,IF(SUM($C719:E719)&gt;0,D367+1,0),0)</f>
        <v>0</v>
      </c>
      <c r="F367" s="169">
        <f>IF(F$2&lt;=AnalysisPeriod,IF(SUM($C719:F719)&gt;0,E367+1,0),0)</f>
        <v>0</v>
      </c>
      <c r="G367" s="169">
        <f>IF(G$2&lt;=AnalysisPeriod,IF(SUM($C719:G719)&gt;0,F367+1,0),0)</f>
        <v>0</v>
      </c>
      <c r="H367" s="169">
        <f>IF(H$2&lt;=AnalysisPeriod,IF(SUM($C719:H719)&gt;0,G367+1,0),0)</f>
        <v>0</v>
      </c>
      <c r="I367" s="169">
        <f>IF(I$2&lt;=AnalysisPeriod,IF(SUM($C719:I719)&gt;0,H367+1,0),0)</f>
        <v>0</v>
      </c>
      <c r="J367" s="169">
        <f>IF(J$2&lt;=AnalysisPeriod,IF(SUM($C719:J719)&gt;0,I367+1,0),0)</f>
        <v>0</v>
      </c>
      <c r="K367" s="169">
        <f>IF(K$2&lt;=AnalysisPeriod,IF(SUM($C719:K719)&gt;0,J367+1,0),0)</f>
        <v>0</v>
      </c>
      <c r="L367" s="169">
        <f>IF(L$2&lt;=AnalysisPeriod,IF(SUM($C719:L719)&gt;0,K367+1,0),0)</f>
        <v>0</v>
      </c>
      <c r="M367" s="169">
        <f>IF(M$2&lt;=AnalysisPeriod,IF(SUM($C719:M719)&gt;0,L367+1,0),0)</f>
        <v>0</v>
      </c>
      <c r="N367" s="169">
        <f>IF(N$2&lt;=AnalysisPeriod,IF(SUM($C719:N719)&gt;0,M367+1,0),0)</f>
        <v>0</v>
      </c>
      <c r="O367" s="169">
        <f>IF(O$2&lt;=AnalysisPeriod,IF(SUM($C719:O719)&gt;0,N367+1,0),0)</f>
        <v>0</v>
      </c>
      <c r="P367" s="169">
        <f>IF(P$2&lt;=AnalysisPeriod,IF(SUM($C719:P719)&gt;0,O367+1,0),0)</f>
        <v>0</v>
      </c>
      <c r="Q367" s="169">
        <f>IF(Q$2&lt;=AnalysisPeriod,IF(SUM($C719:Q719)&gt;0,P367+1,0),0)</f>
        <v>0</v>
      </c>
      <c r="R367" s="169">
        <f>IF(R$2&lt;=AnalysisPeriod,IF(SUM($C719:R719)&gt;0,Q367+1,0),0)</f>
        <v>0</v>
      </c>
      <c r="S367" s="169">
        <f>IF(S$2&lt;=AnalysisPeriod,IF(SUM($C719:S719)&gt;0,R367+1,0),0)</f>
        <v>0</v>
      </c>
      <c r="T367" s="169">
        <f>IF(T$2&lt;=AnalysisPeriod,IF(SUM($C719:T719)&gt;0,S367+1,0),0)</f>
        <v>0</v>
      </c>
      <c r="U367" s="169">
        <f>IF(U$2&lt;=AnalysisPeriod,IF(SUM($C719:U719)&gt;0,T367+1,0),0)</f>
        <v>0</v>
      </c>
      <c r="V367" s="169">
        <f>IF(V$2&lt;=AnalysisPeriod,IF(SUM($C719:V719)&gt;0,U367+1,0),0)</f>
        <v>0</v>
      </c>
      <c r="W367" s="169">
        <f>IF(W$2&lt;=AnalysisPeriod,IF(SUM($C719:W719)&gt;0,V367+1,0),0)</f>
        <v>0</v>
      </c>
      <c r="X367" s="169">
        <f>IF(X$2&lt;=AnalysisPeriod,IF(SUM($C719:X719)&gt;0,W367+1,0),0)</f>
        <v>0</v>
      </c>
      <c r="Y367" s="169">
        <f>IF(Y$2&lt;=AnalysisPeriod,IF(SUM($C719:Y719)&gt;0,X367+1,0),0)</f>
        <v>0</v>
      </c>
      <c r="Z367" s="169">
        <f>IF(Z$2&lt;=AnalysisPeriod,IF(SUM($C719:Z719)&gt;0,Y367+1,0),0)</f>
        <v>0</v>
      </c>
      <c r="AA367" s="169">
        <f>IF(AA$2&lt;=AnalysisPeriod,IF(SUM($C719:AA719)&gt;0,Z367+1,0),0)</f>
        <v>0</v>
      </c>
      <c r="AB367" s="169">
        <f>IF(AB$2&lt;=AnalysisPeriod,IF(SUM($C719:AB719)&gt;0,AA367+1,0),0)</f>
        <v>0</v>
      </c>
      <c r="AC367" s="169">
        <f>IF(AC$2&lt;=AnalysisPeriod,IF(SUM($C719:AC719)&gt;0,AB367+1,0),0)</f>
        <v>0</v>
      </c>
      <c r="AD367" s="169">
        <f>IF(AD$2&lt;=AnalysisPeriod,IF(SUM($C719:AD719)&gt;0,AC367+1,0),0)</f>
        <v>0</v>
      </c>
      <c r="AE367" s="169">
        <f>IF(AE$2&lt;=AnalysisPeriod,IF(SUM($C719:AE719)&gt;0,AD367+1,0),0)</f>
        <v>0</v>
      </c>
      <c r="AF367" s="169">
        <f>IF(AF$2&lt;=AnalysisPeriod,IF(SUM($C719:AF719)&gt;0,AE367+1,0),0)</f>
        <v>0</v>
      </c>
      <c r="AG367" s="169">
        <f>IF(AG$2&lt;=AnalysisPeriod,IF(SUM($C719:AG719)&gt;0,AF367+1,0),0)</f>
        <v>0</v>
      </c>
      <c r="AH367" s="169">
        <f>IF(AH$2&lt;=AnalysisPeriod,IF(SUM($C719:AH719)&gt;0,AG367+1,0),0)</f>
        <v>0</v>
      </c>
      <c r="AI367" s="169">
        <f>IF(AI$2&lt;=AnalysisPeriod,IF(SUM($C719:AI719)&gt;0,AH367+1,0),0)</f>
        <v>0</v>
      </c>
      <c r="AJ367" s="169">
        <f>IF(AJ$2&lt;=AnalysisPeriod,IF(SUM($C719:AJ719)&gt;0,AI367+1,0),0)</f>
        <v>0</v>
      </c>
      <c r="AK367" s="169">
        <f>IF(AK$2&lt;=AnalysisPeriod,IF(SUM($C719:AK719)&gt;0,AJ367+1,0),0)</f>
        <v>0</v>
      </c>
      <c r="AL367" s="169">
        <f>IF(AL$2&lt;=AnalysisPeriod,IF(SUM($C719:AL719)&gt;0,AK367+1,0),0)</f>
        <v>0</v>
      </c>
      <c r="AM367" s="169">
        <f>IF(AM$2&lt;=AnalysisPeriod,IF(SUM($C719:AM719)&gt;0,AL367+1,0),0)</f>
        <v>0</v>
      </c>
      <c r="AN367" s="169">
        <f>IF(AN$2&lt;=AnalysisPeriod,IF(SUM($C719:AN719)&gt;0,AM367+1,0),0)</f>
        <v>0</v>
      </c>
      <c r="AO367" s="169">
        <f>IF(AO$2&lt;=AnalysisPeriod,IF(SUM($C719:AO719)&gt;0,AN367+1,0),0)</f>
        <v>0</v>
      </c>
      <c r="AP367" s="169">
        <f>IF(AP$2&lt;=AnalysisPeriod,IF(SUM($C719:AP719)&gt;0,AO367+1,0),0)</f>
        <v>0</v>
      </c>
    </row>
    <row r="368" spans="1:42" x14ac:dyDescent="0.2">
      <c r="A368" s="101">
        <f t="shared" si="902"/>
        <v>4</v>
      </c>
      <c r="C368" s="169">
        <f>IF(C$2&lt;=AnalysisPeriod,IF(SUM($C720:C720)&gt;0,B368+1,0),0)</f>
        <v>0</v>
      </c>
      <c r="D368" s="169">
        <f>IF(D$2&lt;=AnalysisPeriod,IF(SUM($C720:D720)&gt;0,C368+1,0),0)</f>
        <v>0</v>
      </c>
      <c r="E368" s="169">
        <f>IF(E$2&lt;=AnalysisPeriod,IF(SUM($C720:E720)&gt;0,D368+1,0),0)</f>
        <v>0</v>
      </c>
      <c r="F368" s="169">
        <f>IF(F$2&lt;=AnalysisPeriod,IF(SUM($C720:F720)&gt;0,E368+1,0),0)</f>
        <v>0</v>
      </c>
      <c r="G368" s="169">
        <f>IF(G$2&lt;=AnalysisPeriod,IF(SUM($C720:G720)&gt;0,F368+1,0),0)</f>
        <v>0</v>
      </c>
      <c r="H368" s="169">
        <f>IF(H$2&lt;=AnalysisPeriod,IF(SUM($C720:H720)&gt;0,G368+1,0),0)</f>
        <v>0</v>
      </c>
      <c r="I368" s="169">
        <f>IF(I$2&lt;=AnalysisPeriod,IF(SUM($C720:I720)&gt;0,H368+1,0),0)</f>
        <v>0</v>
      </c>
      <c r="J368" s="169">
        <f>IF(J$2&lt;=AnalysisPeriod,IF(SUM($C720:J720)&gt;0,I368+1,0),0)</f>
        <v>0</v>
      </c>
      <c r="K368" s="169">
        <f>IF(K$2&lt;=AnalysisPeriod,IF(SUM($C720:K720)&gt;0,J368+1,0),0)</f>
        <v>0</v>
      </c>
      <c r="L368" s="169">
        <f>IF(L$2&lt;=AnalysisPeriod,IF(SUM($C720:L720)&gt;0,K368+1,0),0)</f>
        <v>0</v>
      </c>
      <c r="M368" s="169">
        <f>IF(M$2&lt;=AnalysisPeriod,IF(SUM($C720:M720)&gt;0,L368+1,0),0)</f>
        <v>0</v>
      </c>
      <c r="N368" s="169">
        <f>IF(N$2&lt;=AnalysisPeriod,IF(SUM($C720:N720)&gt;0,M368+1,0),0)</f>
        <v>0</v>
      </c>
      <c r="O368" s="169">
        <f>IF(O$2&lt;=AnalysisPeriod,IF(SUM($C720:O720)&gt;0,N368+1,0),0)</f>
        <v>0</v>
      </c>
      <c r="P368" s="169">
        <f>IF(P$2&lt;=AnalysisPeriod,IF(SUM($C720:P720)&gt;0,O368+1,0),0)</f>
        <v>0</v>
      </c>
      <c r="Q368" s="169">
        <f>IF(Q$2&lt;=AnalysisPeriod,IF(SUM($C720:Q720)&gt;0,P368+1,0),0)</f>
        <v>0</v>
      </c>
      <c r="R368" s="169">
        <f>IF(R$2&lt;=AnalysisPeriod,IF(SUM($C720:R720)&gt;0,Q368+1,0),0)</f>
        <v>0</v>
      </c>
      <c r="S368" s="169">
        <f>IF(S$2&lt;=AnalysisPeriod,IF(SUM($C720:S720)&gt;0,R368+1,0),0)</f>
        <v>0</v>
      </c>
      <c r="T368" s="169">
        <f>IF(T$2&lt;=AnalysisPeriod,IF(SUM($C720:T720)&gt;0,S368+1,0),0)</f>
        <v>0</v>
      </c>
      <c r="U368" s="169">
        <f>IF(U$2&lt;=AnalysisPeriod,IF(SUM($C720:U720)&gt;0,T368+1,0),0)</f>
        <v>0</v>
      </c>
      <c r="V368" s="169">
        <f>IF(V$2&lt;=AnalysisPeriod,IF(SUM($C720:V720)&gt;0,U368+1,0),0)</f>
        <v>0</v>
      </c>
      <c r="W368" s="169">
        <f>IF(W$2&lt;=AnalysisPeriod,IF(SUM($C720:W720)&gt;0,V368+1,0),0)</f>
        <v>0</v>
      </c>
      <c r="X368" s="169">
        <f>IF(X$2&lt;=AnalysisPeriod,IF(SUM($C720:X720)&gt;0,W368+1,0),0)</f>
        <v>0</v>
      </c>
      <c r="Y368" s="169">
        <f>IF(Y$2&lt;=AnalysisPeriod,IF(SUM($C720:Y720)&gt;0,X368+1,0),0)</f>
        <v>0</v>
      </c>
      <c r="Z368" s="169">
        <f>IF(Z$2&lt;=AnalysisPeriod,IF(SUM($C720:Z720)&gt;0,Y368+1,0),0)</f>
        <v>0</v>
      </c>
      <c r="AA368" s="169">
        <f>IF(AA$2&lt;=AnalysisPeriod,IF(SUM($C720:AA720)&gt;0,Z368+1,0),0)</f>
        <v>0</v>
      </c>
      <c r="AB368" s="169">
        <f>IF(AB$2&lt;=AnalysisPeriod,IF(SUM($C720:AB720)&gt;0,AA368+1,0),0)</f>
        <v>0</v>
      </c>
      <c r="AC368" s="169">
        <f>IF(AC$2&lt;=AnalysisPeriod,IF(SUM($C720:AC720)&gt;0,AB368+1,0),0)</f>
        <v>0</v>
      </c>
      <c r="AD368" s="169">
        <f>IF(AD$2&lt;=AnalysisPeriod,IF(SUM($C720:AD720)&gt;0,AC368+1,0),0)</f>
        <v>0</v>
      </c>
      <c r="AE368" s="169">
        <f>IF(AE$2&lt;=AnalysisPeriod,IF(SUM($C720:AE720)&gt;0,AD368+1,0),0)</f>
        <v>0</v>
      </c>
      <c r="AF368" s="169">
        <f>IF(AF$2&lt;=AnalysisPeriod,IF(SUM($C720:AF720)&gt;0,AE368+1,0),0)</f>
        <v>0</v>
      </c>
      <c r="AG368" s="169">
        <f>IF(AG$2&lt;=AnalysisPeriod,IF(SUM($C720:AG720)&gt;0,AF368+1,0),0)</f>
        <v>0</v>
      </c>
      <c r="AH368" s="169">
        <f>IF(AH$2&lt;=AnalysisPeriod,IF(SUM($C720:AH720)&gt;0,AG368+1,0),0)</f>
        <v>0</v>
      </c>
      <c r="AI368" s="169">
        <f>IF(AI$2&lt;=AnalysisPeriod,IF(SUM($C720:AI720)&gt;0,AH368+1,0),0)</f>
        <v>0</v>
      </c>
      <c r="AJ368" s="169">
        <f>IF(AJ$2&lt;=AnalysisPeriod,IF(SUM($C720:AJ720)&gt;0,AI368+1,0),0)</f>
        <v>0</v>
      </c>
      <c r="AK368" s="169">
        <f>IF(AK$2&lt;=AnalysisPeriod,IF(SUM($C720:AK720)&gt;0,AJ368+1,0),0)</f>
        <v>0</v>
      </c>
      <c r="AL368" s="169">
        <f>IF(AL$2&lt;=AnalysisPeriod,IF(SUM($C720:AL720)&gt;0,AK368+1,0),0)</f>
        <v>0</v>
      </c>
      <c r="AM368" s="169">
        <f>IF(AM$2&lt;=AnalysisPeriod,IF(SUM($C720:AM720)&gt;0,AL368+1,0),0)</f>
        <v>0</v>
      </c>
      <c r="AN368" s="169">
        <f>IF(AN$2&lt;=AnalysisPeriod,IF(SUM($C720:AN720)&gt;0,AM368+1,0),0)</f>
        <v>0</v>
      </c>
      <c r="AO368" s="169">
        <f>IF(AO$2&lt;=AnalysisPeriod,IF(SUM($C720:AO720)&gt;0,AN368+1,0),0)</f>
        <v>0</v>
      </c>
      <c r="AP368" s="169">
        <f>IF(AP$2&lt;=AnalysisPeriod,IF(SUM($C720:AP720)&gt;0,AO368+1,0),0)</f>
        <v>0</v>
      </c>
    </row>
    <row r="369" spans="1:42" x14ac:dyDescent="0.2">
      <c r="A369" s="101">
        <f t="shared" si="902"/>
        <v>5</v>
      </c>
      <c r="C369" s="169">
        <f>IF(C$2&lt;=AnalysisPeriod,IF(SUM($C721:C721)&gt;0,B369+1,0),0)</f>
        <v>0</v>
      </c>
      <c r="D369" s="169">
        <f>IF(D$2&lt;=AnalysisPeriod,IF(SUM($C721:D721)&gt;0,C369+1,0),0)</f>
        <v>0</v>
      </c>
      <c r="E369" s="169">
        <f>IF(E$2&lt;=AnalysisPeriod,IF(SUM($C721:E721)&gt;0,D369+1,0),0)</f>
        <v>0</v>
      </c>
      <c r="F369" s="169">
        <f>IF(F$2&lt;=AnalysisPeriod,IF(SUM($C721:F721)&gt;0,E369+1,0),0)</f>
        <v>0</v>
      </c>
      <c r="G369" s="169">
        <f>IF(G$2&lt;=AnalysisPeriod,IF(SUM($C721:G721)&gt;0,F369+1,0),0)</f>
        <v>0</v>
      </c>
      <c r="H369" s="169">
        <f>IF(H$2&lt;=AnalysisPeriod,IF(SUM($C721:H721)&gt;0,G369+1,0),0)</f>
        <v>0</v>
      </c>
      <c r="I369" s="169">
        <f>IF(I$2&lt;=AnalysisPeriod,IF(SUM($C721:I721)&gt;0,H369+1,0),0)</f>
        <v>0</v>
      </c>
      <c r="J369" s="169">
        <f>IF(J$2&lt;=AnalysisPeriod,IF(SUM($C721:J721)&gt;0,I369+1,0),0)</f>
        <v>0</v>
      </c>
      <c r="K369" s="169">
        <f>IF(K$2&lt;=AnalysisPeriod,IF(SUM($C721:K721)&gt;0,J369+1,0),0)</f>
        <v>0</v>
      </c>
      <c r="L369" s="169">
        <f>IF(L$2&lt;=AnalysisPeriod,IF(SUM($C721:L721)&gt;0,K369+1,0),0)</f>
        <v>0</v>
      </c>
      <c r="M369" s="169">
        <f>IF(M$2&lt;=AnalysisPeriod,IF(SUM($C721:M721)&gt;0,L369+1,0),0)</f>
        <v>0</v>
      </c>
      <c r="N369" s="169">
        <f>IF(N$2&lt;=AnalysisPeriod,IF(SUM($C721:N721)&gt;0,M369+1,0),0)</f>
        <v>0</v>
      </c>
      <c r="O369" s="169">
        <f>IF(O$2&lt;=AnalysisPeriod,IF(SUM($C721:O721)&gt;0,N369+1,0),0)</f>
        <v>0</v>
      </c>
      <c r="P369" s="169">
        <f>IF(P$2&lt;=AnalysisPeriod,IF(SUM($C721:P721)&gt;0,O369+1,0),0)</f>
        <v>0</v>
      </c>
      <c r="Q369" s="169">
        <f>IF(Q$2&lt;=AnalysisPeriod,IF(SUM($C721:Q721)&gt;0,P369+1,0),0)</f>
        <v>0</v>
      </c>
      <c r="R369" s="169">
        <f>IF(R$2&lt;=AnalysisPeriod,IF(SUM($C721:R721)&gt;0,Q369+1,0),0)</f>
        <v>0</v>
      </c>
      <c r="S369" s="169">
        <f>IF(S$2&lt;=AnalysisPeriod,IF(SUM($C721:S721)&gt;0,R369+1,0),0)</f>
        <v>0</v>
      </c>
      <c r="T369" s="169">
        <f>IF(T$2&lt;=AnalysisPeriod,IF(SUM($C721:T721)&gt;0,S369+1,0),0)</f>
        <v>0</v>
      </c>
      <c r="U369" s="169">
        <f>IF(U$2&lt;=AnalysisPeriod,IF(SUM($C721:U721)&gt;0,T369+1,0),0)</f>
        <v>0</v>
      </c>
      <c r="V369" s="169">
        <f>IF(V$2&lt;=AnalysisPeriod,IF(SUM($C721:V721)&gt;0,U369+1,0),0)</f>
        <v>0</v>
      </c>
      <c r="W369" s="169">
        <f>IF(W$2&lt;=AnalysisPeriod,IF(SUM($C721:W721)&gt;0,V369+1,0),0)</f>
        <v>0</v>
      </c>
      <c r="X369" s="169">
        <f>IF(X$2&lt;=AnalysisPeriod,IF(SUM($C721:X721)&gt;0,W369+1,0),0)</f>
        <v>0</v>
      </c>
      <c r="Y369" s="169">
        <f>IF(Y$2&lt;=AnalysisPeriod,IF(SUM($C721:Y721)&gt;0,X369+1,0),0)</f>
        <v>0</v>
      </c>
      <c r="Z369" s="169">
        <f>IF(Z$2&lt;=AnalysisPeriod,IF(SUM($C721:Z721)&gt;0,Y369+1,0),0)</f>
        <v>0</v>
      </c>
      <c r="AA369" s="169">
        <f>IF(AA$2&lt;=AnalysisPeriod,IF(SUM($C721:AA721)&gt;0,Z369+1,0),0)</f>
        <v>0</v>
      </c>
      <c r="AB369" s="169">
        <f>IF(AB$2&lt;=AnalysisPeriod,IF(SUM($C721:AB721)&gt;0,AA369+1,0),0)</f>
        <v>0</v>
      </c>
      <c r="AC369" s="169">
        <f>IF(AC$2&lt;=AnalysisPeriod,IF(SUM($C721:AC721)&gt;0,AB369+1,0),0)</f>
        <v>0</v>
      </c>
      <c r="AD369" s="169">
        <f>IF(AD$2&lt;=AnalysisPeriod,IF(SUM($C721:AD721)&gt;0,AC369+1,0),0)</f>
        <v>0</v>
      </c>
      <c r="AE369" s="169">
        <f>IF(AE$2&lt;=AnalysisPeriod,IF(SUM($C721:AE721)&gt;0,AD369+1,0),0)</f>
        <v>0</v>
      </c>
      <c r="AF369" s="169">
        <f>IF(AF$2&lt;=AnalysisPeriod,IF(SUM($C721:AF721)&gt;0,AE369+1,0),0)</f>
        <v>0</v>
      </c>
      <c r="AG369" s="169">
        <f>IF(AG$2&lt;=AnalysisPeriod,IF(SUM($C721:AG721)&gt;0,AF369+1,0),0)</f>
        <v>0</v>
      </c>
      <c r="AH369" s="169">
        <f>IF(AH$2&lt;=AnalysisPeriod,IF(SUM($C721:AH721)&gt;0,AG369+1,0),0)</f>
        <v>0</v>
      </c>
      <c r="AI369" s="169">
        <f>IF(AI$2&lt;=AnalysisPeriod,IF(SUM($C721:AI721)&gt;0,AH369+1,0),0)</f>
        <v>0</v>
      </c>
      <c r="AJ369" s="169">
        <f>IF(AJ$2&lt;=AnalysisPeriod,IF(SUM($C721:AJ721)&gt;0,AI369+1,0),0)</f>
        <v>0</v>
      </c>
      <c r="AK369" s="169">
        <f>IF(AK$2&lt;=AnalysisPeriod,IF(SUM($C721:AK721)&gt;0,AJ369+1,0),0)</f>
        <v>0</v>
      </c>
      <c r="AL369" s="169">
        <f>IF(AL$2&lt;=AnalysisPeriod,IF(SUM($C721:AL721)&gt;0,AK369+1,0),0)</f>
        <v>0</v>
      </c>
      <c r="AM369" s="169">
        <f>IF(AM$2&lt;=AnalysisPeriod,IF(SUM($C721:AM721)&gt;0,AL369+1,0),0)</f>
        <v>0</v>
      </c>
      <c r="AN369" s="169">
        <f>IF(AN$2&lt;=AnalysisPeriod,IF(SUM($C721:AN721)&gt;0,AM369+1,0),0)</f>
        <v>0</v>
      </c>
      <c r="AO369" s="169">
        <f>IF(AO$2&lt;=AnalysisPeriod,IF(SUM($C721:AO721)&gt;0,AN369+1,0),0)</f>
        <v>0</v>
      </c>
      <c r="AP369" s="169">
        <f>IF(AP$2&lt;=AnalysisPeriod,IF(SUM($C721:AP721)&gt;0,AO369+1,0),0)</f>
        <v>0</v>
      </c>
    </row>
    <row r="370" spans="1:42" x14ac:dyDescent="0.2">
      <c r="A370" s="101">
        <f t="shared" si="902"/>
        <v>6</v>
      </c>
      <c r="C370" s="169">
        <f>IF(C$2&lt;=AnalysisPeriod,IF(SUM($C722:C722)&gt;0,B370+1,0),0)</f>
        <v>0</v>
      </c>
      <c r="D370" s="169">
        <f>IF(D$2&lt;=AnalysisPeriod,IF(SUM($C722:D722)&gt;0,C370+1,0),0)</f>
        <v>0</v>
      </c>
      <c r="E370" s="169">
        <f>IF(E$2&lt;=AnalysisPeriod,IF(SUM($C722:E722)&gt;0,D370+1,0),0)</f>
        <v>0</v>
      </c>
      <c r="F370" s="169">
        <f>IF(F$2&lt;=AnalysisPeriod,IF(SUM($C722:F722)&gt;0,E370+1,0),0)</f>
        <v>0</v>
      </c>
      <c r="G370" s="169">
        <f>IF(G$2&lt;=AnalysisPeriod,IF(SUM($C722:G722)&gt;0,F370+1,0),0)</f>
        <v>0</v>
      </c>
      <c r="H370" s="169">
        <f>IF(H$2&lt;=AnalysisPeriod,IF(SUM($C722:H722)&gt;0,G370+1,0),0)</f>
        <v>0</v>
      </c>
      <c r="I370" s="169">
        <f>IF(I$2&lt;=AnalysisPeriod,IF(SUM($C722:I722)&gt;0,H370+1,0),0)</f>
        <v>0</v>
      </c>
      <c r="J370" s="169">
        <f>IF(J$2&lt;=AnalysisPeriod,IF(SUM($C722:J722)&gt;0,I370+1,0),0)</f>
        <v>0</v>
      </c>
      <c r="K370" s="169">
        <f>IF(K$2&lt;=AnalysisPeriod,IF(SUM($C722:K722)&gt;0,J370+1,0),0)</f>
        <v>0</v>
      </c>
      <c r="L370" s="169">
        <f>IF(L$2&lt;=AnalysisPeriod,IF(SUM($C722:L722)&gt;0,K370+1,0),0)</f>
        <v>0</v>
      </c>
      <c r="M370" s="169">
        <f>IF(M$2&lt;=AnalysisPeriod,IF(SUM($C722:M722)&gt;0,L370+1,0),0)</f>
        <v>0</v>
      </c>
      <c r="N370" s="169">
        <f>IF(N$2&lt;=AnalysisPeriod,IF(SUM($C722:N722)&gt;0,M370+1,0),0)</f>
        <v>0</v>
      </c>
      <c r="O370" s="169">
        <f>IF(O$2&lt;=AnalysisPeriod,IF(SUM($C722:O722)&gt;0,N370+1,0),0)</f>
        <v>0</v>
      </c>
      <c r="P370" s="169">
        <f>IF(P$2&lt;=AnalysisPeriod,IF(SUM($C722:P722)&gt;0,O370+1,0),0)</f>
        <v>0</v>
      </c>
      <c r="Q370" s="169">
        <f>IF(Q$2&lt;=AnalysisPeriod,IF(SUM($C722:Q722)&gt;0,P370+1,0),0)</f>
        <v>0</v>
      </c>
      <c r="R370" s="169">
        <f>IF(R$2&lt;=AnalysisPeriod,IF(SUM($C722:R722)&gt;0,Q370+1,0),0)</f>
        <v>0</v>
      </c>
      <c r="S370" s="169">
        <f>IF(S$2&lt;=AnalysisPeriod,IF(SUM($C722:S722)&gt;0,R370+1,0),0)</f>
        <v>0</v>
      </c>
      <c r="T370" s="169">
        <f>IF(T$2&lt;=AnalysisPeriod,IF(SUM($C722:T722)&gt;0,S370+1,0),0)</f>
        <v>0</v>
      </c>
      <c r="U370" s="169">
        <f>IF(U$2&lt;=AnalysisPeriod,IF(SUM($C722:U722)&gt;0,T370+1,0),0)</f>
        <v>0</v>
      </c>
      <c r="V370" s="169">
        <f>IF(V$2&lt;=AnalysisPeriod,IF(SUM($C722:V722)&gt;0,U370+1,0),0)</f>
        <v>0</v>
      </c>
      <c r="W370" s="169">
        <f>IF(W$2&lt;=AnalysisPeriod,IF(SUM($C722:W722)&gt;0,V370+1,0),0)</f>
        <v>0</v>
      </c>
      <c r="X370" s="169">
        <f>IF(X$2&lt;=AnalysisPeriod,IF(SUM($C722:X722)&gt;0,W370+1,0),0)</f>
        <v>0</v>
      </c>
      <c r="Y370" s="169">
        <f>IF(Y$2&lt;=AnalysisPeriod,IF(SUM($C722:Y722)&gt;0,X370+1,0),0)</f>
        <v>0</v>
      </c>
      <c r="Z370" s="169">
        <f>IF(Z$2&lt;=AnalysisPeriod,IF(SUM($C722:Z722)&gt;0,Y370+1,0),0)</f>
        <v>0</v>
      </c>
      <c r="AA370" s="169">
        <f>IF(AA$2&lt;=AnalysisPeriod,IF(SUM($C722:AA722)&gt;0,Z370+1,0),0)</f>
        <v>0</v>
      </c>
      <c r="AB370" s="169">
        <f>IF(AB$2&lt;=AnalysisPeriod,IF(SUM($C722:AB722)&gt;0,AA370+1,0),0)</f>
        <v>0</v>
      </c>
      <c r="AC370" s="169">
        <f>IF(AC$2&lt;=AnalysisPeriod,IF(SUM($C722:AC722)&gt;0,AB370+1,0),0)</f>
        <v>0</v>
      </c>
      <c r="AD370" s="169">
        <f>IF(AD$2&lt;=AnalysisPeriod,IF(SUM($C722:AD722)&gt;0,AC370+1,0),0)</f>
        <v>0</v>
      </c>
      <c r="AE370" s="169">
        <f>IF(AE$2&lt;=AnalysisPeriod,IF(SUM($C722:AE722)&gt;0,AD370+1,0),0)</f>
        <v>0</v>
      </c>
      <c r="AF370" s="169">
        <f>IF(AF$2&lt;=AnalysisPeriod,IF(SUM($C722:AF722)&gt;0,AE370+1,0),0)</f>
        <v>0</v>
      </c>
      <c r="AG370" s="169">
        <f>IF(AG$2&lt;=AnalysisPeriod,IF(SUM($C722:AG722)&gt;0,AF370+1,0),0)</f>
        <v>0</v>
      </c>
      <c r="AH370" s="169">
        <f>IF(AH$2&lt;=AnalysisPeriod,IF(SUM($C722:AH722)&gt;0,AG370+1,0),0)</f>
        <v>0</v>
      </c>
      <c r="AI370" s="169">
        <f>IF(AI$2&lt;=AnalysisPeriod,IF(SUM($C722:AI722)&gt;0,AH370+1,0),0)</f>
        <v>0</v>
      </c>
      <c r="AJ370" s="169">
        <f>IF(AJ$2&lt;=AnalysisPeriod,IF(SUM($C722:AJ722)&gt;0,AI370+1,0),0)</f>
        <v>0</v>
      </c>
      <c r="AK370" s="169">
        <f>IF(AK$2&lt;=AnalysisPeriod,IF(SUM($C722:AK722)&gt;0,AJ370+1,0),0)</f>
        <v>0</v>
      </c>
      <c r="AL370" s="169">
        <f>IF(AL$2&lt;=AnalysisPeriod,IF(SUM($C722:AL722)&gt;0,AK370+1,0),0)</f>
        <v>0</v>
      </c>
      <c r="AM370" s="169">
        <f>IF(AM$2&lt;=AnalysisPeriod,IF(SUM($C722:AM722)&gt;0,AL370+1,0),0)</f>
        <v>0</v>
      </c>
      <c r="AN370" s="169">
        <f>IF(AN$2&lt;=AnalysisPeriod,IF(SUM($C722:AN722)&gt;0,AM370+1,0),0)</f>
        <v>0</v>
      </c>
      <c r="AO370" s="169">
        <f>IF(AO$2&lt;=AnalysisPeriod,IF(SUM($C722:AO722)&gt;0,AN370+1,0),0)</f>
        <v>0</v>
      </c>
      <c r="AP370" s="169">
        <f>IF(AP$2&lt;=AnalysisPeriod,IF(SUM($C722:AP722)&gt;0,AO370+1,0),0)</f>
        <v>0</v>
      </c>
    </row>
    <row r="371" spans="1:42" x14ac:dyDescent="0.2">
      <c r="A371" s="101">
        <f t="shared" si="902"/>
        <v>7</v>
      </c>
      <c r="C371" s="169">
        <f>IF(C$2&lt;=AnalysisPeriod,IF(SUM($C723:C723)&gt;0,B371+1,0),0)</f>
        <v>0</v>
      </c>
      <c r="D371" s="169">
        <f>IF(D$2&lt;=AnalysisPeriod,IF(SUM($C723:D723)&gt;0,C371+1,0),0)</f>
        <v>0</v>
      </c>
      <c r="E371" s="169">
        <f>IF(E$2&lt;=AnalysisPeriod,IF(SUM($C723:E723)&gt;0,D371+1,0),0)</f>
        <v>0</v>
      </c>
      <c r="F371" s="169">
        <f>IF(F$2&lt;=AnalysisPeriod,IF(SUM($C723:F723)&gt;0,E371+1,0),0)</f>
        <v>0</v>
      </c>
      <c r="G371" s="169">
        <f>IF(G$2&lt;=AnalysisPeriod,IF(SUM($C723:G723)&gt;0,F371+1,0),0)</f>
        <v>0</v>
      </c>
      <c r="H371" s="169">
        <f>IF(H$2&lt;=AnalysisPeriod,IF(SUM($C723:H723)&gt;0,G371+1,0),0)</f>
        <v>0</v>
      </c>
      <c r="I371" s="169">
        <f>IF(I$2&lt;=AnalysisPeriod,IF(SUM($C723:I723)&gt;0,H371+1,0),0)</f>
        <v>0</v>
      </c>
      <c r="J371" s="169">
        <f>IF(J$2&lt;=AnalysisPeriod,IF(SUM($C723:J723)&gt;0,I371+1,0),0)</f>
        <v>0</v>
      </c>
      <c r="K371" s="169">
        <f>IF(K$2&lt;=AnalysisPeriod,IF(SUM($C723:K723)&gt;0,J371+1,0),0)</f>
        <v>0</v>
      </c>
      <c r="L371" s="169">
        <f>IF(L$2&lt;=AnalysisPeriod,IF(SUM($C723:L723)&gt;0,K371+1,0),0)</f>
        <v>0</v>
      </c>
      <c r="M371" s="169">
        <f>IF(M$2&lt;=AnalysisPeriod,IF(SUM($C723:M723)&gt;0,L371+1,0),0)</f>
        <v>0</v>
      </c>
      <c r="N371" s="169">
        <f>IF(N$2&lt;=AnalysisPeriod,IF(SUM($C723:N723)&gt;0,M371+1,0),0)</f>
        <v>0</v>
      </c>
      <c r="O371" s="169">
        <f>IF(O$2&lt;=AnalysisPeriod,IF(SUM($C723:O723)&gt;0,N371+1,0),0)</f>
        <v>0</v>
      </c>
      <c r="P371" s="169">
        <f>IF(P$2&lt;=AnalysisPeriod,IF(SUM($C723:P723)&gt;0,O371+1,0),0)</f>
        <v>0</v>
      </c>
      <c r="Q371" s="169">
        <f>IF(Q$2&lt;=AnalysisPeriod,IF(SUM($C723:Q723)&gt;0,P371+1,0),0)</f>
        <v>0</v>
      </c>
      <c r="R371" s="169">
        <f>IF(R$2&lt;=AnalysisPeriod,IF(SUM($C723:R723)&gt;0,Q371+1,0),0)</f>
        <v>0</v>
      </c>
      <c r="S371" s="169">
        <f>IF(S$2&lt;=AnalysisPeriod,IF(SUM($C723:S723)&gt;0,R371+1,0),0)</f>
        <v>0</v>
      </c>
      <c r="T371" s="169">
        <f>IF(T$2&lt;=AnalysisPeriod,IF(SUM($C723:T723)&gt;0,S371+1,0),0)</f>
        <v>0</v>
      </c>
      <c r="U371" s="169">
        <f>IF(U$2&lt;=AnalysisPeriod,IF(SUM($C723:U723)&gt;0,T371+1,0),0)</f>
        <v>0</v>
      </c>
      <c r="V371" s="169">
        <f>IF(V$2&lt;=AnalysisPeriod,IF(SUM($C723:V723)&gt;0,U371+1,0),0)</f>
        <v>0</v>
      </c>
      <c r="W371" s="169">
        <f>IF(W$2&lt;=AnalysisPeriod,IF(SUM($C723:W723)&gt;0,V371+1,0),0)</f>
        <v>0</v>
      </c>
      <c r="X371" s="169">
        <f>IF(X$2&lt;=AnalysisPeriod,IF(SUM($C723:X723)&gt;0,W371+1,0),0)</f>
        <v>0</v>
      </c>
      <c r="Y371" s="169">
        <f>IF(Y$2&lt;=AnalysisPeriod,IF(SUM($C723:Y723)&gt;0,X371+1,0),0)</f>
        <v>0</v>
      </c>
      <c r="Z371" s="169">
        <f>IF(Z$2&lt;=AnalysisPeriod,IF(SUM($C723:Z723)&gt;0,Y371+1,0),0)</f>
        <v>0</v>
      </c>
      <c r="AA371" s="169">
        <f>IF(AA$2&lt;=AnalysisPeriod,IF(SUM($C723:AA723)&gt;0,Z371+1,0),0)</f>
        <v>0</v>
      </c>
      <c r="AB371" s="169">
        <f>IF(AB$2&lt;=AnalysisPeriod,IF(SUM($C723:AB723)&gt;0,AA371+1,0),0)</f>
        <v>0</v>
      </c>
      <c r="AC371" s="169">
        <f>IF(AC$2&lt;=AnalysisPeriod,IF(SUM($C723:AC723)&gt;0,AB371+1,0),0)</f>
        <v>0</v>
      </c>
      <c r="AD371" s="169">
        <f>IF(AD$2&lt;=AnalysisPeriod,IF(SUM($C723:AD723)&gt;0,AC371+1,0),0)</f>
        <v>0</v>
      </c>
      <c r="AE371" s="169">
        <f>IF(AE$2&lt;=AnalysisPeriod,IF(SUM($C723:AE723)&gt;0,AD371+1,0),0)</f>
        <v>0</v>
      </c>
      <c r="AF371" s="169">
        <f>IF(AF$2&lt;=AnalysisPeriod,IF(SUM($C723:AF723)&gt;0,AE371+1,0),0)</f>
        <v>0</v>
      </c>
      <c r="AG371" s="169">
        <f>IF(AG$2&lt;=AnalysisPeriod,IF(SUM($C723:AG723)&gt;0,AF371+1,0),0)</f>
        <v>0</v>
      </c>
      <c r="AH371" s="169">
        <f>IF(AH$2&lt;=AnalysisPeriod,IF(SUM($C723:AH723)&gt;0,AG371+1,0),0)</f>
        <v>0</v>
      </c>
      <c r="AI371" s="169">
        <f>IF(AI$2&lt;=AnalysisPeriod,IF(SUM($C723:AI723)&gt;0,AH371+1,0),0)</f>
        <v>0</v>
      </c>
      <c r="AJ371" s="169">
        <f>IF(AJ$2&lt;=AnalysisPeriod,IF(SUM($C723:AJ723)&gt;0,AI371+1,0),0)</f>
        <v>0</v>
      </c>
      <c r="AK371" s="169">
        <f>IF(AK$2&lt;=AnalysisPeriod,IF(SUM($C723:AK723)&gt;0,AJ371+1,0),0)</f>
        <v>0</v>
      </c>
      <c r="AL371" s="169">
        <f>IF(AL$2&lt;=AnalysisPeriod,IF(SUM($C723:AL723)&gt;0,AK371+1,0),0)</f>
        <v>0</v>
      </c>
      <c r="AM371" s="169">
        <f>IF(AM$2&lt;=AnalysisPeriod,IF(SUM($C723:AM723)&gt;0,AL371+1,0),0)</f>
        <v>0</v>
      </c>
      <c r="AN371" s="169">
        <f>IF(AN$2&lt;=AnalysisPeriod,IF(SUM($C723:AN723)&gt;0,AM371+1,0),0)</f>
        <v>0</v>
      </c>
      <c r="AO371" s="169">
        <f>IF(AO$2&lt;=AnalysisPeriod,IF(SUM($C723:AO723)&gt;0,AN371+1,0),0)</f>
        <v>0</v>
      </c>
      <c r="AP371" s="169">
        <f>IF(AP$2&lt;=AnalysisPeriod,IF(SUM($C723:AP723)&gt;0,AO371+1,0),0)</f>
        <v>0</v>
      </c>
    </row>
    <row r="372" spans="1:42" x14ac:dyDescent="0.2">
      <c r="A372" s="101">
        <f t="shared" si="902"/>
        <v>8</v>
      </c>
      <c r="C372" s="169">
        <f>IF(C$2&lt;=AnalysisPeriod,IF(SUM($C724:C724)&gt;0,B372+1,0),0)</f>
        <v>0</v>
      </c>
      <c r="D372" s="169">
        <f>IF(D$2&lt;=AnalysisPeriod,IF(SUM($C724:D724)&gt;0,C372+1,0),0)</f>
        <v>0</v>
      </c>
      <c r="E372" s="169">
        <f>IF(E$2&lt;=AnalysisPeriod,IF(SUM($C724:E724)&gt;0,D372+1,0),0)</f>
        <v>0</v>
      </c>
      <c r="F372" s="169">
        <f>IF(F$2&lt;=AnalysisPeriod,IF(SUM($C724:F724)&gt;0,E372+1,0),0)</f>
        <v>0</v>
      </c>
      <c r="G372" s="169">
        <f>IF(G$2&lt;=AnalysisPeriod,IF(SUM($C724:G724)&gt;0,F372+1,0),0)</f>
        <v>0</v>
      </c>
      <c r="H372" s="169">
        <f>IF(H$2&lt;=AnalysisPeriod,IF(SUM($C724:H724)&gt;0,G372+1,0),0)</f>
        <v>0</v>
      </c>
      <c r="I372" s="169">
        <f>IF(I$2&lt;=AnalysisPeriod,IF(SUM($C724:I724)&gt;0,H372+1,0),0)</f>
        <v>0</v>
      </c>
      <c r="J372" s="169">
        <f>IF(J$2&lt;=AnalysisPeriod,IF(SUM($C724:J724)&gt;0,I372+1,0),0)</f>
        <v>0</v>
      </c>
      <c r="K372" s="169">
        <f>IF(K$2&lt;=AnalysisPeriod,IF(SUM($C724:K724)&gt;0,J372+1,0),0)</f>
        <v>0</v>
      </c>
      <c r="L372" s="169">
        <f>IF(L$2&lt;=AnalysisPeriod,IF(SUM($C724:L724)&gt;0,K372+1,0),0)</f>
        <v>0</v>
      </c>
      <c r="M372" s="169">
        <f>IF(M$2&lt;=AnalysisPeriod,IF(SUM($C724:M724)&gt;0,L372+1,0),0)</f>
        <v>0</v>
      </c>
      <c r="N372" s="169">
        <f>IF(N$2&lt;=AnalysisPeriod,IF(SUM($C724:N724)&gt;0,M372+1,0),0)</f>
        <v>0</v>
      </c>
      <c r="O372" s="169">
        <f>IF(O$2&lt;=AnalysisPeriod,IF(SUM($C724:O724)&gt;0,N372+1,0),0)</f>
        <v>0</v>
      </c>
      <c r="P372" s="169">
        <f>IF(P$2&lt;=AnalysisPeriod,IF(SUM($C724:P724)&gt;0,O372+1,0),0)</f>
        <v>0</v>
      </c>
      <c r="Q372" s="169">
        <f>IF(Q$2&lt;=AnalysisPeriod,IF(SUM($C724:Q724)&gt;0,P372+1,0),0)</f>
        <v>0</v>
      </c>
      <c r="R372" s="169">
        <f>IF(R$2&lt;=AnalysisPeriod,IF(SUM($C724:R724)&gt;0,Q372+1,0),0)</f>
        <v>0</v>
      </c>
      <c r="S372" s="169">
        <f>IF(S$2&lt;=AnalysisPeriod,IF(SUM($C724:S724)&gt;0,R372+1,0),0)</f>
        <v>0</v>
      </c>
      <c r="T372" s="169">
        <f>IF(T$2&lt;=AnalysisPeriod,IF(SUM($C724:T724)&gt;0,S372+1,0),0)</f>
        <v>0</v>
      </c>
      <c r="U372" s="169">
        <f>IF(U$2&lt;=AnalysisPeriod,IF(SUM($C724:U724)&gt;0,T372+1,0),0)</f>
        <v>0</v>
      </c>
      <c r="V372" s="169">
        <f>IF(V$2&lt;=AnalysisPeriod,IF(SUM($C724:V724)&gt;0,U372+1,0),0)</f>
        <v>0</v>
      </c>
      <c r="W372" s="169">
        <f>IF(W$2&lt;=AnalysisPeriod,IF(SUM($C724:W724)&gt;0,V372+1,0),0)</f>
        <v>0</v>
      </c>
      <c r="X372" s="169">
        <f>IF(X$2&lt;=AnalysisPeriod,IF(SUM($C724:X724)&gt;0,W372+1,0),0)</f>
        <v>0</v>
      </c>
      <c r="Y372" s="169">
        <f>IF(Y$2&lt;=AnalysisPeriod,IF(SUM($C724:Y724)&gt;0,X372+1,0),0)</f>
        <v>0</v>
      </c>
      <c r="Z372" s="169">
        <f>IF(Z$2&lt;=AnalysisPeriod,IF(SUM($C724:Z724)&gt;0,Y372+1,0),0)</f>
        <v>0</v>
      </c>
      <c r="AA372" s="169">
        <f>IF(AA$2&lt;=AnalysisPeriod,IF(SUM($C724:AA724)&gt;0,Z372+1,0),0)</f>
        <v>0</v>
      </c>
      <c r="AB372" s="169">
        <f>IF(AB$2&lt;=AnalysisPeriod,IF(SUM($C724:AB724)&gt;0,AA372+1,0),0)</f>
        <v>0</v>
      </c>
      <c r="AC372" s="169">
        <f>IF(AC$2&lt;=AnalysisPeriod,IF(SUM($C724:AC724)&gt;0,AB372+1,0),0)</f>
        <v>0</v>
      </c>
      <c r="AD372" s="169">
        <f>IF(AD$2&lt;=AnalysisPeriod,IF(SUM($C724:AD724)&gt;0,AC372+1,0),0)</f>
        <v>0</v>
      </c>
      <c r="AE372" s="169">
        <f>IF(AE$2&lt;=AnalysisPeriod,IF(SUM($C724:AE724)&gt;0,AD372+1,0),0)</f>
        <v>0</v>
      </c>
      <c r="AF372" s="169">
        <f>IF(AF$2&lt;=AnalysisPeriod,IF(SUM($C724:AF724)&gt;0,AE372+1,0),0)</f>
        <v>0</v>
      </c>
      <c r="AG372" s="169">
        <f>IF(AG$2&lt;=AnalysisPeriod,IF(SUM($C724:AG724)&gt;0,AF372+1,0),0)</f>
        <v>0</v>
      </c>
      <c r="AH372" s="169">
        <f>IF(AH$2&lt;=AnalysisPeriod,IF(SUM($C724:AH724)&gt;0,AG372+1,0),0)</f>
        <v>0</v>
      </c>
      <c r="AI372" s="169">
        <f>IF(AI$2&lt;=AnalysisPeriod,IF(SUM($C724:AI724)&gt;0,AH372+1,0),0)</f>
        <v>0</v>
      </c>
      <c r="AJ372" s="169">
        <f>IF(AJ$2&lt;=AnalysisPeriod,IF(SUM($C724:AJ724)&gt;0,AI372+1,0),0)</f>
        <v>0</v>
      </c>
      <c r="AK372" s="169">
        <f>IF(AK$2&lt;=AnalysisPeriod,IF(SUM($C724:AK724)&gt;0,AJ372+1,0),0)</f>
        <v>0</v>
      </c>
      <c r="AL372" s="169">
        <f>IF(AL$2&lt;=AnalysisPeriod,IF(SUM($C724:AL724)&gt;0,AK372+1,0),0)</f>
        <v>0</v>
      </c>
      <c r="AM372" s="169">
        <f>IF(AM$2&lt;=AnalysisPeriod,IF(SUM($C724:AM724)&gt;0,AL372+1,0),0)</f>
        <v>0</v>
      </c>
      <c r="AN372" s="169">
        <f>IF(AN$2&lt;=AnalysisPeriod,IF(SUM($C724:AN724)&gt;0,AM372+1,0),0)</f>
        <v>0</v>
      </c>
      <c r="AO372" s="169">
        <f>IF(AO$2&lt;=AnalysisPeriod,IF(SUM($C724:AO724)&gt;0,AN372+1,0),0)</f>
        <v>0</v>
      </c>
      <c r="AP372" s="169">
        <f>IF(AP$2&lt;=AnalysisPeriod,IF(SUM($C724:AP724)&gt;0,AO372+1,0),0)</f>
        <v>0</v>
      </c>
    </row>
    <row r="373" spans="1:42" x14ac:dyDescent="0.2">
      <c r="A373" s="101">
        <f>A372+1</f>
        <v>9</v>
      </c>
      <c r="C373" s="169">
        <f>IF(C$2&lt;=AnalysisPeriod,IF(SUM($C725:C725)&gt;0,B373+1,0),0)</f>
        <v>0</v>
      </c>
      <c r="D373" s="169">
        <f>IF(D$2&lt;=AnalysisPeriod,IF(SUM($C725:D725)&gt;0,C373+1,0),0)</f>
        <v>0</v>
      </c>
      <c r="E373" s="169">
        <f>IF(E$2&lt;=AnalysisPeriod,IF(SUM($C725:E725)&gt;0,D373+1,0),0)</f>
        <v>0</v>
      </c>
      <c r="F373" s="169">
        <f>IF(F$2&lt;=AnalysisPeriod,IF(SUM($C725:F725)&gt;0,E373+1,0),0)</f>
        <v>0</v>
      </c>
      <c r="G373" s="169">
        <f>IF(G$2&lt;=AnalysisPeriod,IF(SUM($C725:G725)&gt;0,F373+1,0),0)</f>
        <v>0</v>
      </c>
      <c r="H373" s="169">
        <f>IF(H$2&lt;=AnalysisPeriod,IF(SUM($C725:H725)&gt;0,G373+1,0),0)</f>
        <v>0</v>
      </c>
      <c r="I373" s="169">
        <f>IF(I$2&lt;=AnalysisPeriod,IF(SUM($C725:I725)&gt;0,H373+1,0),0)</f>
        <v>0</v>
      </c>
      <c r="J373" s="169">
        <f>IF(J$2&lt;=AnalysisPeriod,IF(SUM($C725:J725)&gt;0,I373+1,0),0)</f>
        <v>0</v>
      </c>
      <c r="K373" s="169">
        <f>IF(K$2&lt;=AnalysisPeriod,IF(SUM($C725:K725)&gt;0,J373+1,0),0)</f>
        <v>0</v>
      </c>
      <c r="L373" s="169">
        <f>IF(L$2&lt;=AnalysisPeriod,IF(SUM($C725:L725)&gt;0,K373+1,0),0)</f>
        <v>0</v>
      </c>
      <c r="M373" s="169">
        <f>IF(M$2&lt;=AnalysisPeriod,IF(SUM($C725:M725)&gt;0,L373+1,0),0)</f>
        <v>0</v>
      </c>
      <c r="N373" s="169">
        <f>IF(N$2&lt;=AnalysisPeriod,IF(SUM($C725:N725)&gt;0,M373+1,0),0)</f>
        <v>0</v>
      </c>
      <c r="O373" s="169">
        <f>IF(O$2&lt;=AnalysisPeriod,IF(SUM($C725:O725)&gt;0,N373+1,0),0)</f>
        <v>0</v>
      </c>
      <c r="P373" s="169">
        <f>IF(P$2&lt;=AnalysisPeriod,IF(SUM($C725:P725)&gt;0,O373+1,0),0)</f>
        <v>0</v>
      </c>
      <c r="Q373" s="169">
        <f>IF(Q$2&lt;=AnalysisPeriod,IF(SUM($C725:Q725)&gt;0,P373+1,0),0)</f>
        <v>0</v>
      </c>
      <c r="R373" s="169">
        <f>IF(R$2&lt;=AnalysisPeriod,IF(SUM($C725:R725)&gt;0,Q373+1,0),0)</f>
        <v>0</v>
      </c>
      <c r="S373" s="169">
        <f>IF(S$2&lt;=AnalysisPeriod,IF(SUM($C725:S725)&gt;0,R373+1,0),0)</f>
        <v>0</v>
      </c>
      <c r="T373" s="169">
        <f>IF(T$2&lt;=AnalysisPeriod,IF(SUM($C725:T725)&gt;0,S373+1,0),0)</f>
        <v>0</v>
      </c>
      <c r="U373" s="169">
        <f>IF(U$2&lt;=AnalysisPeriod,IF(SUM($C725:U725)&gt;0,T373+1,0),0)</f>
        <v>0</v>
      </c>
      <c r="V373" s="169">
        <f>IF(V$2&lt;=AnalysisPeriod,IF(SUM($C725:V725)&gt;0,U373+1,0),0)</f>
        <v>0</v>
      </c>
      <c r="W373" s="169">
        <f>IF(W$2&lt;=AnalysisPeriod,IF(SUM($C725:W725)&gt;0,V373+1,0),0)</f>
        <v>0</v>
      </c>
      <c r="X373" s="169">
        <f>IF(X$2&lt;=AnalysisPeriod,IF(SUM($C725:X725)&gt;0,W373+1,0),0)</f>
        <v>0</v>
      </c>
      <c r="Y373" s="169">
        <f>IF(Y$2&lt;=AnalysisPeriod,IF(SUM($C725:Y725)&gt;0,X373+1,0),0)</f>
        <v>0</v>
      </c>
      <c r="Z373" s="169">
        <f>IF(Z$2&lt;=AnalysisPeriod,IF(SUM($C725:Z725)&gt;0,Y373+1,0),0)</f>
        <v>0</v>
      </c>
      <c r="AA373" s="169">
        <f>IF(AA$2&lt;=AnalysisPeriod,IF(SUM($C725:AA725)&gt;0,Z373+1,0),0)</f>
        <v>0</v>
      </c>
      <c r="AB373" s="169">
        <f>IF(AB$2&lt;=AnalysisPeriod,IF(SUM($C725:AB725)&gt;0,AA373+1,0),0)</f>
        <v>0</v>
      </c>
      <c r="AC373" s="169">
        <f>IF(AC$2&lt;=AnalysisPeriod,IF(SUM($C725:AC725)&gt;0,AB373+1,0),0)</f>
        <v>0</v>
      </c>
      <c r="AD373" s="169">
        <f>IF(AD$2&lt;=AnalysisPeriod,IF(SUM($C725:AD725)&gt;0,AC373+1,0),0)</f>
        <v>0</v>
      </c>
      <c r="AE373" s="169">
        <f>IF(AE$2&lt;=AnalysisPeriod,IF(SUM($C725:AE725)&gt;0,AD373+1,0),0)</f>
        <v>0</v>
      </c>
      <c r="AF373" s="169">
        <f>IF(AF$2&lt;=AnalysisPeriod,IF(SUM($C725:AF725)&gt;0,AE373+1,0),0)</f>
        <v>0</v>
      </c>
      <c r="AG373" s="169">
        <f>IF(AG$2&lt;=AnalysisPeriod,IF(SUM($C725:AG725)&gt;0,AF373+1,0),0)</f>
        <v>0</v>
      </c>
      <c r="AH373" s="169">
        <f>IF(AH$2&lt;=AnalysisPeriod,IF(SUM($C725:AH725)&gt;0,AG373+1,0),0)</f>
        <v>0</v>
      </c>
      <c r="AI373" s="169">
        <f>IF(AI$2&lt;=AnalysisPeriod,IF(SUM($C725:AI725)&gt;0,AH373+1,0),0)</f>
        <v>0</v>
      </c>
      <c r="AJ373" s="169">
        <f>IF(AJ$2&lt;=AnalysisPeriod,IF(SUM($C725:AJ725)&gt;0,AI373+1,0),0)</f>
        <v>0</v>
      </c>
      <c r="AK373" s="169">
        <f>IF(AK$2&lt;=AnalysisPeriod,IF(SUM($C725:AK725)&gt;0,AJ373+1,0),0)</f>
        <v>0</v>
      </c>
      <c r="AL373" s="169">
        <f>IF(AL$2&lt;=AnalysisPeriod,IF(SUM($C725:AL725)&gt;0,AK373+1,0),0)</f>
        <v>0</v>
      </c>
      <c r="AM373" s="169">
        <f>IF(AM$2&lt;=AnalysisPeriod,IF(SUM($C725:AM725)&gt;0,AL373+1,0),0)</f>
        <v>0</v>
      </c>
      <c r="AN373" s="169">
        <f>IF(AN$2&lt;=AnalysisPeriod,IF(SUM($C725:AN725)&gt;0,AM373+1,0),0)</f>
        <v>0</v>
      </c>
      <c r="AO373" s="169">
        <f>IF(AO$2&lt;=AnalysisPeriod,IF(SUM($C725:AO725)&gt;0,AN373+1,0),0)</f>
        <v>0</v>
      </c>
      <c r="AP373" s="169">
        <f>IF(AP$2&lt;=AnalysisPeriod,IF(SUM($C725:AP725)&gt;0,AO373+1,0),0)</f>
        <v>0</v>
      </c>
    </row>
    <row r="374" spans="1:42" x14ac:dyDescent="0.2">
      <c r="A374" s="101">
        <f t="shared" si="902"/>
        <v>10</v>
      </c>
      <c r="C374" s="169">
        <f>IF(C$2&lt;=AnalysisPeriod,IF(SUM($C726:C726)&gt;0,B374+1,0),0)</f>
        <v>0</v>
      </c>
      <c r="D374" s="169">
        <f>IF(D$2&lt;=AnalysisPeriod,IF(SUM($C726:D726)&gt;0,C374+1,0),0)</f>
        <v>0</v>
      </c>
      <c r="E374" s="169">
        <f>IF(E$2&lt;=AnalysisPeriod,IF(SUM($C726:E726)&gt;0,D374+1,0),0)</f>
        <v>0</v>
      </c>
      <c r="F374" s="169">
        <f>IF(F$2&lt;=AnalysisPeriod,IF(SUM($C726:F726)&gt;0,E374+1,0),0)</f>
        <v>0</v>
      </c>
      <c r="G374" s="169">
        <f>IF(G$2&lt;=AnalysisPeriod,IF(SUM($C726:G726)&gt;0,F374+1,0),0)</f>
        <v>0</v>
      </c>
      <c r="H374" s="169">
        <f>IF(H$2&lt;=AnalysisPeriod,IF(SUM($C726:H726)&gt;0,G374+1,0),0)</f>
        <v>0</v>
      </c>
      <c r="I374" s="169">
        <f>IF(I$2&lt;=AnalysisPeriod,IF(SUM($C726:I726)&gt;0,H374+1,0),0)</f>
        <v>0</v>
      </c>
      <c r="J374" s="169">
        <f>IF(J$2&lt;=AnalysisPeriod,IF(SUM($C726:J726)&gt;0,I374+1,0),0)</f>
        <v>0</v>
      </c>
      <c r="K374" s="169">
        <f>IF(K$2&lt;=AnalysisPeriod,IF(SUM($C726:K726)&gt;0,J374+1,0),0)</f>
        <v>0</v>
      </c>
      <c r="L374" s="169">
        <f>IF(L$2&lt;=AnalysisPeriod,IF(SUM($C726:L726)&gt;0,K374+1,0),0)</f>
        <v>0</v>
      </c>
      <c r="M374" s="169">
        <f>IF(M$2&lt;=AnalysisPeriod,IF(SUM($C726:M726)&gt;0,L374+1,0),0)</f>
        <v>0</v>
      </c>
      <c r="N374" s="169">
        <f>IF(N$2&lt;=AnalysisPeriod,IF(SUM($C726:N726)&gt;0,M374+1,0),0)</f>
        <v>0</v>
      </c>
      <c r="O374" s="169">
        <f>IF(O$2&lt;=AnalysisPeriod,IF(SUM($C726:O726)&gt;0,N374+1,0),0)</f>
        <v>0</v>
      </c>
      <c r="P374" s="169">
        <f>IF(P$2&lt;=AnalysisPeriod,IF(SUM($C726:P726)&gt;0,O374+1,0),0)</f>
        <v>0</v>
      </c>
      <c r="Q374" s="169">
        <f>IF(Q$2&lt;=AnalysisPeriod,IF(SUM($C726:Q726)&gt;0,P374+1,0),0)</f>
        <v>0</v>
      </c>
      <c r="R374" s="169">
        <f>IF(R$2&lt;=AnalysisPeriod,IF(SUM($C726:R726)&gt;0,Q374+1,0),0)</f>
        <v>0</v>
      </c>
      <c r="S374" s="169">
        <f>IF(S$2&lt;=AnalysisPeriod,IF(SUM($C726:S726)&gt;0,R374+1,0),0)</f>
        <v>0</v>
      </c>
      <c r="T374" s="169">
        <f>IF(T$2&lt;=AnalysisPeriod,IF(SUM($C726:T726)&gt;0,S374+1,0),0)</f>
        <v>0</v>
      </c>
      <c r="U374" s="169">
        <f>IF(U$2&lt;=AnalysisPeriod,IF(SUM($C726:U726)&gt;0,T374+1,0),0)</f>
        <v>0</v>
      </c>
      <c r="V374" s="169">
        <f>IF(V$2&lt;=AnalysisPeriod,IF(SUM($C726:V726)&gt;0,U374+1,0),0)</f>
        <v>0</v>
      </c>
      <c r="W374" s="169">
        <f>IF(W$2&lt;=AnalysisPeriod,IF(SUM($C726:W726)&gt;0,V374+1,0),0)</f>
        <v>0</v>
      </c>
      <c r="X374" s="169">
        <f>IF(X$2&lt;=AnalysisPeriod,IF(SUM($C726:X726)&gt;0,W374+1,0),0)</f>
        <v>0</v>
      </c>
      <c r="Y374" s="169">
        <f>IF(Y$2&lt;=AnalysisPeriod,IF(SUM($C726:Y726)&gt;0,X374+1,0),0)</f>
        <v>0</v>
      </c>
      <c r="Z374" s="169">
        <f>IF(Z$2&lt;=AnalysisPeriod,IF(SUM($C726:Z726)&gt;0,Y374+1,0),0)</f>
        <v>0</v>
      </c>
      <c r="AA374" s="169">
        <f>IF(AA$2&lt;=AnalysisPeriod,IF(SUM($C726:AA726)&gt;0,Z374+1,0),0)</f>
        <v>0</v>
      </c>
      <c r="AB374" s="169">
        <f>IF(AB$2&lt;=AnalysisPeriod,IF(SUM($C726:AB726)&gt;0,AA374+1,0),0)</f>
        <v>0</v>
      </c>
      <c r="AC374" s="169">
        <f>IF(AC$2&lt;=AnalysisPeriod,IF(SUM($C726:AC726)&gt;0,AB374+1,0),0)</f>
        <v>0</v>
      </c>
      <c r="AD374" s="169">
        <f>IF(AD$2&lt;=AnalysisPeriod,IF(SUM($C726:AD726)&gt;0,AC374+1,0),0)</f>
        <v>0</v>
      </c>
      <c r="AE374" s="169">
        <f>IF(AE$2&lt;=AnalysisPeriod,IF(SUM($C726:AE726)&gt;0,AD374+1,0),0)</f>
        <v>0</v>
      </c>
      <c r="AF374" s="169">
        <f>IF(AF$2&lt;=AnalysisPeriod,IF(SUM($C726:AF726)&gt;0,AE374+1,0),0)</f>
        <v>0</v>
      </c>
      <c r="AG374" s="169">
        <f>IF(AG$2&lt;=AnalysisPeriod,IF(SUM($C726:AG726)&gt;0,AF374+1,0),0)</f>
        <v>0</v>
      </c>
      <c r="AH374" s="169">
        <f>IF(AH$2&lt;=AnalysisPeriod,IF(SUM($C726:AH726)&gt;0,AG374+1,0),0)</f>
        <v>0</v>
      </c>
      <c r="AI374" s="169">
        <f>IF(AI$2&lt;=AnalysisPeriod,IF(SUM($C726:AI726)&gt;0,AH374+1,0),0)</f>
        <v>0</v>
      </c>
      <c r="AJ374" s="169">
        <f>IF(AJ$2&lt;=AnalysisPeriod,IF(SUM($C726:AJ726)&gt;0,AI374+1,0),0)</f>
        <v>0</v>
      </c>
      <c r="AK374" s="169">
        <f>IF(AK$2&lt;=AnalysisPeriod,IF(SUM($C726:AK726)&gt;0,AJ374+1,0),0)</f>
        <v>0</v>
      </c>
      <c r="AL374" s="169">
        <f>IF(AL$2&lt;=AnalysisPeriod,IF(SUM($C726:AL726)&gt;0,AK374+1,0),0)</f>
        <v>0</v>
      </c>
      <c r="AM374" s="169">
        <f>IF(AM$2&lt;=AnalysisPeriod,IF(SUM($C726:AM726)&gt;0,AL374+1,0),0)</f>
        <v>0</v>
      </c>
      <c r="AN374" s="169">
        <f>IF(AN$2&lt;=AnalysisPeriod,IF(SUM($C726:AN726)&gt;0,AM374+1,0),0)</f>
        <v>0</v>
      </c>
      <c r="AO374" s="169">
        <f>IF(AO$2&lt;=AnalysisPeriod,IF(SUM($C726:AO726)&gt;0,AN374+1,0),0)</f>
        <v>0</v>
      </c>
      <c r="AP374" s="169">
        <f>IF(AP$2&lt;=AnalysisPeriod,IF(SUM($C726:AP726)&gt;0,AO374+1,0),0)</f>
        <v>0</v>
      </c>
    </row>
    <row r="375" spans="1:42" x14ac:dyDescent="0.2">
      <c r="A375" s="187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</row>
    <row r="376" spans="1:42" x14ac:dyDescent="0.2">
      <c r="A376" s="187" t="s">
        <v>196</v>
      </c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</row>
    <row r="377" spans="1:42" x14ac:dyDescent="0.2">
      <c r="A377" s="101">
        <v>1</v>
      </c>
      <c r="B377" s="179">
        <f t="shared" ref="B377:B386" si="903">SUM(C377:AP377)</f>
        <v>0</v>
      </c>
      <c r="C377" s="208">
        <f t="shared" ref="C377:AP377" si="904">LOOKUP(C365,$B$335:$AP$335,$B$336:$AP$336)*$B717</f>
        <v>0</v>
      </c>
      <c r="D377" s="169">
        <f t="shared" si="904"/>
        <v>0</v>
      </c>
      <c r="E377" s="169">
        <f t="shared" si="904"/>
        <v>0</v>
      </c>
      <c r="F377" s="169">
        <f t="shared" si="904"/>
        <v>0</v>
      </c>
      <c r="G377" s="169">
        <f t="shared" si="904"/>
        <v>0</v>
      </c>
      <c r="H377" s="169">
        <f t="shared" si="904"/>
        <v>0</v>
      </c>
      <c r="I377" s="169">
        <f t="shared" si="904"/>
        <v>0</v>
      </c>
      <c r="J377" s="169">
        <f t="shared" si="904"/>
        <v>0</v>
      </c>
      <c r="K377" s="169">
        <f t="shared" si="904"/>
        <v>0</v>
      </c>
      <c r="L377" s="169">
        <f t="shared" si="904"/>
        <v>0</v>
      </c>
      <c r="M377" s="169">
        <f t="shared" si="904"/>
        <v>0</v>
      </c>
      <c r="N377" s="169">
        <f t="shared" si="904"/>
        <v>0</v>
      </c>
      <c r="O377" s="169">
        <f t="shared" si="904"/>
        <v>0</v>
      </c>
      <c r="P377" s="169">
        <f t="shared" si="904"/>
        <v>0</v>
      </c>
      <c r="Q377" s="169">
        <f t="shared" si="904"/>
        <v>0</v>
      </c>
      <c r="R377" s="169">
        <f t="shared" si="904"/>
        <v>0</v>
      </c>
      <c r="S377" s="169">
        <f t="shared" si="904"/>
        <v>0</v>
      </c>
      <c r="T377" s="169">
        <f t="shared" si="904"/>
        <v>0</v>
      </c>
      <c r="U377" s="169">
        <f t="shared" si="904"/>
        <v>0</v>
      </c>
      <c r="V377" s="169">
        <f t="shared" si="904"/>
        <v>0</v>
      </c>
      <c r="W377" s="169">
        <f t="shared" si="904"/>
        <v>0</v>
      </c>
      <c r="X377" s="169">
        <f t="shared" si="904"/>
        <v>0</v>
      </c>
      <c r="Y377" s="169">
        <f t="shared" si="904"/>
        <v>0</v>
      </c>
      <c r="Z377" s="169">
        <f t="shared" si="904"/>
        <v>0</v>
      </c>
      <c r="AA377" s="169">
        <f t="shared" si="904"/>
        <v>0</v>
      </c>
      <c r="AB377" s="169">
        <f t="shared" si="904"/>
        <v>0</v>
      </c>
      <c r="AC377" s="169">
        <f t="shared" si="904"/>
        <v>0</v>
      </c>
      <c r="AD377" s="169">
        <f t="shared" si="904"/>
        <v>0</v>
      </c>
      <c r="AE377" s="169">
        <f t="shared" si="904"/>
        <v>0</v>
      </c>
      <c r="AF377" s="169">
        <f t="shared" si="904"/>
        <v>0</v>
      </c>
      <c r="AG377" s="169">
        <f t="shared" si="904"/>
        <v>0</v>
      </c>
      <c r="AH377" s="169">
        <f t="shared" si="904"/>
        <v>0</v>
      </c>
      <c r="AI377" s="169">
        <f t="shared" si="904"/>
        <v>0</v>
      </c>
      <c r="AJ377" s="169">
        <f t="shared" si="904"/>
        <v>0</v>
      </c>
      <c r="AK377" s="169">
        <f t="shared" si="904"/>
        <v>0</v>
      </c>
      <c r="AL377" s="169">
        <f t="shared" si="904"/>
        <v>0</v>
      </c>
      <c r="AM377" s="169">
        <f t="shared" si="904"/>
        <v>0</v>
      </c>
      <c r="AN377" s="169">
        <f t="shared" si="904"/>
        <v>0</v>
      </c>
      <c r="AO377" s="169">
        <f t="shared" si="904"/>
        <v>0</v>
      </c>
      <c r="AP377" s="169">
        <f t="shared" si="904"/>
        <v>0</v>
      </c>
    </row>
    <row r="378" spans="1:42" x14ac:dyDescent="0.2">
      <c r="A378" s="101">
        <f>A377+1</f>
        <v>2</v>
      </c>
      <c r="B378" s="179">
        <f t="shared" si="903"/>
        <v>0</v>
      </c>
      <c r="C378" s="208">
        <f t="shared" ref="C378:AP378" si="905">LOOKUP(C366,$B$335:$AP$335,$B$336:$AP$336)*$B718</f>
        <v>0</v>
      </c>
      <c r="D378" s="169">
        <f t="shared" si="905"/>
        <v>0</v>
      </c>
      <c r="E378" s="169">
        <f t="shared" si="905"/>
        <v>0</v>
      </c>
      <c r="F378" s="169">
        <f t="shared" si="905"/>
        <v>0</v>
      </c>
      <c r="G378" s="169">
        <f t="shared" si="905"/>
        <v>0</v>
      </c>
      <c r="H378" s="169">
        <f t="shared" si="905"/>
        <v>0</v>
      </c>
      <c r="I378" s="169">
        <f t="shared" si="905"/>
        <v>0</v>
      </c>
      <c r="J378" s="169">
        <f t="shared" si="905"/>
        <v>0</v>
      </c>
      <c r="K378" s="169">
        <f t="shared" si="905"/>
        <v>0</v>
      </c>
      <c r="L378" s="169">
        <f t="shared" si="905"/>
        <v>0</v>
      </c>
      <c r="M378" s="169">
        <f t="shared" si="905"/>
        <v>0</v>
      </c>
      <c r="N378" s="169">
        <f t="shared" si="905"/>
        <v>0</v>
      </c>
      <c r="O378" s="169">
        <f t="shared" si="905"/>
        <v>0</v>
      </c>
      <c r="P378" s="169">
        <f t="shared" si="905"/>
        <v>0</v>
      </c>
      <c r="Q378" s="169">
        <f t="shared" si="905"/>
        <v>0</v>
      </c>
      <c r="R378" s="169">
        <f t="shared" si="905"/>
        <v>0</v>
      </c>
      <c r="S378" s="169">
        <f t="shared" si="905"/>
        <v>0</v>
      </c>
      <c r="T378" s="169">
        <f t="shared" si="905"/>
        <v>0</v>
      </c>
      <c r="U378" s="169">
        <f t="shared" si="905"/>
        <v>0</v>
      </c>
      <c r="V378" s="169">
        <f t="shared" si="905"/>
        <v>0</v>
      </c>
      <c r="W378" s="169">
        <f t="shared" si="905"/>
        <v>0</v>
      </c>
      <c r="X378" s="169">
        <f t="shared" si="905"/>
        <v>0</v>
      </c>
      <c r="Y378" s="169">
        <f t="shared" si="905"/>
        <v>0</v>
      </c>
      <c r="Z378" s="169">
        <f t="shared" si="905"/>
        <v>0</v>
      </c>
      <c r="AA378" s="169">
        <f t="shared" si="905"/>
        <v>0</v>
      </c>
      <c r="AB378" s="169">
        <f t="shared" si="905"/>
        <v>0</v>
      </c>
      <c r="AC378" s="169">
        <f t="shared" si="905"/>
        <v>0</v>
      </c>
      <c r="AD378" s="169">
        <f t="shared" si="905"/>
        <v>0</v>
      </c>
      <c r="AE378" s="169">
        <f t="shared" si="905"/>
        <v>0</v>
      </c>
      <c r="AF378" s="169">
        <f t="shared" si="905"/>
        <v>0</v>
      </c>
      <c r="AG378" s="169">
        <f t="shared" si="905"/>
        <v>0</v>
      </c>
      <c r="AH378" s="169">
        <f t="shared" si="905"/>
        <v>0</v>
      </c>
      <c r="AI378" s="169">
        <f t="shared" si="905"/>
        <v>0</v>
      </c>
      <c r="AJ378" s="169">
        <f t="shared" si="905"/>
        <v>0</v>
      </c>
      <c r="AK378" s="169">
        <f t="shared" si="905"/>
        <v>0</v>
      </c>
      <c r="AL378" s="169">
        <f t="shared" si="905"/>
        <v>0</v>
      </c>
      <c r="AM378" s="169">
        <f t="shared" si="905"/>
        <v>0</v>
      </c>
      <c r="AN378" s="169">
        <f t="shared" si="905"/>
        <v>0</v>
      </c>
      <c r="AO378" s="169">
        <f t="shared" si="905"/>
        <v>0</v>
      </c>
      <c r="AP378" s="169">
        <f t="shared" si="905"/>
        <v>0</v>
      </c>
    </row>
    <row r="379" spans="1:42" x14ac:dyDescent="0.2">
      <c r="A379" s="101">
        <f t="shared" ref="A379:A386" si="906">A378+1</f>
        <v>3</v>
      </c>
      <c r="B379" s="179">
        <f t="shared" si="903"/>
        <v>0</v>
      </c>
      <c r="C379" s="208">
        <f t="shared" ref="C379:AP379" si="907">LOOKUP(C367,$B$335:$AP$335,$B$336:$AP$336)*$B719</f>
        <v>0</v>
      </c>
      <c r="D379" s="169">
        <f t="shared" si="907"/>
        <v>0</v>
      </c>
      <c r="E379" s="169">
        <f t="shared" si="907"/>
        <v>0</v>
      </c>
      <c r="F379" s="169">
        <f t="shared" si="907"/>
        <v>0</v>
      </c>
      <c r="G379" s="169">
        <f t="shared" si="907"/>
        <v>0</v>
      </c>
      <c r="H379" s="169">
        <f t="shared" si="907"/>
        <v>0</v>
      </c>
      <c r="I379" s="169">
        <f t="shared" si="907"/>
        <v>0</v>
      </c>
      <c r="J379" s="169">
        <f t="shared" si="907"/>
        <v>0</v>
      </c>
      <c r="K379" s="169">
        <f t="shared" si="907"/>
        <v>0</v>
      </c>
      <c r="L379" s="169">
        <f t="shared" si="907"/>
        <v>0</v>
      </c>
      <c r="M379" s="169">
        <f t="shared" si="907"/>
        <v>0</v>
      </c>
      <c r="N379" s="169">
        <f t="shared" si="907"/>
        <v>0</v>
      </c>
      <c r="O379" s="169">
        <f t="shared" si="907"/>
        <v>0</v>
      </c>
      <c r="P379" s="169">
        <f t="shared" si="907"/>
        <v>0</v>
      </c>
      <c r="Q379" s="169">
        <f t="shared" si="907"/>
        <v>0</v>
      </c>
      <c r="R379" s="169">
        <f t="shared" si="907"/>
        <v>0</v>
      </c>
      <c r="S379" s="169">
        <f t="shared" si="907"/>
        <v>0</v>
      </c>
      <c r="T379" s="169">
        <f t="shared" si="907"/>
        <v>0</v>
      </c>
      <c r="U379" s="169">
        <f t="shared" si="907"/>
        <v>0</v>
      </c>
      <c r="V379" s="169">
        <f t="shared" si="907"/>
        <v>0</v>
      </c>
      <c r="W379" s="169">
        <f t="shared" si="907"/>
        <v>0</v>
      </c>
      <c r="X379" s="169">
        <f t="shared" si="907"/>
        <v>0</v>
      </c>
      <c r="Y379" s="169">
        <f t="shared" si="907"/>
        <v>0</v>
      </c>
      <c r="Z379" s="169">
        <f t="shared" si="907"/>
        <v>0</v>
      </c>
      <c r="AA379" s="169">
        <f t="shared" si="907"/>
        <v>0</v>
      </c>
      <c r="AB379" s="169">
        <f t="shared" si="907"/>
        <v>0</v>
      </c>
      <c r="AC379" s="169">
        <f t="shared" si="907"/>
        <v>0</v>
      </c>
      <c r="AD379" s="169">
        <f t="shared" si="907"/>
        <v>0</v>
      </c>
      <c r="AE379" s="169">
        <f t="shared" si="907"/>
        <v>0</v>
      </c>
      <c r="AF379" s="169">
        <f t="shared" si="907"/>
        <v>0</v>
      </c>
      <c r="AG379" s="169">
        <f t="shared" si="907"/>
        <v>0</v>
      </c>
      <c r="AH379" s="169">
        <f t="shared" si="907"/>
        <v>0</v>
      </c>
      <c r="AI379" s="169">
        <f t="shared" si="907"/>
        <v>0</v>
      </c>
      <c r="AJ379" s="169">
        <f t="shared" si="907"/>
        <v>0</v>
      </c>
      <c r="AK379" s="169">
        <f t="shared" si="907"/>
        <v>0</v>
      </c>
      <c r="AL379" s="169">
        <f t="shared" si="907"/>
        <v>0</v>
      </c>
      <c r="AM379" s="169">
        <f t="shared" si="907"/>
        <v>0</v>
      </c>
      <c r="AN379" s="169">
        <f t="shared" si="907"/>
        <v>0</v>
      </c>
      <c r="AO379" s="169">
        <f t="shared" si="907"/>
        <v>0</v>
      </c>
      <c r="AP379" s="169">
        <f t="shared" si="907"/>
        <v>0</v>
      </c>
    </row>
    <row r="380" spans="1:42" x14ac:dyDescent="0.2">
      <c r="A380" s="101">
        <f t="shared" si="906"/>
        <v>4</v>
      </c>
      <c r="B380" s="179">
        <f t="shared" si="903"/>
        <v>0</v>
      </c>
      <c r="C380" s="208">
        <f t="shared" ref="C380:AP380" si="908">LOOKUP(C368,$B$335:$AP$335,$B$336:$AP$336)*$B720</f>
        <v>0</v>
      </c>
      <c r="D380" s="169">
        <f t="shared" si="908"/>
        <v>0</v>
      </c>
      <c r="E380" s="169">
        <f t="shared" si="908"/>
        <v>0</v>
      </c>
      <c r="F380" s="169">
        <f t="shared" si="908"/>
        <v>0</v>
      </c>
      <c r="G380" s="169">
        <f t="shared" si="908"/>
        <v>0</v>
      </c>
      <c r="H380" s="169">
        <f t="shared" si="908"/>
        <v>0</v>
      </c>
      <c r="I380" s="169">
        <f t="shared" si="908"/>
        <v>0</v>
      </c>
      <c r="J380" s="169">
        <f t="shared" si="908"/>
        <v>0</v>
      </c>
      <c r="K380" s="169">
        <f t="shared" si="908"/>
        <v>0</v>
      </c>
      <c r="L380" s="169">
        <f t="shared" si="908"/>
        <v>0</v>
      </c>
      <c r="M380" s="169">
        <f t="shared" si="908"/>
        <v>0</v>
      </c>
      <c r="N380" s="169">
        <f t="shared" si="908"/>
        <v>0</v>
      </c>
      <c r="O380" s="169">
        <f t="shared" si="908"/>
        <v>0</v>
      </c>
      <c r="P380" s="169">
        <f t="shared" si="908"/>
        <v>0</v>
      </c>
      <c r="Q380" s="169">
        <f t="shared" si="908"/>
        <v>0</v>
      </c>
      <c r="R380" s="169">
        <f t="shared" si="908"/>
        <v>0</v>
      </c>
      <c r="S380" s="169">
        <f t="shared" si="908"/>
        <v>0</v>
      </c>
      <c r="T380" s="169">
        <f t="shared" si="908"/>
        <v>0</v>
      </c>
      <c r="U380" s="169">
        <f t="shared" si="908"/>
        <v>0</v>
      </c>
      <c r="V380" s="169">
        <f t="shared" si="908"/>
        <v>0</v>
      </c>
      <c r="W380" s="169">
        <f t="shared" si="908"/>
        <v>0</v>
      </c>
      <c r="X380" s="169">
        <f t="shared" si="908"/>
        <v>0</v>
      </c>
      <c r="Y380" s="169">
        <f t="shared" si="908"/>
        <v>0</v>
      </c>
      <c r="Z380" s="169">
        <f t="shared" si="908"/>
        <v>0</v>
      </c>
      <c r="AA380" s="169">
        <f t="shared" si="908"/>
        <v>0</v>
      </c>
      <c r="AB380" s="169">
        <f t="shared" si="908"/>
        <v>0</v>
      </c>
      <c r="AC380" s="169">
        <f t="shared" si="908"/>
        <v>0</v>
      </c>
      <c r="AD380" s="169">
        <f t="shared" si="908"/>
        <v>0</v>
      </c>
      <c r="AE380" s="169">
        <f t="shared" si="908"/>
        <v>0</v>
      </c>
      <c r="AF380" s="169">
        <f t="shared" si="908"/>
        <v>0</v>
      </c>
      <c r="AG380" s="169">
        <f t="shared" si="908"/>
        <v>0</v>
      </c>
      <c r="AH380" s="169">
        <f t="shared" si="908"/>
        <v>0</v>
      </c>
      <c r="AI380" s="169">
        <f t="shared" si="908"/>
        <v>0</v>
      </c>
      <c r="AJ380" s="169">
        <f t="shared" si="908"/>
        <v>0</v>
      </c>
      <c r="AK380" s="169">
        <f t="shared" si="908"/>
        <v>0</v>
      </c>
      <c r="AL380" s="169">
        <f t="shared" si="908"/>
        <v>0</v>
      </c>
      <c r="AM380" s="169">
        <f t="shared" si="908"/>
        <v>0</v>
      </c>
      <c r="AN380" s="169">
        <f t="shared" si="908"/>
        <v>0</v>
      </c>
      <c r="AO380" s="169">
        <f t="shared" si="908"/>
        <v>0</v>
      </c>
      <c r="AP380" s="169">
        <f t="shared" si="908"/>
        <v>0</v>
      </c>
    </row>
    <row r="381" spans="1:42" x14ac:dyDescent="0.2">
      <c r="A381" s="101">
        <f t="shared" si="906"/>
        <v>5</v>
      </c>
      <c r="B381" s="179">
        <f t="shared" si="903"/>
        <v>0</v>
      </c>
      <c r="C381" s="208">
        <f t="shared" ref="C381:AP381" si="909">LOOKUP(C369,$B$335:$AP$335,$B$336:$AP$336)*$B721</f>
        <v>0</v>
      </c>
      <c r="D381" s="169">
        <f t="shared" si="909"/>
        <v>0</v>
      </c>
      <c r="E381" s="169">
        <f t="shared" si="909"/>
        <v>0</v>
      </c>
      <c r="F381" s="169">
        <f t="shared" si="909"/>
        <v>0</v>
      </c>
      <c r="G381" s="169">
        <f t="shared" si="909"/>
        <v>0</v>
      </c>
      <c r="H381" s="169">
        <f t="shared" si="909"/>
        <v>0</v>
      </c>
      <c r="I381" s="169">
        <f t="shared" si="909"/>
        <v>0</v>
      </c>
      <c r="J381" s="169">
        <f t="shared" si="909"/>
        <v>0</v>
      </c>
      <c r="K381" s="169">
        <f t="shared" si="909"/>
        <v>0</v>
      </c>
      <c r="L381" s="169">
        <f t="shared" si="909"/>
        <v>0</v>
      </c>
      <c r="M381" s="169">
        <f t="shared" si="909"/>
        <v>0</v>
      </c>
      <c r="N381" s="169">
        <f t="shared" si="909"/>
        <v>0</v>
      </c>
      <c r="O381" s="169">
        <f t="shared" si="909"/>
        <v>0</v>
      </c>
      <c r="P381" s="169">
        <f t="shared" si="909"/>
        <v>0</v>
      </c>
      <c r="Q381" s="169">
        <f t="shared" si="909"/>
        <v>0</v>
      </c>
      <c r="R381" s="169">
        <f t="shared" si="909"/>
        <v>0</v>
      </c>
      <c r="S381" s="169">
        <f t="shared" si="909"/>
        <v>0</v>
      </c>
      <c r="T381" s="169">
        <f t="shared" si="909"/>
        <v>0</v>
      </c>
      <c r="U381" s="169">
        <f t="shared" si="909"/>
        <v>0</v>
      </c>
      <c r="V381" s="169">
        <f t="shared" si="909"/>
        <v>0</v>
      </c>
      <c r="W381" s="169">
        <f t="shared" si="909"/>
        <v>0</v>
      </c>
      <c r="X381" s="169">
        <f t="shared" si="909"/>
        <v>0</v>
      </c>
      <c r="Y381" s="169">
        <f t="shared" si="909"/>
        <v>0</v>
      </c>
      <c r="Z381" s="169">
        <f t="shared" si="909"/>
        <v>0</v>
      </c>
      <c r="AA381" s="169">
        <f t="shared" si="909"/>
        <v>0</v>
      </c>
      <c r="AB381" s="169">
        <f t="shared" si="909"/>
        <v>0</v>
      </c>
      <c r="AC381" s="169">
        <f t="shared" si="909"/>
        <v>0</v>
      </c>
      <c r="AD381" s="169">
        <f t="shared" si="909"/>
        <v>0</v>
      </c>
      <c r="AE381" s="169">
        <f t="shared" si="909"/>
        <v>0</v>
      </c>
      <c r="AF381" s="169">
        <f t="shared" si="909"/>
        <v>0</v>
      </c>
      <c r="AG381" s="169">
        <f t="shared" si="909"/>
        <v>0</v>
      </c>
      <c r="AH381" s="169">
        <f t="shared" si="909"/>
        <v>0</v>
      </c>
      <c r="AI381" s="169">
        <f t="shared" si="909"/>
        <v>0</v>
      </c>
      <c r="AJ381" s="169">
        <f t="shared" si="909"/>
        <v>0</v>
      </c>
      <c r="AK381" s="169">
        <f t="shared" si="909"/>
        <v>0</v>
      </c>
      <c r="AL381" s="169">
        <f t="shared" si="909"/>
        <v>0</v>
      </c>
      <c r="AM381" s="169">
        <f t="shared" si="909"/>
        <v>0</v>
      </c>
      <c r="AN381" s="169">
        <f t="shared" si="909"/>
        <v>0</v>
      </c>
      <c r="AO381" s="169">
        <f t="shared" si="909"/>
        <v>0</v>
      </c>
      <c r="AP381" s="169">
        <f t="shared" si="909"/>
        <v>0</v>
      </c>
    </row>
    <row r="382" spans="1:42" x14ac:dyDescent="0.2">
      <c r="A382" s="101">
        <f t="shared" si="906"/>
        <v>6</v>
      </c>
      <c r="B382" s="179">
        <f t="shared" si="903"/>
        <v>0</v>
      </c>
      <c r="C382" s="208">
        <f t="shared" ref="C382:AP382" si="910">LOOKUP(C370,$B$335:$AP$335,$B$336:$AP$336)*$B722</f>
        <v>0</v>
      </c>
      <c r="D382" s="169">
        <f t="shared" si="910"/>
        <v>0</v>
      </c>
      <c r="E382" s="169">
        <f t="shared" si="910"/>
        <v>0</v>
      </c>
      <c r="F382" s="169">
        <f t="shared" si="910"/>
        <v>0</v>
      </c>
      <c r="G382" s="169">
        <f t="shared" si="910"/>
        <v>0</v>
      </c>
      <c r="H382" s="169">
        <f t="shared" si="910"/>
        <v>0</v>
      </c>
      <c r="I382" s="169">
        <f t="shared" si="910"/>
        <v>0</v>
      </c>
      <c r="J382" s="169">
        <f t="shared" si="910"/>
        <v>0</v>
      </c>
      <c r="K382" s="169">
        <f t="shared" si="910"/>
        <v>0</v>
      </c>
      <c r="L382" s="169">
        <f t="shared" si="910"/>
        <v>0</v>
      </c>
      <c r="M382" s="169">
        <f t="shared" si="910"/>
        <v>0</v>
      </c>
      <c r="N382" s="169">
        <f t="shared" si="910"/>
        <v>0</v>
      </c>
      <c r="O382" s="169">
        <f t="shared" si="910"/>
        <v>0</v>
      </c>
      <c r="P382" s="169">
        <f t="shared" si="910"/>
        <v>0</v>
      </c>
      <c r="Q382" s="169">
        <f t="shared" si="910"/>
        <v>0</v>
      </c>
      <c r="R382" s="169">
        <f t="shared" si="910"/>
        <v>0</v>
      </c>
      <c r="S382" s="169">
        <f t="shared" si="910"/>
        <v>0</v>
      </c>
      <c r="T382" s="169">
        <f t="shared" si="910"/>
        <v>0</v>
      </c>
      <c r="U382" s="169">
        <f t="shared" si="910"/>
        <v>0</v>
      </c>
      <c r="V382" s="169">
        <f t="shared" si="910"/>
        <v>0</v>
      </c>
      <c r="W382" s="169">
        <f t="shared" si="910"/>
        <v>0</v>
      </c>
      <c r="X382" s="169">
        <f t="shared" si="910"/>
        <v>0</v>
      </c>
      <c r="Y382" s="169">
        <f t="shared" si="910"/>
        <v>0</v>
      </c>
      <c r="Z382" s="169">
        <f t="shared" si="910"/>
        <v>0</v>
      </c>
      <c r="AA382" s="169">
        <f t="shared" si="910"/>
        <v>0</v>
      </c>
      <c r="AB382" s="169">
        <f t="shared" si="910"/>
        <v>0</v>
      </c>
      <c r="AC382" s="169">
        <f t="shared" si="910"/>
        <v>0</v>
      </c>
      <c r="AD382" s="169">
        <f t="shared" si="910"/>
        <v>0</v>
      </c>
      <c r="AE382" s="169">
        <f t="shared" si="910"/>
        <v>0</v>
      </c>
      <c r="AF382" s="169">
        <f t="shared" si="910"/>
        <v>0</v>
      </c>
      <c r="AG382" s="169">
        <f t="shared" si="910"/>
        <v>0</v>
      </c>
      <c r="AH382" s="169">
        <f t="shared" si="910"/>
        <v>0</v>
      </c>
      <c r="AI382" s="169">
        <f t="shared" si="910"/>
        <v>0</v>
      </c>
      <c r="AJ382" s="169">
        <f t="shared" si="910"/>
        <v>0</v>
      </c>
      <c r="AK382" s="169">
        <f t="shared" si="910"/>
        <v>0</v>
      </c>
      <c r="AL382" s="169">
        <f t="shared" si="910"/>
        <v>0</v>
      </c>
      <c r="AM382" s="169">
        <f t="shared" si="910"/>
        <v>0</v>
      </c>
      <c r="AN382" s="169">
        <f t="shared" si="910"/>
        <v>0</v>
      </c>
      <c r="AO382" s="169">
        <f t="shared" si="910"/>
        <v>0</v>
      </c>
      <c r="AP382" s="169">
        <f t="shared" si="910"/>
        <v>0</v>
      </c>
    </row>
    <row r="383" spans="1:42" x14ac:dyDescent="0.2">
      <c r="A383" s="101">
        <f t="shared" si="906"/>
        <v>7</v>
      </c>
      <c r="B383" s="179">
        <f t="shared" si="903"/>
        <v>0</v>
      </c>
      <c r="C383" s="208">
        <f t="shared" ref="C383:AP383" si="911">LOOKUP(C371,$B$335:$AP$335,$B$336:$AP$336)*$B723</f>
        <v>0</v>
      </c>
      <c r="D383" s="169">
        <f t="shared" si="911"/>
        <v>0</v>
      </c>
      <c r="E383" s="169">
        <f t="shared" si="911"/>
        <v>0</v>
      </c>
      <c r="F383" s="169">
        <f t="shared" si="911"/>
        <v>0</v>
      </c>
      <c r="G383" s="169">
        <f t="shared" si="911"/>
        <v>0</v>
      </c>
      <c r="H383" s="169">
        <f t="shared" si="911"/>
        <v>0</v>
      </c>
      <c r="I383" s="169">
        <f t="shared" si="911"/>
        <v>0</v>
      </c>
      <c r="J383" s="169">
        <f t="shared" si="911"/>
        <v>0</v>
      </c>
      <c r="K383" s="169">
        <f t="shared" si="911"/>
        <v>0</v>
      </c>
      <c r="L383" s="169">
        <f t="shared" si="911"/>
        <v>0</v>
      </c>
      <c r="M383" s="169">
        <f t="shared" si="911"/>
        <v>0</v>
      </c>
      <c r="N383" s="169">
        <f t="shared" si="911"/>
        <v>0</v>
      </c>
      <c r="O383" s="169">
        <f t="shared" si="911"/>
        <v>0</v>
      </c>
      <c r="P383" s="169">
        <f t="shared" si="911"/>
        <v>0</v>
      </c>
      <c r="Q383" s="169">
        <f t="shared" si="911"/>
        <v>0</v>
      </c>
      <c r="R383" s="169">
        <f t="shared" si="911"/>
        <v>0</v>
      </c>
      <c r="S383" s="169">
        <f t="shared" si="911"/>
        <v>0</v>
      </c>
      <c r="T383" s="169">
        <f t="shared" si="911"/>
        <v>0</v>
      </c>
      <c r="U383" s="169">
        <f t="shared" si="911"/>
        <v>0</v>
      </c>
      <c r="V383" s="169">
        <f t="shared" si="911"/>
        <v>0</v>
      </c>
      <c r="W383" s="169">
        <f t="shared" si="911"/>
        <v>0</v>
      </c>
      <c r="X383" s="169">
        <f t="shared" si="911"/>
        <v>0</v>
      </c>
      <c r="Y383" s="169">
        <f t="shared" si="911"/>
        <v>0</v>
      </c>
      <c r="Z383" s="169">
        <f t="shared" si="911"/>
        <v>0</v>
      </c>
      <c r="AA383" s="169">
        <f t="shared" si="911"/>
        <v>0</v>
      </c>
      <c r="AB383" s="169">
        <f t="shared" si="911"/>
        <v>0</v>
      </c>
      <c r="AC383" s="169">
        <f t="shared" si="911"/>
        <v>0</v>
      </c>
      <c r="AD383" s="169">
        <f t="shared" si="911"/>
        <v>0</v>
      </c>
      <c r="AE383" s="169">
        <f t="shared" si="911"/>
        <v>0</v>
      </c>
      <c r="AF383" s="169">
        <f t="shared" si="911"/>
        <v>0</v>
      </c>
      <c r="AG383" s="169">
        <f t="shared" si="911"/>
        <v>0</v>
      </c>
      <c r="AH383" s="169">
        <f t="shared" si="911"/>
        <v>0</v>
      </c>
      <c r="AI383" s="169">
        <f t="shared" si="911"/>
        <v>0</v>
      </c>
      <c r="AJ383" s="169">
        <f t="shared" si="911"/>
        <v>0</v>
      </c>
      <c r="AK383" s="169">
        <f t="shared" si="911"/>
        <v>0</v>
      </c>
      <c r="AL383" s="169">
        <f t="shared" si="911"/>
        <v>0</v>
      </c>
      <c r="AM383" s="169">
        <f t="shared" si="911"/>
        <v>0</v>
      </c>
      <c r="AN383" s="169">
        <f t="shared" si="911"/>
        <v>0</v>
      </c>
      <c r="AO383" s="169">
        <f t="shared" si="911"/>
        <v>0</v>
      </c>
      <c r="AP383" s="169">
        <f t="shared" si="911"/>
        <v>0</v>
      </c>
    </row>
    <row r="384" spans="1:42" x14ac:dyDescent="0.2">
      <c r="A384" s="101">
        <f t="shared" si="906"/>
        <v>8</v>
      </c>
      <c r="B384" s="179">
        <f t="shared" si="903"/>
        <v>0</v>
      </c>
      <c r="C384" s="208">
        <f t="shared" ref="C384:AP384" si="912">LOOKUP(C372,$B$335:$AP$335,$B$336:$AP$336)*$B724</f>
        <v>0</v>
      </c>
      <c r="D384" s="169">
        <f t="shared" si="912"/>
        <v>0</v>
      </c>
      <c r="E384" s="169">
        <f t="shared" si="912"/>
        <v>0</v>
      </c>
      <c r="F384" s="169">
        <f t="shared" si="912"/>
        <v>0</v>
      </c>
      <c r="G384" s="169">
        <f t="shared" si="912"/>
        <v>0</v>
      </c>
      <c r="H384" s="169">
        <f t="shared" si="912"/>
        <v>0</v>
      </c>
      <c r="I384" s="169">
        <f t="shared" si="912"/>
        <v>0</v>
      </c>
      <c r="J384" s="169">
        <f t="shared" si="912"/>
        <v>0</v>
      </c>
      <c r="K384" s="169">
        <f t="shared" si="912"/>
        <v>0</v>
      </c>
      <c r="L384" s="169">
        <f t="shared" si="912"/>
        <v>0</v>
      </c>
      <c r="M384" s="169">
        <f t="shared" si="912"/>
        <v>0</v>
      </c>
      <c r="N384" s="169">
        <f t="shared" si="912"/>
        <v>0</v>
      </c>
      <c r="O384" s="169">
        <f t="shared" si="912"/>
        <v>0</v>
      </c>
      <c r="P384" s="169">
        <f t="shared" si="912"/>
        <v>0</v>
      </c>
      <c r="Q384" s="169">
        <f t="shared" si="912"/>
        <v>0</v>
      </c>
      <c r="R384" s="169">
        <f t="shared" si="912"/>
        <v>0</v>
      </c>
      <c r="S384" s="169">
        <f t="shared" si="912"/>
        <v>0</v>
      </c>
      <c r="T384" s="169">
        <f t="shared" si="912"/>
        <v>0</v>
      </c>
      <c r="U384" s="169">
        <f t="shared" si="912"/>
        <v>0</v>
      </c>
      <c r="V384" s="169">
        <f t="shared" si="912"/>
        <v>0</v>
      </c>
      <c r="W384" s="169">
        <f t="shared" si="912"/>
        <v>0</v>
      </c>
      <c r="X384" s="169">
        <f t="shared" si="912"/>
        <v>0</v>
      </c>
      <c r="Y384" s="169">
        <f t="shared" si="912"/>
        <v>0</v>
      </c>
      <c r="Z384" s="169">
        <f t="shared" si="912"/>
        <v>0</v>
      </c>
      <c r="AA384" s="169">
        <f t="shared" si="912"/>
        <v>0</v>
      </c>
      <c r="AB384" s="169">
        <f t="shared" si="912"/>
        <v>0</v>
      </c>
      <c r="AC384" s="169">
        <f t="shared" si="912"/>
        <v>0</v>
      </c>
      <c r="AD384" s="169">
        <f t="shared" si="912"/>
        <v>0</v>
      </c>
      <c r="AE384" s="169">
        <f t="shared" si="912"/>
        <v>0</v>
      </c>
      <c r="AF384" s="169">
        <f t="shared" si="912"/>
        <v>0</v>
      </c>
      <c r="AG384" s="169">
        <f t="shared" si="912"/>
        <v>0</v>
      </c>
      <c r="AH384" s="169">
        <f t="shared" si="912"/>
        <v>0</v>
      </c>
      <c r="AI384" s="169">
        <f t="shared" si="912"/>
        <v>0</v>
      </c>
      <c r="AJ384" s="169">
        <f t="shared" si="912"/>
        <v>0</v>
      </c>
      <c r="AK384" s="169">
        <f t="shared" si="912"/>
        <v>0</v>
      </c>
      <c r="AL384" s="169">
        <f t="shared" si="912"/>
        <v>0</v>
      </c>
      <c r="AM384" s="169">
        <f t="shared" si="912"/>
        <v>0</v>
      </c>
      <c r="AN384" s="169">
        <f t="shared" si="912"/>
        <v>0</v>
      </c>
      <c r="AO384" s="169">
        <f t="shared" si="912"/>
        <v>0</v>
      </c>
      <c r="AP384" s="169">
        <f t="shared" si="912"/>
        <v>0</v>
      </c>
    </row>
    <row r="385" spans="1:42" x14ac:dyDescent="0.2">
      <c r="A385" s="101">
        <f>A384+1</f>
        <v>9</v>
      </c>
      <c r="B385" s="179">
        <f t="shared" si="903"/>
        <v>0</v>
      </c>
      <c r="C385" s="208">
        <f t="shared" ref="C385:AP385" si="913">LOOKUP(C373,$B$335:$AP$335,$B$336:$AP$336)*$B725</f>
        <v>0</v>
      </c>
      <c r="D385" s="169">
        <f t="shared" si="913"/>
        <v>0</v>
      </c>
      <c r="E385" s="169">
        <f t="shared" si="913"/>
        <v>0</v>
      </c>
      <c r="F385" s="169">
        <f t="shared" si="913"/>
        <v>0</v>
      </c>
      <c r="G385" s="169">
        <f t="shared" si="913"/>
        <v>0</v>
      </c>
      <c r="H385" s="169">
        <f t="shared" si="913"/>
        <v>0</v>
      </c>
      <c r="I385" s="169">
        <f t="shared" si="913"/>
        <v>0</v>
      </c>
      <c r="J385" s="169">
        <f t="shared" si="913"/>
        <v>0</v>
      </c>
      <c r="K385" s="169">
        <f t="shared" si="913"/>
        <v>0</v>
      </c>
      <c r="L385" s="169">
        <f t="shared" si="913"/>
        <v>0</v>
      </c>
      <c r="M385" s="169">
        <f t="shared" si="913"/>
        <v>0</v>
      </c>
      <c r="N385" s="169">
        <f t="shared" si="913"/>
        <v>0</v>
      </c>
      <c r="O385" s="169">
        <f t="shared" si="913"/>
        <v>0</v>
      </c>
      <c r="P385" s="169">
        <f t="shared" si="913"/>
        <v>0</v>
      </c>
      <c r="Q385" s="169">
        <f t="shared" si="913"/>
        <v>0</v>
      </c>
      <c r="R385" s="169">
        <f t="shared" si="913"/>
        <v>0</v>
      </c>
      <c r="S385" s="169">
        <f t="shared" si="913"/>
        <v>0</v>
      </c>
      <c r="T385" s="169">
        <f t="shared" si="913"/>
        <v>0</v>
      </c>
      <c r="U385" s="169">
        <f t="shared" si="913"/>
        <v>0</v>
      </c>
      <c r="V385" s="169">
        <f t="shared" si="913"/>
        <v>0</v>
      </c>
      <c r="W385" s="169">
        <f t="shared" si="913"/>
        <v>0</v>
      </c>
      <c r="X385" s="169">
        <f t="shared" si="913"/>
        <v>0</v>
      </c>
      <c r="Y385" s="169">
        <f t="shared" si="913"/>
        <v>0</v>
      </c>
      <c r="Z385" s="169">
        <f t="shared" si="913"/>
        <v>0</v>
      </c>
      <c r="AA385" s="169">
        <f t="shared" si="913"/>
        <v>0</v>
      </c>
      <c r="AB385" s="169">
        <f t="shared" si="913"/>
        <v>0</v>
      </c>
      <c r="AC385" s="169">
        <f t="shared" si="913"/>
        <v>0</v>
      </c>
      <c r="AD385" s="169">
        <f t="shared" si="913"/>
        <v>0</v>
      </c>
      <c r="AE385" s="169">
        <f t="shared" si="913"/>
        <v>0</v>
      </c>
      <c r="AF385" s="169">
        <f t="shared" si="913"/>
        <v>0</v>
      </c>
      <c r="AG385" s="169">
        <f t="shared" si="913"/>
        <v>0</v>
      </c>
      <c r="AH385" s="169">
        <f t="shared" si="913"/>
        <v>0</v>
      </c>
      <c r="AI385" s="169">
        <f t="shared" si="913"/>
        <v>0</v>
      </c>
      <c r="AJ385" s="169">
        <f t="shared" si="913"/>
        <v>0</v>
      </c>
      <c r="AK385" s="169">
        <f t="shared" si="913"/>
        <v>0</v>
      </c>
      <c r="AL385" s="169">
        <f t="shared" si="913"/>
        <v>0</v>
      </c>
      <c r="AM385" s="169">
        <f t="shared" si="913"/>
        <v>0</v>
      </c>
      <c r="AN385" s="169">
        <f t="shared" si="913"/>
        <v>0</v>
      </c>
      <c r="AO385" s="169">
        <f t="shared" si="913"/>
        <v>0</v>
      </c>
      <c r="AP385" s="169">
        <f t="shared" si="913"/>
        <v>0</v>
      </c>
    </row>
    <row r="386" spans="1:42" x14ac:dyDescent="0.2">
      <c r="A386" s="101">
        <f t="shared" si="906"/>
        <v>10</v>
      </c>
      <c r="B386" s="179">
        <f t="shared" si="903"/>
        <v>0</v>
      </c>
      <c r="C386" s="204">
        <f t="shared" ref="C386:AP386" si="914">LOOKUP(C374,$B$335:$AP$335,$B$336:$AP$336)*$B726</f>
        <v>0</v>
      </c>
      <c r="D386" s="170">
        <f t="shared" si="914"/>
        <v>0</v>
      </c>
      <c r="E386" s="170">
        <f t="shared" si="914"/>
        <v>0</v>
      </c>
      <c r="F386" s="170">
        <f t="shared" si="914"/>
        <v>0</v>
      </c>
      <c r="G386" s="170">
        <f t="shared" si="914"/>
        <v>0</v>
      </c>
      <c r="H386" s="170">
        <f t="shared" si="914"/>
        <v>0</v>
      </c>
      <c r="I386" s="170">
        <f t="shared" si="914"/>
        <v>0</v>
      </c>
      <c r="J386" s="170">
        <f t="shared" si="914"/>
        <v>0</v>
      </c>
      <c r="K386" s="170">
        <f t="shared" si="914"/>
        <v>0</v>
      </c>
      <c r="L386" s="170">
        <f t="shared" si="914"/>
        <v>0</v>
      </c>
      <c r="M386" s="170">
        <f t="shared" si="914"/>
        <v>0</v>
      </c>
      <c r="N386" s="170">
        <f t="shared" si="914"/>
        <v>0</v>
      </c>
      <c r="O386" s="170">
        <f t="shared" si="914"/>
        <v>0</v>
      </c>
      <c r="P386" s="170">
        <f t="shared" si="914"/>
        <v>0</v>
      </c>
      <c r="Q386" s="170">
        <f t="shared" si="914"/>
        <v>0</v>
      </c>
      <c r="R386" s="170">
        <f t="shared" si="914"/>
        <v>0</v>
      </c>
      <c r="S386" s="170">
        <f t="shared" si="914"/>
        <v>0</v>
      </c>
      <c r="T386" s="170">
        <f t="shared" si="914"/>
        <v>0</v>
      </c>
      <c r="U386" s="170">
        <f t="shared" si="914"/>
        <v>0</v>
      </c>
      <c r="V386" s="170">
        <f t="shared" si="914"/>
        <v>0</v>
      </c>
      <c r="W386" s="170">
        <f t="shared" si="914"/>
        <v>0</v>
      </c>
      <c r="X386" s="170">
        <f t="shared" si="914"/>
        <v>0</v>
      </c>
      <c r="Y386" s="170">
        <f t="shared" si="914"/>
        <v>0</v>
      </c>
      <c r="Z386" s="170">
        <f t="shared" si="914"/>
        <v>0</v>
      </c>
      <c r="AA386" s="170">
        <f t="shared" si="914"/>
        <v>0</v>
      </c>
      <c r="AB386" s="170">
        <f t="shared" si="914"/>
        <v>0</v>
      </c>
      <c r="AC386" s="170">
        <f t="shared" si="914"/>
        <v>0</v>
      </c>
      <c r="AD386" s="170">
        <f t="shared" si="914"/>
        <v>0</v>
      </c>
      <c r="AE386" s="170">
        <f t="shared" si="914"/>
        <v>0</v>
      </c>
      <c r="AF386" s="170">
        <f t="shared" si="914"/>
        <v>0</v>
      </c>
      <c r="AG386" s="170">
        <f t="shared" si="914"/>
        <v>0</v>
      </c>
      <c r="AH386" s="170">
        <f t="shared" si="914"/>
        <v>0</v>
      </c>
      <c r="AI386" s="170">
        <f t="shared" si="914"/>
        <v>0</v>
      </c>
      <c r="AJ386" s="170">
        <f t="shared" si="914"/>
        <v>0</v>
      </c>
      <c r="AK386" s="170">
        <f t="shared" si="914"/>
        <v>0</v>
      </c>
      <c r="AL386" s="170">
        <f t="shared" si="914"/>
        <v>0</v>
      </c>
      <c r="AM386" s="170">
        <f t="shared" si="914"/>
        <v>0</v>
      </c>
      <c r="AN386" s="170">
        <f t="shared" si="914"/>
        <v>0</v>
      </c>
      <c r="AO386" s="170">
        <f t="shared" si="914"/>
        <v>0</v>
      </c>
      <c r="AP386" s="170">
        <f t="shared" si="914"/>
        <v>0</v>
      </c>
    </row>
    <row r="387" spans="1:42" s="101" customFormat="1" ht="12" customHeight="1" x14ac:dyDescent="0.2">
      <c r="A387" s="205" t="s">
        <v>53</v>
      </c>
      <c r="B387" s="124"/>
      <c r="C387" s="124">
        <f>SUM(C377:C386)</f>
        <v>0</v>
      </c>
      <c r="D387" s="124">
        <f t="shared" ref="D387:AP387" si="915">SUM(D377:D386)</f>
        <v>0</v>
      </c>
      <c r="E387" s="124">
        <f t="shared" si="915"/>
        <v>0</v>
      </c>
      <c r="F387" s="124">
        <f t="shared" si="915"/>
        <v>0</v>
      </c>
      <c r="G387" s="124">
        <f t="shared" si="915"/>
        <v>0</v>
      </c>
      <c r="H387" s="124">
        <f t="shared" si="915"/>
        <v>0</v>
      </c>
      <c r="I387" s="124">
        <f t="shared" si="915"/>
        <v>0</v>
      </c>
      <c r="J387" s="124">
        <f t="shared" si="915"/>
        <v>0</v>
      </c>
      <c r="K387" s="124">
        <f t="shared" si="915"/>
        <v>0</v>
      </c>
      <c r="L387" s="124">
        <f t="shared" si="915"/>
        <v>0</v>
      </c>
      <c r="M387" s="124">
        <f t="shared" si="915"/>
        <v>0</v>
      </c>
      <c r="N387" s="124">
        <f t="shared" si="915"/>
        <v>0</v>
      </c>
      <c r="O387" s="124">
        <f t="shared" si="915"/>
        <v>0</v>
      </c>
      <c r="P387" s="124">
        <f t="shared" si="915"/>
        <v>0</v>
      </c>
      <c r="Q387" s="124">
        <f t="shared" si="915"/>
        <v>0</v>
      </c>
      <c r="R387" s="124">
        <f t="shared" si="915"/>
        <v>0</v>
      </c>
      <c r="S387" s="124">
        <f t="shared" si="915"/>
        <v>0</v>
      </c>
      <c r="T387" s="124">
        <f t="shared" si="915"/>
        <v>0</v>
      </c>
      <c r="U387" s="124">
        <f t="shared" si="915"/>
        <v>0</v>
      </c>
      <c r="V387" s="124">
        <f t="shared" si="915"/>
        <v>0</v>
      </c>
      <c r="W387" s="124">
        <f t="shared" si="915"/>
        <v>0</v>
      </c>
      <c r="X387" s="124">
        <f t="shared" si="915"/>
        <v>0</v>
      </c>
      <c r="Y387" s="124">
        <f t="shared" si="915"/>
        <v>0</v>
      </c>
      <c r="Z387" s="124">
        <f t="shared" si="915"/>
        <v>0</v>
      </c>
      <c r="AA387" s="124">
        <f t="shared" si="915"/>
        <v>0</v>
      </c>
      <c r="AB387" s="124">
        <f t="shared" si="915"/>
        <v>0</v>
      </c>
      <c r="AC387" s="124">
        <f t="shared" si="915"/>
        <v>0</v>
      </c>
      <c r="AD387" s="124">
        <f t="shared" si="915"/>
        <v>0</v>
      </c>
      <c r="AE387" s="124">
        <f t="shared" si="915"/>
        <v>0</v>
      </c>
      <c r="AF387" s="124">
        <f t="shared" si="915"/>
        <v>0</v>
      </c>
      <c r="AG387" s="124">
        <f t="shared" si="915"/>
        <v>0</v>
      </c>
      <c r="AH387" s="124">
        <f t="shared" si="915"/>
        <v>0</v>
      </c>
      <c r="AI387" s="124">
        <f t="shared" si="915"/>
        <v>0</v>
      </c>
      <c r="AJ387" s="124">
        <f t="shared" si="915"/>
        <v>0</v>
      </c>
      <c r="AK387" s="124">
        <f t="shared" si="915"/>
        <v>0</v>
      </c>
      <c r="AL387" s="124">
        <f t="shared" si="915"/>
        <v>0</v>
      </c>
      <c r="AM387" s="124">
        <f t="shared" si="915"/>
        <v>0</v>
      </c>
      <c r="AN387" s="124">
        <f t="shared" si="915"/>
        <v>0</v>
      </c>
      <c r="AO387" s="124">
        <f t="shared" si="915"/>
        <v>0</v>
      </c>
      <c r="AP387" s="124">
        <f t="shared" si="915"/>
        <v>0</v>
      </c>
    </row>
    <row r="388" spans="1:42" x14ac:dyDescent="0.2">
      <c r="A388" s="187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</row>
    <row r="389" spans="1:42" x14ac:dyDescent="0.2">
      <c r="A389" s="180" t="s">
        <v>305</v>
      </c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</row>
    <row r="390" spans="1:42" x14ac:dyDescent="0.2">
      <c r="A390" s="187" t="s">
        <v>192</v>
      </c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</row>
    <row r="391" spans="1:42" x14ac:dyDescent="0.2">
      <c r="A391" s="101">
        <v>1</v>
      </c>
      <c r="C391" s="169">
        <f>IF(C$2&lt;=AnalysisPeriod,IF(SUM($C749:C749)&gt;0,B391+1,0),0)</f>
        <v>0</v>
      </c>
      <c r="D391" s="169">
        <f>IF(D$2&lt;=AnalysisPeriod,IF(SUM($C749:D749)&gt;0,C391+1,0),0)</f>
        <v>0</v>
      </c>
      <c r="E391" s="169">
        <f>IF(E$2&lt;=AnalysisPeriod,IF(SUM($C749:E749)&gt;0,D391+1,0),0)</f>
        <v>0</v>
      </c>
      <c r="F391" s="169">
        <f>IF(F$2&lt;=AnalysisPeriod,IF(SUM($C749:F749)&gt;0,E391+1,0),0)</f>
        <v>0</v>
      </c>
      <c r="G391" s="169">
        <f>IF(G$2&lt;=AnalysisPeriod,IF(SUM($C749:G749)&gt;0,F391+1,0),0)</f>
        <v>0</v>
      </c>
      <c r="H391" s="169">
        <f>IF(H$2&lt;=AnalysisPeriod,IF(SUM($C749:H749)&gt;0,G391+1,0),0)</f>
        <v>0</v>
      </c>
      <c r="I391" s="169">
        <f>IF(I$2&lt;=AnalysisPeriod,IF(SUM($C749:I749)&gt;0,H391+1,0),0)</f>
        <v>0</v>
      </c>
      <c r="J391" s="169">
        <f>IF(J$2&lt;=AnalysisPeriod,IF(SUM($C749:J749)&gt;0,I391+1,0),0)</f>
        <v>0</v>
      </c>
      <c r="K391" s="169">
        <f>IF(K$2&lt;=AnalysisPeriod,IF(SUM($C749:K749)&gt;0,J391+1,0),0)</f>
        <v>0</v>
      </c>
      <c r="L391" s="169">
        <f>IF(L$2&lt;=AnalysisPeriod,IF(SUM($C749:L749)&gt;0,K391+1,0),0)</f>
        <v>0</v>
      </c>
      <c r="M391" s="169">
        <f>IF(M$2&lt;=AnalysisPeriod,IF(SUM($C749:M749)&gt;0,L391+1,0),0)</f>
        <v>0</v>
      </c>
      <c r="N391" s="169">
        <f>IF(N$2&lt;=AnalysisPeriod,IF(SUM($C749:N749)&gt;0,M391+1,0),0)</f>
        <v>0</v>
      </c>
      <c r="O391" s="169">
        <f>IF(O$2&lt;=AnalysisPeriod,IF(SUM($C749:O749)&gt;0,N391+1,0),0)</f>
        <v>0</v>
      </c>
      <c r="P391" s="169">
        <f>IF(P$2&lt;=AnalysisPeriod,IF(SUM($C749:P749)&gt;0,O391+1,0),0)</f>
        <v>0</v>
      </c>
      <c r="Q391" s="169">
        <f>IF(Q$2&lt;=AnalysisPeriod,IF(SUM($C749:Q749)&gt;0,P391+1,0),0)</f>
        <v>0</v>
      </c>
      <c r="R391" s="169">
        <f>IF(R$2&lt;=AnalysisPeriod,IF(SUM($C749:R749)&gt;0,Q391+1,0),0)</f>
        <v>0</v>
      </c>
      <c r="S391" s="169">
        <f>IF(S$2&lt;=AnalysisPeriod,IF(SUM($C749:S749)&gt;0,R391+1,0),0)</f>
        <v>0</v>
      </c>
      <c r="T391" s="169">
        <f>IF(T$2&lt;=AnalysisPeriod,IF(SUM($C749:T749)&gt;0,S391+1,0),0)</f>
        <v>0</v>
      </c>
      <c r="U391" s="169">
        <f>IF(U$2&lt;=AnalysisPeriod,IF(SUM($C749:U749)&gt;0,T391+1,0),0)</f>
        <v>0</v>
      </c>
      <c r="V391" s="169">
        <f>IF(V$2&lt;=AnalysisPeriod,IF(SUM($C749:V749)&gt;0,U391+1,0),0)</f>
        <v>0</v>
      </c>
      <c r="W391" s="169">
        <f>IF(W$2&lt;=AnalysisPeriod,IF(SUM($C749:W749)&gt;0,V391+1,0),0)</f>
        <v>0</v>
      </c>
      <c r="X391" s="169">
        <f>IF(X$2&lt;=AnalysisPeriod,IF(SUM($C749:X749)&gt;0,W391+1,0),0)</f>
        <v>0</v>
      </c>
      <c r="Y391" s="169">
        <f>IF(Y$2&lt;=AnalysisPeriod,IF(SUM($C749:Y749)&gt;0,X391+1,0),0)</f>
        <v>0</v>
      </c>
      <c r="Z391" s="169">
        <f>IF(Z$2&lt;=AnalysisPeriod,IF(SUM($C749:Z749)&gt;0,Y391+1,0),0)</f>
        <v>0</v>
      </c>
      <c r="AA391" s="169">
        <f>IF(AA$2&lt;=AnalysisPeriod,IF(SUM($C749:AA749)&gt;0,Z391+1,0),0)</f>
        <v>0</v>
      </c>
      <c r="AB391" s="169">
        <f>IF(AB$2&lt;=AnalysisPeriod,IF(SUM($C749:AB749)&gt;0,AA391+1,0),0)</f>
        <v>0</v>
      </c>
      <c r="AC391" s="169">
        <f>IF(AC$2&lt;=AnalysisPeriod,IF(SUM($C749:AC749)&gt;0,AB391+1,0),0)</f>
        <v>0</v>
      </c>
      <c r="AD391" s="169">
        <f>IF(AD$2&lt;=AnalysisPeriod,IF(SUM($C749:AD749)&gt;0,AC391+1,0),0)</f>
        <v>0</v>
      </c>
      <c r="AE391" s="169">
        <f>IF(AE$2&lt;=AnalysisPeriod,IF(SUM($C749:AE749)&gt;0,AD391+1,0),0)</f>
        <v>0</v>
      </c>
      <c r="AF391" s="169">
        <f>IF(AF$2&lt;=AnalysisPeriod,IF(SUM($C749:AF749)&gt;0,AE391+1,0),0)</f>
        <v>0</v>
      </c>
      <c r="AG391" s="169">
        <f>IF(AG$2&lt;=AnalysisPeriod,IF(SUM($C749:AG749)&gt;0,AF391+1,0),0)</f>
        <v>0</v>
      </c>
      <c r="AH391" s="169">
        <f>IF(AH$2&lt;=AnalysisPeriod,IF(SUM($C749:AH749)&gt;0,AG391+1,0),0)</f>
        <v>0</v>
      </c>
      <c r="AI391" s="169">
        <f>IF(AI$2&lt;=AnalysisPeriod,IF(SUM($C749:AI749)&gt;0,AH391+1,0),0)</f>
        <v>0</v>
      </c>
      <c r="AJ391" s="169">
        <f>IF(AJ$2&lt;=AnalysisPeriod,IF(SUM($C749:AJ749)&gt;0,AI391+1,0),0)</f>
        <v>0</v>
      </c>
      <c r="AK391" s="169">
        <f>IF(AK$2&lt;=AnalysisPeriod,IF(SUM($C749:AK749)&gt;0,AJ391+1,0),0)</f>
        <v>0</v>
      </c>
      <c r="AL391" s="169">
        <f>IF(AL$2&lt;=AnalysisPeriod,IF(SUM($C749:AL749)&gt;0,AK391+1,0),0)</f>
        <v>0</v>
      </c>
      <c r="AM391" s="169">
        <f>IF(AM$2&lt;=AnalysisPeriod,IF(SUM($C749:AM749)&gt;0,AL391+1,0),0)</f>
        <v>0</v>
      </c>
      <c r="AN391" s="169">
        <f>IF(AN$2&lt;=AnalysisPeriod,IF(SUM($C749:AN749)&gt;0,AM391+1,0),0)</f>
        <v>0</v>
      </c>
      <c r="AO391" s="169">
        <f>IF(AO$2&lt;=AnalysisPeriod,IF(SUM($C749:AO749)&gt;0,AN391+1,0),0)</f>
        <v>0</v>
      </c>
      <c r="AP391" s="169">
        <f>IF(AP$2&lt;=AnalysisPeriod,IF(SUM($C749:AP749)&gt;0,AO391+1,0),0)</f>
        <v>0</v>
      </c>
    </row>
    <row r="392" spans="1:42" x14ac:dyDescent="0.2">
      <c r="A392" s="101">
        <f>A391+1</f>
        <v>2</v>
      </c>
      <c r="C392" s="169">
        <f>IF(C$2&lt;=AnalysisPeriod,IF(SUM($C750:C750)&gt;0,B392+1,0),0)</f>
        <v>0</v>
      </c>
      <c r="D392" s="169">
        <f>IF(D$2&lt;=AnalysisPeriod,IF(SUM($C750:D750)&gt;0,C392+1,0),0)</f>
        <v>0</v>
      </c>
      <c r="E392" s="169">
        <f>IF(E$2&lt;=AnalysisPeriod,IF(SUM($C750:E750)&gt;0,D392+1,0),0)</f>
        <v>0</v>
      </c>
      <c r="F392" s="169">
        <f>IF(F$2&lt;=AnalysisPeriod,IF(SUM($C750:F750)&gt;0,E392+1,0),0)</f>
        <v>0</v>
      </c>
      <c r="G392" s="169">
        <f>IF(G$2&lt;=AnalysisPeriod,IF(SUM($C750:G750)&gt;0,F392+1,0),0)</f>
        <v>0</v>
      </c>
      <c r="H392" s="169">
        <f>IF(H$2&lt;=AnalysisPeriod,IF(SUM($C750:H750)&gt;0,G392+1,0),0)</f>
        <v>0</v>
      </c>
      <c r="I392" s="169">
        <f>IF(I$2&lt;=AnalysisPeriod,IF(SUM($C750:I750)&gt;0,H392+1,0),0)</f>
        <v>0</v>
      </c>
      <c r="J392" s="169">
        <f>IF(J$2&lt;=AnalysisPeriod,IF(SUM($C750:J750)&gt;0,I392+1,0),0)</f>
        <v>0</v>
      </c>
      <c r="K392" s="169">
        <f>IF(K$2&lt;=AnalysisPeriod,IF(SUM($C750:K750)&gt;0,J392+1,0),0)</f>
        <v>0</v>
      </c>
      <c r="L392" s="169">
        <f>IF(L$2&lt;=AnalysisPeriod,IF(SUM($C750:L750)&gt;0,K392+1,0),0)</f>
        <v>0</v>
      </c>
      <c r="M392" s="169">
        <f>IF(M$2&lt;=AnalysisPeriod,IF(SUM($C750:M750)&gt;0,L392+1,0),0)</f>
        <v>0</v>
      </c>
      <c r="N392" s="169">
        <f>IF(N$2&lt;=AnalysisPeriod,IF(SUM($C750:N750)&gt;0,M392+1,0),0)</f>
        <v>0</v>
      </c>
      <c r="O392" s="169">
        <f>IF(O$2&lt;=AnalysisPeriod,IF(SUM($C750:O750)&gt;0,N392+1,0),0)</f>
        <v>0</v>
      </c>
      <c r="P392" s="169">
        <f>IF(P$2&lt;=AnalysisPeriod,IF(SUM($C750:P750)&gt;0,O392+1,0),0)</f>
        <v>0</v>
      </c>
      <c r="Q392" s="169">
        <f>IF(Q$2&lt;=AnalysisPeriod,IF(SUM($C750:Q750)&gt;0,P392+1,0),0)</f>
        <v>0</v>
      </c>
      <c r="R392" s="169">
        <f>IF(R$2&lt;=AnalysisPeriod,IF(SUM($C750:R750)&gt;0,Q392+1,0),0)</f>
        <v>0</v>
      </c>
      <c r="S392" s="169">
        <f>IF(S$2&lt;=AnalysisPeriod,IF(SUM($C750:S750)&gt;0,R392+1,0),0)</f>
        <v>0</v>
      </c>
      <c r="T392" s="169">
        <f>IF(T$2&lt;=AnalysisPeriod,IF(SUM($C750:T750)&gt;0,S392+1,0),0)</f>
        <v>0</v>
      </c>
      <c r="U392" s="169">
        <f>IF(U$2&lt;=AnalysisPeriod,IF(SUM($C750:U750)&gt;0,T392+1,0),0)</f>
        <v>0</v>
      </c>
      <c r="V392" s="169">
        <f>IF(V$2&lt;=AnalysisPeriod,IF(SUM($C750:V750)&gt;0,U392+1,0),0)</f>
        <v>0</v>
      </c>
      <c r="W392" s="169">
        <f>IF(W$2&lt;=AnalysisPeriod,IF(SUM($C750:W750)&gt;0,V392+1,0),0)</f>
        <v>0</v>
      </c>
      <c r="X392" s="169">
        <f>IF(X$2&lt;=AnalysisPeriod,IF(SUM($C750:X750)&gt;0,W392+1,0),0)</f>
        <v>0</v>
      </c>
      <c r="Y392" s="169">
        <f>IF(Y$2&lt;=AnalysisPeriod,IF(SUM($C750:Y750)&gt;0,X392+1,0),0)</f>
        <v>0</v>
      </c>
      <c r="Z392" s="169">
        <f>IF(Z$2&lt;=AnalysisPeriod,IF(SUM($C750:Z750)&gt;0,Y392+1,0),0)</f>
        <v>0</v>
      </c>
      <c r="AA392" s="169">
        <f>IF(AA$2&lt;=AnalysisPeriod,IF(SUM($C750:AA750)&gt;0,Z392+1,0),0)</f>
        <v>0</v>
      </c>
      <c r="AB392" s="169">
        <f>IF(AB$2&lt;=AnalysisPeriod,IF(SUM($C750:AB750)&gt;0,AA392+1,0),0)</f>
        <v>0</v>
      </c>
      <c r="AC392" s="169">
        <f>IF(AC$2&lt;=AnalysisPeriod,IF(SUM($C750:AC750)&gt;0,AB392+1,0),0)</f>
        <v>0</v>
      </c>
      <c r="AD392" s="169">
        <f>IF(AD$2&lt;=AnalysisPeriod,IF(SUM($C750:AD750)&gt;0,AC392+1,0),0)</f>
        <v>0</v>
      </c>
      <c r="AE392" s="169">
        <f>IF(AE$2&lt;=AnalysisPeriod,IF(SUM($C750:AE750)&gt;0,AD392+1,0),0)</f>
        <v>0</v>
      </c>
      <c r="AF392" s="169">
        <f>IF(AF$2&lt;=AnalysisPeriod,IF(SUM($C750:AF750)&gt;0,AE392+1,0),0)</f>
        <v>0</v>
      </c>
      <c r="AG392" s="169">
        <f>IF(AG$2&lt;=AnalysisPeriod,IF(SUM($C750:AG750)&gt;0,AF392+1,0),0)</f>
        <v>0</v>
      </c>
      <c r="AH392" s="169">
        <f>IF(AH$2&lt;=AnalysisPeriod,IF(SUM($C750:AH750)&gt;0,AG392+1,0),0)</f>
        <v>0</v>
      </c>
      <c r="AI392" s="169">
        <f>IF(AI$2&lt;=AnalysisPeriod,IF(SUM($C750:AI750)&gt;0,AH392+1,0),0)</f>
        <v>0</v>
      </c>
      <c r="AJ392" s="169">
        <f>IF(AJ$2&lt;=AnalysisPeriod,IF(SUM($C750:AJ750)&gt;0,AI392+1,0),0)</f>
        <v>0</v>
      </c>
      <c r="AK392" s="169">
        <f>IF(AK$2&lt;=AnalysisPeriod,IF(SUM($C750:AK750)&gt;0,AJ392+1,0),0)</f>
        <v>0</v>
      </c>
      <c r="AL392" s="169">
        <f>IF(AL$2&lt;=AnalysisPeriod,IF(SUM($C750:AL750)&gt;0,AK392+1,0),0)</f>
        <v>0</v>
      </c>
      <c r="AM392" s="169">
        <f>IF(AM$2&lt;=AnalysisPeriod,IF(SUM($C750:AM750)&gt;0,AL392+1,0),0)</f>
        <v>0</v>
      </c>
      <c r="AN392" s="169">
        <f>IF(AN$2&lt;=AnalysisPeriod,IF(SUM($C750:AN750)&gt;0,AM392+1,0),0)</f>
        <v>0</v>
      </c>
      <c r="AO392" s="169">
        <f>IF(AO$2&lt;=AnalysisPeriod,IF(SUM($C750:AO750)&gt;0,AN392+1,0),0)</f>
        <v>0</v>
      </c>
      <c r="AP392" s="169">
        <f>IF(AP$2&lt;=AnalysisPeriod,IF(SUM($C750:AP750)&gt;0,AO392+1,0),0)</f>
        <v>0</v>
      </c>
    </row>
    <row r="393" spans="1:42" x14ac:dyDescent="0.2">
      <c r="A393" s="101">
        <f t="shared" ref="A393:A400" si="916">A392+1</f>
        <v>3</v>
      </c>
      <c r="C393" s="169">
        <f>IF(C$2&lt;=AnalysisPeriod,IF(SUM($C751:C751)&gt;0,B393+1,0),0)</f>
        <v>0</v>
      </c>
      <c r="D393" s="169">
        <f>IF(D$2&lt;=AnalysisPeriod,IF(SUM($C751:D751)&gt;0,C393+1,0),0)</f>
        <v>0</v>
      </c>
      <c r="E393" s="169">
        <f>IF(E$2&lt;=AnalysisPeriod,IF(SUM($C751:E751)&gt;0,D393+1,0),0)</f>
        <v>0</v>
      </c>
      <c r="F393" s="169">
        <f>IF(F$2&lt;=AnalysisPeriod,IF(SUM($C751:F751)&gt;0,E393+1,0),0)</f>
        <v>0</v>
      </c>
      <c r="G393" s="169">
        <f>IF(G$2&lt;=AnalysisPeriod,IF(SUM($C751:G751)&gt;0,F393+1,0),0)</f>
        <v>0</v>
      </c>
      <c r="H393" s="169">
        <f>IF(H$2&lt;=AnalysisPeriod,IF(SUM($C751:H751)&gt;0,G393+1,0),0)</f>
        <v>0</v>
      </c>
      <c r="I393" s="169">
        <f>IF(I$2&lt;=AnalysisPeriod,IF(SUM($C751:I751)&gt;0,H393+1,0),0)</f>
        <v>0</v>
      </c>
      <c r="J393" s="169">
        <f>IF(J$2&lt;=AnalysisPeriod,IF(SUM($C751:J751)&gt;0,I393+1,0),0)</f>
        <v>0</v>
      </c>
      <c r="K393" s="169">
        <f>IF(K$2&lt;=AnalysisPeriod,IF(SUM($C751:K751)&gt;0,J393+1,0),0)</f>
        <v>0</v>
      </c>
      <c r="L393" s="169">
        <f>IF(L$2&lt;=AnalysisPeriod,IF(SUM($C751:L751)&gt;0,K393+1,0),0)</f>
        <v>0</v>
      </c>
      <c r="M393" s="169">
        <f>IF(M$2&lt;=AnalysisPeriod,IF(SUM($C751:M751)&gt;0,L393+1,0),0)</f>
        <v>0</v>
      </c>
      <c r="N393" s="169">
        <f>IF(N$2&lt;=AnalysisPeriod,IF(SUM($C751:N751)&gt;0,M393+1,0),0)</f>
        <v>0</v>
      </c>
      <c r="O393" s="169">
        <f>IF(O$2&lt;=AnalysisPeriod,IF(SUM($C751:O751)&gt;0,N393+1,0),0)</f>
        <v>0</v>
      </c>
      <c r="P393" s="169">
        <f>IF(P$2&lt;=AnalysisPeriod,IF(SUM($C751:P751)&gt;0,O393+1,0),0)</f>
        <v>0</v>
      </c>
      <c r="Q393" s="169">
        <f>IF(Q$2&lt;=AnalysisPeriod,IF(SUM($C751:Q751)&gt;0,P393+1,0),0)</f>
        <v>0</v>
      </c>
      <c r="R393" s="169">
        <f>IF(R$2&lt;=AnalysisPeriod,IF(SUM($C751:R751)&gt;0,Q393+1,0),0)</f>
        <v>0</v>
      </c>
      <c r="S393" s="169">
        <f>IF(S$2&lt;=AnalysisPeriod,IF(SUM($C751:S751)&gt;0,R393+1,0),0)</f>
        <v>0</v>
      </c>
      <c r="T393" s="169">
        <f>IF(T$2&lt;=AnalysisPeriod,IF(SUM($C751:T751)&gt;0,S393+1,0),0)</f>
        <v>0</v>
      </c>
      <c r="U393" s="169">
        <f>IF(U$2&lt;=AnalysisPeriod,IF(SUM($C751:U751)&gt;0,T393+1,0),0)</f>
        <v>0</v>
      </c>
      <c r="V393" s="169">
        <f>IF(V$2&lt;=AnalysisPeriod,IF(SUM($C751:V751)&gt;0,U393+1,0),0)</f>
        <v>0</v>
      </c>
      <c r="W393" s="169">
        <f>IF(W$2&lt;=AnalysisPeriod,IF(SUM($C751:W751)&gt;0,V393+1,0),0)</f>
        <v>0</v>
      </c>
      <c r="X393" s="169">
        <f>IF(X$2&lt;=AnalysisPeriod,IF(SUM($C751:X751)&gt;0,W393+1,0),0)</f>
        <v>0</v>
      </c>
      <c r="Y393" s="169">
        <f>IF(Y$2&lt;=AnalysisPeriod,IF(SUM($C751:Y751)&gt;0,X393+1,0),0)</f>
        <v>0</v>
      </c>
      <c r="Z393" s="169">
        <f>IF(Z$2&lt;=AnalysisPeriod,IF(SUM($C751:Z751)&gt;0,Y393+1,0),0)</f>
        <v>0</v>
      </c>
      <c r="AA393" s="169">
        <f>IF(AA$2&lt;=AnalysisPeriod,IF(SUM($C751:AA751)&gt;0,Z393+1,0),0)</f>
        <v>0</v>
      </c>
      <c r="AB393" s="169">
        <f>IF(AB$2&lt;=AnalysisPeriod,IF(SUM($C751:AB751)&gt;0,AA393+1,0),0)</f>
        <v>0</v>
      </c>
      <c r="AC393" s="169">
        <f>IF(AC$2&lt;=AnalysisPeriod,IF(SUM($C751:AC751)&gt;0,AB393+1,0),0)</f>
        <v>0</v>
      </c>
      <c r="AD393" s="169">
        <f>IF(AD$2&lt;=AnalysisPeriod,IF(SUM($C751:AD751)&gt;0,AC393+1,0),0)</f>
        <v>0</v>
      </c>
      <c r="AE393" s="169">
        <f>IF(AE$2&lt;=AnalysisPeriod,IF(SUM($C751:AE751)&gt;0,AD393+1,0),0)</f>
        <v>0</v>
      </c>
      <c r="AF393" s="169">
        <f>IF(AF$2&lt;=AnalysisPeriod,IF(SUM($C751:AF751)&gt;0,AE393+1,0),0)</f>
        <v>0</v>
      </c>
      <c r="AG393" s="169">
        <f>IF(AG$2&lt;=AnalysisPeriod,IF(SUM($C751:AG751)&gt;0,AF393+1,0),0)</f>
        <v>0</v>
      </c>
      <c r="AH393" s="169">
        <f>IF(AH$2&lt;=AnalysisPeriod,IF(SUM($C751:AH751)&gt;0,AG393+1,0),0)</f>
        <v>0</v>
      </c>
      <c r="AI393" s="169">
        <f>IF(AI$2&lt;=AnalysisPeriod,IF(SUM($C751:AI751)&gt;0,AH393+1,0),0)</f>
        <v>0</v>
      </c>
      <c r="AJ393" s="169">
        <f>IF(AJ$2&lt;=AnalysisPeriod,IF(SUM($C751:AJ751)&gt;0,AI393+1,0),0)</f>
        <v>0</v>
      </c>
      <c r="AK393" s="169">
        <f>IF(AK$2&lt;=AnalysisPeriod,IF(SUM($C751:AK751)&gt;0,AJ393+1,0),0)</f>
        <v>0</v>
      </c>
      <c r="AL393" s="169">
        <f>IF(AL$2&lt;=AnalysisPeriod,IF(SUM($C751:AL751)&gt;0,AK393+1,0),0)</f>
        <v>0</v>
      </c>
      <c r="AM393" s="169">
        <f>IF(AM$2&lt;=AnalysisPeriod,IF(SUM($C751:AM751)&gt;0,AL393+1,0),0)</f>
        <v>0</v>
      </c>
      <c r="AN393" s="169">
        <f>IF(AN$2&lt;=AnalysisPeriod,IF(SUM($C751:AN751)&gt;0,AM393+1,0),0)</f>
        <v>0</v>
      </c>
      <c r="AO393" s="169">
        <f>IF(AO$2&lt;=AnalysisPeriod,IF(SUM($C751:AO751)&gt;0,AN393+1,0),0)</f>
        <v>0</v>
      </c>
      <c r="AP393" s="169">
        <f>IF(AP$2&lt;=AnalysisPeriod,IF(SUM($C751:AP751)&gt;0,AO393+1,0),0)</f>
        <v>0</v>
      </c>
    </row>
    <row r="394" spans="1:42" x14ac:dyDescent="0.2">
      <c r="A394" s="101">
        <f t="shared" si="916"/>
        <v>4</v>
      </c>
      <c r="C394" s="169">
        <f>IF(C$2&lt;=AnalysisPeriod,IF(SUM($C752:C752)&gt;0,B394+1,0),0)</f>
        <v>0</v>
      </c>
      <c r="D394" s="169">
        <f>IF(D$2&lt;=AnalysisPeriod,IF(SUM($C752:D752)&gt;0,C394+1,0),0)</f>
        <v>0</v>
      </c>
      <c r="E394" s="169">
        <f>IF(E$2&lt;=AnalysisPeriod,IF(SUM($C752:E752)&gt;0,D394+1,0),0)</f>
        <v>0</v>
      </c>
      <c r="F394" s="169">
        <f>IF(F$2&lt;=AnalysisPeriod,IF(SUM($C752:F752)&gt;0,E394+1,0),0)</f>
        <v>0</v>
      </c>
      <c r="G394" s="169">
        <f>IF(G$2&lt;=AnalysisPeriod,IF(SUM($C752:G752)&gt;0,F394+1,0),0)</f>
        <v>0</v>
      </c>
      <c r="H394" s="169">
        <f>IF(H$2&lt;=AnalysisPeriod,IF(SUM($C752:H752)&gt;0,G394+1,0),0)</f>
        <v>0</v>
      </c>
      <c r="I394" s="169">
        <f>IF(I$2&lt;=AnalysisPeriod,IF(SUM($C752:I752)&gt;0,H394+1,0),0)</f>
        <v>0</v>
      </c>
      <c r="J394" s="169">
        <f>IF(J$2&lt;=AnalysisPeriod,IF(SUM($C752:J752)&gt;0,I394+1,0),0)</f>
        <v>0</v>
      </c>
      <c r="K394" s="169">
        <f>IF(K$2&lt;=AnalysisPeriod,IF(SUM($C752:K752)&gt;0,J394+1,0),0)</f>
        <v>0</v>
      </c>
      <c r="L394" s="169">
        <f>IF(L$2&lt;=AnalysisPeriod,IF(SUM($C752:L752)&gt;0,K394+1,0),0)</f>
        <v>0</v>
      </c>
      <c r="M394" s="169">
        <f>IF(M$2&lt;=AnalysisPeriod,IF(SUM($C752:M752)&gt;0,L394+1,0),0)</f>
        <v>0</v>
      </c>
      <c r="N394" s="169">
        <f>IF(N$2&lt;=AnalysisPeriod,IF(SUM($C752:N752)&gt;0,M394+1,0),0)</f>
        <v>0</v>
      </c>
      <c r="O394" s="169">
        <f>IF(O$2&lt;=AnalysisPeriod,IF(SUM($C752:O752)&gt;0,N394+1,0),0)</f>
        <v>0</v>
      </c>
      <c r="P394" s="169">
        <f>IF(P$2&lt;=AnalysisPeriod,IF(SUM($C752:P752)&gt;0,O394+1,0),0)</f>
        <v>0</v>
      </c>
      <c r="Q394" s="169">
        <f>IF(Q$2&lt;=AnalysisPeriod,IF(SUM($C752:Q752)&gt;0,P394+1,0),0)</f>
        <v>0</v>
      </c>
      <c r="R394" s="169">
        <f>IF(R$2&lt;=AnalysisPeriod,IF(SUM($C752:R752)&gt;0,Q394+1,0),0)</f>
        <v>0</v>
      </c>
      <c r="S394" s="169">
        <f>IF(S$2&lt;=AnalysisPeriod,IF(SUM($C752:S752)&gt;0,R394+1,0),0)</f>
        <v>0</v>
      </c>
      <c r="T394" s="169">
        <f>IF(T$2&lt;=AnalysisPeriod,IF(SUM($C752:T752)&gt;0,S394+1,0),0)</f>
        <v>0</v>
      </c>
      <c r="U394" s="169">
        <f>IF(U$2&lt;=AnalysisPeriod,IF(SUM($C752:U752)&gt;0,T394+1,0),0)</f>
        <v>0</v>
      </c>
      <c r="V394" s="169">
        <f>IF(V$2&lt;=AnalysisPeriod,IF(SUM($C752:V752)&gt;0,U394+1,0),0)</f>
        <v>0</v>
      </c>
      <c r="W394" s="169">
        <f>IF(W$2&lt;=AnalysisPeriod,IF(SUM($C752:W752)&gt;0,V394+1,0),0)</f>
        <v>0</v>
      </c>
      <c r="X394" s="169">
        <f>IF(X$2&lt;=AnalysisPeriod,IF(SUM($C752:X752)&gt;0,W394+1,0),0)</f>
        <v>0</v>
      </c>
      <c r="Y394" s="169">
        <f>IF(Y$2&lt;=AnalysisPeriod,IF(SUM($C752:Y752)&gt;0,X394+1,0),0)</f>
        <v>0</v>
      </c>
      <c r="Z394" s="169">
        <f>IF(Z$2&lt;=AnalysisPeriod,IF(SUM($C752:Z752)&gt;0,Y394+1,0),0)</f>
        <v>0</v>
      </c>
      <c r="AA394" s="169">
        <f>IF(AA$2&lt;=AnalysisPeriod,IF(SUM($C752:AA752)&gt;0,Z394+1,0),0)</f>
        <v>0</v>
      </c>
      <c r="AB394" s="169">
        <f>IF(AB$2&lt;=AnalysisPeriod,IF(SUM($C752:AB752)&gt;0,AA394+1,0),0)</f>
        <v>0</v>
      </c>
      <c r="AC394" s="169">
        <f>IF(AC$2&lt;=AnalysisPeriod,IF(SUM($C752:AC752)&gt;0,AB394+1,0),0)</f>
        <v>0</v>
      </c>
      <c r="AD394" s="169">
        <f>IF(AD$2&lt;=AnalysisPeriod,IF(SUM($C752:AD752)&gt;0,AC394+1,0),0)</f>
        <v>0</v>
      </c>
      <c r="AE394" s="169">
        <f>IF(AE$2&lt;=AnalysisPeriod,IF(SUM($C752:AE752)&gt;0,AD394+1,0),0)</f>
        <v>0</v>
      </c>
      <c r="AF394" s="169">
        <f>IF(AF$2&lt;=AnalysisPeriod,IF(SUM($C752:AF752)&gt;0,AE394+1,0),0)</f>
        <v>0</v>
      </c>
      <c r="AG394" s="169">
        <f>IF(AG$2&lt;=AnalysisPeriod,IF(SUM($C752:AG752)&gt;0,AF394+1,0),0)</f>
        <v>0</v>
      </c>
      <c r="AH394" s="169">
        <f>IF(AH$2&lt;=AnalysisPeriod,IF(SUM($C752:AH752)&gt;0,AG394+1,0),0)</f>
        <v>0</v>
      </c>
      <c r="AI394" s="169">
        <f>IF(AI$2&lt;=AnalysisPeriod,IF(SUM($C752:AI752)&gt;0,AH394+1,0),0)</f>
        <v>0</v>
      </c>
      <c r="AJ394" s="169">
        <f>IF(AJ$2&lt;=AnalysisPeriod,IF(SUM($C752:AJ752)&gt;0,AI394+1,0),0)</f>
        <v>0</v>
      </c>
      <c r="AK394" s="169">
        <f>IF(AK$2&lt;=AnalysisPeriod,IF(SUM($C752:AK752)&gt;0,AJ394+1,0),0)</f>
        <v>0</v>
      </c>
      <c r="AL394" s="169">
        <f>IF(AL$2&lt;=AnalysisPeriod,IF(SUM($C752:AL752)&gt;0,AK394+1,0),0)</f>
        <v>0</v>
      </c>
      <c r="AM394" s="169">
        <f>IF(AM$2&lt;=AnalysisPeriod,IF(SUM($C752:AM752)&gt;0,AL394+1,0),0)</f>
        <v>0</v>
      </c>
      <c r="AN394" s="169">
        <f>IF(AN$2&lt;=AnalysisPeriod,IF(SUM($C752:AN752)&gt;0,AM394+1,0),0)</f>
        <v>0</v>
      </c>
      <c r="AO394" s="169">
        <f>IF(AO$2&lt;=AnalysisPeriod,IF(SUM($C752:AO752)&gt;0,AN394+1,0),0)</f>
        <v>0</v>
      </c>
      <c r="AP394" s="169">
        <f>IF(AP$2&lt;=AnalysisPeriod,IF(SUM($C752:AP752)&gt;0,AO394+1,0),0)</f>
        <v>0</v>
      </c>
    </row>
    <row r="395" spans="1:42" x14ac:dyDescent="0.2">
      <c r="A395" s="101">
        <f t="shared" si="916"/>
        <v>5</v>
      </c>
      <c r="C395" s="169">
        <f>IF(C$2&lt;=AnalysisPeriod,IF(SUM($C753:C753)&gt;0,B395+1,0),0)</f>
        <v>0</v>
      </c>
      <c r="D395" s="169">
        <f>IF(D$2&lt;=AnalysisPeriod,IF(SUM($C753:D753)&gt;0,C395+1,0),0)</f>
        <v>0</v>
      </c>
      <c r="E395" s="169">
        <f>IF(E$2&lt;=AnalysisPeriod,IF(SUM($C753:E753)&gt;0,D395+1,0),0)</f>
        <v>0</v>
      </c>
      <c r="F395" s="169">
        <f>IF(F$2&lt;=AnalysisPeriod,IF(SUM($C753:F753)&gt;0,E395+1,0),0)</f>
        <v>0</v>
      </c>
      <c r="G395" s="169">
        <f>IF(G$2&lt;=AnalysisPeriod,IF(SUM($C753:G753)&gt;0,F395+1,0),0)</f>
        <v>0</v>
      </c>
      <c r="H395" s="169">
        <f>IF(H$2&lt;=AnalysisPeriod,IF(SUM($C753:H753)&gt;0,G395+1,0),0)</f>
        <v>0</v>
      </c>
      <c r="I395" s="169">
        <f>IF(I$2&lt;=AnalysisPeriod,IF(SUM($C753:I753)&gt;0,H395+1,0),0)</f>
        <v>0</v>
      </c>
      <c r="J395" s="169">
        <f>IF(J$2&lt;=AnalysisPeriod,IF(SUM($C753:J753)&gt;0,I395+1,0),0)</f>
        <v>0</v>
      </c>
      <c r="K395" s="169">
        <f>IF(K$2&lt;=AnalysisPeriod,IF(SUM($C753:K753)&gt;0,J395+1,0),0)</f>
        <v>0</v>
      </c>
      <c r="L395" s="169">
        <f>IF(L$2&lt;=AnalysisPeriod,IF(SUM($C753:L753)&gt;0,K395+1,0),0)</f>
        <v>0</v>
      </c>
      <c r="M395" s="169">
        <f>IF(M$2&lt;=AnalysisPeriod,IF(SUM($C753:M753)&gt;0,L395+1,0),0)</f>
        <v>0</v>
      </c>
      <c r="N395" s="169">
        <f>IF(N$2&lt;=AnalysisPeriod,IF(SUM($C753:N753)&gt;0,M395+1,0),0)</f>
        <v>0</v>
      </c>
      <c r="O395" s="169">
        <f>IF(O$2&lt;=AnalysisPeriod,IF(SUM($C753:O753)&gt;0,N395+1,0),0)</f>
        <v>0</v>
      </c>
      <c r="P395" s="169">
        <f>IF(P$2&lt;=AnalysisPeriod,IF(SUM($C753:P753)&gt;0,O395+1,0),0)</f>
        <v>0</v>
      </c>
      <c r="Q395" s="169">
        <f>IF(Q$2&lt;=AnalysisPeriod,IF(SUM($C753:Q753)&gt;0,P395+1,0),0)</f>
        <v>0</v>
      </c>
      <c r="R395" s="169">
        <f>IF(R$2&lt;=AnalysisPeriod,IF(SUM($C753:R753)&gt;0,Q395+1,0),0)</f>
        <v>0</v>
      </c>
      <c r="S395" s="169">
        <f>IF(S$2&lt;=AnalysisPeriod,IF(SUM($C753:S753)&gt;0,R395+1,0),0)</f>
        <v>0</v>
      </c>
      <c r="T395" s="169">
        <f>IF(T$2&lt;=AnalysisPeriod,IF(SUM($C753:T753)&gt;0,S395+1,0),0)</f>
        <v>0</v>
      </c>
      <c r="U395" s="169">
        <f>IF(U$2&lt;=AnalysisPeriod,IF(SUM($C753:U753)&gt;0,T395+1,0),0)</f>
        <v>0</v>
      </c>
      <c r="V395" s="169">
        <f>IF(V$2&lt;=AnalysisPeriod,IF(SUM($C753:V753)&gt;0,U395+1,0),0)</f>
        <v>0</v>
      </c>
      <c r="W395" s="169">
        <f>IF(W$2&lt;=AnalysisPeriod,IF(SUM($C753:W753)&gt;0,V395+1,0),0)</f>
        <v>0</v>
      </c>
      <c r="X395" s="169">
        <f>IF(X$2&lt;=AnalysisPeriod,IF(SUM($C753:X753)&gt;0,W395+1,0),0)</f>
        <v>0</v>
      </c>
      <c r="Y395" s="169">
        <f>IF(Y$2&lt;=AnalysisPeriod,IF(SUM($C753:Y753)&gt;0,X395+1,0),0)</f>
        <v>0</v>
      </c>
      <c r="Z395" s="169">
        <f>IF(Z$2&lt;=AnalysisPeriod,IF(SUM($C753:Z753)&gt;0,Y395+1,0),0)</f>
        <v>0</v>
      </c>
      <c r="AA395" s="169">
        <f>IF(AA$2&lt;=AnalysisPeriod,IF(SUM($C753:AA753)&gt;0,Z395+1,0),0)</f>
        <v>0</v>
      </c>
      <c r="AB395" s="169">
        <f>IF(AB$2&lt;=AnalysisPeriod,IF(SUM($C753:AB753)&gt;0,AA395+1,0),0)</f>
        <v>0</v>
      </c>
      <c r="AC395" s="169">
        <f>IF(AC$2&lt;=AnalysisPeriod,IF(SUM($C753:AC753)&gt;0,AB395+1,0),0)</f>
        <v>0</v>
      </c>
      <c r="AD395" s="169">
        <f>IF(AD$2&lt;=AnalysisPeriod,IF(SUM($C753:AD753)&gt;0,AC395+1,0),0)</f>
        <v>0</v>
      </c>
      <c r="AE395" s="169">
        <f>IF(AE$2&lt;=AnalysisPeriod,IF(SUM($C753:AE753)&gt;0,AD395+1,0),0)</f>
        <v>0</v>
      </c>
      <c r="AF395" s="169">
        <f>IF(AF$2&lt;=AnalysisPeriod,IF(SUM($C753:AF753)&gt;0,AE395+1,0),0)</f>
        <v>0</v>
      </c>
      <c r="AG395" s="169">
        <f>IF(AG$2&lt;=AnalysisPeriod,IF(SUM($C753:AG753)&gt;0,AF395+1,0),0)</f>
        <v>0</v>
      </c>
      <c r="AH395" s="169">
        <f>IF(AH$2&lt;=AnalysisPeriod,IF(SUM($C753:AH753)&gt;0,AG395+1,0),0)</f>
        <v>0</v>
      </c>
      <c r="AI395" s="169">
        <f>IF(AI$2&lt;=AnalysisPeriod,IF(SUM($C753:AI753)&gt;0,AH395+1,0),0)</f>
        <v>0</v>
      </c>
      <c r="AJ395" s="169">
        <f>IF(AJ$2&lt;=AnalysisPeriod,IF(SUM($C753:AJ753)&gt;0,AI395+1,0),0)</f>
        <v>0</v>
      </c>
      <c r="AK395" s="169">
        <f>IF(AK$2&lt;=AnalysisPeriod,IF(SUM($C753:AK753)&gt;0,AJ395+1,0),0)</f>
        <v>0</v>
      </c>
      <c r="AL395" s="169">
        <f>IF(AL$2&lt;=AnalysisPeriod,IF(SUM($C753:AL753)&gt;0,AK395+1,0),0)</f>
        <v>0</v>
      </c>
      <c r="AM395" s="169">
        <f>IF(AM$2&lt;=AnalysisPeriod,IF(SUM($C753:AM753)&gt;0,AL395+1,0),0)</f>
        <v>0</v>
      </c>
      <c r="AN395" s="169">
        <f>IF(AN$2&lt;=AnalysisPeriod,IF(SUM($C753:AN753)&gt;0,AM395+1,0),0)</f>
        <v>0</v>
      </c>
      <c r="AO395" s="169">
        <f>IF(AO$2&lt;=AnalysisPeriod,IF(SUM($C753:AO753)&gt;0,AN395+1,0),0)</f>
        <v>0</v>
      </c>
      <c r="AP395" s="169">
        <f>IF(AP$2&lt;=AnalysisPeriod,IF(SUM($C753:AP753)&gt;0,AO395+1,0),0)</f>
        <v>0</v>
      </c>
    </row>
    <row r="396" spans="1:42" x14ac:dyDescent="0.2">
      <c r="A396" s="101">
        <f t="shared" si="916"/>
        <v>6</v>
      </c>
      <c r="C396" s="169">
        <f>IF(C$2&lt;=AnalysisPeriod,IF(SUM($C754:C754)&gt;0,B396+1,0),0)</f>
        <v>0</v>
      </c>
      <c r="D396" s="169">
        <f>IF(D$2&lt;=AnalysisPeriod,IF(SUM($C754:D754)&gt;0,C396+1,0),0)</f>
        <v>0</v>
      </c>
      <c r="E396" s="169">
        <f>IF(E$2&lt;=AnalysisPeriod,IF(SUM($C754:E754)&gt;0,D396+1,0),0)</f>
        <v>0</v>
      </c>
      <c r="F396" s="169">
        <f>IF(F$2&lt;=AnalysisPeriod,IF(SUM($C754:F754)&gt;0,E396+1,0),0)</f>
        <v>0</v>
      </c>
      <c r="G396" s="169">
        <f>IF(G$2&lt;=AnalysisPeriod,IF(SUM($C754:G754)&gt;0,F396+1,0),0)</f>
        <v>0</v>
      </c>
      <c r="H396" s="169">
        <f>IF(H$2&lt;=AnalysisPeriod,IF(SUM($C754:H754)&gt;0,G396+1,0),0)</f>
        <v>0</v>
      </c>
      <c r="I396" s="169">
        <f>IF(I$2&lt;=AnalysisPeriod,IF(SUM($C754:I754)&gt;0,H396+1,0),0)</f>
        <v>0</v>
      </c>
      <c r="J396" s="169">
        <f>IF(J$2&lt;=AnalysisPeriod,IF(SUM($C754:J754)&gt;0,I396+1,0),0)</f>
        <v>0</v>
      </c>
      <c r="K396" s="169">
        <f>IF(K$2&lt;=AnalysisPeriod,IF(SUM($C754:K754)&gt;0,J396+1,0),0)</f>
        <v>0</v>
      </c>
      <c r="L396" s="169">
        <f>IF(L$2&lt;=AnalysisPeriod,IF(SUM($C754:L754)&gt;0,K396+1,0),0)</f>
        <v>0</v>
      </c>
      <c r="M396" s="169">
        <f>IF(M$2&lt;=AnalysisPeriod,IF(SUM($C754:M754)&gt;0,L396+1,0),0)</f>
        <v>0</v>
      </c>
      <c r="N396" s="169">
        <f>IF(N$2&lt;=AnalysisPeriod,IF(SUM($C754:N754)&gt;0,M396+1,0),0)</f>
        <v>0</v>
      </c>
      <c r="O396" s="169">
        <f>IF(O$2&lt;=AnalysisPeriod,IF(SUM($C754:O754)&gt;0,N396+1,0),0)</f>
        <v>0</v>
      </c>
      <c r="P396" s="169">
        <f>IF(P$2&lt;=AnalysisPeriod,IF(SUM($C754:P754)&gt;0,O396+1,0),0)</f>
        <v>0</v>
      </c>
      <c r="Q396" s="169">
        <f>IF(Q$2&lt;=AnalysisPeriod,IF(SUM($C754:Q754)&gt;0,P396+1,0),0)</f>
        <v>0</v>
      </c>
      <c r="R396" s="169">
        <f>IF(R$2&lt;=AnalysisPeriod,IF(SUM($C754:R754)&gt;0,Q396+1,0),0)</f>
        <v>0</v>
      </c>
      <c r="S396" s="169">
        <f>IF(S$2&lt;=AnalysisPeriod,IF(SUM($C754:S754)&gt;0,R396+1,0),0)</f>
        <v>0</v>
      </c>
      <c r="T396" s="169">
        <f>IF(T$2&lt;=AnalysisPeriod,IF(SUM($C754:T754)&gt;0,S396+1,0),0)</f>
        <v>0</v>
      </c>
      <c r="U396" s="169">
        <f>IF(U$2&lt;=AnalysisPeriod,IF(SUM($C754:U754)&gt;0,T396+1,0),0)</f>
        <v>0</v>
      </c>
      <c r="V396" s="169">
        <f>IF(V$2&lt;=AnalysisPeriod,IF(SUM($C754:V754)&gt;0,U396+1,0),0)</f>
        <v>0</v>
      </c>
      <c r="W396" s="169">
        <f>IF(W$2&lt;=AnalysisPeriod,IF(SUM($C754:W754)&gt;0,V396+1,0),0)</f>
        <v>0</v>
      </c>
      <c r="X396" s="169">
        <f>IF(X$2&lt;=AnalysisPeriod,IF(SUM($C754:X754)&gt;0,W396+1,0),0)</f>
        <v>0</v>
      </c>
      <c r="Y396" s="169">
        <f>IF(Y$2&lt;=AnalysisPeriod,IF(SUM($C754:Y754)&gt;0,X396+1,0),0)</f>
        <v>0</v>
      </c>
      <c r="Z396" s="169">
        <f>IF(Z$2&lt;=AnalysisPeriod,IF(SUM($C754:Z754)&gt;0,Y396+1,0),0)</f>
        <v>0</v>
      </c>
      <c r="AA396" s="169">
        <f>IF(AA$2&lt;=AnalysisPeriod,IF(SUM($C754:AA754)&gt;0,Z396+1,0),0)</f>
        <v>0</v>
      </c>
      <c r="AB396" s="169">
        <f>IF(AB$2&lt;=AnalysisPeriod,IF(SUM($C754:AB754)&gt;0,AA396+1,0),0)</f>
        <v>0</v>
      </c>
      <c r="AC396" s="169">
        <f>IF(AC$2&lt;=AnalysisPeriod,IF(SUM($C754:AC754)&gt;0,AB396+1,0),0)</f>
        <v>0</v>
      </c>
      <c r="AD396" s="169">
        <f>IF(AD$2&lt;=AnalysisPeriod,IF(SUM($C754:AD754)&gt;0,AC396+1,0),0)</f>
        <v>0</v>
      </c>
      <c r="AE396" s="169">
        <f>IF(AE$2&lt;=AnalysisPeriod,IF(SUM($C754:AE754)&gt;0,AD396+1,0),0)</f>
        <v>0</v>
      </c>
      <c r="AF396" s="169">
        <f>IF(AF$2&lt;=AnalysisPeriod,IF(SUM($C754:AF754)&gt;0,AE396+1,0),0)</f>
        <v>0</v>
      </c>
      <c r="AG396" s="169">
        <f>IF(AG$2&lt;=AnalysisPeriod,IF(SUM($C754:AG754)&gt;0,AF396+1,0),0)</f>
        <v>0</v>
      </c>
      <c r="AH396" s="169">
        <f>IF(AH$2&lt;=AnalysisPeriod,IF(SUM($C754:AH754)&gt;0,AG396+1,0),0)</f>
        <v>0</v>
      </c>
      <c r="AI396" s="169">
        <f>IF(AI$2&lt;=AnalysisPeriod,IF(SUM($C754:AI754)&gt;0,AH396+1,0),0)</f>
        <v>0</v>
      </c>
      <c r="AJ396" s="169">
        <f>IF(AJ$2&lt;=AnalysisPeriod,IF(SUM($C754:AJ754)&gt;0,AI396+1,0),0)</f>
        <v>0</v>
      </c>
      <c r="AK396" s="169">
        <f>IF(AK$2&lt;=AnalysisPeriod,IF(SUM($C754:AK754)&gt;0,AJ396+1,0),0)</f>
        <v>0</v>
      </c>
      <c r="AL396" s="169">
        <f>IF(AL$2&lt;=AnalysisPeriod,IF(SUM($C754:AL754)&gt;0,AK396+1,0),0)</f>
        <v>0</v>
      </c>
      <c r="AM396" s="169">
        <f>IF(AM$2&lt;=AnalysisPeriod,IF(SUM($C754:AM754)&gt;0,AL396+1,0),0)</f>
        <v>0</v>
      </c>
      <c r="AN396" s="169">
        <f>IF(AN$2&lt;=AnalysisPeriod,IF(SUM($C754:AN754)&gt;0,AM396+1,0),0)</f>
        <v>0</v>
      </c>
      <c r="AO396" s="169">
        <f>IF(AO$2&lt;=AnalysisPeriod,IF(SUM($C754:AO754)&gt;0,AN396+1,0),0)</f>
        <v>0</v>
      </c>
      <c r="AP396" s="169">
        <f>IF(AP$2&lt;=AnalysisPeriod,IF(SUM($C754:AP754)&gt;0,AO396+1,0),0)</f>
        <v>0</v>
      </c>
    </row>
    <row r="397" spans="1:42" x14ac:dyDescent="0.2">
      <c r="A397" s="101">
        <f t="shared" si="916"/>
        <v>7</v>
      </c>
      <c r="C397" s="169">
        <f>IF(C$2&lt;=AnalysisPeriod,IF(SUM($C755:C755)&gt;0,B397+1,0),0)</f>
        <v>0</v>
      </c>
      <c r="D397" s="169">
        <f>IF(D$2&lt;=AnalysisPeriod,IF(SUM($C755:D755)&gt;0,C397+1,0),0)</f>
        <v>0</v>
      </c>
      <c r="E397" s="169">
        <f>IF(E$2&lt;=AnalysisPeriod,IF(SUM($C755:E755)&gt;0,D397+1,0),0)</f>
        <v>0</v>
      </c>
      <c r="F397" s="169">
        <f>IF(F$2&lt;=AnalysisPeriod,IF(SUM($C755:F755)&gt;0,E397+1,0),0)</f>
        <v>0</v>
      </c>
      <c r="G397" s="169">
        <f>IF(G$2&lt;=AnalysisPeriod,IF(SUM($C755:G755)&gt;0,F397+1,0),0)</f>
        <v>0</v>
      </c>
      <c r="H397" s="169">
        <f>IF(H$2&lt;=AnalysisPeriod,IF(SUM($C755:H755)&gt;0,G397+1,0),0)</f>
        <v>0</v>
      </c>
      <c r="I397" s="169">
        <f>IF(I$2&lt;=AnalysisPeriod,IF(SUM($C755:I755)&gt;0,H397+1,0),0)</f>
        <v>0</v>
      </c>
      <c r="J397" s="169">
        <f>IF(J$2&lt;=AnalysisPeriod,IF(SUM($C755:J755)&gt;0,I397+1,0),0)</f>
        <v>0</v>
      </c>
      <c r="K397" s="169">
        <f>IF(K$2&lt;=AnalysisPeriod,IF(SUM($C755:K755)&gt;0,J397+1,0),0)</f>
        <v>0</v>
      </c>
      <c r="L397" s="169">
        <f>IF(L$2&lt;=AnalysisPeriod,IF(SUM($C755:L755)&gt;0,K397+1,0),0)</f>
        <v>0</v>
      </c>
      <c r="M397" s="169">
        <f>IF(M$2&lt;=AnalysisPeriod,IF(SUM($C755:M755)&gt;0,L397+1,0),0)</f>
        <v>0</v>
      </c>
      <c r="N397" s="169">
        <f>IF(N$2&lt;=AnalysisPeriod,IF(SUM($C755:N755)&gt;0,M397+1,0),0)</f>
        <v>0</v>
      </c>
      <c r="O397" s="169">
        <f>IF(O$2&lt;=AnalysisPeriod,IF(SUM($C755:O755)&gt;0,N397+1,0),0)</f>
        <v>0</v>
      </c>
      <c r="P397" s="169">
        <f>IF(P$2&lt;=AnalysisPeriod,IF(SUM($C755:P755)&gt;0,O397+1,0),0)</f>
        <v>0</v>
      </c>
      <c r="Q397" s="169">
        <f>IF(Q$2&lt;=AnalysisPeriod,IF(SUM($C755:Q755)&gt;0,P397+1,0),0)</f>
        <v>0</v>
      </c>
      <c r="R397" s="169">
        <f>IF(R$2&lt;=AnalysisPeriod,IF(SUM($C755:R755)&gt;0,Q397+1,0),0)</f>
        <v>0</v>
      </c>
      <c r="S397" s="169">
        <f>IF(S$2&lt;=AnalysisPeriod,IF(SUM($C755:S755)&gt;0,R397+1,0),0)</f>
        <v>0</v>
      </c>
      <c r="T397" s="169">
        <f>IF(T$2&lt;=AnalysisPeriod,IF(SUM($C755:T755)&gt;0,S397+1,0),0)</f>
        <v>0</v>
      </c>
      <c r="U397" s="169">
        <f>IF(U$2&lt;=AnalysisPeriod,IF(SUM($C755:U755)&gt;0,T397+1,0),0)</f>
        <v>0</v>
      </c>
      <c r="V397" s="169">
        <f>IF(V$2&lt;=AnalysisPeriod,IF(SUM($C755:V755)&gt;0,U397+1,0),0)</f>
        <v>0</v>
      </c>
      <c r="W397" s="169">
        <f>IF(W$2&lt;=AnalysisPeriod,IF(SUM($C755:W755)&gt;0,V397+1,0),0)</f>
        <v>0</v>
      </c>
      <c r="X397" s="169">
        <f>IF(X$2&lt;=AnalysisPeriod,IF(SUM($C755:X755)&gt;0,W397+1,0),0)</f>
        <v>0</v>
      </c>
      <c r="Y397" s="169">
        <f>IF(Y$2&lt;=AnalysisPeriod,IF(SUM($C755:Y755)&gt;0,X397+1,0),0)</f>
        <v>0</v>
      </c>
      <c r="Z397" s="169">
        <f>IF(Z$2&lt;=AnalysisPeriod,IF(SUM($C755:Z755)&gt;0,Y397+1,0),0)</f>
        <v>0</v>
      </c>
      <c r="AA397" s="169">
        <f>IF(AA$2&lt;=AnalysisPeriod,IF(SUM($C755:AA755)&gt;0,Z397+1,0),0)</f>
        <v>0</v>
      </c>
      <c r="AB397" s="169">
        <f>IF(AB$2&lt;=AnalysisPeriod,IF(SUM($C755:AB755)&gt;0,AA397+1,0),0)</f>
        <v>0</v>
      </c>
      <c r="AC397" s="169">
        <f>IF(AC$2&lt;=AnalysisPeriod,IF(SUM($C755:AC755)&gt;0,AB397+1,0),0)</f>
        <v>0</v>
      </c>
      <c r="AD397" s="169">
        <f>IF(AD$2&lt;=AnalysisPeriod,IF(SUM($C755:AD755)&gt;0,AC397+1,0),0)</f>
        <v>0</v>
      </c>
      <c r="AE397" s="169">
        <f>IF(AE$2&lt;=AnalysisPeriod,IF(SUM($C755:AE755)&gt;0,AD397+1,0),0)</f>
        <v>0</v>
      </c>
      <c r="AF397" s="169">
        <f>IF(AF$2&lt;=AnalysisPeriod,IF(SUM($C755:AF755)&gt;0,AE397+1,0),0)</f>
        <v>0</v>
      </c>
      <c r="AG397" s="169">
        <f>IF(AG$2&lt;=AnalysisPeriod,IF(SUM($C755:AG755)&gt;0,AF397+1,0),0)</f>
        <v>0</v>
      </c>
      <c r="AH397" s="169">
        <f>IF(AH$2&lt;=AnalysisPeriod,IF(SUM($C755:AH755)&gt;0,AG397+1,0),0)</f>
        <v>0</v>
      </c>
      <c r="AI397" s="169">
        <f>IF(AI$2&lt;=AnalysisPeriod,IF(SUM($C755:AI755)&gt;0,AH397+1,0),0)</f>
        <v>0</v>
      </c>
      <c r="AJ397" s="169">
        <f>IF(AJ$2&lt;=AnalysisPeriod,IF(SUM($C755:AJ755)&gt;0,AI397+1,0),0)</f>
        <v>0</v>
      </c>
      <c r="AK397" s="169">
        <f>IF(AK$2&lt;=AnalysisPeriod,IF(SUM($C755:AK755)&gt;0,AJ397+1,0),0)</f>
        <v>0</v>
      </c>
      <c r="AL397" s="169">
        <f>IF(AL$2&lt;=AnalysisPeriod,IF(SUM($C755:AL755)&gt;0,AK397+1,0),0)</f>
        <v>0</v>
      </c>
      <c r="AM397" s="169">
        <f>IF(AM$2&lt;=AnalysisPeriod,IF(SUM($C755:AM755)&gt;0,AL397+1,0),0)</f>
        <v>0</v>
      </c>
      <c r="AN397" s="169">
        <f>IF(AN$2&lt;=AnalysisPeriod,IF(SUM($C755:AN755)&gt;0,AM397+1,0),0)</f>
        <v>0</v>
      </c>
      <c r="AO397" s="169">
        <f>IF(AO$2&lt;=AnalysisPeriod,IF(SUM($C755:AO755)&gt;0,AN397+1,0),0)</f>
        <v>0</v>
      </c>
      <c r="AP397" s="169">
        <f>IF(AP$2&lt;=AnalysisPeriod,IF(SUM($C755:AP755)&gt;0,AO397+1,0),0)</f>
        <v>0</v>
      </c>
    </row>
    <row r="398" spans="1:42" x14ac:dyDescent="0.2">
      <c r="A398" s="101">
        <f t="shared" si="916"/>
        <v>8</v>
      </c>
      <c r="C398" s="169">
        <f>IF(C$2&lt;=AnalysisPeriod,IF(SUM($C756:C756)&gt;0,B398+1,0),0)</f>
        <v>0</v>
      </c>
      <c r="D398" s="169">
        <f>IF(D$2&lt;=AnalysisPeriod,IF(SUM($C756:D756)&gt;0,C398+1,0),0)</f>
        <v>0</v>
      </c>
      <c r="E398" s="169">
        <f>IF(E$2&lt;=AnalysisPeriod,IF(SUM($C756:E756)&gt;0,D398+1,0),0)</f>
        <v>0</v>
      </c>
      <c r="F398" s="169">
        <f>IF(F$2&lt;=AnalysisPeriod,IF(SUM($C756:F756)&gt;0,E398+1,0),0)</f>
        <v>0</v>
      </c>
      <c r="G398" s="169">
        <f>IF(G$2&lt;=AnalysisPeriod,IF(SUM($C756:G756)&gt;0,F398+1,0),0)</f>
        <v>0</v>
      </c>
      <c r="H398" s="169">
        <f>IF(H$2&lt;=AnalysisPeriod,IF(SUM($C756:H756)&gt;0,G398+1,0),0)</f>
        <v>0</v>
      </c>
      <c r="I398" s="169">
        <f>IF(I$2&lt;=AnalysisPeriod,IF(SUM($C756:I756)&gt;0,H398+1,0),0)</f>
        <v>0</v>
      </c>
      <c r="J398" s="169">
        <f>IF(J$2&lt;=AnalysisPeriod,IF(SUM($C756:J756)&gt;0,I398+1,0),0)</f>
        <v>0</v>
      </c>
      <c r="K398" s="169">
        <f>IF(K$2&lt;=AnalysisPeriod,IF(SUM($C756:K756)&gt;0,J398+1,0),0)</f>
        <v>0</v>
      </c>
      <c r="L398" s="169">
        <f>IF(L$2&lt;=AnalysisPeriod,IF(SUM($C756:L756)&gt;0,K398+1,0),0)</f>
        <v>0</v>
      </c>
      <c r="M398" s="169">
        <f>IF(M$2&lt;=AnalysisPeriod,IF(SUM($C756:M756)&gt;0,L398+1,0),0)</f>
        <v>0</v>
      </c>
      <c r="N398" s="169">
        <f>IF(N$2&lt;=AnalysisPeriod,IF(SUM($C756:N756)&gt;0,M398+1,0),0)</f>
        <v>0</v>
      </c>
      <c r="O398" s="169">
        <f>IF(O$2&lt;=AnalysisPeriod,IF(SUM($C756:O756)&gt;0,N398+1,0),0)</f>
        <v>0</v>
      </c>
      <c r="P398" s="169">
        <f>IF(P$2&lt;=AnalysisPeriod,IF(SUM($C756:P756)&gt;0,O398+1,0),0)</f>
        <v>0</v>
      </c>
      <c r="Q398" s="169">
        <f>IF(Q$2&lt;=AnalysisPeriod,IF(SUM($C756:Q756)&gt;0,P398+1,0),0)</f>
        <v>0</v>
      </c>
      <c r="R398" s="169">
        <f>IF(R$2&lt;=AnalysisPeriod,IF(SUM($C756:R756)&gt;0,Q398+1,0),0)</f>
        <v>0</v>
      </c>
      <c r="S398" s="169">
        <f>IF(S$2&lt;=AnalysisPeriod,IF(SUM($C756:S756)&gt;0,R398+1,0),0)</f>
        <v>0</v>
      </c>
      <c r="T398" s="169">
        <f>IF(T$2&lt;=AnalysisPeriod,IF(SUM($C756:T756)&gt;0,S398+1,0),0)</f>
        <v>0</v>
      </c>
      <c r="U398" s="169">
        <f>IF(U$2&lt;=AnalysisPeriod,IF(SUM($C756:U756)&gt;0,T398+1,0),0)</f>
        <v>0</v>
      </c>
      <c r="V398" s="169">
        <f>IF(V$2&lt;=AnalysisPeriod,IF(SUM($C756:V756)&gt;0,U398+1,0),0)</f>
        <v>0</v>
      </c>
      <c r="W398" s="169">
        <f>IF(W$2&lt;=AnalysisPeriod,IF(SUM($C756:W756)&gt;0,V398+1,0),0)</f>
        <v>0</v>
      </c>
      <c r="X398" s="169">
        <f>IF(X$2&lt;=AnalysisPeriod,IF(SUM($C756:X756)&gt;0,W398+1,0),0)</f>
        <v>0</v>
      </c>
      <c r="Y398" s="169">
        <f>IF(Y$2&lt;=AnalysisPeriod,IF(SUM($C756:Y756)&gt;0,X398+1,0),0)</f>
        <v>0</v>
      </c>
      <c r="Z398" s="169">
        <f>IF(Z$2&lt;=AnalysisPeriod,IF(SUM($C756:Z756)&gt;0,Y398+1,0),0)</f>
        <v>0</v>
      </c>
      <c r="AA398" s="169">
        <f>IF(AA$2&lt;=AnalysisPeriod,IF(SUM($C756:AA756)&gt;0,Z398+1,0),0)</f>
        <v>0</v>
      </c>
      <c r="AB398" s="169">
        <f>IF(AB$2&lt;=AnalysisPeriod,IF(SUM($C756:AB756)&gt;0,AA398+1,0),0)</f>
        <v>0</v>
      </c>
      <c r="AC398" s="169">
        <f>IF(AC$2&lt;=AnalysisPeriod,IF(SUM($C756:AC756)&gt;0,AB398+1,0),0)</f>
        <v>0</v>
      </c>
      <c r="AD398" s="169">
        <f>IF(AD$2&lt;=AnalysisPeriod,IF(SUM($C756:AD756)&gt;0,AC398+1,0),0)</f>
        <v>0</v>
      </c>
      <c r="AE398" s="169">
        <f>IF(AE$2&lt;=AnalysisPeriod,IF(SUM($C756:AE756)&gt;0,AD398+1,0),0)</f>
        <v>0</v>
      </c>
      <c r="AF398" s="169">
        <f>IF(AF$2&lt;=AnalysisPeriod,IF(SUM($C756:AF756)&gt;0,AE398+1,0),0)</f>
        <v>0</v>
      </c>
      <c r="AG398" s="169">
        <f>IF(AG$2&lt;=AnalysisPeriod,IF(SUM($C756:AG756)&gt;0,AF398+1,0),0)</f>
        <v>0</v>
      </c>
      <c r="AH398" s="169">
        <f>IF(AH$2&lt;=AnalysisPeriod,IF(SUM($C756:AH756)&gt;0,AG398+1,0),0)</f>
        <v>0</v>
      </c>
      <c r="AI398" s="169">
        <f>IF(AI$2&lt;=AnalysisPeriod,IF(SUM($C756:AI756)&gt;0,AH398+1,0),0)</f>
        <v>0</v>
      </c>
      <c r="AJ398" s="169">
        <f>IF(AJ$2&lt;=AnalysisPeriod,IF(SUM($C756:AJ756)&gt;0,AI398+1,0),0)</f>
        <v>0</v>
      </c>
      <c r="AK398" s="169">
        <f>IF(AK$2&lt;=AnalysisPeriod,IF(SUM($C756:AK756)&gt;0,AJ398+1,0),0)</f>
        <v>0</v>
      </c>
      <c r="AL398" s="169">
        <f>IF(AL$2&lt;=AnalysisPeriod,IF(SUM($C756:AL756)&gt;0,AK398+1,0),0)</f>
        <v>0</v>
      </c>
      <c r="AM398" s="169">
        <f>IF(AM$2&lt;=AnalysisPeriod,IF(SUM($C756:AM756)&gt;0,AL398+1,0),0)</f>
        <v>0</v>
      </c>
      <c r="AN398" s="169">
        <f>IF(AN$2&lt;=AnalysisPeriod,IF(SUM($C756:AN756)&gt;0,AM398+1,0),0)</f>
        <v>0</v>
      </c>
      <c r="AO398" s="169">
        <f>IF(AO$2&lt;=AnalysisPeriod,IF(SUM($C756:AO756)&gt;0,AN398+1,0),0)</f>
        <v>0</v>
      </c>
      <c r="AP398" s="169">
        <f>IF(AP$2&lt;=AnalysisPeriod,IF(SUM($C756:AP756)&gt;0,AO398+1,0),0)</f>
        <v>0</v>
      </c>
    </row>
    <row r="399" spans="1:42" x14ac:dyDescent="0.2">
      <c r="A399" s="101">
        <f>A398+1</f>
        <v>9</v>
      </c>
      <c r="C399" s="169">
        <f>IF(C$2&lt;=AnalysisPeriod,IF(SUM($C757:C757)&gt;0,B399+1,0),0)</f>
        <v>0</v>
      </c>
      <c r="D399" s="169">
        <f>IF(D$2&lt;=AnalysisPeriod,IF(SUM($C757:D757)&gt;0,C399+1,0),0)</f>
        <v>0</v>
      </c>
      <c r="E399" s="169">
        <f>IF(E$2&lt;=AnalysisPeriod,IF(SUM($C757:E757)&gt;0,D399+1,0),0)</f>
        <v>0</v>
      </c>
      <c r="F399" s="169">
        <f>IF(F$2&lt;=AnalysisPeriod,IF(SUM($C757:F757)&gt;0,E399+1,0),0)</f>
        <v>0</v>
      </c>
      <c r="G399" s="169">
        <f>IF(G$2&lt;=AnalysisPeriod,IF(SUM($C757:G757)&gt;0,F399+1,0),0)</f>
        <v>0</v>
      </c>
      <c r="H399" s="169">
        <f>IF(H$2&lt;=AnalysisPeriod,IF(SUM($C757:H757)&gt;0,G399+1,0),0)</f>
        <v>0</v>
      </c>
      <c r="I399" s="169">
        <f>IF(I$2&lt;=AnalysisPeriod,IF(SUM($C757:I757)&gt;0,H399+1,0),0)</f>
        <v>0</v>
      </c>
      <c r="J399" s="169">
        <f>IF(J$2&lt;=AnalysisPeriod,IF(SUM($C757:J757)&gt;0,I399+1,0),0)</f>
        <v>0</v>
      </c>
      <c r="K399" s="169">
        <f>IF(K$2&lt;=AnalysisPeriod,IF(SUM($C757:K757)&gt;0,J399+1,0),0)</f>
        <v>0</v>
      </c>
      <c r="L399" s="169">
        <f>IF(L$2&lt;=AnalysisPeriod,IF(SUM($C757:L757)&gt;0,K399+1,0),0)</f>
        <v>0</v>
      </c>
      <c r="M399" s="169">
        <f>IF(M$2&lt;=AnalysisPeriod,IF(SUM($C757:M757)&gt;0,L399+1,0),0)</f>
        <v>0</v>
      </c>
      <c r="N399" s="169">
        <f>IF(N$2&lt;=AnalysisPeriod,IF(SUM($C757:N757)&gt;0,M399+1,0),0)</f>
        <v>0</v>
      </c>
      <c r="O399" s="169">
        <f>IF(O$2&lt;=AnalysisPeriod,IF(SUM($C757:O757)&gt;0,N399+1,0),0)</f>
        <v>0</v>
      </c>
      <c r="P399" s="169">
        <f>IF(P$2&lt;=AnalysisPeriod,IF(SUM($C757:P757)&gt;0,O399+1,0),0)</f>
        <v>0</v>
      </c>
      <c r="Q399" s="169">
        <f>IF(Q$2&lt;=AnalysisPeriod,IF(SUM($C757:Q757)&gt;0,P399+1,0),0)</f>
        <v>0</v>
      </c>
      <c r="R399" s="169">
        <f>IF(R$2&lt;=AnalysisPeriod,IF(SUM($C757:R757)&gt;0,Q399+1,0),0)</f>
        <v>0</v>
      </c>
      <c r="S399" s="169">
        <f>IF(S$2&lt;=AnalysisPeriod,IF(SUM($C757:S757)&gt;0,R399+1,0),0)</f>
        <v>0</v>
      </c>
      <c r="T399" s="169">
        <f>IF(T$2&lt;=AnalysisPeriod,IF(SUM($C757:T757)&gt;0,S399+1,0),0)</f>
        <v>0</v>
      </c>
      <c r="U399" s="169">
        <f>IF(U$2&lt;=AnalysisPeriod,IF(SUM($C757:U757)&gt;0,T399+1,0),0)</f>
        <v>0</v>
      </c>
      <c r="V399" s="169">
        <f>IF(V$2&lt;=AnalysisPeriod,IF(SUM($C757:V757)&gt;0,U399+1,0),0)</f>
        <v>0</v>
      </c>
      <c r="W399" s="169">
        <f>IF(W$2&lt;=AnalysisPeriod,IF(SUM($C757:W757)&gt;0,V399+1,0),0)</f>
        <v>0</v>
      </c>
      <c r="X399" s="169">
        <f>IF(X$2&lt;=AnalysisPeriod,IF(SUM($C757:X757)&gt;0,W399+1,0),0)</f>
        <v>0</v>
      </c>
      <c r="Y399" s="169">
        <f>IF(Y$2&lt;=AnalysisPeriod,IF(SUM($C757:Y757)&gt;0,X399+1,0),0)</f>
        <v>0</v>
      </c>
      <c r="Z399" s="169">
        <f>IF(Z$2&lt;=AnalysisPeriod,IF(SUM($C757:Z757)&gt;0,Y399+1,0),0)</f>
        <v>0</v>
      </c>
      <c r="AA399" s="169">
        <f>IF(AA$2&lt;=AnalysisPeriod,IF(SUM($C757:AA757)&gt;0,Z399+1,0),0)</f>
        <v>0</v>
      </c>
      <c r="AB399" s="169">
        <f>IF(AB$2&lt;=AnalysisPeriod,IF(SUM($C757:AB757)&gt;0,AA399+1,0),0)</f>
        <v>0</v>
      </c>
      <c r="AC399" s="169">
        <f>IF(AC$2&lt;=AnalysisPeriod,IF(SUM($C757:AC757)&gt;0,AB399+1,0),0)</f>
        <v>0</v>
      </c>
      <c r="AD399" s="169">
        <f>IF(AD$2&lt;=AnalysisPeriod,IF(SUM($C757:AD757)&gt;0,AC399+1,0),0)</f>
        <v>0</v>
      </c>
      <c r="AE399" s="169">
        <f>IF(AE$2&lt;=AnalysisPeriod,IF(SUM($C757:AE757)&gt;0,AD399+1,0),0)</f>
        <v>0</v>
      </c>
      <c r="AF399" s="169">
        <f>IF(AF$2&lt;=AnalysisPeriod,IF(SUM($C757:AF757)&gt;0,AE399+1,0),0)</f>
        <v>0</v>
      </c>
      <c r="AG399" s="169">
        <f>IF(AG$2&lt;=AnalysisPeriod,IF(SUM($C757:AG757)&gt;0,AF399+1,0),0)</f>
        <v>0</v>
      </c>
      <c r="AH399" s="169">
        <f>IF(AH$2&lt;=AnalysisPeriod,IF(SUM($C757:AH757)&gt;0,AG399+1,0),0)</f>
        <v>0</v>
      </c>
      <c r="AI399" s="169">
        <f>IF(AI$2&lt;=AnalysisPeriod,IF(SUM($C757:AI757)&gt;0,AH399+1,0),0)</f>
        <v>0</v>
      </c>
      <c r="AJ399" s="169">
        <f>IF(AJ$2&lt;=AnalysisPeriod,IF(SUM($C757:AJ757)&gt;0,AI399+1,0),0)</f>
        <v>0</v>
      </c>
      <c r="AK399" s="169">
        <f>IF(AK$2&lt;=AnalysisPeriod,IF(SUM($C757:AK757)&gt;0,AJ399+1,0),0)</f>
        <v>0</v>
      </c>
      <c r="AL399" s="169">
        <f>IF(AL$2&lt;=AnalysisPeriod,IF(SUM($C757:AL757)&gt;0,AK399+1,0),0)</f>
        <v>0</v>
      </c>
      <c r="AM399" s="169">
        <f>IF(AM$2&lt;=AnalysisPeriod,IF(SUM($C757:AM757)&gt;0,AL399+1,0),0)</f>
        <v>0</v>
      </c>
      <c r="AN399" s="169">
        <f>IF(AN$2&lt;=AnalysisPeriod,IF(SUM($C757:AN757)&gt;0,AM399+1,0),0)</f>
        <v>0</v>
      </c>
      <c r="AO399" s="169">
        <f>IF(AO$2&lt;=AnalysisPeriod,IF(SUM($C757:AO757)&gt;0,AN399+1,0),0)</f>
        <v>0</v>
      </c>
      <c r="AP399" s="169">
        <f>IF(AP$2&lt;=AnalysisPeriod,IF(SUM($C757:AP757)&gt;0,AO399+1,0),0)</f>
        <v>0</v>
      </c>
    </row>
    <row r="400" spans="1:42" x14ac:dyDescent="0.2">
      <c r="A400" s="101">
        <f t="shared" si="916"/>
        <v>10</v>
      </c>
      <c r="C400" s="169">
        <f>IF(C$2&lt;=AnalysisPeriod,IF(SUM($C758:C758)&gt;0,B400+1,0),0)</f>
        <v>0</v>
      </c>
      <c r="D400" s="169">
        <f>IF(D$2&lt;=AnalysisPeriod,IF(SUM($C758:D758)&gt;0,C400+1,0),0)</f>
        <v>0</v>
      </c>
      <c r="E400" s="169">
        <f>IF(E$2&lt;=AnalysisPeriod,IF(SUM($C758:E758)&gt;0,D400+1,0),0)</f>
        <v>0</v>
      </c>
      <c r="F400" s="169">
        <f>IF(F$2&lt;=AnalysisPeriod,IF(SUM($C758:F758)&gt;0,E400+1,0),0)</f>
        <v>0</v>
      </c>
      <c r="G400" s="169">
        <f>IF(G$2&lt;=AnalysisPeriod,IF(SUM($C758:G758)&gt;0,F400+1,0),0)</f>
        <v>0</v>
      </c>
      <c r="H400" s="169">
        <f>IF(H$2&lt;=AnalysisPeriod,IF(SUM($C758:H758)&gt;0,G400+1,0),0)</f>
        <v>0</v>
      </c>
      <c r="I400" s="169">
        <f>IF(I$2&lt;=AnalysisPeriod,IF(SUM($C758:I758)&gt;0,H400+1,0),0)</f>
        <v>0</v>
      </c>
      <c r="J400" s="169">
        <f>IF(J$2&lt;=AnalysisPeriod,IF(SUM($C758:J758)&gt;0,I400+1,0),0)</f>
        <v>0</v>
      </c>
      <c r="K400" s="169">
        <f>IF(K$2&lt;=AnalysisPeriod,IF(SUM($C758:K758)&gt;0,J400+1,0),0)</f>
        <v>0</v>
      </c>
      <c r="L400" s="169">
        <f>IF(L$2&lt;=AnalysisPeriod,IF(SUM($C758:L758)&gt;0,K400+1,0),0)</f>
        <v>0</v>
      </c>
      <c r="M400" s="169">
        <f>IF(M$2&lt;=AnalysisPeriod,IF(SUM($C758:M758)&gt;0,L400+1,0),0)</f>
        <v>0</v>
      </c>
      <c r="N400" s="169">
        <f>IF(N$2&lt;=AnalysisPeriod,IF(SUM($C758:N758)&gt;0,M400+1,0),0)</f>
        <v>0</v>
      </c>
      <c r="O400" s="169">
        <f>IF(O$2&lt;=AnalysisPeriod,IF(SUM($C758:O758)&gt;0,N400+1,0),0)</f>
        <v>0</v>
      </c>
      <c r="P400" s="169">
        <f>IF(P$2&lt;=AnalysisPeriod,IF(SUM($C758:P758)&gt;0,O400+1,0),0)</f>
        <v>0</v>
      </c>
      <c r="Q400" s="169">
        <f>IF(Q$2&lt;=AnalysisPeriod,IF(SUM($C758:Q758)&gt;0,P400+1,0),0)</f>
        <v>0</v>
      </c>
      <c r="R400" s="169">
        <f>IF(R$2&lt;=AnalysisPeriod,IF(SUM($C758:R758)&gt;0,Q400+1,0),0)</f>
        <v>0</v>
      </c>
      <c r="S400" s="169">
        <f>IF(S$2&lt;=AnalysisPeriod,IF(SUM($C758:S758)&gt;0,R400+1,0),0)</f>
        <v>0</v>
      </c>
      <c r="T400" s="169">
        <f>IF(T$2&lt;=AnalysisPeriod,IF(SUM($C758:T758)&gt;0,S400+1,0),0)</f>
        <v>0</v>
      </c>
      <c r="U400" s="169">
        <f>IF(U$2&lt;=AnalysisPeriod,IF(SUM($C758:U758)&gt;0,T400+1,0),0)</f>
        <v>0</v>
      </c>
      <c r="V400" s="169">
        <f>IF(V$2&lt;=AnalysisPeriod,IF(SUM($C758:V758)&gt;0,U400+1,0),0)</f>
        <v>0</v>
      </c>
      <c r="W400" s="169">
        <f>IF(W$2&lt;=AnalysisPeriod,IF(SUM($C758:W758)&gt;0,V400+1,0),0)</f>
        <v>0</v>
      </c>
      <c r="X400" s="169">
        <f>IF(X$2&lt;=AnalysisPeriod,IF(SUM($C758:X758)&gt;0,W400+1,0),0)</f>
        <v>0</v>
      </c>
      <c r="Y400" s="169">
        <f>IF(Y$2&lt;=AnalysisPeriod,IF(SUM($C758:Y758)&gt;0,X400+1,0),0)</f>
        <v>0</v>
      </c>
      <c r="Z400" s="169">
        <f>IF(Z$2&lt;=AnalysisPeriod,IF(SUM($C758:Z758)&gt;0,Y400+1,0),0)</f>
        <v>0</v>
      </c>
      <c r="AA400" s="169">
        <f>IF(AA$2&lt;=AnalysisPeriod,IF(SUM($C758:AA758)&gt;0,Z400+1,0),0)</f>
        <v>0</v>
      </c>
      <c r="AB400" s="169">
        <f>IF(AB$2&lt;=AnalysisPeriod,IF(SUM($C758:AB758)&gt;0,AA400+1,0),0)</f>
        <v>0</v>
      </c>
      <c r="AC400" s="169">
        <f>IF(AC$2&lt;=AnalysisPeriod,IF(SUM($C758:AC758)&gt;0,AB400+1,0),0)</f>
        <v>0</v>
      </c>
      <c r="AD400" s="169">
        <f>IF(AD$2&lt;=AnalysisPeriod,IF(SUM($C758:AD758)&gt;0,AC400+1,0),0)</f>
        <v>0</v>
      </c>
      <c r="AE400" s="169">
        <f>IF(AE$2&lt;=AnalysisPeriod,IF(SUM($C758:AE758)&gt;0,AD400+1,0),0)</f>
        <v>0</v>
      </c>
      <c r="AF400" s="169">
        <f>IF(AF$2&lt;=AnalysisPeriod,IF(SUM($C758:AF758)&gt;0,AE400+1,0),0)</f>
        <v>0</v>
      </c>
      <c r="AG400" s="169">
        <f>IF(AG$2&lt;=AnalysisPeriod,IF(SUM($C758:AG758)&gt;0,AF400+1,0),0)</f>
        <v>0</v>
      </c>
      <c r="AH400" s="169">
        <f>IF(AH$2&lt;=AnalysisPeriod,IF(SUM($C758:AH758)&gt;0,AG400+1,0),0)</f>
        <v>0</v>
      </c>
      <c r="AI400" s="169">
        <f>IF(AI$2&lt;=AnalysisPeriod,IF(SUM($C758:AI758)&gt;0,AH400+1,0),0)</f>
        <v>0</v>
      </c>
      <c r="AJ400" s="169">
        <f>IF(AJ$2&lt;=AnalysisPeriod,IF(SUM($C758:AJ758)&gt;0,AI400+1,0),0)</f>
        <v>0</v>
      </c>
      <c r="AK400" s="169">
        <f>IF(AK$2&lt;=AnalysisPeriod,IF(SUM($C758:AK758)&gt;0,AJ400+1,0),0)</f>
        <v>0</v>
      </c>
      <c r="AL400" s="169">
        <f>IF(AL$2&lt;=AnalysisPeriod,IF(SUM($C758:AL758)&gt;0,AK400+1,0),0)</f>
        <v>0</v>
      </c>
      <c r="AM400" s="169">
        <f>IF(AM$2&lt;=AnalysisPeriod,IF(SUM($C758:AM758)&gt;0,AL400+1,0),0)</f>
        <v>0</v>
      </c>
      <c r="AN400" s="169">
        <f>IF(AN$2&lt;=AnalysisPeriod,IF(SUM($C758:AN758)&gt;0,AM400+1,0),0)</f>
        <v>0</v>
      </c>
      <c r="AO400" s="169">
        <f>IF(AO$2&lt;=AnalysisPeriod,IF(SUM($C758:AO758)&gt;0,AN400+1,0),0)</f>
        <v>0</v>
      </c>
      <c r="AP400" s="169">
        <f>IF(AP$2&lt;=AnalysisPeriod,IF(SUM($C758:AP758)&gt;0,AO400+1,0),0)</f>
        <v>0</v>
      </c>
    </row>
    <row r="401" spans="1:42" x14ac:dyDescent="0.2">
      <c r="A401" s="187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</row>
    <row r="402" spans="1:42" x14ac:dyDescent="0.2">
      <c r="A402" s="187" t="s">
        <v>196</v>
      </c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</row>
    <row r="403" spans="1:42" x14ac:dyDescent="0.2">
      <c r="A403" s="101">
        <v>1</v>
      </c>
      <c r="B403" s="179">
        <f t="shared" ref="B403:B412" si="917">SUM(C403:AP403)</f>
        <v>0</v>
      </c>
      <c r="C403" s="208">
        <f t="shared" ref="C403:AP403" si="918">LOOKUP(C391,$B$335:$AP$335,$B$336:$AP$336)*$B749</f>
        <v>0</v>
      </c>
      <c r="D403" s="169">
        <f t="shared" si="918"/>
        <v>0</v>
      </c>
      <c r="E403" s="169">
        <f t="shared" si="918"/>
        <v>0</v>
      </c>
      <c r="F403" s="169">
        <f t="shared" si="918"/>
        <v>0</v>
      </c>
      <c r="G403" s="169">
        <f t="shared" si="918"/>
        <v>0</v>
      </c>
      <c r="H403" s="169">
        <f t="shared" si="918"/>
        <v>0</v>
      </c>
      <c r="I403" s="169">
        <f t="shared" si="918"/>
        <v>0</v>
      </c>
      <c r="J403" s="169">
        <f t="shared" si="918"/>
        <v>0</v>
      </c>
      <c r="K403" s="169">
        <f t="shared" si="918"/>
        <v>0</v>
      </c>
      <c r="L403" s="169">
        <f t="shared" si="918"/>
        <v>0</v>
      </c>
      <c r="M403" s="169">
        <f t="shared" si="918"/>
        <v>0</v>
      </c>
      <c r="N403" s="169">
        <f t="shared" si="918"/>
        <v>0</v>
      </c>
      <c r="O403" s="169">
        <f t="shared" si="918"/>
        <v>0</v>
      </c>
      <c r="P403" s="169">
        <f t="shared" si="918"/>
        <v>0</v>
      </c>
      <c r="Q403" s="169">
        <f t="shared" si="918"/>
        <v>0</v>
      </c>
      <c r="R403" s="169">
        <f t="shared" si="918"/>
        <v>0</v>
      </c>
      <c r="S403" s="169">
        <f t="shared" si="918"/>
        <v>0</v>
      </c>
      <c r="T403" s="169">
        <f t="shared" si="918"/>
        <v>0</v>
      </c>
      <c r="U403" s="169">
        <f t="shared" si="918"/>
        <v>0</v>
      </c>
      <c r="V403" s="169">
        <f t="shared" si="918"/>
        <v>0</v>
      </c>
      <c r="W403" s="169">
        <f t="shared" si="918"/>
        <v>0</v>
      </c>
      <c r="X403" s="169">
        <f t="shared" si="918"/>
        <v>0</v>
      </c>
      <c r="Y403" s="169">
        <f t="shared" si="918"/>
        <v>0</v>
      </c>
      <c r="Z403" s="169">
        <f t="shared" si="918"/>
        <v>0</v>
      </c>
      <c r="AA403" s="169">
        <f t="shared" si="918"/>
        <v>0</v>
      </c>
      <c r="AB403" s="169">
        <f t="shared" si="918"/>
        <v>0</v>
      </c>
      <c r="AC403" s="169">
        <f t="shared" si="918"/>
        <v>0</v>
      </c>
      <c r="AD403" s="169">
        <f t="shared" si="918"/>
        <v>0</v>
      </c>
      <c r="AE403" s="169">
        <f t="shared" si="918"/>
        <v>0</v>
      </c>
      <c r="AF403" s="169">
        <f t="shared" si="918"/>
        <v>0</v>
      </c>
      <c r="AG403" s="169">
        <f t="shared" si="918"/>
        <v>0</v>
      </c>
      <c r="AH403" s="169">
        <f t="shared" si="918"/>
        <v>0</v>
      </c>
      <c r="AI403" s="169">
        <f t="shared" si="918"/>
        <v>0</v>
      </c>
      <c r="AJ403" s="169">
        <f t="shared" si="918"/>
        <v>0</v>
      </c>
      <c r="AK403" s="169">
        <f t="shared" si="918"/>
        <v>0</v>
      </c>
      <c r="AL403" s="169">
        <f t="shared" si="918"/>
        <v>0</v>
      </c>
      <c r="AM403" s="169">
        <f t="shared" si="918"/>
        <v>0</v>
      </c>
      <c r="AN403" s="169">
        <f t="shared" si="918"/>
        <v>0</v>
      </c>
      <c r="AO403" s="169">
        <f t="shared" si="918"/>
        <v>0</v>
      </c>
      <c r="AP403" s="169">
        <f t="shared" si="918"/>
        <v>0</v>
      </c>
    </row>
    <row r="404" spans="1:42" x14ac:dyDescent="0.2">
      <c r="A404" s="101">
        <f>A403+1</f>
        <v>2</v>
      </c>
      <c r="B404" s="179">
        <f t="shared" si="917"/>
        <v>0</v>
      </c>
      <c r="C404" s="208">
        <f t="shared" ref="C404:AP404" si="919">LOOKUP(C392,$B$335:$AP$335,$B$336:$AP$336)*$B750</f>
        <v>0</v>
      </c>
      <c r="D404" s="169">
        <f t="shared" si="919"/>
        <v>0</v>
      </c>
      <c r="E404" s="169">
        <f t="shared" si="919"/>
        <v>0</v>
      </c>
      <c r="F404" s="169">
        <f t="shared" si="919"/>
        <v>0</v>
      </c>
      <c r="G404" s="169">
        <f t="shared" si="919"/>
        <v>0</v>
      </c>
      <c r="H404" s="169">
        <f t="shared" si="919"/>
        <v>0</v>
      </c>
      <c r="I404" s="169">
        <f t="shared" si="919"/>
        <v>0</v>
      </c>
      <c r="J404" s="169">
        <f t="shared" si="919"/>
        <v>0</v>
      </c>
      <c r="K404" s="169">
        <f t="shared" si="919"/>
        <v>0</v>
      </c>
      <c r="L404" s="169">
        <f t="shared" si="919"/>
        <v>0</v>
      </c>
      <c r="M404" s="169">
        <f t="shared" si="919"/>
        <v>0</v>
      </c>
      <c r="N404" s="169">
        <f t="shared" si="919"/>
        <v>0</v>
      </c>
      <c r="O404" s="169">
        <f t="shared" si="919"/>
        <v>0</v>
      </c>
      <c r="P404" s="169">
        <f t="shared" si="919"/>
        <v>0</v>
      </c>
      <c r="Q404" s="169">
        <f t="shared" si="919"/>
        <v>0</v>
      </c>
      <c r="R404" s="169">
        <f t="shared" si="919"/>
        <v>0</v>
      </c>
      <c r="S404" s="169">
        <f t="shared" si="919"/>
        <v>0</v>
      </c>
      <c r="T404" s="169">
        <f t="shared" si="919"/>
        <v>0</v>
      </c>
      <c r="U404" s="169">
        <f t="shared" si="919"/>
        <v>0</v>
      </c>
      <c r="V404" s="169">
        <f t="shared" si="919"/>
        <v>0</v>
      </c>
      <c r="W404" s="169">
        <f t="shared" si="919"/>
        <v>0</v>
      </c>
      <c r="X404" s="169">
        <f t="shared" si="919"/>
        <v>0</v>
      </c>
      <c r="Y404" s="169">
        <f t="shared" si="919"/>
        <v>0</v>
      </c>
      <c r="Z404" s="169">
        <f t="shared" si="919"/>
        <v>0</v>
      </c>
      <c r="AA404" s="169">
        <f t="shared" si="919"/>
        <v>0</v>
      </c>
      <c r="AB404" s="169">
        <f t="shared" si="919"/>
        <v>0</v>
      </c>
      <c r="AC404" s="169">
        <f t="shared" si="919"/>
        <v>0</v>
      </c>
      <c r="AD404" s="169">
        <f t="shared" si="919"/>
        <v>0</v>
      </c>
      <c r="AE404" s="169">
        <f t="shared" si="919"/>
        <v>0</v>
      </c>
      <c r="AF404" s="169">
        <f t="shared" si="919"/>
        <v>0</v>
      </c>
      <c r="AG404" s="169">
        <f t="shared" si="919"/>
        <v>0</v>
      </c>
      <c r="AH404" s="169">
        <f t="shared" si="919"/>
        <v>0</v>
      </c>
      <c r="AI404" s="169">
        <f t="shared" si="919"/>
        <v>0</v>
      </c>
      <c r="AJ404" s="169">
        <f t="shared" si="919"/>
        <v>0</v>
      </c>
      <c r="AK404" s="169">
        <f t="shared" si="919"/>
        <v>0</v>
      </c>
      <c r="AL404" s="169">
        <f t="shared" si="919"/>
        <v>0</v>
      </c>
      <c r="AM404" s="169">
        <f t="shared" si="919"/>
        <v>0</v>
      </c>
      <c r="AN404" s="169">
        <f t="shared" si="919"/>
        <v>0</v>
      </c>
      <c r="AO404" s="169">
        <f t="shared" si="919"/>
        <v>0</v>
      </c>
      <c r="AP404" s="169">
        <f t="shared" si="919"/>
        <v>0</v>
      </c>
    </row>
    <row r="405" spans="1:42" x14ac:dyDescent="0.2">
      <c r="A405" s="101">
        <f t="shared" ref="A405:A412" si="920">A404+1</f>
        <v>3</v>
      </c>
      <c r="B405" s="179">
        <f t="shared" si="917"/>
        <v>0</v>
      </c>
      <c r="C405" s="208">
        <f t="shared" ref="C405:AP405" si="921">LOOKUP(C393,$B$335:$AP$335,$B$336:$AP$336)*$B751</f>
        <v>0</v>
      </c>
      <c r="D405" s="169">
        <f t="shared" si="921"/>
        <v>0</v>
      </c>
      <c r="E405" s="169">
        <f t="shared" si="921"/>
        <v>0</v>
      </c>
      <c r="F405" s="169">
        <f t="shared" si="921"/>
        <v>0</v>
      </c>
      <c r="G405" s="169">
        <f t="shared" si="921"/>
        <v>0</v>
      </c>
      <c r="H405" s="169">
        <f t="shared" si="921"/>
        <v>0</v>
      </c>
      <c r="I405" s="169">
        <f t="shared" si="921"/>
        <v>0</v>
      </c>
      <c r="J405" s="169">
        <f t="shared" si="921"/>
        <v>0</v>
      </c>
      <c r="K405" s="169">
        <f t="shared" si="921"/>
        <v>0</v>
      </c>
      <c r="L405" s="169">
        <f t="shared" si="921"/>
        <v>0</v>
      </c>
      <c r="M405" s="169">
        <f t="shared" si="921"/>
        <v>0</v>
      </c>
      <c r="N405" s="169">
        <f t="shared" si="921"/>
        <v>0</v>
      </c>
      <c r="O405" s="169">
        <f t="shared" si="921"/>
        <v>0</v>
      </c>
      <c r="P405" s="169">
        <f t="shared" si="921"/>
        <v>0</v>
      </c>
      <c r="Q405" s="169">
        <f t="shared" si="921"/>
        <v>0</v>
      </c>
      <c r="R405" s="169">
        <f t="shared" si="921"/>
        <v>0</v>
      </c>
      <c r="S405" s="169">
        <f t="shared" si="921"/>
        <v>0</v>
      </c>
      <c r="T405" s="169">
        <f t="shared" si="921"/>
        <v>0</v>
      </c>
      <c r="U405" s="169">
        <f t="shared" si="921"/>
        <v>0</v>
      </c>
      <c r="V405" s="169">
        <f t="shared" si="921"/>
        <v>0</v>
      </c>
      <c r="W405" s="169">
        <f t="shared" si="921"/>
        <v>0</v>
      </c>
      <c r="X405" s="169">
        <f t="shared" si="921"/>
        <v>0</v>
      </c>
      <c r="Y405" s="169">
        <f t="shared" si="921"/>
        <v>0</v>
      </c>
      <c r="Z405" s="169">
        <f t="shared" si="921"/>
        <v>0</v>
      </c>
      <c r="AA405" s="169">
        <f t="shared" si="921"/>
        <v>0</v>
      </c>
      <c r="AB405" s="169">
        <f t="shared" si="921"/>
        <v>0</v>
      </c>
      <c r="AC405" s="169">
        <f t="shared" si="921"/>
        <v>0</v>
      </c>
      <c r="AD405" s="169">
        <f t="shared" si="921"/>
        <v>0</v>
      </c>
      <c r="AE405" s="169">
        <f t="shared" si="921"/>
        <v>0</v>
      </c>
      <c r="AF405" s="169">
        <f t="shared" si="921"/>
        <v>0</v>
      </c>
      <c r="AG405" s="169">
        <f t="shared" si="921"/>
        <v>0</v>
      </c>
      <c r="AH405" s="169">
        <f t="shared" si="921"/>
        <v>0</v>
      </c>
      <c r="AI405" s="169">
        <f t="shared" si="921"/>
        <v>0</v>
      </c>
      <c r="AJ405" s="169">
        <f t="shared" si="921"/>
        <v>0</v>
      </c>
      <c r="AK405" s="169">
        <f t="shared" si="921"/>
        <v>0</v>
      </c>
      <c r="AL405" s="169">
        <f t="shared" si="921"/>
        <v>0</v>
      </c>
      <c r="AM405" s="169">
        <f t="shared" si="921"/>
        <v>0</v>
      </c>
      <c r="AN405" s="169">
        <f t="shared" si="921"/>
        <v>0</v>
      </c>
      <c r="AO405" s="169">
        <f t="shared" si="921"/>
        <v>0</v>
      </c>
      <c r="AP405" s="169">
        <f t="shared" si="921"/>
        <v>0</v>
      </c>
    </row>
    <row r="406" spans="1:42" x14ac:dyDescent="0.2">
      <c r="A406" s="101">
        <f t="shared" si="920"/>
        <v>4</v>
      </c>
      <c r="B406" s="179">
        <f t="shared" si="917"/>
        <v>0</v>
      </c>
      <c r="C406" s="208">
        <f t="shared" ref="C406:AP406" si="922">LOOKUP(C394,$B$335:$AP$335,$B$336:$AP$336)*$B752</f>
        <v>0</v>
      </c>
      <c r="D406" s="169">
        <f t="shared" si="922"/>
        <v>0</v>
      </c>
      <c r="E406" s="169">
        <f t="shared" si="922"/>
        <v>0</v>
      </c>
      <c r="F406" s="169">
        <f t="shared" si="922"/>
        <v>0</v>
      </c>
      <c r="G406" s="169">
        <f t="shared" si="922"/>
        <v>0</v>
      </c>
      <c r="H406" s="169">
        <f t="shared" si="922"/>
        <v>0</v>
      </c>
      <c r="I406" s="169">
        <f t="shared" si="922"/>
        <v>0</v>
      </c>
      <c r="J406" s="169">
        <f t="shared" si="922"/>
        <v>0</v>
      </c>
      <c r="K406" s="169">
        <f t="shared" si="922"/>
        <v>0</v>
      </c>
      <c r="L406" s="169">
        <f t="shared" si="922"/>
        <v>0</v>
      </c>
      <c r="M406" s="169">
        <f t="shared" si="922"/>
        <v>0</v>
      </c>
      <c r="N406" s="169">
        <f t="shared" si="922"/>
        <v>0</v>
      </c>
      <c r="O406" s="169">
        <f t="shared" si="922"/>
        <v>0</v>
      </c>
      <c r="P406" s="169">
        <f t="shared" si="922"/>
        <v>0</v>
      </c>
      <c r="Q406" s="169">
        <f t="shared" si="922"/>
        <v>0</v>
      </c>
      <c r="R406" s="169">
        <f t="shared" si="922"/>
        <v>0</v>
      </c>
      <c r="S406" s="169">
        <f t="shared" si="922"/>
        <v>0</v>
      </c>
      <c r="T406" s="169">
        <f t="shared" si="922"/>
        <v>0</v>
      </c>
      <c r="U406" s="169">
        <f t="shared" si="922"/>
        <v>0</v>
      </c>
      <c r="V406" s="169">
        <f t="shared" si="922"/>
        <v>0</v>
      </c>
      <c r="W406" s="169">
        <f t="shared" si="922"/>
        <v>0</v>
      </c>
      <c r="X406" s="169">
        <f t="shared" si="922"/>
        <v>0</v>
      </c>
      <c r="Y406" s="169">
        <f t="shared" si="922"/>
        <v>0</v>
      </c>
      <c r="Z406" s="169">
        <f t="shared" si="922"/>
        <v>0</v>
      </c>
      <c r="AA406" s="169">
        <f t="shared" si="922"/>
        <v>0</v>
      </c>
      <c r="AB406" s="169">
        <f t="shared" si="922"/>
        <v>0</v>
      </c>
      <c r="AC406" s="169">
        <f t="shared" si="922"/>
        <v>0</v>
      </c>
      <c r="AD406" s="169">
        <f t="shared" si="922"/>
        <v>0</v>
      </c>
      <c r="AE406" s="169">
        <f t="shared" si="922"/>
        <v>0</v>
      </c>
      <c r="AF406" s="169">
        <f t="shared" si="922"/>
        <v>0</v>
      </c>
      <c r="AG406" s="169">
        <f t="shared" si="922"/>
        <v>0</v>
      </c>
      <c r="AH406" s="169">
        <f t="shared" si="922"/>
        <v>0</v>
      </c>
      <c r="AI406" s="169">
        <f t="shared" si="922"/>
        <v>0</v>
      </c>
      <c r="AJ406" s="169">
        <f t="shared" si="922"/>
        <v>0</v>
      </c>
      <c r="AK406" s="169">
        <f t="shared" si="922"/>
        <v>0</v>
      </c>
      <c r="AL406" s="169">
        <f t="shared" si="922"/>
        <v>0</v>
      </c>
      <c r="AM406" s="169">
        <f t="shared" si="922"/>
        <v>0</v>
      </c>
      <c r="AN406" s="169">
        <f t="shared" si="922"/>
        <v>0</v>
      </c>
      <c r="AO406" s="169">
        <f t="shared" si="922"/>
        <v>0</v>
      </c>
      <c r="AP406" s="169">
        <f t="shared" si="922"/>
        <v>0</v>
      </c>
    </row>
    <row r="407" spans="1:42" x14ac:dyDescent="0.2">
      <c r="A407" s="101">
        <f t="shared" si="920"/>
        <v>5</v>
      </c>
      <c r="B407" s="179">
        <f t="shared" si="917"/>
        <v>0</v>
      </c>
      <c r="C407" s="208">
        <f t="shared" ref="C407:AP407" si="923">LOOKUP(C395,$B$335:$AP$335,$B$336:$AP$336)*$B753</f>
        <v>0</v>
      </c>
      <c r="D407" s="169">
        <f t="shared" si="923"/>
        <v>0</v>
      </c>
      <c r="E407" s="169">
        <f t="shared" si="923"/>
        <v>0</v>
      </c>
      <c r="F407" s="169">
        <f t="shared" si="923"/>
        <v>0</v>
      </c>
      <c r="G407" s="169">
        <f t="shared" si="923"/>
        <v>0</v>
      </c>
      <c r="H407" s="169">
        <f t="shared" si="923"/>
        <v>0</v>
      </c>
      <c r="I407" s="169">
        <f t="shared" si="923"/>
        <v>0</v>
      </c>
      <c r="J407" s="169">
        <f t="shared" si="923"/>
        <v>0</v>
      </c>
      <c r="K407" s="169">
        <f t="shared" si="923"/>
        <v>0</v>
      </c>
      <c r="L407" s="169">
        <f t="shared" si="923"/>
        <v>0</v>
      </c>
      <c r="M407" s="169">
        <f t="shared" si="923"/>
        <v>0</v>
      </c>
      <c r="N407" s="169">
        <f t="shared" si="923"/>
        <v>0</v>
      </c>
      <c r="O407" s="169">
        <f t="shared" si="923"/>
        <v>0</v>
      </c>
      <c r="P407" s="169">
        <f t="shared" si="923"/>
        <v>0</v>
      </c>
      <c r="Q407" s="169">
        <f t="shared" si="923"/>
        <v>0</v>
      </c>
      <c r="R407" s="169">
        <f t="shared" si="923"/>
        <v>0</v>
      </c>
      <c r="S407" s="169">
        <f t="shared" si="923"/>
        <v>0</v>
      </c>
      <c r="T407" s="169">
        <f t="shared" si="923"/>
        <v>0</v>
      </c>
      <c r="U407" s="169">
        <f t="shared" si="923"/>
        <v>0</v>
      </c>
      <c r="V407" s="169">
        <f t="shared" si="923"/>
        <v>0</v>
      </c>
      <c r="W407" s="169">
        <f t="shared" si="923"/>
        <v>0</v>
      </c>
      <c r="X407" s="169">
        <f t="shared" si="923"/>
        <v>0</v>
      </c>
      <c r="Y407" s="169">
        <f t="shared" si="923"/>
        <v>0</v>
      </c>
      <c r="Z407" s="169">
        <f t="shared" si="923"/>
        <v>0</v>
      </c>
      <c r="AA407" s="169">
        <f t="shared" si="923"/>
        <v>0</v>
      </c>
      <c r="AB407" s="169">
        <f t="shared" si="923"/>
        <v>0</v>
      </c>
      <c r="AC407" s="169">
        <f t="shared" si="923"/>
        <v>0</v>
      </c>
      <c r="AD407" s="169">
        <f t="shared" si="923"/>
        <v>0</v>
      </c>
      <c r="AE407" s="169">
        <f t="shared" si="923"/>
        <v>0</v>
      </c>
      <c r="AF407" s="169">
        <f t="shared" si="923"/>
        <v>0</v>
      </c>
      <c r="AG407" s="169">
        <f t="shared" si="923"/>
        <v>0</v>
      </c>
      <c r="AH407" s="169">
        <f t="shared" si="923"/>
        <v>0</v>
      </c>
      <c r="AI407" s="169">
        <f t="shared" si="923"/>
        <v>0</v>
      </c>
      <c r="AJ407" s="169">
        <f t="shared" si="923"/>
        <v>0</v>
      </c>
      <c r="AK407" s="169">
        <f t="shared" si="923"/>
        <v>0</v>
      </c>
      <c r="AL407" s="169">
        <f t="shared" si="923"/>
        <v>0</v>
      </c>
      <c r="AM407" s="169">
        <f t="shared" si="923"/>
        <v>0</v>
      </c>
      <c r="AN407" s="169">
        <f t="shared" si="923"/>
        <v>0</v>
      </c>
      <c r="AO407" s="169">
        <f t="shared" si="923"/>
        <v>0</v>
      </c>
      <c r="AP407" s="169">
        <f t="shared" si="923"/>
        <v>0</v>
      </c>
    </row>
    <row r="408" spans="1:42" x14ac:dyDescent="0.2">
      <c r="A408" s="101">
        <f t="shared" si="920"/>
        <v>6</v>
      </c>
      <c r="B408" s="179">
        <f t="shared" si="917"/>
        <v>0</v>
      </c>
      <c r="C408" s="208">
        <f t="shared" ref="C408:AP408" si="924">LOOKUP(C396,$B$335:$AP$335,$B$336:$AP$336)*$B754</f>
        <v>0</v>
      </c>
      <c r="D408" s="169">
        <f t="shared" si="924"/>
        <v>0</v>
      </c>
      <c r="E408" s="169">
        <f t="shared" si="924"/>
        <v>0</v>
      </c>
      <c r="F408" s="169">
        <f t="shared" si="924"/>
        <v>0</v>
      </c>
      <c r="G408" s="169">
        <f t="shared" si="924"/>
        <v>0</v>
      </c>
      <c r="H408" s="169">
        <f t="shared" si="924"/>
        <v>0</v>
      </c>
      <c r="I408" s="169">
        <f t="shared" si="924"/>
        <v>0</v>
      </c>
      <c r="J408" s="169">
        <f t="shared" si="924"/>
        <v>0</v>
      </c>
      <c r="K408" s="169">
        <f t="shared" si="924"/>
        <v>0</v>
      </c>
      <c r="L408" s="169">
        <f t="shared" si="924"/>
        <v>0</v>
      </c>
      <c r="M408" s="169">
        <f t="shared" si="924"/>
        <v>0</v>
      </c>
      <c r="N408" s="169">
        <f t="shared" si="924"/>
        <v>0</v>
      </c>
      <c r="O408" s="169">
        <f t="shared" si="924"/>
        <v>0</v>
      </c>
      <c r="P408" s="169">
        <f t="shared" si="924"/>
        <v>0</v>
      </c>
      <c r="Q408" s="169">
        <f t="shared" si="924"/>
        <v>0</v>
      </c>
      <c r="R408" s="169">
        <f t="shared" si="924"/>
        <v>0</v>
      </c>
      <c r="S408" s="169">
        <f t="shared" si="924"/>
        <v>0</v>
      </c>
      <c r="T408" s="169">
        <f t="shared" si="924"/>
        <v>0</v>
      </c>
      <c r="U408" s="169">
        <f t="shared" si="924"/>
        <v>0</v>
      </c>
      <c r="V408" s="169">
        <f t="shared" si="924"/>
        <v>0</v>
      </c>
      <c r="W408" s="169">
        <f t="shared" si="924"/>
        <v>0</v>
      </c>
      <c r="X408" s="169">
        <f t="shared" si="924"/>
        <v>0</v>
      </c>
      <c r="Y408" s="169">
        <f t="shared" si="924"/>
        <v>0</v>
      </c>
      <c r="Z408" s="169">
        <f t="shared" si="924"/>
        <v>0</v>
      </c>
      <c r="AA408" s="169">
        <f t="shared" si="924"/>
        <v>0</v>
      </c>
      <c r="AB408" s="169">
        <f t="shared" si="924"/>
        <v>0</v>
      </c>
      <c r="AC408" s="169">
        <f t="shared" si="924"/>
        <v>0</v>
      </c>
      <c r="AD408" s="169">
        <f t="shared" si="924"/>
        <v>0</v>
      </c>
      <c r="AE408" s="169">
        <f t="shared" si="924"/>
        <v>0</v>
      </c>
      <c r="AF408" s="169">
        <f t="shared" si="924"/>
        <v>0</v>
      </c>
      <c r="AG408" s="169">
        <f t="shared" si="924"/>
        <v>0</v>
      </c>
      <c r="AH408" s="169">
        <f t="shared" si="924"/>
        <v>0</v>
      </c>
      <c r="AI408" s="169">
        <f t="shared" si="924"/>
        <v>0</v>
      </c>
      <c r="AJ408" s="169">
        <f t="shared" si="924"/>
        <v>0</v>
      </c>
      <c r="AK408" s="169">
        <f t="shared" si="924"/>
        <v>0</v>
      </c>
      <c r="AL408" s="169">
        <f t="shared" si="924"/>
        <v>0</v>
      </c>
      <c r="AM408" s="169">
        <f t="shared" si="924"/>
        <v>0</v>
      </c>
      <c r="AN408" s="169">
        <f t="shared" si="924"/>
        <v>0</v>
      </c>
      <c r="AO408" s="169">
        <f t="shared" si="924"/>
        <v>0</v>
      </c>
      <c r="AP408" s="169">
        <f t="shared" si="924"/>
        <v>0</v>
      </c>
    </row>
    <row r="409" spans="1:42" x14ac:dyDescent="0.2">
      <c r="A409" s="101">
        <f t="shared" si="920"/>
        <v>7</v>
      </c>
      <c r="B409" s="179">
        <f t="shared" si="917"/>
        <v>0</v>
      </c>
      <c r="C409" s="208">
        <f t="shared" ref="C409:AP409" si="925">LOOKUP(C397,$B$335:$AP$335,$B$336:$AP$336)*$B755</f>
        <v>0</v>
      </c>
      <c r="D409" s="169">
        <f t="shared" si="925"/>
        <v>0</v>
      </c>
      <c r="E409" s="169">
        <f t="shared" si="925"/>
        <v>0</v>
      </c>
      <c r="F409" s="169">
        <f t="shared" si="925"/>
        <v>0</v>
      </c>
      <c r="G409" s="169">
        <f t="shared" si="925"/>
        <v>0</v>
      </c>
      <c r="H409" s="169">
        <f t="shared" si="925"/>
        <v>0</v>
      </c>
      <c r="I409" s="169">
        <f t="shared" si="925"/>
        <v>0</v>
      </c>
      <c r="J409" s="169">
        <f t="shared" si="925"/>
        <v>0</v>
      </c>
      <c r="K409" s="169">
        <f t="shared" si="925"/>
        <v>0</v>
      </c>
      <c r="L409" s="169">
        <f t="shared" si="925"/>
        <v>0</v>
      </c>
      <c r="M409" s="169">
        <f t="shared" si="925"/>
        <v>0</v>
      </c>
      <c r="N409" s="169">
        <f t="shared" si="925"/>
        <v>0</v>
      </c>
      <c r="O409" s="169">
        <f t="shared" si="925"/>
        <v>0</v>
      </c>
      <c r="P409" s="169">
        <f t="shared" si="925"/>
        <v>0</v>
      </c>
      <c r="Q409" s="169">
        <f t="shared" si="925"/>
        <v>0</v>
      </c>
      <c r="R409" s="169">
        <f t="shared" si="925"/>
        <v>0</v>
      </c>
      <c r="S409" s="169">
        <f t="shared" si="925"/>
        <v>0</v>
      </c>
      <c r="T409" s="169">
        <f t="shared" si="925"/>
        <v>0</v>
      </c>
      <c r="U409" s="169">
        <f t="shared" si="925"/>
        <v>0</v>
      </c>
      <c r="V409" s="169">
        <f t="shared" si="925"/>
        <v>0</v>
      </c>
      <c r="W409" s="169">
        <f t="shared" si="925"/>
        <v>0</v>
      </c>
      <c r="X409" s="169">
        <f t="shared" si="925"/>
        <v>0</v>
      </c>
      <c r="Y409" s="169">
        <f t="shared" si="925"/>
        <v>0</v>
      </c>
      <c r="Z409" s="169">
        <f t="shared" si="925"/>
        <v>0</v>
      </c>
      <c r="AA409" s="169">
        <f t="shared" si="925"/>
        <v>0</v>
      </c>
      <c r="AB409" s="169">
        <f t="shared" si="925"/>
        <v>0</v>
      </c>
      <c r="AC409" s="169">
        <f t="shared" si="925"/>
        <v>0</v>
      </c>
      <c r="AD409" s="169">
        <f t="shared" si="925"/>
        <v>0</v>
      </c>
      <c r="AE409" s="169">
        <f t="shared" si="925"/>
        <v>0</v>
      </c>
      <c r="AF409" s="169">
        <f t="shared" si="925"/>
        <v>0</v>
      </c>
      <c r="AG409" s="169">
        <f t="shared" si="925"/>
        <v>0</v>
      </c>
      <c r="AH409" s="169">
        <f t="shared" si="925"/>
        <v>0</v>
      </c>
      <c r="AI409" s="169">
        <f t="shared" si="925"/>
        <v>0</v>
      </c>
      <c r="AJ409" s="169">
        <f t="shared" si="925"/>
        <v>0</v>
      </c>
      <c r="AK409" s="169">
        <f t="shared" si="925"/>
        <v>0</v>
      </c>
      <c r="AL409" s="169">
        <f t="shared" si="925"/>
        <v>0</v>
      </c>
      <c r="AM409" s="169">
        <f t="shared" si="925"/>
        <v>0</v>
      </c>
      <c r="AN409" s="169">
        <f t="shared" si="925"/>
        <v>0</v>
      </c>
      <c r="AO409" s="169">
        <f t="shared" si="925"/>
        <v>0</v>
      </c>
      <c r="AP409" s="169">
        <f t="shared" si="925"/>
        <v>0</v>
      </c>
    </row>
    <row r="410" spans="1:42" x14ac:dyDescent="0.2">
      <c r="A410" s="101">
        <f t="shared" si="920"/>
        <v>8</v>
      </c>
      <c r="B410" s="179">
        <f t="shared" si="917"/>
        <v>0</v>
      </c>
      <c r="C410" s="208">
        <f t="shared" ref="C410:AP410" si="926">LOOKUP(C398,$B$335:$AP$335,$B$336:$AP$336)*$B756</f>
        <v>0</v>
      </c>
      <c r="D410" s="169">
        <f t="shared" si="926"/>
        <v>0</v>
      </c>
      <c r="E410" s="169">
        <f t="shared" si="926"/>
        <v>0</v>
      </c>
      <c r="F410" s="169">
        <f t="shared" si="926"/>
        <v>0</v>
      </c>
      <c r="G410" s="169">
        <f t="shared" si="926"/>
        <v>0</v>
      </c>
      <c r="H410" s="169">
        <f t="shared" si="926"/>
        <v>0</v>
      </c>
      <c r="I410" s="169">
        <f t="shared" si="926"/>
        <v>0</v>
      </c>
      <c r="J410" s="169">
        <f t="shared" si="926"/>
        <v>0</v>
      </c>
      <c r="K410" s="169">
        <f t="shared" si="926"/>
        <v>0</v>
      </c>
      <c r="L410" s="169">
        <f t="shared" si="926"/>
        <v>0</v>
      </c>
      <c r="M410" s="169">
        <f t="shared" si="926"/>
        <v>0</v>
      </c>
      <c r="N410" s="169">
        <f t="shared" si="926"/>
        <v>0</v>
      </c>
      <c r="O410" s="169">
        <f t="shared" si="926"/>
        <v>0</v>
      </c>
      <c r="P410" s="169">
        <f t="shared" si="926"/>
        <v>0</v>
      </c>
      <c r="Q410" s="169">
        <f t="shared" si="926"/>
        <v>0</v>
      </c>
      <c r="R410" s="169">
        <f t="shared" si="926"/>
        <v>0</v>
      </c>
      <c r="S410" s="169">
        <f t="shared" si="926"/>
        <v>0</v>
      </c>
      <c r="T410" s="169">
        <f t="shared" si="926"/>
        <v>0</v>
      </c>
      <c r="U410" s="169">
        <f t="shared" si="926"/>
        <v>0</v>
      </c>
      <c r="V410" s="169">
        <f t="shared" si="926"/>
        <v>0</v>
      </c>
      <c r="W410" s="169">
        <f t="shared" si="926"/>
        <v>0</v>
      </c>
      <c r="X410" s="169">
        <f t="shared" si="926"/>
        <v>0</v>
      </c>
      <c r="Y410" s="169">
        <f t="shared" si="926"/>
        <v>0</v>
      </c>
      <c r="Z410" s="169">
        <f t="shared" si="926"/>
        <v>0</v>
      </c>
      <c r="AA410" s="169">
        <f t="shared" si="926"/>
        <v>0</v>
      </c>
      <c r="AB410" s="169">
        <f t="shared" si="926"/>
        <v>0</v>
      </c>
      <c r="AC410" s="169">
        <f t="shared" si="926"/>
        <v>0</v>
      </c>
      <c r="AD410" s="169">
        <f t="shared" si="926"/>
        <v>0</v>
      </c>
      <c r="AE410" s="169">
        <f t="shared" si="926"/>
        <v>0</v>
      </c>
      <c r="AF410" s="169">
        <f t="shared" si="926"/>
        <v>0</v>
      </c>
      <c r="AG410" s="169">
        <f t="shared" si="926"/>
        <v>0</v>
      </c>
      <c r="AH410" s="169">
        <f t="shared" si="926"/>
        <v>0</v>
      </c>
      <c r="AI410" s="169">
        <f t="shared" si="926"/>
        <v>0</v>
      </c>
      <c r="AJ410" s="169">
        <f t="shared" si="926"/>
        <v>0</v>
      </c>
      <c r="AK410" s="169">
        <f t="shared" si="926"/>
        <v>0</v>
      </c>
      <c r="AL410" s="169">
        <f t="shared" si="926"/>
        <v>0</v>
      </c>
      <c r="AM410" s="169">
        <f t="shared" si="926"/>
        <v>0</v>
      </c>
      <c r="AN410" s="169">
        <f t="shared" si="926"/>
        <v>0</v>
      </c>
      <c r="AO410" s="169">
        <f t="shared" si="926"/>
        <v>0</v>
      </c>
      <c r="AP410" s="169">
        <f t="shared" si="926"/>
        <v>0</v>
      </c>
    </row>
    <row r="411" spans="1:42" x14ac:dyDescent="0.2">
      <c r="A411" s="101">
        <f>A410+1</f>
        <v>9</v>
      </c>
      <c r="B411" s="179">
        <f t="shared" si="917"/>
        <v>0</v>
      </c>
      <c r="C411" s="208">
        <f t="shared" ref="C411:AP411" si="927">LOOKUP(C399,$B$335:$AP$335,$B$336:$AP$336)*$B757</f>
        <v>0</v>
      </c>
      <c r="D411" s="169">
        <f t="shared" si="927"/>
        <v>0</v>
      </c>
      <c r="E411" s="169">
        <f t="shared" si="927"/>
        <v>0</v>
      </c>
      <c r="F411" s="169">
        <f t="shared" si="927"/>
        <v>0</v>
      </c>
      <c r="G411" s="169">
        <f t="shared" si="927"/>
        <v>0</v>
      </c>
      <c r="H411" s="169">
        <f t="shared" si="927"/>
        <v>0</v>
      </c>
      <c r="I411" s="169">
        <f t="shared" si="927"/>
        <v>0</v>
      </c>
      <c r="J411" s="169">
        <f t="shared" si="927"/>
        <v>0</v>
      </c>
      <c r="K411" s="169">
        <f t="shared" si="927"/>
        <v>0</v>
      </c>
      <c r="L411" s="169">
        <f t="shared" si="927"/>
        <v>0</v>
      </c>
      <c r="M411" s="169">
        <f t="shared" si="927"/>
        <v>0</v>
      </c>
      <c r="N411" s="169">
        <f t="shared" si="927"/>
        <v>0</v>
      </c>
      <c r="O411" s="169">
        <f t="shared" si="927"/>
        <v>0</v>
      </c>
      <c r="P411" s="169">
        <f t="shared" si="927"/>
        <v>0</v>
      </c>
      <c r="Q411" s="169">
        <f t="shared" si="927"/>
        <v>0</v>
      </c>
      <c r="R411" s="169">
        <f t="shared" si="927"/>
        <v>0</v>
      </c>
      <c r="S411" s="169">
        <f t="shared" si="927"/>
        <v>0</v>
      </c>
      <c r="T411" s="169">
        <f t="shared" si="927"/>
        <v>0</v>
      </c>
      <c r="U411" s="169">
        <f t="shared" si="927"/>
        <v>0</v>
      </c>
      <c r="V411" s="169">
        <f t="shared" si="927"/>
        <v>0</v>
      </c>
      <c r="W411" s="169">
        <f t="shared" si="927"/>
        <v>0</v>
      </c>
      <c r="X411" s="169">
        <f t="shared" si="927"/>
        <v>0</v>
      </c>
      <c r="Y411" s="169">
        <f t="shared" si="927"/>
        <v>0</v>
      </c>
      <c r="Z411" s="169">
        <f t="shared" si="927"/>
        <v>0</v>
      </c>
      <c r="AA411" s="169">
        <f t="shared" si="927"/>
        <v>0</v>
      </c>
      <c r="AB411" s="169">
        <f t="shared" si="927"/>
        <v>0</v>
      </c>
      <c r="AC411" s="169">
        <f t="shared" si="927"/>
        <v>0</v>
      </c>
      <c r="AD411" s="169">
        <f t="shared" si="927"/>
        <v>0</v>
      </c>
      <c r="AE411" s="169">
        <f t="shared" si="927"/>
        <v>0</v>
      </c>
      <c r="AF411" s="169">
        <f t="shared" si="927"/>
        <v>0</v>
      </c>
      <c r="AG411" s="169">
        <f t="shared" si="927"/>
        <v>0</v>
      </c>
      <c r="AH411" s="169">
        <f t="shared" si="927"/>
        <v>0</v>
      </c>
      <c r="AI411" s="169">
        <f t="shared" si="927"/>
        <v>0</v>
      </c>
      <c r="AJ411" s="169">
        <f t="shared" si="927"/>
        <v>0</v>
      </c>
      <c r="AK411" s="169">
        <f t="shared" si="927"/>
        <v>0</v>
      </c>
      <c r="AL411" s="169">
        <f t="shared" si="927"/>
        <v>0</v>
      </c>
      <c r="AM411" s="169">
        <f t="shared" si="927"/>
        <v>0</v>
      </c>
      <c r="AN411" s="169">
        <f t="shared" si="927"/>
        <v>0</v>
      </c>
      <c r="AO411" s="169">
        <f t="shared" si="927"/>
        <v>0</v>
      </c>
      <c r="AP411" s="169">
        <f t="shared" si="927"/>
        <v>0</v>
      </c>
    </row>
    <row r="412" spans="1:42" x14ac:dyDescent="0.2">
      <c r="A412" s="101">
        <f t="shared" si="920"/>
        <v>10</v>
      </c>
      <c r="B412" s="179">
        <f t="shared" si="917"/>
        <v>0</v>
      </c>
      <c r="C412" s="204">
        <f t="shared" ref="C412:AP412" si="928">LOOKUP(C400,$B$335:$AP$335,$B$336:$AP$336)*$B758</f>
        <v>0</v>
      </c>
      <c r="D412" s="170">
        <f t="shared" si="928"/>
        <v>0</v>
      </c>
      <c r="E412" s="170">
        <f t="shared" si="928"/>
        <v>0</v>
      </c>
      <c r="F412" s="170">
        <f t="shared" si="928"/>
        <v>0</v>
      </c>
      <c r="G412" s="170">
        <f t="shared" si="928"/>
        <v>0</v>
      </c>
      <c r="H412" s="170">
        <f t="shared" si="928"/>
        <v>0</v>
      </c>
      <c r="I412" s="170">
        <f t="shared" si="928"/>
        <v>0</v>
      </c>
      <c r="J412" s="170">
        <f t="shared" si="928"/>
        <v>0</v>
      </c>
      <c r="K412" s="170">
        <f t="shared" si="928"/>
        <v>0</v>
      </c>
      <c r="L412" s="170">
        <f t="shared" si="928"/>
        <v>0</v>
      </c>
      <c r="M412" s="170">
        <f t="shared" si="928"/>
        <v>0</v>
      </c>
      <c r="N412" s="170">
        <f t="shared" si="928"/>
        <v>0</v>
      </c>
      <c r="O412" s="170">
        <f t="shared" si="928"/>
        <v>0</v>
      </c>
      <c r="P412" s="170">
        <f t="shared" si="928"/>
        <v>0</v>
      </c>
      <c r="Q412" s="170">
        <f t="shared" si="928"/>
        <v>0</v>
      </c>
      <c r="R412" s="170">
        <f t="shared" si="928"/>
        <v>0</v>
      </c>
      <c r="S412" s="170">
        <f t="shared" si="928"/>
        <v>0</v>
      </c>
      <c r="T412" s="170">
        <f t="shared" si="928"/>
        <v>0</v>
      </c>
      <c r="U412" s="170">
        <f t="shared" si="928"/>
        <v>0</v>
      </c>
      <c r="V412" s="170">
        <f t="shared" si="928"/>
        <v>0</v>
      </c>
      <c r="W412" s="170">
        <f t="shared" si="928"/>
        <v>0</v>
      </c>
      <c r="X412" s="170">
        <f t="shared" si="928"/>
        <v>0</v>
      </c>
      <c r="Y412" s="170">
        <f t="shared" si="928"/>
        <v>0</v>
      </c>
      <c r="Z412" s="170">
        <f t="shared" si="928"/>
        <v>0</v>
      </c>
      <c r="AA412" s="170">
        <f t="shared" si="928"/>
        <v>0</v>
      </c>
      <c r="AB412" s="170">
        <f t="shared" si="928"/>
        <v>0</v>
      </c>
      <c r="AC412" s="170">
        <f t="shared" si="928"/>
        <v>0</v>
      </c>
      <c r="AD412" s="170">
        <f t="shared" si="928"/>
        <v>0</v>
      </c>
      <c r="AE412" s="170">
        <f t="shared" si="928"/>
        <v>0</v>
      </c>
      <c r="AF412" s="170">
        <f t="shared" si="928"/>
        <v>0</v>
      </c>
      <c r="AG412" s="170">
        <f t="shared" si="928"/>
        <v>0</v>
      </c>
      <c r="AH412" s="170">
        <f t="shared" si="928"/>
        <v>0</v>
      </c>
      <c r="AI412" s="170">
        <f t="shared" si="928"/>
        <v>0</v>
      </c>
      <c r="AJ412" s="170">
        <f t="shared" si="928"/>
        <v>0</v>
      </c>
      <c r="AK412" s="170">
        <f t="shared" si="928"/>
        <v>0</v>
      </c>
      <c r="AL412" s="170">
        <f t="shared" si="928"/>
        <v>0</v>
      </c>
      <c r="AM412" s="170">
        <f t="shared" si="928"/>
        <v>0</v>
      </c>
      <c r="AN412" s="170">
        <f t="shared" si="928"/>
        <v>0</v>
      </c>
      <c r="AO412" s="170">
        <f t="shared" si="928"/>
        <v>0</v>
      </c>
      <c r="AP412" s="170">
        <f t="shared" si="928"/>
        <v>0</v>
      </c>
    </row>
    <row r="413" spans="1:42" s="101" customFormat="1" ht="12" customHeight="1" x14ac:dyDescent="0.2">
      <c r="A413" s="205" t="s">
        <v>53</v>
      </c>
      <c r="B413" s="124"/>
      <c r="C413" s="124">
        <f>SUM(C403:C412)</f>
        <v>0</v>
      </c>
      <c r="D413" s="124">
        <f t="shared" ref="D413:AP413" si="929">SUM(D403:D412)</f>
        <v>0</v>
      </c>
      <c r="E413" s="124">
        <f t="shared" si="929"/>
        <v>0</v>
      </c>
      <c r="F413" s="124">
        <f t="shared" si="929"/>
        <v>0</v>
      </c>
      <c r="G413" s="124">
        <f t="shared" si="929"/>
        <v>0</v>
      </c>
      <c r="H413" s="124">
        <f t="shared" si="929"/>
        <v>0</v>
      </c>
      <c r="I413" s="124">
        <f t="shared" si="929"/>
        <v>0</v>
      </c>
      <c r="J413" s="124">
        <f t="shared" si="929"/>
        <v>0</v>
      </c>
      <c r="K413" s="124">
        <f t="shared" si="929"/>
        <v>0</v>
      </c>
      <c r="L413" s="124">
        <f t="shared" si="929"/>
        <v>0</v>
      </c>
      <c r="M413" s="124">
        <f t="shared" si="929"/>
        <v>0</v>
      </c>
      <c r="N413" s="124">
        <f t="shared" si="929"/>
        <v>0</v>
      </c>
      <c r="O413" s="124">
        <f t="shared" si="929"/>
        <v>0</v>
      </c>
      <c r="P413" s="124">
        <f t="shared" si="929"/>
        <v>0</v>
      </c>
      <c r="Q413" s="124">
        <f t="shared" si="929"/>
        <v>0</v>
      </c>
      <c r="R413" s="124">
        <f t="shared" si="929"/>
        <v>0</v>
      </c>
      <c r="S413" s="124">
        <f t="shared" si="929"/>
        <v>0</v>
      </c>
      <c r="T413" s="124">
        <f t="shared" si="929"/>
        <v>0</v>
      </c>
      <c r="U413" s="124">
        <f t="shared" si="929"/>
        <v>0</v>
      </c>
      <c r="V413" s="124">
        <f t="shared" si="929"/>
        <v>0</v>
      </c>
      <c r="W413" s="124">
        <f t="shared" si="929"/>
        <v>0</v>
      </c>
      <c r="X413" s="124">
        <f t="shared" si="929"/>
        <v>0</v>
      </c>
      <c r="Y413" s="124">
        <f t="shared" si="929"/>
        <v>0</v>
      </c>
      <c r="Z413" s="124">
        <f t="shared" si="929"/>
        <v>0</v>
      </c>
      <c r="AA413" s="124">
        <f t="shared" si="929"/>
        <v>0</v>
      </c>
      <c r="AB413" s="124">
        <f t="shared" si="929"/>
        <v>0</v>
      </c>
      <c r="AC413" s="124">
        <f t="shared" si="929"/>
        <v>0</v>
      </c>
      <c r="AD413" s="124">
        <f t="shared" si="929"/>
        <v>0</v>
      </c>
      <c r="AE413" s="124">
        <f t="shared" si="929"/>
        <v>0</v>
      </c>
      <c r="AF413" s="124">
        <f t="shared" si="929"/>
        <v>0</v>
      </c>
      <c r="AG413" s="124">
        <f t="shared" si="929"/>
        <v>0</v>
      </c>
      <c r="AH413" s="124">
        <f t="shared" si="929"/>
        <v>0</v>
      </c>
      <c r="AI413" s="124">
        <f t="shared" si="929"/>
        <v>0</v>
      </c>
      <c r="AJ413" s="124">
        <f t="shared" si="929"/>
        <v>0</v>
      </c>
      <c r="AK413" s="124">
        <f t="shared" si="929"/>
        <v>0</v>
      </c>
      <c r="AL413" s="124">
        <f t="shared" si="929"/>
        <v>0</v>
      </c>
      <c r="AM413" s="124">
        <f t="shared" si="929"/>
        <v>0</v>
      </c>
      <c r="AN413" s="124">
        <f t="shared" si="929"/>
        <v>0</v>
      </c>
      <c r="AO413" s="124">
        <f t="shared" si="929"/>
        <v>0</v>
      </c>
      <c r="AP413" s="124">
        <f t="shared" si="929"/>
        <v>0</v>
      </c>
    </row>
    <row r="414" spans="1:42" x14ac:dyDescent="0.2">
      <c r="A414" s="187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</row>
    <row r="415" spans="1:42" x14ac:dyDescent="0.2">
      <c r="A415" s="178" t="s">
        <v>395</v>
      </c>
    </row>
    <row r="416" spans="1:42" x14ac:dyDescent="0.2">
      <c r="A416" s="101" t="s">
        <v>82</v>
      </c>
      <c r="G416" s="267" t="s">
        <v>153</v>
      </c>
      <c r="H416" s="268"/>
      <c r="I416" s="268"/>
      <c r="J416" s="269"/>
      <c r="K416" s="209" t="s">
        <v>154</v>
      </c>
      <c r="L416" s="210"/>
    </row>
    <row r="417" spans="1:17" ht="51" x14ac:dyDescent="0.2">
      <c r="A417" s="101"/>
      <c r="B417" s="112" t="s">
        <v>143</v>
      </c>
      <c r="C417" s="112" t="s">
        <v>139</v>
      </c>
      <c r="D417" s="112" t="s">
        <v>141</v>
      </c>
      <c r="E417" s="189" t="s">
        <v>142</v>
      </c>
      <c r="F417" s="112" t="s">
        <v>144</v>
      </c>
      <c r="G417" s="112" t="s">
        <v>148</v>
      </c>
      <c r="H417" s="112" t="s">
        <v>150</v>
      </c>
      <c r="I417" s="112" t="s">
        <v>149</v>
      </c>
      <c r="J417" s="112" t="s">
        <v>151</v>
      </c>
      <c r="K417" s="211" t="s">
        <v>34</v>
      </c>
      <c r="L417" s="112" t="s">
        <v>151</v>
      </c>
      <c r="M417" s="190" t="s">
        <v>155</v>
      </c>
      <c r="N417" s="190" t="s">
        <v>156</v>
      </c>
      <c r="O417" s="112" t="s">
        <v>145</v>
      </c>
      <c r="P417" s="191" t="s">
        <v>268</v>
      </c>
      <c r="Q417" s="112" t="s">
        <v>273</v>
      </c>
    </row>
    <row r="418" spans="1:17" s="101" customFormat="1" x14ac:dyDescent="0.2">
      <c r="A418" s="234" t="str">
        <f>A284</f>
        <v>5-yr MACRS</v>
      </c>
      <c r="B418" s="324">
        <f>C418/$C$425</f>
        <v>0.91752577319587625</v>
      </c>
      <c r="C418" s="124">
        <f>'Inputs &amp; Results'!C254</f>
        <v>40352010.084664293</v>
      </c>
      <c r="D418" s="124">
        <f>IF(FedBasisReduction="5-Yr MACRS",D425,$B418*D$425)</f>
        <v>0</v>
      </c>
      <c r="E418" s="124">
        <f>IF(FedBasisReduction="5-Yr MACRS",E425,$B418*E$425)</f>
        <v>0</v>
      </c>
      <c r="F418" s="206">
        <f>C418-D418-E418</f>
        <v>40352010.084664293</v>
      </c>
      <c r="G418" s="325">
        <f>IF('Inputs &amp; Results'!B292="Yes",F418,0)</f>
        <v>40352010.084664293</v>
      </c>
      <c r="H418" s="369">
        <f>IF($G$425=0,0,G418/$G$425)</f>
        <v>1</v>
      </c>
      <c r="I418" s="326">
        <f t="shared" ref="I418:I423" si="930">$I$425*H418</f>
        <v>12105603.025399288</v>
      </c>
      <c r="J418" s="327">
        <f>I418*0.5</f>
        <v>6052801.5126996441</v>
      </c>
      <c r="K418" s="328">
        <f t="shared" ref="K418:K423" si="931">H418*$K$425</f>
        <v>0</v>
      </c>
      <c r="L418" s="327">
        <f>K418*0.5</f>
        <v>0</v>
      </c>
      <c r="M418" s="124">
        <f t="shared" ref="M418:M423" si="932">IF(ITCStateFixedFedDeprec="Yes",L284,0)+IF(ITCStatePercentFedDeprec="Yes",J284,0)</f>
        <v>0</v>
      </c>
      <c r="N418" s="124">
        <f t="shared" ref="N418:N423" si="933">IF(ITCFedFixedFedDeprec="Yes",L418,0)+IF(ITCFedPercentFedDeprec="Yes",J418,0)</f>
        <v>6052801.5126996441</v>
      </c>
      <c r="O418" s="329">
        <f t="shared" ref="O418:O423" si="934">F418-M418-N418</f>
        <v>34299208.571964651</v>
      </c>
      <c r="P418" s="124">
        <f>IF('Inputs &amp; Results'!B275="Yes",O418*FedBonusDeprec,0)</f>
        <v>0</v>
      </c>
      <c r="Q418" s="206">
        <f>O418-P418</f>
        <v>34299208.571964651</v>
      </c>
    </row>
    <row r="419" spans="1:17" s="101" customFormat="1" x14ac:dyDescent="0.2">
      <c r="A419" s="234" t="str">
        <f t="shared" ref="A419:A423" si="935">A285</f>
        <v>15-yr MACRS</v>
      </c>
      <c r="B419" s="324">
        <f t="shared" ref="B419:B423" si="936">C419/$C$425</f>
        <v>1.5463917525773196E-2</v>
      </c>
      <c r="C419" s="124">
        <f>'Inputs &amp; Results'!C255</f>
        <v>680090.05760670162</v>
      </c>
      <c r="D419" s="124">
        <f t="shared" ref="D419:E423" si="937">IF(FedBasisReduction="5-Yr MACRS",0,$B419*D$425)</f>
        <v>0</v>
      </c>
      <c r="E419" s="124">
        <f t="shared" si="937"/>
        <v>0</v>
      </c>
      <c r="F419" s="206">
        <f t="shared" ref="F419:F423" si="938">C419-D419-E419</f>
        <v>680090.05760670162</v>
      </c>
      <c r="G419" s="328">
        <f>IF('Inputs &amp; Results'!B293="Yes",F419,0)</f>
        <v>0</v>
      </c>
      <c r="H419" s="370">
        <f t="shared" ref="H419:H423" si="939">IF($G$425=0,0,G419/$G$425)</f>
        <v>0</v>
      </c>
      <c r="I419" s="124">
        <f t="shared" si="930"/>
        <v>0</v>
      </c>
      <c r="J419" s="300">
        <f t="shared" ref="J419:J423" si="940">I419*0.5</f>
        <v>0</v>
      </c>
      <c r="K419" s="328">
        <f t="shared" si="931"/>
        <v>0</v>
      </c>
      <c r="L419" s="300">
        <f t="shared" ref="L419:L423" si="941">K419*0.5</f>
        <v>0</v>
      </c>
      <c r="M419" s="124">
        <f t="shared" si="932"/>
        <v>0</v>
      </c>
      <c r="N419" s="124">
        <f t="shared" si="933"/>
        <v>0</v>
      </c>
      <c r="O419" s="206">
        <f t="shared" si="934"/>
        <v>680090.05760670162</v>
      </c>
      <c r="P419" s="124">
        <f>IF('Inputs &amp; Results'!B276="Yes",O419*FedBonusDeprec,0)</f>
        <v>0</v>
      </c>
      <c r="Q419" s="206">
        <f t="shared" ref="Q419:Q423" si="942">O419-P419</f>
        <v>680090.05760670162</v>
      </c>
    </row>
    <row r="420" spans="1:17" s="101" customFormat="1" x14ac:dyDescent="0.2">
      <c r="A420" s="234" t="str">
        <f t="shared" si="935"/>
        <v>5-yr SL</v>
      </c>
      <c r="B420" s="324">
        <f t="shared" si="936"/>
        <v>0</v>
      </c>
      <c r="C420" s="124">
        <f>'Inputs &amp; Results'!C256</f>
        <v>0</v>
      </c>
      <c r="D420" s="124">
        <f t="shared" si="937"/>
        <v>0</v>
      </c>
      <c r="E420" s="124">
        <f t="shared" si="937"/>
        <v>0</v>
      </c>
      <c r="F420" s="206">
        <f t="shared" si="938"/>
        <v>0</v>
      </c>
      <c r="G420" s="328">
        <f>IF('Inputs &amp; Results'!B294="Yes",F420,0)</f>
        <v>0</v>
      </c>
      <c r="H420" s="370">
        <f t="shared" si="939"/>
        <v>0</v>
      </c>
      <c r="I420" s="124">
        <f t="shared" si="930"/>
        <v>0</v>
      </c>
      <c r="J420" s="300">
        <f t="shared" si="940"/>
        <v>0</v>
      </c>
      <c r="K420" s="328">
        <f t="shared" si="931"/>
        <v>0</v>
      </c>
      <c r="L420" s="300">
        <f t="shared" si="941"/>
        <v>0</v>
      </c>
      <c r="M420" s="124">
        <f t="shared" si="932"/>
        <v>0</v>
      </c>
      <c r="N420" s="124">
        <f t="shared" si="933"/>
        <v>0</v>
      </c>
      <c r="O420" s="206">
        <f t="shared" si="934"/>
        <v>0</v>
      </c>
      <c r="P420" s="124">
        <f>IF('Inputs &amp; Results'!B277="Yes",O420*FedBonusDeprec,0)</f>
        <v>0</v>
      </c>
      <c r="Q420" s="206">
        <f t="shared" si="942"/>
        <v>0</v>
      </c>
    </row>
    <row r="421" spans="1:17" s="101" customFormat="1" x14ac:dyDescent="0.2">
      <c r="A421" s="234" t="str">
        <f t="shared" si="935"/>
        <v>15-yr SL</v>
      </c>
      <c r="B421" s="324">
        <f t="shared" si="936"/>
        <v>3.0927835051546393E-2</v>
      </c>
      <c r="C421" s="124">
        <f>'Inputs &amp; Results'!C257</f>
        <v>1360180.1152134032</v>
      </c>
      <c r="D421" s="124">
        <f t="shared" si="937"/>
        <v>0</v>
      </c>
      <c r="E421" s="124">
        <f t="shared" si="937"/>
        <v>0</v>
      </c>
      <c r="F421" s="206">
        <f t="shared" si="938"/>
        <v>1360180.1152134032</v>
      </c>
      <c r="G421" s="328">
        <f>IF('Inputs &amp; Results'!B295="Yes",F421,0)</f>
        <v>0</v>
      </c>
      <c r="H421" s="370">
        <f t="shared" si="939"/>
        <v>0</v>
      </c>
      <c r="I421" s="124">
        <f t="shared" si="930"/>
        <v>0</v>
      </c>
      <c r="J421" s="300">
        <f t="shared" si="940"/>
        <v>0</v>
      </c>
      <c r="K421" s="328">
        <f t="shared" si="931"/>
        <v>0</v>
      </c>
      <c r="L421" s="300">
        <f t="shared" si="941"/>
        <v>0</v>
      </c>
      <c r="M421" s="124">
        <f t="shared" si="932"/>
        <v>0</v>
      </c>
      <c r="N421" s="124">
        <f t="shared" si="933"/>
        <v>0</v>
      </c>
      <c r="O421" s="206">
        <f t="shared" si="934"/>
        <v>1360180.1152134032</v>
      </c>
      <c r="P421" s="124">
        <f>IF('Inputs &amp; Results'!B278="Yes",O421*FedBonusDeprec,0)</f>
        <v>0</v>
      </c>
      <c r="Q421" s="206">
        <f t="shared" si="942"/>
        <v>1360180.1152134032</v>
      </c>
    </row>
    <row r="422" spans="1:17" s="101" customFormat="1" x14ac:dyDescent="0.2">
      <c r="A422" s="234" t="str">
        <f t="shared" si="935"/>
        <v>20-yr SL</v>
      </c>
      <c r="B422" s="324">
        <f t="shared" si="936"/>
        <v>3.0927835051546393E-2</v>
      </c>
      <c r="C422" s="124">
        <f>'Inputs &amp; Results'!C258</f>
        <v>1360180.1152134032</v>
      </c>
      <c r="D422" s="124">
        <f t="shared" si="937"/>
        <v>0</v>
      </c>
      <c r="E422" s="124">
        <f t="shared" si="937"/>
        <v>0</v>
      </c>
      <c r="F422" s="206">
        <f t="shared" si="938"/>
        <v>1360180.1152134032</v>
      </c>
      <c r="G422" s="328">
        <f>IF('Inputs &amp; Results'!B296="Yes",F422,0)</f>
        <v>0</v>
      </c>
      <c r="H422" s="370">
        <f t="shared" si="939"/>
        <v>0</v>
      </c>
      <c r="I422" s="124">
        <f t="shared" si="930"/>
        <v>0</v>
      </c>
      <c r="J422" s="300">
        <f t="shared" si="940"/>
        <v>0</v>
      </c>
      <c r="K422" s="328">
        <f t="shared" si="931"/>
        <v>0</v>
      </c>
      <c r="L422" s="300">
        <f t="shared" si="941"/>
        <v>0</v>
      </c>
      <c r="M422" s="124">
        <f t="shared" si="932"/>
        <v>0</v>
      </c>
      <c r="N422" s="124">
        <f t="shared" si="933"/>
        <v>0</v>
      </c>
      <c r="O422" s="206">
        <f t="shared" si="934"/>
        <v>1360180.1152134032</v>
      </c>
      <c r="P422" s="124">
        <f>IF('Inputs &amp; Results'!B279="Yes",O422*FedBonusDeprec,0)</f>
        <v>0</v>
      </c>
      <c r="Q422" s="206">
        <f t="shared" si="942"/>
        <v>1360180.1152134032</v>
      </c>
    </row>
    <row r="423" spans="1:17" s="101" customFormat="1" x14ac:dyDescent="0.2">
      <c r="A423" s="234" t="str">
        <f t="shared" si="935"/>
        <v>39-yr SL</v>
      </c>
      <c r="B423" s="324">
        <f t="shared" si="936"/>
        <v>5.1546391752577319E-3</v>
      </c>
      <c r="C423" s="124">
        <f>'Inputs &amp; Results'!C259</f>
        <v>226696.68586890053</v>
      </c>
      <c r="D423" s="124">
        <f t="shared" si="937"/>
        <v>0</v>
      </c>
      <c r="E423" s="124">
        <f t="shared" si="937"/>
        <v>0</v>
      </c>
      <c r="F423" s="206">
        <f t="shared" si="938"/>
        <v>226696.68586890053</v>
      </c>
      <c r="G423" s="328">
        <f>IF('Inputs &amp; Results'!B297="Yes",F423,0)</f>
        <v>0</v>
      </c>
      <c r="H423" s="370">
        <f t="shared" si="939"/>
        <v>0</v>
      </c>
      <c r="I423" s="124">
        <f t="shared" si="930"/>
        <v>0</v>
      </c>
      <c r="J423" s="300">
        <f t="shared" si="940"/>
        <v>0</v>
      </c>
      <c r="K423" s="328">
        <f t="shared" si="931"/>
        <v>0</v>
      </c>
      <c r="L423" s="300">
        <f t="shared" si="941"/>
        <v>0</v>
      </c>
      <c r="M423" s="124">
        <f t="shared" si="932"/>
        <v>0</v>
      </c>
      <c r="N423" s="124">
        <f t="shared" si="933"/>
        <v>0</v>
      </c>
      <c r="O423" s="206">
        <f t="shared" si="934"/>
        <v>226696.68586890053</v>
      </c>
      <c r="P423" s="124">
        <f>IF('Inputs &amp; Results'!B280="Yes",O423*FedBonusDeprec,0)</f>
        <v>0</v>
      </c>
      <c r="Q423" s="206">
        <f t="shared" si="942"/>
        <v>226696.68586890053</v>
      </c>
    </row>
    <row r="424" spans="1:17" x14ac:dyDescent="0.2">
      <c r="A424" s="238" t="s">
        <v>311</v>
      </c>
      <c r="B424" s="192"/>
      <c r="C424" s="193"/>
      <c r="D424" s="194"/>
      <c r="E424" s="194"/>
      <c r="F424" s="86"/>
      <c r="G424" s="192"/>
      <c r="H424" s="213"/>
      <c r="I424" s="213"/>
      <c r="J424" s="270"/>
      <c r="K424" s="192"/>
      <c r="L424" s="270"/>
      <c r="M424" s="194"/>
      <c r="N424" s="194"/>
      <c r="O424" s="86"/>
      <c r="P424" s="194"/>
      <c r="Q424" s="86"/>
    </row>
    <row r="425" spans="1:17" s="101" customFormat="1" x14ac:dyDescent="0.2">
      <c r="B425" s="330">
        <f>SUM(B418:B424)</f>
        <v>1</v>
      </c>
      <c r="C425" s="186">
        <f>SUM(C418:C424)</f>
        <v>43979157.058566704</v>
      </c>
      <c r="D425" s="186">
        <f>B434+B440</f>
        <v>0</v>
      </c>
      <c r="E425" s="186">
        <f>B446</f>
        <v>0</v>
      </c>
      <c r="F425" s="207">
        <f t="shared" ref="F425:Q425" si="943">SUM(F418:F424)</f>
        <v>43979157.058566704</v>
      </c>
      <c r="G425" s="207">
        <f>SUM(G418:G424)</f>
        <v>40352010.084664293</v>
      </c>
      <c r="H425" s="331">
        <f>SUM(H418:H424)</f>
        <v>1</v>
      </c>
      <c r="I425" s="207">
        <f>MIN(ITCFedMax,ITCFedPercent*G425)</f>
        <v>12105603.025399288</v>
      </c>
      <c r="J425" s="207">
        <f>SUM(J418:J424)</f>
        <v>6052801.5126996441</v>
      </c>
      <c r="K425" s="207">
        <f>ITCFedFixed</f>
        <v>0</v>
      </c>
      <c r="L425" s="207">
        <f>SUM(L418:L424)</f>
        <v>0</v>
      </c>
      <c r="M425" s="186">
        <f t="shared" si="943"/>
        <v>0</v>
      </c>
      <c r="N425" s="186">
        <f t="shared" si="943"/>
        <v>6052801.5126996441</v>
      </c>
      <c r="O425" s="207">
        <f t="shared" si="943"/>
        <v>37926355.545867063</v>
      </c>
      <c r="P425" s="207">
        <f t="shared" si="943"/>
        <v>0</v>
      </c>
      <c r="Q425" s="207">
        <f t="shared" si="943"/>
        <v>37926355.545867063</v>
      </c>
    </row>
    <row r="426" spans="1:17" x14ac:dyDescent="0.2">
      <c r="A426" s="101"/>
    </row>
    <row r="427" spans="1:17" x14ac:dyDescent="0.2">
      <c r="A427" s="101" t="s">
        <v>152</v>
      </c>
    </row>
    <row r="428" spans="1:17" x14ac:dyDescent="0.2">
      <c r="A428" s="234" t="str">
        <f>A294</f>
        <v>Investment Based Incentive (IBI)</v>
      </c>
    </row>
    <row r="429" spans="1:17" x14ac:dyDescent="0.2">
      <c r="A429" s="235" t="str">
        <f t="shared" ref="A429:A447" si="944">A295</f>
        <v>Fixed Amount ($)</v>
      </c>
    </row>
    <row r="430" spans="1:17" x14ac:dyDescent="0.2">
      <c r="A430" s="236" t="str">
        <f t="shared" si="944"/>
        <v>Federal</v>
      </c>
      <c r="B430" s="135">
        <f>IF(IBIFedFixedFedDeprec="Yes",IBIFedFixed,0)</f>
        <v>0</v>
      </c>
    </row>
    <row r="431" spans="1:17" x14ac:dyDescent="0.2">
      <c r="A431" s="236" t="str">
        <f t="shared" si="944"/>
        <v>State</v>
      </c>
      <c r="B431" s="135">
        <f>IF(IBIStateFixedFedDeprec="Yes",IBIStateFixed,0)</f>
        <v>0</v>
      </c>
    </row>
    <row r="432" spans="1:17" x14ac:dyDescent="0.2">
      <c r="A432" s="236" t="str">
        <f t="shared" si="944"/>
        <v>Utility</v>
      </c>
      <c r="B432" s="135">
        <f>IF(IBIUtilityFixedFedDeprec="Yes",IBIUtilityFixed,0)</f>
        <v>0</v>
      </c>
    </row>
    <row r="433" spans="1:2" x14ac:dyDescent="0.2">
      <c r="A433" s="236" t="str">
        <f t="shared" si="944"/>
        <v>Other</v>
      </c>
      <c r="B433" s="170">
        <f>IF(IBIOtherFixedFedDeprec="Yes",IBIOtherFixed,0)</f>
        <v>0</v>
      </c>
    </row>
    <row r="434" spans="1:2" x14ac:dyDescent="0.2">
      <c r="A434" s="236" t="str">
        <f t="shared" si="944"/>
        <v>Total</v>
      </c>
      <c r="B434" s="135">
        <f>SUM(B430:B433)</f>
        <v>0</v>
      </c>
    </row>
    <row r="435" spans="1:2" x14ac:dyDescent="0.2">
      <c r="A435" s="235" t="str">
        <f t="shared" si="944"/>
        <v>Percentage of Pre-Financing Costs</v>
      </c>
    </row>
    <row r="436" spans="1:2" x14ac:dyDescent="0.2">
      <c r="A436" s="236" t="str">
        <f t="shared" si="944"/>
        <v>Federal</v>
      </c>
      <c r="B436" s="135">
        <f>IF(IBIFedPercentFedDeprec="Yes",IBIFedPercent,0)</f>
        <v>0</v>
      </c>
    </row>
    <row r="437" spans="1:2" x14ac:dyDescent="0.2">
      <c r="A437" s="236" t="str">
        <f t="shared" si="944"/>
        <v>State</v>
      </c>
      <c r="B437" s="135">
        <f>IF(IBIStatePercentFedDeprec="Yes",IBIStatePercent,0)</f>
        <v>0</v>
      </c>
    </row>
    <row r="438" spans="1:2" x14ac:dyDescent="0.2">
      <c r="A438" s="236" t="str">
        <f t="shared" si="944"/>
        <v>Utility</v>
      </c>
      <c r="B438" s="135">
        <f>IF(IBIUtilityPercentFedDeprec="Yes",IBIUtilityPercent,0)</f>
        <v>0</v>
      </c>
    </row>
    <row r="439" spans="1:2" x14ac:dyDescent="0.2">
      <c r="A439" s="236" t="str">
        <f t="shared" si="944"/>
        <v>Other</v>
      </c>
      <c r="B439" s="170">
        <f>IF(IBIOtherPercentFedDeprec="Yes",IBIOtherPercent,0)</f>
        <v>0</v>
      </c>
    </row>
    <row r="440" spans="1:2" x14ac:dyDescent="0.2">
      <c r="A440" s="236" t="str">
        <f t="shared" si="944"/>
        <v>Total</v>
      </c>
      <c r="B440" s="135">
        <f>SUM(B436:B439)</f>
        <v>0</v>
      </c>
    </row>
    <row r="441" spans="1:2" x14ac:dyDescent="0.2">
      <c r="A441" s="234" t="str">
        <f t="shared" si="944"/>
        <v>Capacity Based Incentive (CBI)</v>
      </c>
    </row>
    <row r="442" spans="1:2" x14ac:dyDescent="0.2">
      <c r="A442" s="235" t="str">
        <f t="shared" si="944"/>
        <v>Federal</v>
      </c>
      <c r="B442" s="135">
        <f>IF(CBIFedFedDeprec="Yes",CBIFed,0)</f>
        <v>0</v>
      </c>
    </row>
    <row r="443" spans="1:2" x14ac:dyDescent="0.2">
      <c r="A443" s="235" t="str">
        <f t="shared" si="944"/>
        <v>State</v>
      </c>
      <c r="B443" s="135">
        <f>IF(CBIStateFedDeprec="Yes",CBIState,0)</f>
        <v>0</v>
      </c>
    </row>
    <row r="444" spans="1:2" x14ac:dyDescent="0.2">
      <c r="A444" s="235" t="str">
        <f t="shared" si="944"/>
        <v>Utility</v>
      </c>
      <c r="B444" s="135">
        <f>IF(CBIUtilityFedDeprec="Yes",CBIUtility,0)</f>
        <v>0</v>
      </c>
    </row>
    <row r="445" spans="1:2" x14ac:dyDescent="0.2">
      <c r="A445" s="235" t="str">
        <f t="shared" si="944"/>
        <v>Other</v>
      </c>
      <c r="B445" s="170">
        <f>IF(CBIOtherFedDeprec="Yes",CBIOther,0)</f>
        <v>0</v>
      </c>
    </row>
    <row r="446" spans="1:2" x14ac:dyDescent="0.2">
      <c r="A446" s="235" t="str">
        <f t="shared" si="944"/>
        <v>Total</v>
      </c>
      <c r="B446" s="177">
        <f>SUM(B442:B445)</f>
        <v>0</v>
      </c>
    </row>
    <row r="447" spans="1:2" x14ac:dyDescent="0.2">
      <c r="A447" s="234" t="str">
        <f t="shared" si="944"/>
        <v>Total Basis Reduction</v>
      </c>
      <c r="B447" s="135">
        <f>B434+B440+B446</f>
        <v>0</v>
      </c>
    </row>
    <row r="448" spans="1:2" x14ac:dyDescent="0.2">
      <c r="A448" s="101"/>
    </row>
    <row r="449" spans="1:42" x14ac:dyDescent="0.2">
      <c r="A449" s="101" t="s">
        <v>236</v>
      </c>
    </row>
    <row r="450" spans="1:42" x14ac:dyDescent="0.2">
      <c r="A450" s="234" t="s">
        <v>146</v>
      </c>
    </row>
    <row r="451" spans="1:42" x14ac:dyDescent="0.2">
      <c r="A451" s="188" t="str">
        <f>A418</f>
        <v>5-yr MACRS</v>
      </c>
      <c r="B451" s="197">
        <f>SUM(C451:AP451)</f>
        <v>0.99999999999999989</v>
      </c>
      <c r="C451" s="198">
        <f>LOOKUP(C$2,'Depreciation Schedules'!$A$3:$A$42,'Depreciation Schedules'!$B$3:$B$42)</f>
        <v>0.2</v>
      </c>
      <c r="D451" s="198">
        <f>LOOKUP(D$2,'Depreciation Schedules'!$A$3:$A$42,'Depreciation Schedules'!$B$3:$B$42)</f>
        <v>0.32</v>
      </c>
      <c r="E451" s="198">
        <f>LOOKUP(E$2,'Depreciation Schedules'!$A$3:$A$42,'Depreciation Schedules'!$B$3:$B$42)</f>
        <v>0.192</v>
      </c>
      <c r="F451" s="198">
        <f>LOOKUP(F$2,'Depreciation Schedules'!$A$3:$A$42,'Depreciation Schedules'!$B$3:$B$42)</f>
        <v>0.1152</v>
      </c>
      <c r="G451" s="198">
        <f>LOOKUP(G$2,'Depreciation Schedules'!$A$3:$A$42,'Depreciation Schedules'!$B$3:$B$42)</f>
        <v>0.1152</v>
      </c>
      <c r="H451" s="198">
        <f>LOOKUP(H$2,'Depreciation Schedules'!$A$3:$A$42,'Depreciation Schedules'!$B$3:$B$42)</f>
        <v>5.7599999999999998E-2</v>
      </c>
      <c r="I451" s="198">
        <f>LOOKUP(I$2,'Depreciation Schedules'!$A$3:$A$42,'Depreciation Schedules'!$B$3:$B$42)</f>
        <v>0</v>
      </c>
      <c r="J451" s="198">
        <f>LOOKUP(J$2,'Depreciation Schedules'!$A$3:$A$42,'Depreciation Schedules'!$B$3:$B$42)</f>
        <v>0</v>
      </c>
      <c r="K451" s="198">
        <f>LOOKUP(K$2,'Depreciation Schedules'!$A$3:$A$42,'Depreciation Schedules'!$B$3:$B$42)</f>
        <v>0</v>
      </c>
      <c r="L451" s="198">
        <f>LOOKUP(L$2,'Depreciation Schedules'!$A$3:$A$42,'Depreciation Schedules'!$B$3:$B$42)</f>
        <v>0</v>
      </c>
      <c r="M451" s="198">
        <f>LOOKUP(M$2,'Depreciation Schedules'!$A$3:$A$42,'Depreciation Schedules'!$B$3:$B$42)</f>
        <v>0</v>
      </c>
      <c r="N451" s="198">
        <f>LOOKUP(N$2,'Depreciation Schedules'!$A$3:$A$42,'Depreciation Schedules'!$B$3:$B$42)</f>
        <v>0</v>
      </c>
      <c r="O451" s="198">
        <f>LOOKUP(O$2,'Depreciation Schedules'!$A$3:$A$42,'Depreciation Schedules'!$B$3:$B$42)</f>
        <v>0</v>
      </c>
      <c r="P451" s="198">
        <f>LOOKUP(P$2,'Depreciation Schedules'!$A$3:$A$42,'Depreciation Schedules'!$B$3:$B$42)</f>
        <v>0</v>
      </c>
      <c r="Q451" s="198">
        <f>LOOKUP(Q$2,'Depreciation Schedules'!$A$3:$A$42,'Depreciation Schedules'!$B$3:$B$42)</f>
        <v>0</v>
      </c>
      <c r="R451" s="198">
        <f>LOOKUP(R$2,'Depreciation Schedules'!$A$3:$A$42,'Depreciation Schedules'!$B$3:$B$42)</f>
        <v>0</v>
      </c>
      <c r="S451" s="198">
        <f>LOOKUP(S$2,'Depreciation Schedules'!$A$3:$A$42,'Depreciation Schedules'!$B$3:$B$42)</f>
        <v>0</v>
      </c>
      <c r="T451" s="198">
        <f>LOOKUP(T$2,'Depreciation Schedules'!$A$3:$A$42,'Depreciation Schedules'!$B$3:$B$42)</f>
        <v>0</v>
      </c>
      <c r="U451" s="198">
        <f>LOOKUP(U$2,'Depreciation Schedules'!$A$3:$A$42,'Depreciation Schedules'!$B$3:$B$42)</f>
        <v>0</v>
      </c>
      <c r="V451" s="198">
        <f>LOOKUP(V$2,'Depreciation Schedules'!$A$3:$A$42,'Depreciation Schedules'!$B$3:$B$42)</f>
        <v>0</v>
      </c>
      <c r="W451" s="198">
        <f>LOOKUP(W$2,'Depreciation Schedules'!$A$3:$A$42,'Depreciation Schedules'!$B$3:$B$42)</f>
        <v>0</v>
      </c>
      <c r="X451" s="198">
        <f>LOOKUP(X$2,'Depreciation Schedules'!$A$3:$A$42,'Depreciation Schedules'!$B$3:$B$42)</f>
        <v>0</v>
      </c>
      <c r="Y451" s="198">
        <f>LOOKUP(Y$2,'Depreciation Schedules'!$A$3:$A$42,'Depreciation Schedules'!$B$3:$B$42)</f>
        <v>0</v>
      </c>
      <c r="Z451" s="198">
        <f>LOOKUP(Z$2,'Depreciation Schedules'!$A$3:$A$42,'Depreciation Schedules'!$B$3:$B$42)</f>
        <v>0</v>
      </c>
      <c r="AA451" s="198">
        <f>LOOKUP(AA$2,'Depreciation Schedules'!$A$3:$A$42,'Depreciation Schedules'!$B$3:$B$42)</f>
        <v>0</v>
      </c>
      <c r="AB451" s="198">
        <f>LOOKUP(AB$2,'Depreciation Schedules'!$A$3:$A$42,'Depreciation Schedules'!$B$3:$B$42)</f>
        <v>0</v>
      </c>
      <c r="AC451" s="198">
        <f>LOOKUP(AC$2,'Depreciation Schedules'!$A$3:$A$42,'Depreciation Schedules'!$B$3:$B$42)</f>
        <v>0</v>
      </c>
      <c r="AD451" s="198">
        <f>LOOKUP(AD$2,'Depreciation Schedules'!$A$3:$A$42,'Depreciation Schedules'!$B$3:$B$42)</f>
        <v>0</v>
      </c>
      <c r="AE451" s="198">
        <f>LOOKUP(AE$2,'Depreciation Schedules'!$A$3:$A$42,'Depreciation Schedules'!$B$3:$B$42)</f>
        <v>0</v>
      </c>
      <c r="AF451" s="198">
        <f>LOOKUP(AF$2,'Depreciation Schedules'!$A$3:$A$42,'Depreciation Schedules'!$B$3:$B$42)</f>
        <v>0</v>
      </c>
      <c r="AG451" s="198">
        <f>LOOKUP(AG$2,'Depreciation Schedules'!$A$3:$A$42,'Depreciation Schedules'!$B$3:$B$42)</f>
        <v>0</v>
      </c>
      <c r="AH451" s="198">
        <f>LOOKUP(AH$2,'Depreciation Schedules'!$A$3:$A$42,'Depreciation Schedules'!$B$3:$B$42)</f>
        <v>0</v>
      </c>
      <c r="AI451" s="198">
        <f>LOOKUP(AI$2,'Depreciation Schedules'!$A$3:$A$42,'Depreciation Schedules'!$B$3:$B$42)</f>
        <v>0</v>
      </c>
      <c r="AJ451" s="198">
        <f>LOOKUP(AJ$2,'Depreciation Schedules'!$A$3:$A$42,'Depreciation Schedules'!$B$3:$B$42)</f>
        <v>0</v>
      </c>
      <c r="AK451" s="198">
        <f>LOOKUP(AK$2,'Depreciation Schedules'!$A$3:$A$42,'Depreciation Schedules'!$B$3:$B$42)</f>
        <v>0</v>
      </c>
      <c r="AL451" s="198">
        <f>LOOKUP(AL$2,'Depreciation Schedules'!$A$3:$A$42,'Depreciation Schedules'!$B$3:$B$42)</f>
        <v>0</v>
      </c>
      <c r="AM451" s="198">
        <f>LOOKUP(AM$2,'Depreciation Schedules'!$A$3:$A$42,'Depreciation Schedules'!$B$3:$B$42)</f>
        <v>0</v>
      </c>
      <c r="AN451" s="198">
        <f>LOOKUP(AN$2,'Depreciation Schedules'!$A$3:$A$42,'Depreciation Schedules'!$B$3:$B$42)</f>
        <v>0</v>
      </c>
      <c r="AO451" s="198">
        <f>LOOKUP(AO$2,'Depreciation Schedules'!$A$3:$A$42,'Depreciation Schedules'!$B$3:$B$42)</f>
        <v>0</v>
      </c>
      <c r="AP451" s="198">
        <f>LOOKUP(AP$2,'Depreciation Schedules'!$A$3:$A$42,'Depreciation Schedules'!$B$3:$B$42)</f>
        <v>0</v>
      </c>
    </row>
    <row r="452" spans="1:42" x14ac:dyDescent="0.2">
      <c r="A452" s="188" t="str">
        <f t="shared" ref="A452:A456" si="945">A419</f>
        <v>15-yr MACRS</v>
      </c>
      <c r="B452" s="199">
        <f t="shared" ref="B452:B456" si="946">SUM(C452:AP452)</f>
        <v>1.0000000000000002</v>
      </c>
      <c r="C452" s="198">
        <f>LOOKUP(C$2,'Depreciation Schedules'!$A$3:$A$42,'Depreciation Schedules'!$C$3:$C$42)</f>
        <v>0.05</v>
      </c>
      <c r="D452" s="198">
        <f>LOOKUP(D$2,'Depreciation Schedules'!$A$3:$A$42,'Depreciation Schedules'!$C$3:$C$42)</f>
        <v>9.5000000000000001E-2</v>
      </c>
      <c r="E452" s="198">
        <f>LOOKUP(E$2,'Depreciation Schedules'!$A$3:$A$42,'Depreciation Schedules'!$C$3:$C$42)</f>
        <v>8.5500000000000007E-2</v>
      </c>
      <c r="F452" s="198">
        <f>LOOKUP(F$2,'Depreciation Schedules'!$A$3:$A$42,'Depreciation Schedules'!$C$3:$C$42)</f>
        <v>7.6999999999999999E-2</v>
      </c>
      <c r="G452" s="198">
        <f>LOOKUP(G$2,'Depreciation Schedules'!$A$3:$A$42,'Depreciation Schedules'!$C$3:$C$42)</f>
        <v>6.93E-2</v>
      </c>
      <c r="H452" s="198">
        <f>LOOKUP(H$2,'Depreciation Schedules'!$A$3:$A$42,'Depreciation Schedules'!$C$3:$C$42)</f>
        <v>6.2300000000000001E-2</v>
      </c>
      <c r="I452" s="198">
        <f>LOOKUP(I$2,'Depreciation Schedules'!$A$3:$A$42,'Depreciation Schedules'!$C$3:$C$42)</f>
        <v>5.8999999999999997E-2</v>
      </c>
      <c r="J452" s="198">
        <f>LOOKUP(J$2,'Depreciation Schedules'!$A$3:$A$42,'Depreciation Schedules'!$C$3:$C$42)</f>
        <v>5.8999999999999997E-2</v>
      </c>
      <c r="K452" s="198">
        <f>LOOKUP(K$2,'Depreciation Schedules'!$A$3:$A$42,'Depreciation Schedules'!$C$3:$C$42)</f>
        <v>5.91E-2</v>
      </c>
      <c r="L452" s="198">
        <f>LOOKUP(L$2,'Depreciation Schedules'!$A$3:$A$42,'Depreciation Schedules'!$C$3:$C$42)</f>
        <v>5.8999999999999997E-2</v>
      </c>
      <c r="M452" s="198">
        <f>LOOKUP(M$2,'Depreciation Schedules'!$A$3:$A$42,'Depreciation Schedules'!$C$3:$C$42)</f>
        <v>5.91E-2</v>
      </c>
      <c r="N452" s="198">
        <f>LOOKUP(N$2,'Depreciation Schedules'!$A$3:$A$42,'Depreciation Schedules'!$C$3:$C$42)</f>
        <v>5.8999999999999997E-2</v>
      </c>
      <c r="O452" s="198">
        <f>LOOKUP(O$2,'Depreciation Schedules'!$A$3:$A$42,'Depreciation Schedules'!$C$3:$C$42)</f>
        <v>5.91E-2</v>
      </c>
      <c r="P452" s="198">
        <f>LOOKUP(P$2,'Depreciation Schedules'!$A$3:$A$42,'Depreciation Schedules'!$C$3:$C$42)</f>
        <v>5.8999999999999997E-2</v>
      </c>
      <c r="Q452" s="198">
        <f>LOOKUP(Q$2,'Depreciation Schedules'!$A$3:$A$42,'Depreciation Schedules'!$C$3:$C$42)</f>
        <v>5.91E-2</v>
      </c>
      <c r="R452" s="198">
        <f>LOOKUP(R$2,'Depreciation Schedules'!$A$3:$A$42,'Depreciation Schedules'!$C$3:$C$42)</f>
        <v>2.9499999999999998E-2</v>
      </c>
      <c r="S452" s="198">
        <f>LOOKUP(S$2,'Depreciation Schedules'!$A$3:$A$42,'Depreciation Schedules'!$C$3:$C$42)</f>
        <v>0</v>
      </c>
      <c r="T452" s="198">
        <f>LOOKUP(T$2,'Depreciation Schedules'!$A$3:$A$42,'Depreciation Schedules'!$C$3:$C$42)</f>
        <v>0</v>
      </c>
      <c r="U452" s="198">
        <f>LOOKUP(U$2,'Depreciation Schedules'!$A$3:$A$42,'Depreciation Schedules'!$C$3:$C$42)</f>
        <v>0</v>
      </c>
      <c r="V452" s="198">
        <f>LOOKUP(V$2,'Depreciation Schedules'!$A$3:$A$42,'Depreciation Schedules'!$C$3:$C$42)</f>
        <v>0</v>
      </c>
      <c r="W452" s="198">
        <f>LOOKUP(W$2,'Depreciation Schedules'!$A$3:$A$42,'Depreciation Schedules'!$C$3:$C$42)</f>
        <v>0</v>
      </c>
      <c r="X452" s="198">
        <f>LOOKUP(X$2,'Depreciation Schedules'!$A$3:$A$42,'Depreciation Schedules'!$C$3:$C$42)</f>
        <v>0</v>
      </c>
      <c r="Y452" s="198">
        <f>LOOKUP(Y$2,'Depreciation Schedules'!$A$3:$A$42,'Depreciation Schedules'!$C$3:$C$42)</f>
        <v>0</v>
      </c>
      <c r="Z452" s="198">
        <f>LOOKUP(Z$2,'Depreciation Schedules'!$A$3:$A$42,'Depreciation Schedules'!$C$3:$C$42)</f>
        <v>0</v>
      </c>
      <c r="AA452" s="198">
        <f>LOOKUP(AA$2,'Depreciation Schedules'!$A$3:$A$42,'Depreciation Schedules'!$C$3:$C$42)</f>
        <v>0</v>
      </c>
      <c r="AB452" s="198">
        <f>LOOKUP(AB$2,'Depreciation Schedules'!$A$3:$A$42,'Depreciation Schedules'!$C$3:$C$42)</f>
        <v>0</v>
      </c>
      <c r="AC452" s="198">
        <f>LOOKUP(AC$2,'Depreciation Schedules'!$A$3:$A$42,'Depreciation Schedules'!$C$3:$C$42)</f>
        <v>0</v>
      </c>
      <c r="AD452" s="198">
        <f>LOOKUP(AD$2,'Depreciation Schedules'!$A$3:$A$42,'Depreciation Schedules'!$C$3:$C$42)</f>
        <v>0</v>
      </c>
      <c r="AE452" s="198">
        <f>LOOKUP(AE$2,'Depreciation Schedules'!$A$3:$A$42,'Depreciation Schedules'!$C$3:$C$42)</f>
        <v>0</v>
      </c>
      <c r="AF452" s="198">
        <f>LOOKUP(AF$2,'Depreciation Schedules'!$A$3:$A$42,'Depreciation Schedules'!$C$3:$C$42)</f>
        <v>0</v>
      </c>
      <c r="AG452" s="198">
        <f>LOOKUP(AG$2,'Depreciation Schedules'!$A$3:$A$42,'Depreciation Schedules'!$C$3:$C$42)</f>
        <v>0</v>
      </c>
      <c r="AH452" s="198">
        <f>LOOKUP(AH$2,'Depreciation Schedules'!$A$3:$A$42,'Depreciation Schedules'!$C$3:$C$42)</f>
        <v>0</v>
      </c>
      <c r="AI452" s="198">
        <f>LOOKUP(AI$2,'Depreciation Schedules'!$A$3:$A$42,'Depreciation Schedules'!$C$3:$C$42)</f>
        <v>0</v>
      </c>
      <c r="AJ452" s="198">
        <f>LOOKUP(AJ$2,'Depreciation Schedules'!$A$3:$A$42,'Depreciation Schedules'!$C$3:$C$42)</f>
        <v>0</v>
      </c>
      <c r="AK452" s="198">
        <f>LOOKUP(AK$2,'Depreciation Schedules'!$A$3:$A$42,'Depreciation Schedules'!$C$3:$C$42)</f>
        <v>0</v>
      </c>
      <c r="AL452" s="198">
        <f>LOOKUP(AL$2,'Depreciation Schedules'!$A$3:$A$42,'Depreciation Schedules'!$C$3:$C$42)</f>
        <v>0</v>
      </c>
      <c r="AM452" s="198">
        <f>LOOKUP(AM$2,'Depreciation Schedules'!$A$3:$A$42,'Depreciation Schedules'!$C$3:$C$42)</f>
        <v>0</v>
      </c>
      <c r="AN452" s="198">
        <f>LOOKUP(AN$2,'Depreciation Schedules'!$A$3:$A$42,'Depreciation Schedules'!$C$3:$C$42)</f>
        <v>0</v>
      </c>
      <c r="AO452" s="198">
        <f>LOOKUP(AO$2,'Depreciation Schedules'!$A$3:$A$42,'Depreciation Schedules'!$C$3:$C$42)</f>
        <v>0</v>
      </c>
      <c r="AP452" s="198">
        <f>LOOKUP(AP$2,'Depreciation Schedules'!$A$3:$A$42,'Depreciation Schedules'!$C$3:$C$42)</f>
        <v>0</v>
      </c>
    </row>
    <row r="453" spans="1:42" x14ac:dyDescent="0.2">
      <c r="A453" s="188" t="str">
        <f t="shared" si="945"/>
        <v>5-yr SL</v>
      </c>
      <c r="B453" s="199">
        <f t="shared" si="946"/>
        <v>0.99999999999999989</v>
      </c>
      <c r="C453" s="198">
        <f>LOOKUP(C$2,'Depreciation Schedules'!$A$3:$A$42,'Depreciation Schedules'!$D$3:$D$42)</f>
        <v>0.1</v>
      </c>
      <c r="D453" s="198">
        <f>LOOKUP(D$2,'Depreciation Schedules'!$A$3:$A$42,'Depreciation Schedules'!$D$3:$D$42)</f>
        <v>0.2</v>
      </c>
      <c r="E453" s="198">
        <f>LOOKUP(E$2,'Depreciation Schedules'!$A$3:$A$42,'Depreciation Schedules'!$D$3:$D$42)</f>
        <v>0.2</v>
      </c>
      <c r="F453" s="198">
        <f>LOOKUP(F$2,'Depreciation Schedules'!$A$3:$A$42,'Depreciation Schedules'!$D$3:$D$42)</f>
        <v>0.2</v>
      </c>
      <c r="G453" s="198">
        <f>LOOKUP(G$2,'Depreciation Schedules'!$A$3:$A$42,'Depreciation Schedules'!$D$3:$D$42)</f>
        <v>0.2</v>
      </c>
      <c r="H453" s="198">
        <f>LOOKUP(H$2,'Depreciation Schedules'!$A$3:$A$42,'Depreciation Schedules'!$D$3:$D$42)</f>
        <v>0.1</v>
      </c>
      <c r="I453" s="198">
        <f>LOOKUP(I$2,'Depreciation Schedules'!$A$3:$A$42,'Depreciation Schedules'!$D$3:$D$42)</f>
        <v>0</v>
      </c>
      <c r="J453" s="198">
        <f>LOOKUP(J$2,'Depreciation Schedules'!$A$3:$A$42,'Depreciation Schedules'!$D$3:$D$42)</f>
        <v>0</v>
      </c>
      <c r="K453" s="198">
        <f>LOOKUP(K$2,'Depreciation Schedules'!$A$3:$A$42,'Depreciation Schedules'!$D$3:$D$42)</f>
        <v>0</v>
      </c>
      <c r="L453" s="198">
        <f>LOOKUP(L$2,'Depreciation Schedules'!$A$3:$A$42,'Depreciation Schedules'!$D$3:$D$42)</f>
        <v>0</v>
      </c>
      <c r="M453" s="198">
        <f>LOOKUP(M$2,'Depreciation Schedules'!$A$3:$A$42,'Depreciation Schedules'!$D$3:$D$42)</f>
        <v>0</v>
      </c>
      <c r="N453" s="198">
        <f>LOOKUP(N$2,'Depreciation Schedules'!$A$3:$A$42,'Depreciation Schedules'!$D$3:$D$42)</f>
        <v>0</v>
      </c>
      <c r="O453" s="198">
        <f>LOOKUP(O$2,'Depreciation Schedules'!$A$3:$A$42,'Depreciation Schedules'!$D$3:$D$42)</f>
        <v>0</v>
      </c>
      <c r="P453" s="198">
        <f>LOOKUP(P$2,'Depreciation Schedules'!$A$3:$A$42,'Depreciation Schedules'!$D$3:$D$42)</f>
        <v>0</v>
      </c>
      <c r="Q453" s="198">
        <f>LOOKUP(Q$2,'Depreciation Schedules'!$A$3:$A$42,'Depreciation Schedules'!$D$3:$D$42)</f>
        <v>0</v>
      </c>
      <c r="R453" s="198">
        <f>LOOKUP(R$2,'Depreciation Schedules'!$A$3:$A$42,'Depreciation Schedules'!$D$3:$D$42)</f>
        <v>0</v>
      </c>
      <c r="S453" s="198">
        <f>LOOKUP(S$2,'Depreciation Schedules'!$A$3:$A$42,'Depreciation Schedules'!$D$3:$D$42)</f>
        <v>0</v>
      </c>
      <c r="T453" s="198">
        <f>LOOKUP(T$2,'Depreciation Schedules'!$A$3:$A$42,'Depreciation Schedules'!$D$3:$D$42)</f>
        <v>0</v>
      </c>
      <c r="U453" s="198">
        <f>LOOKUP(U$2,'Depreciation Schedules'!$A$3:$A$42,'Depreciation Schedules'!$D$3:$D$42)</f>
        <v>0</v>
      </c>
      <c r="V453" s="198">
        <f>LOOKUP(V$2,'Depreciation Schedules'!$A$3:$A$42,'Depreciation Schedules'!$D$3:$D$42)</f>
        <v>0</v>
      </c>
      <c r="W453" s="198">
        <f>LOOKUP(W$2,'Depreciation Schedules'!$A$3:$A$42,'Depreciation Schedules'!$D$3:$D$42)</f>
        <v>0</v>
      </c>
      <c r="X453" s="198">
        <f>LOOKUP(X$2,'Depreciation Schedules'!$A$3:$A$42,'Depreciation Schedules'!$D$3:$D$42)</f>
        <v>0</v>
      </c>
      <c r="Y453" s="198">
        <f>LOOKUP(Y$2,'Depreciation Schedules'!$A$3:$A$42,'Depreciation Schedules'!$D$3:$D$42)</f>
        <v>0</v>
      </c>
      <c r="Z453" s="198">
        <f>LOOKUP(Z$2,'Depreciation Schedules'!$A$3:$A$42,'Depreciation Schedules'!$D$3:$D$42)</f>
        <v>0</v>
      </c>
      <c r="AA453" s="198">
        <f>LOOKUP(AA$2,'Depreciation Schedules'!$A$3:$A$42,'Depreciation Schedules'!$D$3:$D$42)</f>
        <v>0</v>
      </c>
      <c r="AB453" s="198">
        <f>LOOKUP(AB$2,'Depreciation Schedules'!$A$3:$A$42,'Depreciation Schedules'!$D$3:$D$42)</f>
        <v>0</v>
      </c>
      <c r="AC453" s="198">
        <f>LOOKUP(AC$2,'Depreciation Schedules'!$A$3:$A$42,'Depreciation Schedules'!$D$3:$D$42)</f>
        <v>0</v>
      </c>
      <c r="AD453" s="198">
        <f>LOOKUP(AD$2,'Depreciation Schedules'!$A$3:$A$42,'Depreciation Schedules'!$D$3:$D$42)</f>
        <v>0</v>
      </c>
      <c r="AE453" s="198">
        <f>LOOKUP(AE$2,'Depreciation Schedules'!$A$3:$A$42,'Depreciation Schedules'!$D$3:$D$42)</f>
        <v>0</v>
      </c>
      <c r="AF453" s="198">
        <f>LOOKUP(AF$2,'Depreciation Schedules'!$A$3:$A$42,'Depreciation Schedules'!$D$3:$D$42)</f>
        <v>0</v>
      </c>
      <c r="AG453" s="198">
        <f>LOOKUP(AG$2,'Depreciation Schedules'!$A$3:$A$42,'Depreciation Schedules'!$D$3:$D$42)</f>
        <v>0</v>
      </c>
      <c r="AH453" s="198">
        <f>LOOKUP(AH$2,'Depreciation Schedules'!$A$3:$A$42,'Depreciation Schedules'!$D$3:$D$42)</f>
        <v>0</v>
      </c>
      <c r="AI453" s="198">
        <f>LOOKUP(AI$2,'Depreciation Schedules'!$A$3:$A$42,'Depreciation Schedules'!$D$3:$D$42)</f>
        <v>0</v>
      </c>
      <c r="AJ453" s="198">
        <f>LOOKUP(AJ$2,'Depreciation Schedules'!$A$3:$A$42,'Depreciation Schedules'!$D$3:$D$42)</f>
        <v>0</v>
      </c>
      <c r="AK453" s="198">
        <f>LOOKUP(AK$2,'Depreciation Schedules'!$A$3:$A$42,'Depreciation Schedules'!$D$3:$D$42)</f>
        <v>0</v>
      </c>
      <c r="AL453" s="198">
        <f>LOOKUP(AL$2,'Depreciation Schedules'!$A$3:$A$42,'Depreciation Schedules'!$D$3:$D$42)</f>
        <v>0</v>
      </c>
      <c r="AM453" s="198">
        <f>LOOKUP(AM$2,'Depreciation Schedules'!$A$3:$A$42,'Depreciation Schedules'!$D$3:$D$42)</f>
        <v>0</v>
      </c>
      <c r="AN453" s="198">
        <f>LOOKUP(AN$2,'Depreciation Schedules'!$A$3:$A$42,'Depreciation Schedules'!$D$3:$D$42)</f>
        <v>0</v>
      </c>
      <c r="AO453" s="198">
        <f>LOOKUP(AO$2,'Depreciation Schedules'!$A$3:$A$42,'Depreciation Schedules'!$D$3:$D$42)</f>
        <v>0</v>
      </c>
      <c r="AP453" s="198">
        <f>LOOKUP(AP$2,'Depreciation Schedules'!$A$3:$A$42,'Depreciation Schedules'!$D$3:$D$42)</f>
        <v>0</v>
      </c>
    </row>
    <row r="454" spans="1:42" x14ac:dyDescent="0.2">
      <c r="A454" s="188" t="str">
        <f t="shared" si="945"/>
        <v>15-yr SL</v>
      </c>
      <c r="B454" s="199">
        <f t="shared" si="946"/>
        <v>0.99999999999999989</v>
      </c>
      <c r="C454" s="198">
        <f>LOOKUP(C$2,'Depreciation Schedules'!$A$3:$A$42,'Depreciation Schedules'!$E$3:$E$42)</f>
        <v>3.3300000000000003E-2</v>
      </c>
      <c r="D454" s="198">
        <f>LOOKUP(D$2,'Depreciation Schedules'!$A$3:$A$42,'Depreciation Schedules'!$E$3:$E$42)</f>
        <v>6.6699999999999995E-2</v>
      </c>
      <c r="E454" s="198">
        <f>LOOKUP(E$2,'Depreciation Schedules'!$A$3:$A$42,'Depreciation Schedules'!$E$3:$E$42)</f>
        <v>6.6699999999999995E-2</v>
      </c>
      <c r="F454" s="198">
        <f>LOOKUP(F$2,'Depreciation Schedules'!$A$3:$A$42,'Depreciation Schedules'!$E$3:$E$42)</f>
        <v>6.6699999999999995E-2</v>
      </c>
      <c r="G454" s="198">
        <f>LOOKUP(G$2,'Depreciation Schedules'!$A$3:$A$42,'Depreciation Schedules'!$E$3:$E$42)</f>
        <v>6.6699999999999995E-2</v>
      </c>
      <c r="H454" s="198">
        <f>LOOKUP(H$2,'Depreciation Schedules'!$A$3:$A$42,'Depreciation Schedules'!$E$3:$E$42)</f>
        <v>6.6699999999999995E-2</v>
      </c>
      <c r="I454" s="198">
        <f>LOOKUP(I$2,'Depreciation Schedules'!$A$3:$A$42,'Depreciation Schedules'!$E$3:$E$42)</f>
        <v>6.6699999999999995E-2</v>
      </c>
      <c r="J454" s="198">
        <f>LOOKUP(J$2,'Depreciation Schedules'!$A$3:$A$42,'Depreciation Schedules'!$E$3:$E$42)</f>
        <v>6.6600000000000006E-2</v>
      </c>
      <c r="K454" s="198">
        <f>LOOKUP(K$2,'Depreciation Schedules'!$A$3:$A$42,'Depreciation Schedules'!$E$3:$E$42)</f>
        <v>6.6699999999999995E-2</v>
      </c>
      <c r="L454" s="198">
        <f>LOOKUP(L$2,'Depreciation Schedules'!$A$3:$A$42,'Depreciation Schedules'!$E$3:$E$42)</f>
        <v>6.6600000000000006E-2</v>
      </c>
      <c r="M454" s="198">
        <f>LOOKUP(M$2,'Depreciation Schedules'!$A$3:$A$42,'Depreciation Schedules'!$E$3:$E$42)</f>
        <v>6.6699999999999995E-2</v>
      </c>
      <c r="N454" s="198">
        <f>LOOKUP(N$2,'Depreciation Schedules'!$A$3:$A$42,'Depreciation Schedules'!$E$3:$E$42)</f>
        <v>6.6600000000000006E-2</v>
      </c>
      <c r="O454" s="198">
        <f>LOOKUP(O$2,'Depreciation Schedules'!$A$3:$A$42,'Depreciation Schedules'!$E$3:$E$42)</f>
        <v>6.6699999999999995E-2</v>
      </c>
      <c r="P454" s="198">
        <f>LOOKUP(P$2,'Depreciation Schedules'!$A$3:$A$42,'Depreciation Schedules'!$E$3:$E$42)</f>
        <v>6.6600000000000006E-2</v>
      </c>
      <c r="Q454" s="198">
        <f>LOOKUP(Q$2,'Depreciation Schedules'!$A$3:$A$42,'Depreciation Schedules'!$E$3:$E$42)</f>
        <v>6.6699999999999995E-2</v>
      </c>
      <c r="R454" s="198">
        <f>LOOKUP(R$2,'Depreciation Schedules'!$A$3:$A$42,'Depreciation Schedules'!$E$3:$E$42)</f>
        <v>3.3300000000000003E-2</v>
      </c>
      <c r="S454" s="198">
        <f>LOOKUP(S$2,'Depreciation Schedules'!$A$3:$A$42,'Depreciation Schedules'!$E$3:$E$42)</f>
        <v>0</v>
      </c>
      <c r="T454" s="198">
        <f>LOOKUP(T$2,'Depreciation Schedules'!$A$3:$A$42,'Depreciation Schedules'!$E$3:$E$42)</f>
        <v>0</v>
      </c>
      <c r="U454" s="198">
        <f>LOOKUP(U$2,'Depreciation Schedules'!$A$3:$A$42,'Depreciation Schedules'!$E$3:$E$42)</f>
        <v>0</v>
      </c>
      <c r="V454" s="198">
        <f>LOOKUP(V$2,'Depreciation Schedules'!$A$3:$A$42,'Depreciation Schedules'!$E$3:$E$42)</f>
        <v>0</v>
      </c>
      <c r="W454" s="198">
        <f>LOOKUP(W$2,'Depreciation Schedules'!$A$3:$A$42,'Depreciation Schedules'!$E$3:$E$42)</f>
        <v>0</v>
      </c>
      <c r="X454" s="198">
        <f>LOOKUP(X$2,'Depreciation Schedules'!$A$3:$A$42,'Depreciation Schedules'!$E$3:$E$42)</f>
        <v>0</v>
      </c>
      <c r="Y454" s="198">
        <f>LOOKUP(Y$2,'Depreciation Schedules'!$A$3:$A$42,'Depreciation Schedules'!$E$3:$E$42)</f>
        <v>0</v>
      </c>
      <c r="Z454" s="198">
        <f>LOOKUP(Z$2,'Depreciation Schedules'!$A$3:$A$42,'Depreciation Schedules'!$E$3:$E$42)</f>
        <v>0</v>
      </c>
      <c r="AA454" s="198">
        <f>LOOKUP(AA$2,'Depreciation Schedules'!$A$3:$A$42,'Depreciation Schedules'!$E$3:$E$42)</f>
        <v>0</v>
      </c>
      <c r="AB454" s="198">
        <f>LOOKUP(AB$2,'Depreciation Schedules'!$A$3:$A$42,'Depreciation Schedules'!$E$3:$E$42)</f>
        <v>0</v>
      </c>
      <c r="AC454" s="198">
        <f>LOOKUP(AC$2,'Depreciation Schedules'!$A$3:$A$42,'Depreciation Schedules'!$E$3:$E$42)</f>
        <v>0</v>
      </c>
      <c r="AD454" s="198">
        <f>LOOKUP(AD$2,'Depreciation Schedules'!$A$3:$A$42,'Depreciation Schedules'!$E$3:$E$42)</f>
        <v>0</v>
      </c>
      <c r="AE454" s="198">
        <f>LOOKUP(AE$2,'Depreciation Schedules'!$A$3:$A$42,'Depreciation Schedules'!$E$3:$E$42)</f>
        <v>0</v>
      </c>
      <c r="AF454" s="198">
        <f>LOOKUP(AF$2,'Depreciation Schedules'!$A$3:$A$42,'Depreciation Schedules'!$E$3:$E$42)</f>
        <v>0</v>
      </c>
      <c r="AG454" s="198">
        <f>LOOKUP(AG$2,'Depreciation Schedules'!$A$3:$A$42,'Depreciation Schedules'!$E$3:$E$42)</f>
        <v>0</v>
      </c>
      <c r="AH454" s="198">
        <f>LOOKUP(AH$2,'Depreciation Schedules'!$A$3:$A$42,'Depreciation Schedules'!$E$3:$E$42)</f>
        <v>0</v>
      </c>
      <c r="AI454" s="198">
        <f>LOOKUP(AI$2,'Depreciation Schedules'!$A$3:$A$42,'Depreciation Schedules'!$E$3:$E$42)</f>
        <v>0</v>
      </c>
      <c r="AJ454" s="198">
        <f>LOOKUP(AJ$2,'Depreciation Schedules'!$A$3:$A$42,'Depreciation Schedules'!$E$3:$E$42)</f>
        <v>0</v>
      </c>
      <c r="AK454" s="198">
        <f>LOOKUP(AK$2,'Depreciation Schedules'!$A$3:$A$42,'Depreciation Schedules'!$E$3:$E$42)</f>
        <v>0</v>
      </c>
      <c r="AL454" s="198">
        <f>LOOKUP(AL$2,'Depreciation Schedules'!$A$3:$A$42,'Depreciation Schedules'!$E$3:$E$42)</f>
        <v>0</v>
      </c>
      <c r="AM454" s="198">
        <f>LOOKUP(AM$2,'Depreciation Schedules'!$A$3:$A$42,'Depreciation Schedules'!$E$3:$E$42)</f>
        <v>0</v>
      </c>
      <c r="AN454" s="198">
        <f>LOOKUP(AN$2,'Depreciation Schedules'!$A$3:$A$42,'Depreciation Schedules'!$E$3:$E$42)</f>
        <v>0</v>
      </c>
      <c r="AO454" s="198">
        <f>LOOKUP(AO$2,'Depreciation Schedules'!$A$3:$A$42,'Depreciation Schedules'!$E$3:$E$42)</f>
        <v>0</v>
      </c>
      <c r="AP454" s="198">
        <f>LOOKUP(AP$2,'Depreciation Schedules'!$A$3:$A$42,'Depreciation Schedules'!$E$3:$E$42)</f>
        <v>0</v>
      </c>
    </row>
    <row r="455" spans="1:42" x14ac:dyDescent="0.2">
      <c r="A455" s="188" t="str">
        <f t="shared" si="945"/>
        <v>20-yr SL</v>
      </c>
      <c r="B455" s="199">
        <f t="shared" si="946"/>
        <v>1.0000000000000002</v>
      </c>
      <c r="C455" s="198">
        <f>LOOKUP(C$2,'Depreciation Schedules'!$A$3:$A$42,'Depreciation Schedules'!$F$3:$F$42)</f>
        <v>2.5000000000000001E-2</v>
      </c>
      <c r="D455" s="198">
        <f>LOOKUP(D$2,'Depreciation Schedules'!$A$3:$A$42,'Depreciation Schedules'!$F$3:$F$42)</f>
        <v>0.05</v>
      </c>
      <c r="E455" s="198">
        <f>LOOKUP(E$2,'Depreciation Schedules'!$A$3:$A$42,'Depreciation Schedules'!$F$3:$F$42)</f>
        <v>0.05</v>
      </c>
      <c r="F455" s="198">
        <f>LOOKUP(F$2,'Depreciation Schedules'!$A$3:$A$42,'Depreciation Schedules'!$F$3:$F$42)</f>
        <v>0.05</v>
      </c>
      <c r="G455" s="198">
        <f>LOOKUP(G$2,'Depreciation Schedules'!$A$3:$A$42,'Depreciation Schedules'!$F$3:$F$42)</f>
        <v>0.05</v>
      </c>
      <c r="H455" s="198">
        <f>LOOKUP(H$2,'Depreciation Schedules'!$A$3:$A$42,'Depreciation Schedules'!$F$3:$F$42)</f>
        <v>0.05</v>
      </c>
      <c r="I455" s="198">
        <f>LOOKUP(I$2,'Depreciation Schedules'!$A$3:$A$42,'Depreciation Schedules'!$F$3:$F$42)</f>
        <v>0.05</v>
      </c>
      <c r="J455" s="198">
        <f>LOOKUP(J$2,'Depreciation Schedules'!$A$3:$A$42,'Depreciation Schedules'!$F$3:$F$42)</f>
        <v>0.05</v>
      </c>
      <c r="K455" s="198">
        <f>LOOKUP(K$2,'Depreciation Schedules'!$A$3:$A$42,'Depreciation Schedules'!$F$3:$F$42)</f>
        <v>0.05</v>
      </c>
      <c r="L455" s="198">
        <f>LOOKUP(L$2,'Depreciation Schedules'!$A$3:$A$42,'Depreciation Schedules'!$F$3:$F$42)</f>
        <v>0.05</v>
      </c>
      <c r="M455" s="198">
        <f>LOOKUP(M$2,'Depreciation Schedules'!$A$3:$A$42,'Depreciation Schedules'!$F$3:$F$42)</f>
        <v>0.05</v>
      </c>
      <c r="N455" s="198">
        <f>LOOKUP(N$2,'Depreciation Schedules'!$A$3:$A$42,'Depreciation Schedules'!$F$3:$F$42)</f>
        <v>0.05</v>
      </c>
      <c r="O455" s="198">
        <f>LOOKUP(O$2,'Depreciation Schedules'!$A$3:$A$42,'Depreciation Schedules'!$F$3:$F$42)</f>
        <v>0.05</v>
      </c>
      <c r="P455" s="198">
        <f>LOOKUP(P$2,'Depreciation Schedules'!$A$3:$A$42,'Depreciation Schedules'!$F$3:$F$42)</f>
        <v>0.05</v>
      </c>
      <c r="Q455" s="198">
        <f>LOOKUP(Q$2,'Depreciation Schedules'!$A$3:$A$42,'Depreciation Schedules'!$F$3:$F$42)</f>
        <v>0.05</v>
      </c>
      <c r="R455" s="198">
        <f>LOOKUP(R$2,'Depreciation Schedules'!$A$3:$A$42,'Depreciation Schedules'!$F$3:$F$42)</f>
        <v>0.05</v>
      </c>
      <c r="S455" s="198">
        <f>LOOKUP(S$2,'Depreciation Schedules'!$A$3:$A$42,'Depreciation Schedules'!$F$3:$F$42)</f>
        <v>0.05</v>
      </c>
      <c r="T455" s="198">
        <f>LOOKUP(T$2,'Depreciation Schedules'!$A$3:$A$42,'Depreciation Schedules'!$F$3:$F$42)</f>
        <v>0.05</v>
      </c>
      <c r="U455" s="198">
        <f>LOOKUP(U$2,'Depreciation Schedules'!$A$3:$A$42,'Depreciation Schedules'!$F$3:$F$42)</f>
        <v>0.05</v>
      </c>
      <c r="V455" s="198">
        <f>LOOKUP(V$2,'Depreciation Schedules'!$A$3:$A$42,'Depreciation Schedules'!$F$3:$F$42)</f>
        <v>0.05</v>
      </c>
      <c r="W455" s="198">
        <f>LOOKUP(W$2,'Depreciation Schedules'!$A$3:$A$42,'Depreciation Schedules'!$F$3:$F$42)</f>
        <v>2.5000000000000001E-2</v>
      </c>
      <c r="X455" s="198">
        <f>LOOKUP(X$2,'Depreciation Schedules'!$A$3:$A$42,'Depreciation Schedules'!$F$3:$F$42)</f>
        <v>0</v>
      </c>
      <c r="Y455" s="198">
        <f>LOOKUP(Y$2,'Depreciation Schedules'!$A$3:$A$42,'Depreciation Schedules'!$F$3:$F$42)</f>
        <v>0</v>
      </c>
      <c r="Z455" s="198">
        <f>LOOKUP(Z$2,'Depreciation Schedules'!$A$3:$A$42,'Depreciation Schedules'!$F$3:$F$42)</f>
        <v>0</v>
      </c>
      <c r="AA455" s="198">
        <f>LOOKUP(AA$2,'Depreciation Schedules'!$A$3:$A$42,'Depreciation Schedules'!$F$3:$F$42)</f>
        <v>0</v>
      </c>
      <c r="AB455" s="198">
        <f>LOOKUP(AB$2,'Depreciation Schedules'!$A$3:$A$42,'Depreciation Schedules'!$F$3:$F$42)</f>
        <v>0</v>
      </c>
      <c r="AC455" s="198">
        <f>LOOKUP(AC$2,'Depreciation Schedules'!$A$3:$A$42,'Depreciation Schedules'!$F$3:$F$42)</f>
        <v>0</v>
      </c>
      <c r="AD455" s="198">
        <f>LOOKUP(AD$2,'Depreciation Schedules'!$A$3:$A$42,'Depreciation Schedules'!$F$3:$F$42)</f>
        <v>0</v>
      </c>
      <c r="AE455" s="198">
        <f>LOOKUP(AE$2,'Depreciation Schedules'!$A$3:$A$42,'Depreciation Schedules'!$F$3:$F$42)</f>
        <v>0</v>
      </c>
      <c r="AF455" s="198">
        <f>LOOKUP(AF$2,'Depreciation Schedules'!$A$3:$A$42,'Depreciation Schedules'!$F$3:$F$42)</f>
        <v>0</v>
      </c>
      <c r="AG455" s="198">
        <f>LOOKUP(AG$2,'Depreciation Schedules'!$A$3:$A$42,'Depreciation Schedules'!$F$3:$F$42)</f>
        <v>0</v>
      </c>
      <c r="AH455" s="198">
        <f>LOOKUP(AH$2,'Depreciation Schedules'!$A$3:$A$42,'Depreciation Schedules'!$F$3:$F$42)</f>
        <v>0</v>
      </c>
      <c r="AI455" s="198">
        <f>LOOKUP(AI$2,'Depreciation Schedules'!$A$3:$A$42,'Depreciation Schedules'!$F$3:$F$42)</f>
        <v>0</v>
      </c>
      <c r="AJ455" s="198">
        <f>LOOKUP(AJ$2,'Depreciation Schedules'!$A$3:$A$42,'Depreciation Schedules'!$F$3:$F$42)</f>
        <v>0</v>
      </c>
      <c r="AK455" s="198">
        <f>LOOKUP(AK$2,'Depreciation Schedules'!$A$3:$A$42,'Depreciation Schedules'!$F$3:$F$42)</f>
        <v>0</v>
      </c>
      <c r="AL455" s="198">
        <f>LOOKUP(AL$2,'Depreciation Schedules'!$A$3:$A$42,'Depreciation Schedules'!$F$3:$F$42)</f>
        <v>0</v>
      </c>
      <c r="AM455" s="198">
        <f>LOOKUP(AM$2,'Depreciation Schedules'!$A$3:$A$42,'Depreciation Schedules'!$F$3:$F$42)</f>
        <v>0</v>
      </c>
      <c r="AN455" s="198">
        <f>LOOKUP(AN$2,'Depreciation Schedules'!$A$3:$A$42,'Depreciation Schedules'!$F$3:$F$42)</f>
        <v>0</v>
      </c>
      <c r="AO455" s="198">
        <f>LOOKUP(AO$2,'Depreciation Schedules'!$A$3:$A$42,'Depreciation Schedules'!$F$3:$F$42)</f>
        <v>0</v>
      </c>
      <c r="AP455" s="198">
        <f>LOOKUP(AP$2,'Depreciation Schedules'!$A$3:$A$42,'Depreciation Schedules'!$F$3:$F$42)</f>
        <v>0</v>
      </c>
    </row>
    <row r="456" spans="1:42" x14ac:dyDescent="0.2">
      <c r="A456" s="188" t="str">
        <f t="shared" si="945"/>
        <v>39-yr SL</v>
      </c>
      <c r="B456" s="200">
        <f t="shared" si="946"/>
        <v>1.0000000000000004</v>
      </c>
      <c r="C456" s="198">
        <f>LOOKUP(C$2,'Depreciation Schedules'!$A$3:$A$42,'Depreciation Schedules'!$G$3:$G$42)</f>
        <v>1.2820512820512799E-2</v>
      </c>
      <c r="D456" s="198">
        <f>LOOKUP(D$2,'Depreciation Schedules'!$A$3:$A$42,'Depreciation Schedules'!$G$3:$G$42)</f>
        <v>2.564102564102564E-2</v>
      </c>
      <c r="E456" s="198">
        <f>LOOKUP(E$2,'Depreciation Schedules'!$A$3:$A$42,'Depreciation Schedules'!$G$3:$G$42)</f>
        <v>2.564102564102564E-2</v>
      </c>
      <c r="F456" s="198">
        <f>LOOKUP(F$2,'Depreciation Schedules'!$A$3:$A$42,'Depreciation Schedules'!$G$3:$G$42)</f>
        <v>2.564102564102564E-2</v>
      </c>
      <c r="G456" s="198">
        <f>LOOKUP(G$2,'Depreciation Schedules'!$A$3:$A$42,'Depreciation Schedules'!$G$3:$G$42)</f>
        <v>2.564102564102564E-2</v>
      </c>
      <c r="H456" s="198">
        <f>LOOKUP(H$2,'Depreciation Schedules'!$A$3:$A$42,'Depreciation Schedules'!$G$3:$G$42)</f>
        <v>2.564102564102564E-2</v>
      </c>
      <c r="I456" s="198">
        <f>LOOKUP(I$2,'Depreciation Schedules'!$A$3:$A$42,'Depreciation Schedules'!$G$3:$G$42)</f>
        <v>2.564102564102564E-2</v>
      </c>
      <c r="J456" s="198">
        <f>LOOKUP(J$2,'Depreciation Schedules'!$A$3:$A$42,'Depreciation Schedules'!$G$3:$G$42)</f>
        <v>2.564102564102564E-2</v>
      </c>
      <c r="K456" s="198">
        <f>LOOKUP(K$2,'Depreciation Schedules'!$A$3:$A$42,'Depreciation Schedules'!$G$3:$G$42)</f>
        <v>2.564102564102564E-2</v>
      </c>
      <c r="L456" s="198">
        <f>LOOKUP(L$2,'Depreciation Schedules'!$A$3:$A$42,'Depreciation Schedules'!$G$3:$G$42)</f>
        <v>2.564102564102564E-2</v>
      </c>
      <c r="M456" s="198">
        <f>LOOKUP(M$2,'Depreciation Schedules'!$A$3:$A$42,'Depreciation Schedules'!$G$3:$G$42)</f>
        <v>2.564102564102564E-2</v>
      </c>
      <c r="N456" s="198">
        <f>LOOKUP(N$2,'Depreciation Schedules'!$A$3:$A$42,'Depreciation Schedules'!$G$3:$G$42)</f>
        <v>2.564102564102564E-2</v>
      </c>
      <c r="O456" s="198">
        <f>LOOKUP(O$2,'Depreciation Schedules'!$A$3:$A$42,'Depreciation Schedules'!$G$3:$G$42)</f>
        <v>2.564102564102564E-2</v>
      </c>
      <c r="P456" s="198">
        <f>LOOKUP(P$2,'Depreciation Schedules'!$A$3:$A$42,'Depreciation Schedules'!$G$3:$G$42)</f>
        <v>2.564102564102564E-2</v>
      </c>
      <c r="Q456" s="198">
        <f>LOOKUP(Q$2,'Depreciation Schedules'!$A$3:$A$42,'Depreciation Schedules'!$G$3:$G$42)</f>
        <v>2.564102564102564E-2</v>
      </c>
      <c r="R456" s="198">
        <f>LOOKUP(R$2,'Depreciation Schedules'!$A$3:$A$42,'Depreciation Schedules'!$G$3:$G$42)</f>
        <v>2.564102564102564E-2</v>
      </c>
      <c r="S456" s="198">
        <f>LOOKUP(S$2,'Depreciation Schedules'!$A$3:$A$42,'Depreciation Schedules'!$G$3:$G$42)</f>
        <v>2.564102564102564E-2</v>
      </c>
      <c r="T456" s="198">
        <f>LOOKUP(T$2,'Depreciation Schedules'!$A$3:$A$42,'Depreciation Schedules'!$G$3:$G$42)</f>
        <v>2.564102564102564E-2</v>
      </c>
      <c r="U456" s="198">
        <f>LOOKUP(U$2,'Depreciation Schedules'!$A$3:$A$42,'Depreciation Schedules'!$G$3:$G$42)</f>
        <v>2.564102564102564E-2</v>
      </c>
      <c r="V456" s="198">
        <f>LOOKUP(V$2,'Depreciation Schedules'!$A$3:$A$42,'Depreciation Schedules'!$G$3:$G$42)</f>
        <v>2.564102564102564E-2</v>
      </c>
      <c r="W456" s="198">
        <f>LOOKUP(W$2,'Depreciation Schedules'!$A$3:$A$42,'Depreciation Schedules'!$G$3:$G$42)</f>
        <v>2.564102564102564E-2</v>
      </c>
      <c r="X456" s="198">
        <f>LOOKUP(X$2,'Depreciation Schedules'!$A$3:$A$42,'Depreciation Schedules'!$G$3:$G$42)</f>
        <v>2.564102564102564E-2</v>
      </c>
      <c r="Y456" s="198">
        <f>LOOKUP(Y$2,'Depreciation Schedules'!$A$3:$A$42,'Depreciation Schedules'!$G$3:$G$42)</f>
        <v>2.564102564102564E-2</v>
      </c>
      <c r="Z456" s="198">
        <f>LOOKUP(Z$2,'Depreciation Schedules'!$A$3:$A$42,'Depreciation Schedules'!$G$3:$G$42)</f>
        <v>2.564102564102564E-2</v>
      </c>
      <c r="AA456" s="198">
        <f>LOOKUP(AA$2,'Depreciation Schedules'!$A$3:$A$42,'Depreciation Schedules'!$G$3:$G$42)</f>
        <v>2.564102564102564E-2</v>
      </c>
      <c r="AB456" s="198">
        <f>LOOKUP(AB$2,'Depreciation Schedules'!$A$3:$A$42,'Depreciation Schedules'!$G$3:$G$42)</f>
        <v>2.564102564102564E-2</v>
      </c>
      <c r="AC456" s="198">
        <f>LOOKUP(AC$2,'Depreciation Schedules'!$A$3:$A$42,'Depreciation Schedules'!$G$3:$G$42)</f>
        <v>2.564102564102564E-2</v>
      </c>
      <c r="AD456" s="198">
        <f>LOOKUP(AD$2,'Depreciation Schedules'!$A$3:$A$42,'Depreciation Schedules'!$G$3:$G$42)</f>
        <v>2.564102564102564E-2</v>
      </c>
      <c r="AE456" s="198">
        <f>LOOKUP(AE$2,'Depreciation Schedules'!$A$3:$A$42,'Depreciation Schedules'!$G$3:$G$42)</f>
        <v>2.564102564102564E-2</v>
      </c>
      <c r="AF456" s="198">
        <f>LOOKUP(AF$2,'Depreciation Schedules'!$A$3:$A$42,'Depreciation Schedules'!$G$3:$G$42)</f>
        <v>2.564102564102564E-2</v>
      </c>
      <c r="AG456" s="198">
        <f>LOOKUP(AG$2,'Depreciation Schedules'!$A$3:$A$42,'Depreciation Schedules'!$G$3:$G$42)</f>
        <v>2.564102564102564E-2</v>
      </c>
      <c r="AH456" s="198">
        <f>LOOKUP(AH$2,'Depreciation Schedules'!$A$3:$A$42,'Depreciation Schedules'!$G$3:$G$42)</f>
        <v>2.564102564102564E-2</v>
      </c>
      <c r="AI456" s="198">
        <f>LOOKUP(AI$2,'Depreciation Schedules'!$A$3:$A$42,'Depreciation Schedules'!$G$3:$G$42)</f>
        <v>2.564102564102564E-2</v>
      </c>
      <c r="AJ456" s="198">
        <f>LOOKUP(AJ$2,'Depreciation Schedules'!$A$3:$A$42,'Depreciation Schedules'!$G$3:$G$42)</f>
        <v>2.564102564102564E-2</v>
      </c>
      <c r="AK456" s="198">
        <f>LOOKUP(AK$2,'Depreciation Schedules'!$A$3:$A$42,'Depreciation Schedules'!$G$3:$G$42)</f>
        <v>2.564102564102564E-2</v>
      </c>
      <c r="AL456" s="198">
        <f>LOOKUP(AL$2,'Depreciation Schedules'!$A$3:$A$42,'Depreciation Schedules'!$G$3:$G$42)</f>
        <v>2.564102564102564E-2</v>
      </c>
      <c r="AM456" s="198">
        <f>LOOKUP(AM$2,'Depreciation Schedules'!$A$3:$A$42,'Depreciation Schedules'!$G$3:$G$42)</f>
        <v>2.564102564102564E-2</v>
      </c>
      <c r="AN456" s="198">
        <f>LOOKUP(AN$2,'Depreciation Schedules'!$A$3:$A$42,'Depreciation Schedules'!$G$3:$G$42)</f>
        <v>2.564102564102564E-2</v>
      </c>
      <c r="AO456" s="198">
        <f>LOOKUP(AO$2,'Depreciation Schedules'!$A$3:$A$42,'Depreciation Schedules'!$G$3:$G$42)</f>
        <v>2.564102564102564E-2</v>
      </c>
      <c r="AP456" s="198">
        <f>LOOKUP(AP$2,'Depreciation Schedules'!$A$3:$A$42,'Depreciation Schedules'!$G$3:$G$42)</f>
        <v>1.2820512820512799E-2</v>
      </c>
    </row>
    <row r="457" spans="1:42" x14ac:dyDescent="0.2">
      <c r="A457" s="234" t="s">
        <v>34</v>
      </c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</row>
    <row r="458" spans="1:42" x14ac:dyDescent="0.2">
      <c r="A458" s="188" t="str">
        <f>A451</f>
        <v>5-yr MACRS</v>
      </c>
      <c r="B458" s="201">
        <f>SUM(C458:AP458)</f>
        <v>34299208.571964659</v>
      </c>
      <c r="C458" s="169">
        <f t="shared" ref="C458:AP458" si="947">C451*$Q418</f>
        <v>6859841.7143929303</v>
      </c>
      <c r="D458" s="169">
        <f t="shared" si="947"/>
        <v>10975746.743028689</v>
      </c>
      <c r="E458" s="169">
        <f t="shared" si="947"/>
        <v>6585448.0458172131</v>
      </c>
      <c r="F458" s="169">
        <f t="shared" si="947"/>
        <v>3951268.8274903279</v>
      </c>
      <c r="G458" s="169">
        <f t="shared" si="947"/>
        <v>3951268.8274903279</v>
      </c>
      <c r="H458" s="169">
        <f t="shared" si="947"/>
        <v>1975634.4137451639</v>
      </c>
      <c r="I458" s="169">
        <f t="shared" si="947"/>
        <v>0</v>
      </c>
      <c r="J458" s="169">
        <f t="shared" si="947"/>
        <v>0</v>
      </c>
      <c r="K458" s="169">
        <f t="shared" si="947"/>
        <v>0</v>
      </c>
      <c r="L458" s="169">
        <f t="shared" si="947"/>
        <v>0</v>
      </c>
      <c r="M458" s="169">
        <f t="shared" si="947"/>
        <v>0</v>
      </c>
      <c r="N458" s="169">
        <f t="shared" si="947"/>
        <v>0</v>
      </c>
      <c r="O458" s="169">
        <f t="shared" si="947"/>
        <v>0</v>
      </c>
      <c r="P458" s="169">
        <f t="shared" si="947"/>
        <v>0</v>
      </c>
      <c r="Q458" s="169">
        <f t="shared" si="947"/>
        <v>0</v>
      </c>
      <c r="R458" s="169">
        <f t="shared" si="947"/>
        <v>0</v>
      </c>
      <c r="S458" s="169">
        <f t="shared" si="947"/>
        <v>0</v>
      </c>
      <c r="T458" s="169">
        <f t="shared" si="947"/>
        <v>0</v>
      </c>
      <c r="U458" s="169">
        <f t="shared" si="947"/>
        <v>0</v>
      </c>
      <c r="V458" s="169">
        <f t="shared" si="947"/>
        <v>0</v>
      </c>
      <c r="W458" s="169">
        <f t="shared" si="947"/>
        <v>0</v>
      </c>
      <c r="X458" s="169">
        <f t="shared" si="947"/>
        <v>0</v>
      </c>
      <c r="Y458" s="169">
        <f t="shared" si="947"/>
        <v>0</v>
      </c>
      <c r="Z458" s="169">
        <f t="shared" si="947"/>
        <v>0</v>
      </c>
      <c r="AA458" s="169">
        <f t="shared" si="947"/>
        <v>0</v>
      </c>
      <c r="AB458" s="169">
        <f t="shared" si="947"/>
        <v>0</v>
      </c>
      <c r="AC458" s="169">
        <f t="shared" si="947"/>
        <v>0</v>
      </c>
      <c r="AD458" s="169">
        <f t="shared" si="947"/>
        <v>0</v>
      </c>
      <c r="AE458" s="169">
        <f t="shared" si="947"/>
        <v>0</v>
      </c>
      <c r="AF458" s="169">
        <f t="shared" si="947"/>
        <v>0</v>
      </c>
      <c r="AG458" s="169">
        <f t="shared" si="947"/>
        <v>0</v>
      </c>
      <c r="AH458" s="169">
        <f t="shared" si="947"/>
        <v>0</v>
      </c>
      <c r="AI458" s="169">
        <f t="shared" si="947"/>
        <v>0</v>
      </c>
      <c r="AJ458" s="169">
        <f t="shared" si="947"/>
        <v>0</v>
      </c>
      <c r="AK458" s="169">
        <f t="shared" si="947"/>
        <v>0</v>
      </c>
      <c r="AL458" s="169">
        <f t="shared" si="947"/>
        <v>0</v>
      </c>
      <c r="AM458" s="169">
        <f t="shared" si="947"/>
        <v>0</v>
      </c>
      <c r="AN458" s="169">
        <f t="shared" si="947"/>
        <v>0</v>
      </c>
      <c r="AO458" s="169">
        <f t="shared" si="947"/>
        <v>0</v>
      </c>
      <c r="AP458" s="169">
        <f t="shared" si="947"/>
        <v>0</v>
      </c>
    </row>
    <row r="459" spans="1:42" x14ac:dyDescent="0.2">
      <c r="A459" s="188" t="str">
        <f t="shared" ref="A459:A463" si="948">A452</f>
        <v>15-yr MACRS</v>
      </c>
      <c r="B459" s="136">
        <f t="shared" ref="B459:B465" si="949">SUM(C459:AP459)</f>
        <v>680090.05760670174</v>
      </c>
      <c r="C459" s="169">
        <f t="shared" ref="C459:AP459" si="950">C452*$Q419</f>
        <v>34004.50288033508</v>
      </c>
      <c r="D459" s="169">
        <f t="shared" si="950"/>
        <v>64608.555472636654</v>
      </c>
      <c r="E459" s="169">
        <f t="shared" si="950"/>
        <v>58147.699925372995</v>
      </c>
      <c r="F459" s="169">
        <f t="shared" si="950"/>
        <v>52366.934435716023</v>
      </c>
      <c r="G459" s="169">
        <f t="shared" si="950"/>
        <v>47130.24099214442</v>
      </c>
      <c r="H459" s="169">
        <f t="shared" si="950"/>
        <v>42369.610588897514</v>
      </c>
      <c r="I459" s="169">
        <f t="shared" si="950"/>
        <v>40125.313398795392</v>
      </c>
      <c r="J459" s="169">
        <f t="shared" si="950"/>
        <v>40125.313398795392</v>
      </c>
      <c r="K459" s="169">
        <f t="shared" si="950"/>
        <v>40193.322404556064</v>
      </c>
      <c r="L459" s="169">
        <f t="shared" si="950"/>
        <v>40125.313398795392</v>
      </c>
      <c r="M459" s="169">
        <f t="shared" si="950"/>
        <v>40193.322404556064</v>
      </c>
      <c r="N459" s="169">
        <f t="shared" si="950"/>
        <v>40125.313398795392</v>
      </c>
      <c r="O459" s="169">
        <f t="shared" si="950"/>
        <v>40193.322404556064</v>
      </c>
      <c r="P459" s="169">
        <f t="shared" si="950"/>
        <v>40125.313398795392</v>
      </c>
      <c r="Q459" s="169">
        <f t="shared" si="950"/>
        <v>40193.322404556064</v>
      </c>
      <c r="R459" s="169">
        <f t="shared" si="950"/>
        <v>20062.656699397696</v>
      </c>
      <c r="S459" s="169">
        <f t="shared" si="950"/>
        <v>0</v>
      </c>
      <c r="T459" s="169">
        <f t="shared" si="950"/>
        <v>0</v>
      </c>
      <c r="U459" s="169">
        <f t="shared" si="950"/>
        <v>0</v>
      </c>
      <c r="V459" s="169">
        <f t="shared" si="950"/>
        <v>0</v>
      </c>
      <c r="W459" s="169">
        <f t="shared" si="950"/>
        <v>0</v>
      </c>
      <c r="X459" s="169">
        <f t="shared" si="950"/>
        <v>0</v>
      </c>
      <c r="Y459" s="169">
        <f t="shared" si="950"/>
        <v>0</v>
      </c>
      <c r="Z459" s="169">
        <f t="shared" si="950"/>
        <v>0</v>
      </c>
      <c r="AA459" s="169">
        <f t="shared" si="950"/>
        <v>0</v>
      </c>
      <c r="AB459" s="169">
        <f t="shared" si="950"/>
        <v>0</v>
      </c>
      <c r="AC459" s="169">
        <f t="shared" si="950"/>
        <v>0</v>
      </c>
      <c r="AD459" s="169">
        <f t="shared" si="950"/>
        <v>0</v>
      </c>
      <c r="AE459" s="169">
        <f t="shared" si="950"/>
        <v>0</v>
      </c>
      <c r="AF459" s="169">
        <f t="shared" si="950"/>
        <v>0</v>
      </c>
      <c r="AG459" s="169">
        <f t="shared" si="950"/>
        <v>0</v>
      </c>
      <c r="AH459" s="169">
        <f t="shared" si="950"/>
        <v>0</v>
      </c>
      <c r="AI459" s="169">
        <f t="shared" si="950"/>
        <v>0</v>
      </c>
      <c r="AJ459" s="169">
        <f t="shared" si="950"/>
        <v>0</v>
      </c>
      <c r="AK459" s="169">
        <f t="shared" si="950"/>
        <v>0</v>
      </c>
      <c r="AL459" s="169">
        <f t="shared" si="950"/>
        <v>0</v>
      </c>
      <c r="AM459" s="169">
        <f t="shared" si="950"/>
        <v>0</v>
      </c>
      <c r="AN459" s="169">
        <f t="shared" si="950"/>
        <v>0</v>
      </c>
      <c r="AO459" s="169">
        <f t="shared" si="950"/>
        <v>0</v>
      </c>
      <c r="AP459" s="169">
        <f t="shared" si="950"/>
        <v>0</v>
      </c>
    </row>
    <row r="460" spans="1:42" x14ac:dyDescent="0.2">
      <c r="A460" s="188" t="str">
        <f t="shared" si="948"/>
        <v>5-yr SL</v>
      </c>
      <c r="B460" s="136">
        <f t="shared" si="949"/>
        <v>0</v>
      </c>
      <c r="C460" s="169">
        <f t="shared" ref="C460:AP460" si="951">C453*$Q420</f>
        <v>0</v>
      </c>
      <c r="D460" s="169">
        <f t="shared" si="951"/>
        <v>0</v>
      </c>
      <c r="E460" s="169">
        <f t="shared" si="951"/>
        <v>0</v>
      </c>
      <c r="F460" s="169">
        <f t="shared" si="951"/>
        <v>0</v>
      </c>
      <c r="G460" s="169">
        <f t="shared" si="951"/>
        <v>0</v>
      </c>
      <c r="H460" s="169">
        <f t="shared" si="951"/>
        <v>0</v>
      </c>
      <c r="I460" s="169">
        <f t="shared" si="951"/>
        <v>0</v>
      </c>
      <c r="J460" s="169">
        <f t="shared" si="951"/>
        <v>0</v>
      </c>
      <c r="K460" s="169">
        <f t="shared" si="951"/>
        <v>0</v>
      </c>
      <c r="L460" s="169">
        <f t="shared" si="951"/>
        <v>0</v>
      </c>
      <c r="M460" s="169">
        <f t="shared" si="951"/>
        <v>0</v>
      </c>
      <c r="N460" s="169">
        <f t="shared" si="951"/>
        <v>0</v>
      </c>
      <c r="O460" s="169">
        <f t="shared" si="951"/>
        <v>0</v>
      </c>
      <c r="P460" s="169">
        <f t="shared" si="951"/>
        <v>0</v>
      </c>
      <c r="Q460" s="169">
        <f t="shared" si="951"/>
        <v>0</v>
      </c>
      <c r="R460" s="169">
        <f t="shared" si="951"/>
        <v>0</v>
      </c>
      <c r="S460" s="169">
        <f t="shared" si="951"/>
        <v>0</v>
      </c>
      <c r="T460" s="169">
        <f t="shared" si="951"/>
        <v>0</v>
      </c>
      <c r="U460" s="169">
        <f t="shared" si="951"/>
        <v>0</v>
      </c>
      <c r="V460" s="169">
        <f t="shared" si="951"/>
        <v>0</v>
      </c>
      <c r="W460" s="169">
        <f t="shared" si="951"/>
        <v>0</v>
      </c>
      <c r="X460" s="169">
        <f t="shared" si="951"/>
        <v>0</v>
      </c>
      <c r="Y460" s="169">
        <f t="shared" si="951"/>
        <v>0</v>
      </c>
      <c r="Z460" s="169">
        <f t="shared" si="951"/>
        <v>0</v>
      </c>
      <c r="AA460" s="169">
        <f t="shared" si="951"/>
        <v>0</v>
      </c>
      <c r="AB460" s="169">
        <f t="shared" si="951"/>
        <v>0</v>
      </c>
      <c r="AC460" s="169">
        <f t="shared" si="951"/>
        <v>0</v>
      </c>
      <c r="AD460" s="169">
        <f t="shared" si="951"/>
        <v>0</v>
      </c>
      <c r="AE460" s="169">
        <f t="shared" si="951"/>
        <v>0</v>
      </c>
      <c r="AF460" s="169">
        <f t="shared" si="951"/>
        <v>0</v>
      </c>
      <c r="AG460" s="169">
        <f t="shared" si="951"/>
        <v>0</v>
      </c>
      <c r="AH460" s="169">
        <f t="shared" si="951"/>
        <v>0</v>
      </c>
      <c r="AI460" s="169">
        <f t="shared" si="951"/>
        <v>0</v>
      </c>
      <c r="AJ460" s="169">
        <f t="shared" si="951"/>
        <v>0</v>
      </c>
      <c r="AK460" s="169">
        <f t="shared" si="951"/>
        <v>0</v>
      </c>
      <c r="AL460" s="169">
        <f t="shared" si="951"/>
        <v>0</v>
      </c>
      <c r="AM460" s="169">
        <f t="shared" si="951"/>
        <v>0</v>
      </c>
      <c r="AN460" s="169">
        <f t="shared" si="951"/>
        <v>0</v>
      </c>
      <c r="AO460" s="169">
        <f t="shared" si="951"/>
        <v>0</v>
      </c>
      <c r="AP460" s="169">
        <f t="shared" si="951"/>
        <v>0</v>
      </c>
    </row>
    <row r="461" spans="1:42" x14ac:dyDescent="0.2">
      <c r="A461" s="188" t="str">
        <f t="shared" si="948"/>
        <v>15-yr SL</v>
      </c>
      <c r="B461" s="136">
        <f t="shared" si="949"/>
        <v>1360180.1152134032</v>
      </c>
      <c r="C461" s="169">
        <f t="shared" ref="C461:AP461" si="952">C454*$Q421</f>
        <v>45293.99783660633</v>
      </c>
      <c r="D461" s="169">
        <f t="shared" si="952"/>
        <v>90724.013684733989</v>
      </c>
      <c r="E461" s="169">
        <f t="shared" si="952"/>
        <v>90724.013684733989</v>
      </c>
      <c r="F461" s="169">
        <f t="shared" si="952"/>
        <v>90724.013684733989</v>
      </c>
      <c r="G461" s="169">
        <f t="shared" si="952"/>
        <v>90724.013684733989</v>
      </c>
      <c r="H461" s="169">
        <f t="shared" si="952"/>
        <v>90724.013684733989</v>
      </c>
      <c r="I461" s="169">
        <f t="shared" si="952"/>
        <v>90724.013684733989</v>
      </c>
      <c r="J461" s="169">
        <f t="shared" si="952"/>
        <v>90587.995673212659</v>
      </c>
      <c r="K461" s="169">
        <f t="shared" si="952"/>
        <v>90724.013684733989</v>
      </c>
      <c r="L461" s="169">
        <f t="shared" si="952"/>
        <v>90587.995673212659</v>
      </c>
      <c r="M461" s="169">
        <f t="shared" si="952"/>
        <v>90724.013684733989</v>
      </c>
      <c r="N461" s="169">
        <f t="shared" si="952"/>
        <v>90587.995673212659</v>
      </c>
      <c r="O461" s="169">
        <f t="shared" si="952"/>
        <v>90724.013684733989</v>
      </c>
      <c r="P461" s="169">
        <f t="shared" si="952"/>
        <v>90587.995673212659</v>
      </c>
      <c r="Q461" s="169">
        <f t="shared" si="952"/>
        <v>90724.013684733989</v>
      </c>
      <c r="R461" s="169">
        <f t="shared" si="952"/>
        <v>45293.99783660633</v>
      </c>
      <c r="S461" s="169">
        <f t="shared" si="952"/>
        <v>0</v>
      </c>
      <c r="T461" s="169">
        <f t="shared" si="952"/>
        <v>0</v>
      </c>
      <c r="U461" s="169">
        <f t="shared" si="952"/>
        <v>0</v>
      </c>
      <c r="V461" s="169">
        <f t="shared" si="952"/>
        <v>0</v>
      </c>
      <c r="W461" s="169">
        <f t="shared" si="952"/>
        <v>0</v>
      </c>
      <c r="X461" s="169">
        <f t="shared" si="952"/>
        <v>0</v>
      </c>
      <c r="Y461" s="169">
        <f t="shared" si="952"/>
        <v>0</v>
      </c>
      <c r="Z461" s="169">
        <f t="shared" si="952"/>
        <v>0</v>
      </c>
      <c r="AA461" s="169">
        <f t="shared" si="952"/>
        <v>0</v>
      </c>
      <c r="AB461" s="169">
        <f t="shared" si="952"/>
        <v>0</v>
      </c>
      <c r="AC461" s="169">
        <f t="shared" si="952"/>
        <v>0</v>
      </c>
      <c r="AD461" s="169">
        <f t="shared" si="952"/>
        <v>0</v>
      </c>
      <c r="AE461" s="169">
        <f t="shared" si="952"/>
        <v>0</v>
      </c>
      <c r="AF461" s="169">
        <f t="shared" si="952"/>
        <v>0</v>
      </c>
      <c r="AG461" s="169">
        <f t="shared" si="952"/>
        <v>0</v>
      </c>
      <c r="AH461" s="169">
        <f t="shared" si="952"/>
        <v>0</v>
      </c>
      <c r="AI461" s="169">
        <f t="shared" si="952"/>
        <v>0</v>
      </c>
      <c r="AJ461" s="169">
        <f t="shared" si="952"/>
        <v>0</v>
      </c>
      <c r="AK461" s="169">
        <f t="shared" si="952"/>
        <v>0</v>
      </c>
      <c r="AL461" s="169">
        <f t="shared" si="952"/>
        <v>0</v>
      </c>
      <c r="AM461" s="169">
        <f t="shared" si="952"/>
        <v>0</v>
      </c>
      <c r="AN461" s="169">
        <f t="shared" si="952"/>
        <v>0</v>
      </c>
      <c r="AO461" s="169">
        <f t="shared" si="952"/>
        <v>0</v>
      </c>
      <c r="AP461" s="169">
        <f t="shared" si="952"/>
        <v>0</v>
      </c>
    </row>
    <row r="462" spans="1:42" x14ac:dyDescent="0.2">
      <c r="A462" s="188" t="str">
        <f t="shared" si="948"/>
        <v>20-yr SL</v>
      </c>
      <c r="B462" s="136">
        <f t="shared" si="949"/>
        <v>1360180.1152134032</v>
      </c>
      <c r="C462" s="169">
        <f t="shared" ref="C462:AP462" si="953">C455*$Q422</f>
        <v>34004.50288033508</v>
      </c>
      <c r="D462" s="169">
        <f t="shared" si="953"/>
        <v>68009.005760670159</v>
      </c>
      <c r="E462" s="169">
        <f t="shared" si="953"/>
        <v>68009.005760670159</v>
      </c>
      <c r="F462" s="169">
        <f t="shared" si="953"/>
        <v>68009.005760670159</v>
      </c>
      <c r="G462" s="169">
        <f t="shared" si="953"/>
        <v>68009.005760670159</v>
      </c>
      <c r="H462" s="169">
        <f t="shared" si="953"/>
        <v>68009.005760670159</v>
      </c>
      <c r="I462" s="169">
        <f t="shared" si="953"/>
        <v>68009.005760670159</v>
      </c>
      <c r="J462" s="169">
        <f t="shared" si="953"/>
        <v>68009.005760670159</v>
      </c>
      <c r="K462" s="169">
        <f t="shared" si="953"/>
        <v>68009.005760670159</v>
      </c>
      <c r="L462" s="169">
        <f t="shared" si="953"/>
        <v>68009.005760670159</v>
      </c>
      <c r="M462" s="169">
        <f t="shared" si="953"/>
        <v>68009.005760670159</v>
      </c>
      <c r="N462" s="169">
        <f t="shared" si="953"/>
        <v>68009.005760670159</v>
      </c>
      <c r="O462" s="169">
        <f t="shared" si="953"/>
        <v>68009.005760670159</v>
      </c>
      <c r="P462" s="169">
        <f t="shared" si="953"/>
        <v>68009.005760670159</v>
      </c>
      <c r="Q462" s="169">
        <f t="shared" si="953"/>
        <v>68009.005760670159</v>
      </c>
      <c r="R462" s="169">
        <f t="shared" si="953"/>
        <v>68009.005760670159</v>
      </c>
      <c r="S462" s="169">
        <f t="shared" si="953"/>
        <v>68009.005760670159</v>
      </c>
      <c r="T462" s="169">
        <f t="shared" si="953"/>
        <v>68009.005760670159</v>
      </c>
      <c r="U462" s="169">
        <f t="shared" si="953"/>
        <v>68009.005760670159</v>
      </c>
      <c r="V462" s="169">
        <f t="shared" si="953"/>
        <v>68009.005760670159</v>
      </c>
      <c r="W462" s="169">
        <f t="shared" si="953"/>
        <v>34004.50288033508</v>
      </c>
      <c r="X462" s="169">
        <f t="shared" si="953"/>
        <v>0</v>
      </c>
      <c r="Y462" s="169">
        <f t="shared" si="953"/>
        <v>0</v>
      </c>
      <c r="Z462" s="169">
        <f t="shared" si="953"/>
        <v>0</v>
      </c>
      <c r="AA462" s="169">
        <f t="shared" si="953"/>
        <v>0</v>
      </c>
      <c r="AB462" s="169">
        <f t="shared" si="953"/>
        <v>0</v>
      </c>
      <c r="AC462" s="169">
        <f t="shared" si="953"/>
        <v>0</v>
      </c>
      <c r="AD462" s="169">
        <f t="shared" si="953"/>
        <v>0</v>
      </c>
      <c r="AE462" s="169">
        <f t="shared" si="953"/>
        <v>0</v>
      </c>
      <c r="AF462" s="169">
        <f t="shared" si="953"/>
        <v>0</v>
      </c>
      <c r="AG462" s="169">
        <f t="shared" si="953"/>
        <v>0</v>
      </c>
      <c r="AH462" s="169">
        <f t="shared" si="953"/>
        <v>0</v>
      </c>
      <c r="AI462" s="169">
        <f t="shared" si="953"/>
        <v>0</v>
      </c>
      <c r="AJ462" s="169">
        <f t="shared" si="953"/>
        <v>0</v>
      </c>
      <c r="AK462" s="169">
        <f t="shared" si="953"/>
        <v>0</v>
      </c>
      <c r="AL462" s="169">
        <f t="shared" si="953"/>
        <v>0</v>
      </c>
      <c r="AM462" s="169">
        <f t="shared" si="953"/>
        <v>0</v>
      </c>
      <c r="AN462" s="169">
        <f t="shared" si="953"/>
        <v>0</v>
      </c>
      <c r="AO462" s="169">
        <f t="shared" si="953"/>
        <v>0</v>
      </c>
      <c r="AP462" s="169">
        <f t="shared" si="953"/>
        <v>0</v>
      </c>
    </row>
    <row r="463" spans="1:42" x14ac:dyDescent="0.2">
      <c r="A463" s="188" t="str">
        <f t="shared" si="948"/>
        <v>39-yr SL</v>
      </c>
      <c r="B463" s="136">
        <f t="shared" si="949"/>
        <v>226696.68586890056</v>
      </c>
      <c r="C463" s="169">
        <f t="shared" ref="C463:AP463" si="954">C456*$Q423</f>
        <v>2906.3677675500021</v>
      </c>
      <c r="D463" s="169">
        <f t="shared" si="954"/>
        <v>5812.7355351000133</v>
      </c>
      <c r="E463" s="169">
        <f t="shared" si="954"/>
        <v>5812.7355351000133</v>
      </c>
      <c r="F463" s="169">
        <f t="shared" si="954"/>
        <v>5812.7355351000133</v>
      </c>
      <c r="G463" s="169">
        <f t="shared" si="954"/>
        <v>5812.7355351000133</v>
      </c>
      <c r="H463" s="169">
        <f t="shared" si="954"/>
        <v>5812.7355351000133</v>
      </c>
      <c r="I463" s="169">
        <f t="shared" si="954"/>
        <v>5812.7355351000133</v>
      </c>
      <c r="J463" s="169">
        <f t="shared" si="954"/>
        <v>5812.7355351000133</v>
      </c>
      <c r="K463" s="169">
        <f t="shared" si="954"/>
        <v>5812.7355351000133</v>
      </c>
      <c r="L463" s="169">
        <f t="shared" si="954"/>
        <v>5812.7355351000133</v>
      </c>
      <c r="M463" s="169">
        <f t="shared" si="954"/>
        <v>5812.7355351000133</v>
      </c>
      <c r="N463" s="169">
        <f t="shared" si="954"/>
        <v>5812.7355351000133</v>
      </c>
      <c r="O463" s="169">
        <f t="shared" si="954"/>
        <v>5812.7355351000133</v>
      </c>
      <c r="P463" s="169">
        <f t="shared" si="954"/>
        <v>5812.7355351000133</v>
      </c>
      <c r="Q463" s="169">
        <f t="shared" si="954"/>
        <v>5812.7355351000133</v>
      </c>
      <c r="R463" s="169">
        <f t="shared" si="954"/>
        <v>5812.7355351000133</v>
      </c>
      <c r="S463" s="169">
        <f t="shared" si="954"/>
        <v>5812.7355351000133</v>
      </c>
      <c r="T463" s="169">
        <f t="shared" si="954"/>
        <v>5812.7355351000133</v>
      </c>
      <c r="U463" s="169">
        <f t="shared" si="954"/>
        <v>5812.7355351000133</v>
      </c>
      <c r="V463" s="169">
        <f t="shared" si="954"/>
        <v>5812.7355351000133</v>
      </c>
      <c r="W463" s="169">
        <f t="shared" si="954"/>
        <v>5812.7355351000133</v>
      </c>
      <c r="X463" s="169">
        <f t="shared" si="954"/>
        <v>5812.7355351000133</v>
      </c>
      <c r="Y463" s="169">
        <f t="shared" si="954"/>
        <v>5812.7355351000133</v>
      </c>
      <c r="Z463" s="169">
        <f t="shared" si="954"/>
        <v>5812.7355351000133</v>
      </c>
      <c r="AA463" s="169">
        <f t="shared" si="954"/>
        <v>5812.7355351000133</v>
      </c>
      <c r="AB463" s="169">
        <f t="shared" si="954"/>
        <v>5812.7355351000133</v>
      </c>
      <c r="AC463" s="169">
        <f t="shared" si="954"/>
        <v>5812.7355351000133</v>
      </c>
      <c r="AD463" s="169">
        <f t="shared" si="954"/>
        <v>5812.7355351000133</v>
      </c>
      <c r="AE463" s="169">
        <f t="shared" si="954"/>
        <v>5812.7355351000133</v>
      </c>
      <c r="AF463" s="169">
        <f t="shared" si="954"/>
        <v>5812.7355351000133</v>
      </c>
      <c r="AG463" s="169">
        <f t="shared" si="954"/>
        <v>5812.7355351000133</v>
      </c>
      <c r="AH463" s="169">
        <f t="shared" si="954"/>
        <v>5812.7355351000133</v>
      </c>
      <c r="AI463" s="169">
        <f t="shared" si="954"/>
        <v>5812.7355351000133</v>
      </c>
      <c r="AJ463" s="169">
        <f t="shared" si="954"/>
        <v>5812.7355351000133</v>
      </c>
      <c r="AK463" s="169">
        <f t="shared" si="954"/>
        <v>5812.7355351000133</v>
      </c>
      <c r="AL463" s="169">
        <f t="shared" si="954"/>
        <v>5812.7355351000133</v>
      </c>
      <c r="AM463" s="169">
        <f t="shared" si="954"/>
        <v>5812.7355351000133</v>
      </c>
      <c r="AN463" s="169">
        <f t="shared" si="954"/>
        <v>5812.7355351000133</v>
      </c>
      <c r="AO463" s="169">
        <f t="shared" si="954"/>
        <v>5812.7355351000133</v>
      </c>
      <c r="AP463" s="169">
        <f t="shared" si="954"/>
        <v>2906.3677675500021</v>
      </c>
    </row>
    <row r="464" spans="1:42" x14ac:dyDescent="0.2">
      <c r="A464" s="188" t="s">
        <v>268</v>
      </c>
      <c r="B464" s="195">
        <f t="shared" si="949"/>
        <v>0</v>
      </c>
      <c r="C464" s="170">
        <f>P425</f>
        <v>0</v>
      </c>
      <c r="D464" s="170">
        <v>0</v>
      </c>
      <c r="E464" s="170">
        <v>0</v>
      </c>
      <c r="F464" s="170">
        <v>0</v>
      </c>
      <c r="G464" s="170">
        <v>0</v>
      </c>
      <c r="H464" s="170">
        <v>0</v>
      </c>
      <c r="I464" s="170">
        <v>0</v>
      </c>
      <c r="J464" s="170">
        <v>0</v>
      </c>
      <c r="K464" s="170">
        <v>0</v>
      </c>
      <c r="L464" s="170">
        <v>0</v>
      </c>
      <c r="M464" s="170">
        <v>0</v>
      </c>
      <c r="N464" s="170">
        <v>0</v>
      </c>
      <c r="O464" s="170">
        <v>0</v>
      </c>
      <c r="P464" s="170">
        <v>0</v>
      </c>
      <c r="Q464" s="170">
        <v>0</v>
      </c>
      <c r="R464" s="170">
        <v>0</v>
      </c>
      <c r="S464" s="170">
        <v>0</v>
      </c>
      <c r="T464" s="170">
        <v>0</v>
      </c>
      <c r="U464" s="170">
        <v>0</v>
      </c>
      <c r="V464" s="170">
        <v>0</v>
      </c>
      <c r="W464" s="170">
        <v>0</v>
      </c>
      <c r="X464" s="170">
        <v>0</v>
      </c>
      <c r="Y464" s="170">
        <v>0</v>
      </c>
      <c r="Z464" s="170">
        <v>0</v>
      </c>
      <c r="AA464" s="170">
        <v>0</v>
      </c>
      <c r="AB464" s="170">
        <v>0</v>
      </c>
      <c r="AC464" s="170">
        <v>0</v>
      </c>
      <c r="AD464" s="170">
        <v>0</v>
      </c>
      <c r="AE464" s="170">
        <v>0</v>
      </c>
      <c r="AF464" s="170">
        <v>0</v>
      </c>
      <c r="AG464" s="170">
        <v>0</v>
      </c>
      <c r="AH464" s="170">
        <v>0</v>
      </c>
      <c r="AI464" s="170">
        <v>0</v>
      </c>
      <c r="AJ464" s="170">
        <v>0</v>
      </c>
      <c r="AK464" s="170">
        <v>0</v>
      </c>
      <c r="AL464" s="170">
        <v>0</v>
      </c>
      <c r="AM464" s="170">
        <v>0</v>
      </c>
      <c r="AN464" s="170">
        <v>0</v>
      </c>
      <c r="AO464" s="170">
        <v>0</v>
      </c>
      <c r="AP464" s="170">
        <v>0</v>
      </c>
    </row>
    <row r="465" spans="1:42" x14ac:dyDescent="0.2">
      <c r="A465" s="187"/>
      <c r="B465" s="195">
        <f t="shared" si="949"/>
        <v>37926355.545867063</v>
      </c>
      <c r="C465" s="169">
        <f>SUM(C458:C464)</f>
        <v>6976051.0857577566</v>
      </c>
      <c r="D465" s="169">
        <f t="shared" ref="D465:AP465" si="955">SUM(D458:D464)</f>
        <v>11204901.05348183</v>
      </c>
      <c r="E465" s="169">
        <f t="shared" si="955"/>
        <v>6808141.50072309</v>
      </c>
      <c r="F465" s="169">
        <f t="shared" si="955"/>
        <v>4168181.5169065478</v>
      </c>
      <c r="G465" s="169">
        <f t="shared" si="955"/>
        <v>4162944.8234629761</v>
      </c>
      <c r="H465" s="169">
        <f t="shared" si="955"/>
        <v>2182549.7793145655</v>
      </c>
      <c r="I465" s="169">
        <f t="shared" si="955"/>
        <v>204671.06837929957</v>
      </c>
      <c r="J465" s="169">
        <f t="shared" si="955"/>
        <v>204535.05036777823</v>
      </c>
      <c r="K465" s="169">
        <f t="shared" si="955"/>
        <v>204739.07738506023</v>
      </c>
      <c r="L465" s="169">
        <f t="shared" si="955"/>
        <v>204535.05036777823</v>
      </c>
      <c r="M465" s="169">
        <f t="shared" si="955"/>
        <v>204739.07738506023</v>
      </c>
      <c r="N465" s="169">
        <f t="shared" si="955"/>
        <v>204535.05036777823</v>
      </c>
      <c r="O465" s="169">
        <f t="shared" si="955"/>
        <v>204739.07738506023</v>
      </c>
      <c r="P465" s="169">
        <f t="shared" si="955"/>
        <v>204535.05036777823</v>
      </c>
      <c r="Q465" s="169">
        <f t="shared" si="955"/>
        <v>204739.07738506023</v>
      </c>
      <c r="R465" s="169">
        <f t="shared" si="955"/>
        <v>139178.39583177419</v>
      </c>
      <c r="S465" s="169">
        <f t="shared" si="955"/>
        <v>73821.741295770174</v>
      </c>
      <c r="T465" s="169">
        <f t="shared" si="955"/>
        <v>73821.741295770174</v>
      </c>
      <c r="U465" s="169">
        <f t="shared" si="955"/>
        <v>73821.741295770174</v>
      </c>
      <c r="V465" s="169">
        <f t="shared" si="955"/>
        <v>73821.741295770174</v>
      </c>
      <c r="W465" s="169">
        <f t="shared" si="955"/>
        <v>39817.238415435095</v>
      </c>
      <c r="X465" s="169">
        <f t="shared" si="955"/>
        <v>5812.7355351000133</v>
      </c>
      <c r="Y465" s="169">
        <f t="shared" si="955"/>
        <v>5812.7355351000133</v>
      </c>
      <c r="Z465" s="169">
        <f t="shared" si="955"/>
        <v>5812.7355351000133</v>
      </c>
      <c r="AA465" s="169">
        <f t="shared" si="955"/>
        <v>5812.7355351000133</v>
      </c>
      <c r="AB465" s="169">
        <f t="shared" si="955"/>
        <v>5812.7355351000133</v>
      </c>
      <c r="AC465" s="169">
        <f t="shared" si="955"/>
        <v>5812.7355351000133</v>
      </c>
      <c r="AD465" s="169">
        <f t="shared" si="955"/>
        <v>5812.7355351000133</v>
      </c>
      <c r="AE465" s="169">
        <f t="shared" si="955"/>
        <v>5812.7355351000133</v>
      </c>
      <c r="AF465" s="169">
        <f t="shared" si="955"/>
        <v>5812.7355351000133</v>
      </c>
      <c r="AG465" s="169">
        <f t="shared" si="955"/>
        <v>5812.7355351000133</v>
      </c>
      <c r="AH465" s="169">
        <f t="shared" si="955"/>
        <v>5812.7355351000133</v>
      </c>
      <c r="AI465" s="169">
        <f t="shared" si="955"/>
        <v>5812.7355351000133</v>
      </c>
      <c r="AJ465" s="169">
        <f t="shared" si="955"/>
        <v>5812.7355351000133</v>
      </c>
      <c r="AK465" s="169">
        <f t="shared" si="955"/>
        <v>5812.7355351000133</v>
      </c>
      <c r="AL465" s="169">
        <f t="shared" si="955"/>
        <v>5812.7355351000133</v>
      </c>
      <c r="AM465" s="169">
        <f t="shared" si="955"/>
        <v>5812.7355351000133</v>
      </c>
      <c r="AN465" s="169">
        <f t="shared" si="955"/>
        <v>5812.7355351000133</v>
      </c>
      <c r="AO465" s="169">
        <f t="shared" si="955"/>
        <v>5812.7355351000133</v>
      </c>
      <c r="AP465" s="169">
        <f t="shared" si="955"/>
        <v>2906.3677675500021</v>
      </c>
    </row>
    <row r="466" spans="1:42" x14ac:dyDescent="0.2">
      <c r="A466" s="187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</row>
    <row r="467" spans="1:42" x14ac:dyDescent="0.2">
      <c r="A467" s="180" t="s">
        <v>191</v>
      </c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</row>
    <row r="468" spans="1:42" x14ac:dyDescent="0.2">
      <c r="A468" s="187" t="s">
        <v>193</v>
      </c>
      <c r="B468" s="202" t="str">
        <f>MMFedTaxTreatment</f>
        <v>5-yr MACRS</v>
      </c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</row>
    <row r="469" spans="1:42" x14ac:dyDescent="0.2">
      <c r="A469" s="187" t="s">
        <v>194</v>
      </c>
      <c r="B469" s="169">
        <f t="shared" ref="B469:AP469" si="956">B2</f>
        <v>0</v>
      </c>
      <c r="C469" s="169">
        <f t="shared" si="956"/>
        <v>1</v>
      </c>
      <c r="D469" s="169">
        <f t="shared" si="956"/>
        <v>2</v>
      </c>
      <c r="E469" s="169">
        <f t="shared" si="956"/>
        <v>3</v>
      </c>
      <c r="F469" s="169">
        <f t="shared" si="956"/>
        <v>4</v>
      </c>
      <c r="G469" s="169">
        <f t="shared" si="956"/>
        <v>5</v>
      </c>
      <c r="H469" s="169">
        <f t="shared" si="956"/>
        <v>6</v>
      </c>
      <c r="I469" s="169">
        <f t="shared" si="956"/>
        <v>7</v>
      </c>
      <c r="J469" s="169">
        <f t="shared" si="956"/>
        <v>8</v>
      </c>
      <c r="K469" s="169">
        <f t="shared" si="956"/>
        <v>9</v>
      </c>
      <c r="L469" s="169">
        <f t="shared" si="956"/>
        <v>10</v>
      </c>
      <c r="M469" s="169">
        <f t="shared" si="956"/>
        <v>11</v>
      </c>
      <c r="N469" s="169">
        <f t="shared" si="956"/>
        <v>12</v>
      </c>
      <c r="O469" s="169">
        <f t="shared" si="956"/>
        <v>13</v>
      </c>
      <c r="P469" s="169">
        <f t="shared" si="956"/>
        <v>14</v>
      </c>
      <c r="Q469" s="169">
        <f t="shared" si="956"/>
        <v>15</v>
      </c>
      <c r="R469" s="169">
        <f t="shared" si="956"/>
        <v>16</v>
      </c>
      <c r="S469" s="169">
        <f t="shared" si="956"/>
        <v>17</v>
      </c>
      <c r="T469" s="169">
        <f t="shared" si="956"/>
        <v>18</v>
      </c>
      <c r="U469" s="169">
        <f t="shared" si="956"/>
        <v>19</v>
      </c>
      <c r="V469" s="169">
        <f t="shared" si="956"/>
        <v>20</v>
      </c>
      <c r="W469" s="169">
        <f t="shared" si="956"/>
        <v>21</v>
      </c>
      <c r="X469" s="169">
        <f t="shared" si="956"/>
        <v>22</v>
      </c>
      <c r="Y469" s="169">
        <f t="shared" si="956"/>
        <v>23</v>
      </c>
      <c r="Z469" s="169">
        <f t="shared" si="956"/>
        <v>24</v>
      </c>
      <c r="AA469" s="169">
        <f t="shared" si="956"/>
        <v>25</v>
      </c>
      <c r="AB469" s="169">
        <f t="shared" si="956"/>
        <v>26</v>
      </c>
      <c r="AC469" s="169">
        <f t="shared" si="956"/>
        <v>27</v>
      </c>
      <c r="AD469" s="169">
        <f t="shared" si="956"/>
        <v>28</v>
      </c>
      <c r="AE469" s="169">
        <f t="shared" si="956"/>
        <v>29</v>
      </c>
      <c r="AF469" s="169">
        <f t="shared" si="956"/>
        <v>30</v>
      </c>
      <c r="AG469" s="169">
        <f t="shared" si="956"/>
        <v>31</v>
      </c>
      <c r="AH469" s="169">
        <f t="shared" si="956"/>
        <v>32</v>
      </c>
      <c r="AI469" s="169">
        <f t="shared" si="956"/>
        <v>33</v>
      </c>
      <c r="AJ469" s="169">
        <f t="shared" si="956"/>
        <v>34</v>
      </c>
      <c r="AK469" s="169">
        <f t="shared" si="956"/>
        <v>35</v>
      </c>
      <c r="AL469" s="169">
        <f t="shared" si="956"/>
        <v>36</v>
      </c>
      <c r="AM469" s="169">
        <f t="shared" si="956"/>
        <v>37</v>
      </c>
      <c r="AN469" s="169">
        <f t="shared" si="956"/>
        <v>38</v>
      </c>
      <c r="AO469" s="169">
        <f t="shared" si="956"/>
        <v>39</v>
      </c>
      <c r="AP469" s="169">
        <f t="shared" si="956"/>
        <v>40</v>
      </c>
    </row>
    <row r="470" spans="1:42" x14ac:dyDescent="0.2">
      <c r="A470" s="187" t="s">
        <v>195</v>
      </c>
      <c r="B470" s="203">
        <v>0</v>
      </c>
      <c r="C470" s="198">
        <f t="shared" ref="C470:AP470" si="957">IF($B$468=$A451,C451,0)+IF($B$468=$A452,C452,0)+IF($B$468=$A453,C453,0)+IF($B$468=$A454,C454,0)+IF($B$468=$A455,C455,0)+IF($B$468=$A456,C456,0)</f>
        <v>0.2</v>
      </c>
      <c r="D470" s="198">
        <f t="shared" si="957"/>
        <v>0.32</v>
      </c>
      <c r="E470" s="198">
        <f t="shared" si="957"/>
        <v>0.192</v>
      </c>
      <c r="F470" s="198">
        <f t="shared" si="957"/>
        <v>0.1152</v>
      </c>
      <c r="G470" s="198">
        <f t="shared" si="957"/>
        <v>0.1152</v>
      </c>
      <c r="H470" s="198">
        <f t="shared" si="957"/>
        <v>5.7599999999999998E-2</v>
      </c>
      <c r="I470" s="198">
        <f t="shared" si="957"/>
        <v>0</v>
      </c>
      <c r="J470" s="198">
        <f t="shared" si="957"/>
        <v>0</v>
      </c>
      <c r="K470" s="198">
        <f t="shared" si="957"/>
        <v>0</v>
      </c>
      <c r="L470" s="198">
        <f t="shared" si="957"/>
        <v>0</v>
      </c>
      <c r="M470" s="198">
        <f t="shared" si="957"/>
        <v>0</v>
      </c>
      <c r="N470" s="198">
        <f t="shared" si="957"/>
        <v>0</v>
      </c>
      <c r="O470" s="198">
        <f t="shared" si="957"/>
        <v>0</v>
      </c>
      <c r="P470" s="198">
        <f t="shared" si="957"/>
        <v>0</v>
      </c>
      <c r="Q470" s="198">
        <f t="shared" si="957"/>
        <v>0</v>
      </c>
      <c r="R470" s="198">
        <f t="shared" si="957"/>
        <v>0</v>
      </c>
      <c r="S470" s="198">
        <f t="shared" si="957"/>
        <v>0</v>
      </c>
      <c r="T470" s="198">
        <f t="shared" si="957"/>
        <v>0</v>
      </c>
      <c r="U470" s="198">
        <f t="shared" si="957"/>
        <v>0</v>
      </c>
      <c r="V470" s="198">
        <f t="shared" si="957"/>
        <v>0</v>
      </c>
      <c r="W470" s="198">
        <f t="shared" si="957"/>
        <v>0</v>
      </c>
      <c r="X470" s="198">
        <f t="shared" si="957"/>
        <v>0</v>
      </c>
      <c r="Y470" s="198">
        <f t="shared" si="957"/>
        <v>0</v>
      </c>
      <c r="Z470" s="198">
        <f t="shared" si="957"/>
        <v>0</v>
      </c>
      <c r="AA470" s="198">
        <f t="shared" si="957"/>
        <v>0</v>
      </c>
      <c r="AB470" s="198">
        <f t="shared" si="957"/>
        <v>0</v>
      </c>
      <c r="AC470" s="198">
        <f t="shared" si="957"/>
        <v>0</v>
      </c>
      <c r="AD470" s="198">
        <f t="shared" si="957"/>
        <v>0</v>
      </c>
      <c r="AE470" s="198">
        <f t="shared" si="957"/>
        <v>0</v>
      </c>
      <c r="AF470" s="198">
        <f t="shared" si="957"/>
        <v>0</v>
      </c>
      <c r="AG470" s="198">
        <f t="shared" si="957"/>
        <v>0</v>
      </c>
      <c r="AH470" s="198">
        <f t="shared" si="957"/>
        <v>0</v>
      </c>
      <c r="AI470" s="198">
        <f t="shared" si="957"/>
        <v>0</v>
      </c>
      <c r="AJ470" s="198">
        <f t="shared" si="957"/>
        <v>0</v>
      </c>
      <c r="AK470" s="198">
        <f t="shared" si="957"/>
        <v>0</v>
      </c>
      <c r="AL470" s="198">
        <f t="shared" si="957"/>
        <v>0</v>
      </c>
      <c r="AM470" s="198">
        <f t="shared" si="957"/>
        <v>0</v>
      </c>
      <c r="AN470" s="198">
        <f t="shared" si="957"/>
        <v>0</v>
      </c>
      <c r="AO470" s="198">
        <f t="shared" si="957"/>
        <v>0</v>
      </c>
      <c r="AP470" s="198">
        <f t="shared" si="957"/>
        <v>0</v>
      </c>
    </row>
    <row r="471" spans="1:42" x14ac:dyDescent="0.2">
      <c r="A471" s="180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</row>
    <row r="472" spans="1:42" x14ac:dyDescent="0.2">
      <c r="A472" s="180" t="s">
        <v>303</v>
      </c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</row>
    <row r="473" spans="1:42" x14ac:dyDescent="0.2">
      <c r="A473" s="187" t="s">
        <v>192</v>
      </c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</row>
    <row r="474" spans="1:42" x14ac:dyDescent="0.2">
      <c r="A474" s="101">
        <v>1</v>
      </c>
      <c r="C474" s="169">
        <f>C340</f>
        <v>0</v>
      </c>
      <c r="D474" s="169">
        <f t="shared" ref="D474:AP474" si="958">D340</f>
        <v>0</v>
      </c>
      <c r="E474" s="169">
        <f t="shared" si="958"/>
        <v>0</v>
      </c>
      <c r="F474" s="169">
        <f t="shared" si="958"/>
        <v>0</v>
      </c>
      <c r="G474" s="169">
        <f t="shared" si="958"/>
        <v>0</v>
      </c>
      <c r="H474" s="169">
        <f t="shared" si="958"/>
        <v>0</v>
      </c>
      <c r="I474" s="169">
        <f t="shared" si="958"/>
        <v>0</v>
      </c>
      <c r="J474" s="169">
        <f t="shared" si="958"/>
        <v>0</v>
      </c>
      <c r="K474" s="169">
        <f t="shared" si="958"/>
        <v>0</v>
      </c>
      <c r="L474" s="169">
        <f t="shared" si="958"/>
        <v>0</v>
      </c>
      <c r="M474" s="169">
        <f t="shared" si="958"/>
        <v>0</v>
      </c>
      <c r="N474" s="169">
        <f t="shared" si="958"/>
        <v>1</v>
      </c>
      <c r="O474" s="169">
        <f t="shared" si="958"/>
        <v>2</v>
      </c>
      <c r="P474" s="169">
        <f t="shared" si="958"/>
        <v>3</v>
      </c>
      <c r="Q474" s="169">
        <f t="shared" si="958"/>
        <v>4</v>
      </c>
      <c r="R474" s="169">
        <f t="shared" si="958"/>
        <v>5</v>
      </c>
      <c r="S474" s="169">
        <f t="shared" si="958"/>
        <v>6</v>
      </c>
      <c r="T474" s="169">
        <f t="shared" si="958"/>
        <v>7</v>
      </c>
      <c r="U474" s="169">
        <f t="shared" si="958"/>
        <v>8</v>
      </c>
      <c r="V474" s="169">
        <f t="shared" si="958"/>
        <v>9</v>
      </c>
      <c r="W474" s="169">
        <f t="shared" si="958"/>
        <v>10</v>
      </c>
      <c r="X474" s="169">
        <f t="shared" si="958"/>
        <v>11</v>
      </c>
      <c r="Y474" s="169">
        <f t="shared" si="958"/>
        <v>12</v>
      </c>
      <c r="Z474" s="169">
        <f t="shared" si="958"/>
        <v>13</v>
      </c>
      <c r="AA474" s="169">
        <f t="shared" si="958"/>
        <v>14</v>
      </c>
      <c r="AB474" s="169">
        <f t="shared" si="958"/>
        <v>15</v>
      </c>
      <c r="AC474" s="169">
        <f t="shared" si="958"/>
        <v>16</v>
      </c>
      <c r="AD474" s="169">
        <f t="shared" si="958"/>
        <v>17</v>
      </c>
      <c r="AE474" s="169">
        <f t="shared" si="958"/>
        <v>18</v>
      </c>
      <c r="AF474" s="169">
        <f t="shared" si="958"/>
        <v>19</v>
      </c>
      <c r="AG474" s="169">
        <f t="shared" si="958"/>
        <v>20</v>
      </c>
      <c r="AH474" s="169">
        <f t="shared" si="958"/>
        <v>21</v>
      </c>
      <c r="AI474" s="169">
        <f t="shared" si="958"/>
        <v>22</v>
      </c>
      <c r="AJ474" s="169">
        <f t="shared" si="958"/>
        <v>23</v>
      </c>
      <c r="AK474" s="169">
        <f t="shared" si="958"/>
        <v>24</v>
      </c>
      <c r="AL474" s="169">
        <f t="shared" si="958"/>
        <v>25</v>
      </c>
      <c r="AM474" s="169">
        <f t="shared" si="958"/>
        <v>26</v>
      </c>
      <c r="AN474" s="169">
        <f t="shared" si="958"/>
        <v>27</v>
      </c>
      <c r="AO474" s="169">
        <f t="shared" si="958"/>
        <v>28</v>
      </c>
      <c r="AP474" s="169">
        <f t="shared" si="958"/>
        <v>29</v>
      </c>
    </row>
    <row r="475" spans="1:42" x14ac:dyDescent="0.2">
      <c r="A475" s="101">
        <f>A474+1</f>
        <v>2</v>
      </c>
      <c r="C475" s="169">
        <f t="shared" ref="C475:C483" si="959">C341</f>
        <v>0</v>
      </c>
      <c r="D475" s="169">
        <f t="shared" ref="D475:AP475" si="960">D341</f>
        <v>0</v>
      </c>
      <c r="E475" s="169">
        <f t="shared" si="960"/>
        <v>0</v>
      </c>
      <c r="F475" s="169">
        <f t="shared" si="960"/>
        <v>0</v>
      </c>
      <c r="G475" s="169">
        <f t="shared" si="960"/>
        <v>0</v>
      </c>
      <c r="H475" s="169">
        <f t="shared" si="960"/>
        <v>0</v>
      </c>
      <c r="I475" s="169">
        <f t="shared" si="960"/>
        <v>0</v>
      </c>
      <c r="J475" s="169">
        <f t="shared" si="960"/>
        <v>0</v>
      </c>
      <c r="K475" s="169">
        <f t="shared" si="960"/>
        <v>0</v>
      </c>
      <c r="L475" s="169">
        <f t="shared" si="960"/>
        <v>0</v>
      </c>
      <c r="M475" s="169">
        <f t="shared" si="960"/>
        <v>0</v>
      </c>
      <c r="N475" s="169">
        <f t="shared" si="960"/>
        <v>0</v>
      </c>
      <c r="O475" s="169">
        <f t="shared" si="960"/>
        <v>0</v>
      </c>
      <c r="P475" s="169">
        <f t="shared" si="960"/>
        <v>0</v>
      </c>
      <c r="Q475" s="169">
        <f t="shared" si="960"/>
        <v>0</v>
      </c>
      <c r="R475" s="169">
        <f t="shared" si="960"/>
        <v>0</v>
      </c>
      <c r="S475" s="169">
        <f t="shared" si="960"/>
        <v>0</v>
      </c>
      <c r="T475" s="169">
        <f t="shared" si="960"/>
        <v>0</v>
      </c>
      <c r="U475" s="169">
        <f t="shared" si="960"/>
        <v>0</v>
      </c>
      <c r="V475" s="169">
        <f t="shared" si="960"/>
        <v>0</v>
      </c>
      <c r="W475" s="169">
        <f t="shared" si="960"/>
        <v>0</v>
      </c>
      <c r="X475" s="169">
        <f t="shared" si="960"/>
        <v>0</v>
      </c>
      <c r="Y475" s="169">
        <f t="shared" si="960"/>
        <v>0</v>
      </c>
      <c r="Z475" s="169">
        <f t="shared" si="960"/>
        <v>1</v>
      </c>
      <c r="AA475" s="169">
        <f t="shared" si="960"/>
        <v>2</v>
      </c>
      <c r="AB475" s="169">
        <f t="shared" si="960"/>
        <v>3</v>
      </c>
      <c r="AC475" s="169">
        <f t="shared" si="960"/>
        <v>4</v>
      </c>
      <c r="AD475" s="169">
        <f t="shared" si="960"/>
        <v>5</v>
      </c>
      <c r="AE475" s="169">
        <f t="shared" si="960"/>
        <v>6</v>
      </c>
      <c r="AF475" s="169">
        <f t="shared" si="960"/>
        <v>7</v>
      </c>
      <c r="AG475" s="169">
        <f t="shared" si="960"/>
        <v>8</v>
      </c>
      <c r="AH475" s="169">
        <f t="shared" si="960"/>
        <v>9</v>
      </c>
      <c r="AI475" s="169">
        <f t="shared" si="960"/>
        <v>10</v>
      </c>
      <c r="AJ475" s="169">
        <f t="shared" si="960"/>
        <v>11</v>
      </c>
      <c r="AK475" s="169">
        <f t="shared" si="960"/>
        <v>12</v>
      </c>
      <c r="AL475" s="169">
        <f t="shared" si="960"/>
        <v>13</v>
      </c>
      <c r="AM475" s="169">
        <f t="shared" si="960"/>
        <v>14</v>
      </c>
      <c r="AN475" s="169">
        <f t="shared" si="960"/>
        <v>15</v>
      </c>
      <c r="AO475" s="169">
        <f t="shared" si="960"/>
        <v>16</v>
      </c>
      <c r="AP475" s="169">
        <f t="shared" si="960"/>
        <v>17</v>
      </c>
    </row>
    <row r="476" spans="1:42" x14ac:dyDescent="0.2">
      <c r="A476" s="101">
        <f t="shared" ref="A476:A481" si="961">A475+1</f>
        <v>3</v>
      </c>
      <c r="C476" s="169">
        <f t="shared" si="959"/>
        <v>0</v>
      </c>
      <c r="D476" s="169">
        <f t="shared" ref="D476:AP476" si="962">D342</f>
        <v>0</v>
      </c>
      <c r="E476" s="169">
        <f t="shared" si="962"/>
        <v>0</v>
      </c>
      <c r="F476" s="169">
        <f t="shared" si="962"/>
        <v>0</v>
      </c>
      <c r="G476" s="169">
        <f t="shared" si="962"/>
        <v>0</v>
      </c>
      <c r="H476" s="169">
        <f t="shared" si="962"/>
        <v>0</v>
      </c>
      <c r="I476" s="169">
        <f t="shared" si="962"/>
        <v>0</v>
      </c>
      <c r="J476" s="169">
        <f t="shared" si="962"/>
        <v>0</v>
      </c>
      <c r="K476" s="169">
        <f t="shared" si="962"/>
        <v>0</v>
      </c>
      <c r="L476" s="169">
        <f t="shared" si="962"/>
        <v>0</v>
      </c>
      <c r="M476" s="169">
        <f t="shared" si="962"/>
        <v>0</v>
      </c>
      <c r="N476" s="169">
        <f t="shared" si="962"/>
        <v>0</v>
      </c>
      <c r="O476" s="169">
        <f t="shared" si="962"/>
        <v>0</v>
      </c>
      <c r="P476" s="169">
        <f t="shared" si="962"/>
        <v>0</v>
      </c>
      <c r="Q476" s="169">
        <f t="shared" si="962"/>
        <v>0</v>
      </c>
      <c r="R476" s="169">
        <f t="shared" si="962"/>
        <v>0</v>
      </c>
      <c r="S476" s="169">
        <f t="shared" si="962"/>
        <v>0</v>
      </c>
      <c r="T476" s="169">
        <f t="shared" si="962"/>
        <v>0</v>
      </c>
      <c r="U476" s="169">
        <f t="shared" si="962"/>
        <v>0</v>
      </c>
      <c r="V476" s="169">
        <f t="shared" si="962"/>
        <v>0</v>
      </c>
      <c r="W476" s="169">
        <f t="shared" si="962"/>
        <v>0</v>
      </c>
      <c r="X476" s="169">
        <f t="shared" si="962"/>
        <v>0</v>
      </c>
      <c r="Y476" s="169">
        <f t="shared" si="962"/>
        <v>0</v>
      </c>
      <c r="Z476" s="169">
        <f t="shared" si="962"/>
        <v>0</v>
      </c>
      <c r="AA476" s="169">
        <f t="shared" si="962"/>
        <v>0</v>
      </c>
      <c r="AB476" s="169">
        <f t="shared" si="962"/>
        <v>0</v>
      </c>
      <c r="AC476" s="169">
        <f t="shared" si="962"/>
        <v>0</v>
      </c>
      <c r="AD476" s="169">
        <f t="shared" si="962"/>
        <v>0</v>
      </c>
      <c r="AE476" s="169">
        <f t="shared" si="962"/>
        <v>0</v>
      </c>
      <c r="AF476" s="169">
        <f t="shared" si="962"/>
        <v>0</v>
      </c>
      <c r="AG476" s="169">
        <f t="shared" si="962"/>
        <v>0</v>
      </c>
      <c r="AH476" s="169">
        <f t="shared" si="962"/>
        <v>0</v>
      </c>
      <c r="AI476" s="169">
        <f t="shared" si="962"/>
        <v>0</v>
      </c>
      <c r="AJ476" s="169">
        <f t="shared" si="962"/>
        <v>0</v>
      </c>
      <c r="AK476" s="169">
        <f t="shared" si="962"/>
        <v>0</v>
      </c>
      <c r="AL476" s="169">
        <f t="shared" si="962"/>
        <v>1</v>
      </c>
      <c r="AM476" s="169">
        <f t="shared" si="962"/>
        <v>2</v>
      </c>
      <c r="AN476" s="169">
        <f t="shared" si="962"/>
        <v>3</v>
      </c>
      <c r="AO476" s="169">
        <f t="shared" si="962"/>
        <v>4</v>
      </c>
      <c r="AP476" s="169">
        <f t="shared" si="962"/>
        <v>5</v>
      </c>
    </row>
    <row r="477" spans="1:42" x14ac:dyDescent="0.2">
      <c r="A477" s="101">
        <f t="shared" si="961"/>
        <v>4</v>
      </c>
      <c r="C477" s="169">
        <f t="shared" si="959"/>
        <v>0</v>
      </c>
      <c r="D477" s="169">
        <f t="shared" ref="D477:AP477" si="963">D343</f>
        <v>0</v>
      </c>
      <c r="E477" s="169">
        <f t="shared" si="963"/>
        <v>0</v>
      </c>
      <c r="F477" s="169">
        <f t="shared" si="963"/>
        <v>0</v>
      </c>
      <c r="G477" s="169">
        <f t="shared" si="963"/>
        <v>0</v>
      </c>
      <c r="H477" s="169">
        <f t="shared" si="963"/>
        <v>0</v>
      </c>
      <c r="I477" s="169">
        <f t="shared" si="963"/>
        <v>0</v>
      </c>
      <c r="J477" s="169">
        <f t="shared" si="963"/>
        <v>0</v>
      </c>
      <c r="K477" s="169">
        <f t="shared" si="963"/>
        <v>0</v>
      </c>
      <c r="L477" s="169">
        <f t="shared" si="963"/>
        <v>0</v>
      </c>
      <c r="M477" s="169">
        <f t="shared" si="963"/>
        <v>0</v>
      </c>
      <c r="N477" s="169">
        <f t="shared" si="963"/>
        <v>0</v>
      </c>
      <c r="O477" s="169">
        <f t="shared" si="963"/>
        <v>0</v>
      </c>
      <c r="P477" s="169">
        <f t="shared" si="963"/>
        <v>0</v>
      </c>
      <c r="Q477" s="169">
        <f t="shared" si="963"/>
        <v>0</v>
      </c>
      <c r="R477" s="169">
        <f t="shared" si="963"/>
        <v>0</v>
      </c>
      <c r="S477" s="169">
        <f t="shared" si="963"/>
        <v>0</v>
      </c>
      <c r="T477" s="169">
        <f t="shared" si="963"/>
        <v>0</v>
      </c>
      <c r="U477" s="169">
        <f t="shared" si="963"/>
        <v>0</v>
      </c>
      <c r="V477" s="169">
        <f t="shared" si="963"/>
        <v>0</v>
      </c>
      <c r="W477" s="169">
        <f t="shared" si="963"/>
        <v>0</v>
      </c>
      <c r="X477" s="169">
        <f t="shared" si="963"/>
        <v>0</v>
      </c>
      <c r="Y477" s="169">
        <f t="shared" si="963"/>
        <v>0</v>
      </c>
      <c r="Z477" s="169">
        <f t="shared" si="963"/>
        <v>0</v>
      </c>
      <c r="AA477" s="169">
        <f t="shared" si="963"/>
        <v>0</v>
      </c>
      <c r="AB477" s="169">
        <f t="shared" si="963"/>
        <v>0</v>
      </c>
      <c r="AC477" s="169">
        <f t="shared" si="963"/>
        <v>0</v>
      </c>
      <c r="AD477" s="169">
        <f t="shared" si="963"/>
        <v>0</v>
      </c>
      <c r="AE477" s="169">
        <f t="shared" si="963"/>
        <v>0</v>
      </c>
      <c r="AF477" s="169">
        <f t="shared" si="963"/>
        <v>0</v>
      </c>
      <c r="AG477" s="169">
        <f t="shared" si="963"/>
        <v>0</v>
      </c>
      <c r="AH477" s="169">
        <f t="shared" si="963"/>
        <v>0</v>
      </c>
      <c r="AI477" s="169">
        <f t="shared" si="963"/>
        <v>0</v>
      </c>
      <c r="AJ477" s="169">
        <f t="shared" si="963"/>
        <v>0</v>
      </c>
      <c r="AK477" s="169">
        <f t="shared" si="963"/>
        <v>0</v>
      </c>
      <c r="AL477" s="169">
        <f t="shared" si="963"/>
        <v>0</v>
      </c>
      <c r="AM477" s="169">
        <f t="shared" si="963"/>
        <v>0</v>
      </c>
      <c r="AN477" s="169">
        <f t="shared" si="963"/>
        <v>0</v>
      </c>
      <c r="AO477" s="169">
        <f t="shared" si="963"/>
        <v>0</v>
      </c>
      <c r="AP477" s="169">
        <f t="shared" si="963"/>
        <v>0</v>
      </c>
    </row>
    <row r="478" spans="1:42" x14ac:dyDescent="0.2">
      <c r="A478" s="101">
        <f t="shared" si="961"/>
        <v>5</v>
      </c>
      <c r="C478" s="169">
        <f t="shared" si="959"/>
        <v>0</v>
      </c>
      <c r="D478" s="169">
        <f t="shared" ref="D478:AP478" si="964">D344</f>
        <v>0</v>
      </c>
      <c r="E478" s="169">
        <f t="shared" si="964"/>
        <v>0</v>
      </c>
      <c r="F478" s="169">
        <f t="shared" si="964"/>
        <v>0</v>
      </c>
      <c r="G478" s="169">
        <f t="shared" si="964"/>
        <v>0</v>
      </c>
      <c r="H478" s="169">
        <f t="shared" si="964"/>
        <v>0</v>
      </c>
      <c r="I478" s="169">
        <f t="shared" si="964"/>
        <v>0</v>
      </c>
      <c r="J478" s="169">
        <f t="shared" si="964"/>
        <v>0</v>
      </c>
      <c r="K478" s="169">
        <f t="shared" si="964"/>
        <v>0</v>
      </c>
      <c r="L478" s="169">
        <f t="shared" si="964"/>
        <v>0</v>
      </c>
      <c r="M478" s="169">
        <f t="shared" si="964"/>
        <v>0</v>
      </c>
      <c r="N478" s="169">
        <f t="shared" si="964"/>
        <v>0</v>
      </c>
      <c r="O478" s="169">
        <f t="shared" si="964"/>
        <v>0</v>
      </c>
      <c r="P478" s="169">
        <f t="shared" si="964"/>
        <v>0</v>
      </c>
      <c r="Q478" s="169">
        <f t="shared" si="964"/>
        <v>0</v>
      </c>
      <c r="R478" s="169">
        <f t="shared" si="964"/>
        <v>0</v>
      </c>
      <c r="S478" s="169">
        <f t="shared" si="964"/>
        <v>0</v>
      </c>
      <c r="T478" s="169">
        <f t="shared" si="964"/>
        <v>0</v>
      </c>
      <c r="U478" s="169">
        <f t="shared" si="964"/>
        <v>0</v>
      </c>
      <c r="V478" s="169">
        <f t="shared" si="964"/>
        <v>0</v>
      </c>
      <c r="W478" s="169">
        <f t="shared" si="964"/>
        <v>0</v>
      </c>
      <c r="X478" s="169">
        <f t="shared" si="964"/>
        <v>0</v>
      </c>
      <c r="Y478" s="169">
        <f t="shared" si="964"/>
        <v>0</v>
      </c>
      <c r="Z478" s="169">
        <f t="shared" si="964"/>
        <v>0</v>
      </c>
      <c r="AA478" s="169">
        <f t="shared" si="964"/>
        <v>0</v>
      </c>
      <c r="AB478" s="169">
        <f t="shared" si="964"/>
        <v>0</v>
      </c>
      <c r="AC478" s="169">
        <f t="shared" si="964"/>
        <v>0</v>
      </c>
      <c r="AD478" s="169">
        <f t="shared" si="964"/>
        <v>0</v>
      </c>
      <c r="AE478" s="169">
        <f t="shared" si="964"/>
        <v>0</v>
      </c>
      <c r="AF478" s="169">
        <f t="shared" si="964"/>
        <v>0</v>
      </c>
      <c r="AG478" s="169">
        <f t="shared" si="964"/>
        <v>0</v>
      </c>
      <c r="AH478" s="169">
        <f t="shared" si="964"/>
        <v>0</v>
      </c>
      <c r="AI478" s="169">
        <f t="shared" si="964"/>
        <v>0</v>
      </c>
      <c r="AJ478" s="169">
        <f t="shared" si="964"/>
        <v>0</v>
      </c>
      <c r="AK478" s="169">
        <f t="shared" si="964"/>
        <v>0</v>
      </c>
      <c r="AL478" s="169">
        <f t="shared" si="964"/>
        <v>0</v>
      </c>
      <c r="AM478" s="169">
        <f t="shared" si="964"/>
        <v>0</v>
      </c>
      <c r="AN478" s="169">
        <f t="shared" si="964"/>
        <v>0</v>
      </c>
      <c r="AO478" s="169">
        <f t="shared" si="964"/>
        <v>0</v>
      </c>
      <c r="AP478" s="169">
        <f t="shared" si="964"/>
        <v>0</v>
      </c>
    </row>
    <row r="479" spans="1:42" x14ac:dyDescent="0.2">
      <c r="A479" s="101">
        <f t="shared" si="961"/>
        <v>6</v>
      </c>
      <c r="C479" s="169">
        <f t="shared" si="959"/>
        <v>0</v>
      </c>
      <c r="D479" s="169">
        <f t="shared" ref="D479:AP479" si="965">D345</f>
        <v>0</v>
      </c>
      <c r="E479" s="169">
        <f t="shared" si="965"/>
        <v>0</v>
      </c>
      <c r="F479" s="169">
        <f t="shared" si="965"/>
        <v>0</v>
      </c>
      <c r="G479" s="169">
        <f t="shared" si="965"/>
        <v>0</v>
      </c>
      <c r="H479" s="169">
        <f t="shared" si="965"/>
        <v>0</v>
      </c>
      <c r="I479" s="169">
        <f t="shared" si="965"/>
        <v>0</v>
      </c>
      <c r="J479" s="169">
        <f t="shared" si="965"/>
        <v>0</v>
      </c>
      <c r="K479" s="169">
        <f t="shared" si="965"/>
        <v>0</v>
      </c>
      <c r="L479" s="169">
        <f t="shared" si="965"/>
        <v>0</v>
      </c>
      <c r="M479" s="169">
        <f t="shared" si="965"/>
        <v>0</v>
      </c>
      <c r="N479" s="169">
        <f t="shared" si="965"/>
        <v>0</v>
      </c>
      <c r="O479" s="169">
        <f t="shared" si="965"/>
        <v>0</v>
      </c>
      <c r="P479" s="169">
        <f t="shared" si="965"/>
        <v>0</v>
      </c>
      <c r="Q479" s="169">
        <f t="shared" si="965"/>
        <v>0</v>
      </c>
      <c r="R479" s="169">
        <f t="shared" si="965"/>
        <v>0</v>
      </c>
      <c r="S479" s="169">
        <f t="shared" si="965"/>
        <v>0</v>
      </c>
      <c r="T479" s="169">
        <f t="shared" si="965"/>
        <v>0</v>
      </c>
      <c r="U479" s="169">
        <f t="shared" si="965"/>
        <v>0</v>
      </c>
      <c r="V479" s="169">
        <f t="shared" si="965"/>
        <v>0</v>
      </c>
      <c r="W479" s="169">
        <f t="shared" si="965"/>
        <v>0</v>
      </c>
      <c r="X479" s="169">
        <f t="shared" si="965"/>
        <v>0</v>
      </c>
      <c r="Y479" s="169">
        <f t="shared" si="965"/>
        <v>0</v>
      </c>
      <c r="Z479" s="169">
        <f t="shared" si="965"/>
        <v>0</v>
      </c>
      <c r="AA479" s="169">
        <f t="shared" si="965"/>
        <v>0</v>
      </c>
      <c r="AB479" s="169">
        <f t="shared" si="965"/>
        <v>0</v>
      </c>
      <c r="AC479" s="169">
        <f t="shared" si="965"/>
        <v>0</v>
      </c>
      <c r="AD479" s="169">
        <f t="shared" si="965"/>
        <v>0</v>
      </c>
      <c r="AE479" s="169">
        <f t="shared" si="965"/>
        <v>0</v>
      </c>
      <c r="AF479" s="169">
        <f t="shared" si="965"/>
        <v>0</v>
      </c>
      <c r="AG479" s="169">
        <f t="shared" si="965"/>
        <v>0</v>
      </c>
      <c r="AH479" s="169">
        <f t="shared" si="965"/>
        <v>0</v>
      </c>
      <c r="AI479" s="169">
        <f t="shared" si="965"/>
        <v>0</v>
      </c>
      <c r="AJ479" s="169">
        <f t="shared" si="965"/>
        <v>0</v>
      </c>
      <c r="AK479" s="169">
        <f t="shared" si="965"/>
        <v>0</v>
      </c>
      <c r="AL479" s="169">
        <f t="shared" si="965"/>
        <v>0</v>
      </c>
      <c r="AM479" s="169">
        <f t="shared" si="965"/>
        <v>0</v>
      </c>
      <c r="AN479" s="169">
        <f t="shared" si="965"/>
        <v>0</v>
      </c>
      <c r="AO479" s="169">
        <f t="shared" si="965"/>
        <v>0</v>
      </c>
      <c r="AP479" s="169">
        <f t="shared" si="965"/>
        <v>0</v>
      </c>
    </row>
    <row r="480" spans="1:42" x14ac:dyDescent="0.2">
      <c r="A480" s="101">
        <f t="shared" si="961"/>
        <v>7</v>
      </c>
      <c r="C480" s="169">
        <f t="shared" si="959"/>
        <v>0</v>
      </c>
      <c r="D480" s="169">
        <f t="shared" ref="D480:AP480" si="966">D346</f>
        <v>0</v>
      </c>
      <c r="E480" s="169">
        <f t="shared" si="966"/>
        <v>0</v>
      </c>
      <c r="F480" s="169">
        <f t="shared" si="966"/>
        <v>0</v>
      </c>
      <c r="G480" s="169">
        <f t="shared" si="966"/>
        <v>0</v>
      </c>
      <c r="H480" s="169">
        <f t="shared" si="966"/>
        <v>0</v>
      </c>
      <c r="I480" s="169">
        <f t="shared" si="966"/>
        <v>0</v>
      </c>
      <c r="J480" s="169">
        <f t="shared" si="966"/>
        <v>0</v>
      </c>
      <c r="K480" s="169">
        <f t="shared" si="966"/>
        <v>0</v>
      </c>
      <c r="L480" s="169">
        <f t="shared" si="966"/>
        <v>0</v>
      </c>
      <c r="M480" s="169">
        <f t="shared" si="966"/>
        <v>0</v>
      </c>
      <c r="N480" s="169">
        <f t="shared" si="966"/>
        <v>0</v>
      </c>
      <c r="O480" s="169">
        <f t="shared" si="966"/>
        <v>0</v>
      </c>
      <c r="P480" s="169">
        <f t="shared" si="966"/>
        <v>0</v>
      </c>
      <c r="Q480" s="169">
        <f t="shared" si="966"/>
        <v>0</v>
      </c>
      <c r="R480" s="169">
        <f t="shared" si="966"/>
        <v>0</v>
      </c>
      <c r="S480" s="169">
        <f t="shared" si="966"/>
        <v>0</v>
      </c>
      <c r="T480" s="169">
        <f t="shared" si="966"/>
        <v>0</v>
      </c>
      <c r="U480" s="169">
        <f t="shared" si="966"/>
        <v>0</v>
      </c>
      <c r="V480" s="169">
        <f t="shared" si="966"/>
        <v>0</v>
      </c>
      <c r="W480" s="169">
        <f t="shared" si="966"/>
        <v>0</v>
      </c>
      <c r="X480" s="169">
        <f t="shared" si="966"/>
        <v>0</v>
      </c>
      <c r="Y480" s="169">
        <f t="shared" si="966"/>
        <v>0</v>
      </c>
      <c r="Z480" s="169">
        <f t="shared" si="966"/>
        <v>0</v>
      </c>
      <c r="AA480" s="169">
        <f t="shared" si="966"/>
        <v>0</v>
      </c>
      <c r="AB480" s="169">
        <f t="shared" si="966"/>
        <v>0</v>
      </c>
      <c r="AC480" s="169">
        <f t="shared" si="966"/>
        <v>0</v>
      </c>
      <c r="AD480" s="169">
        <f t="shared" si="966"/>
        <v>0</v>
      </c>
      <c r="AE480" s="169">
        <f t="shared" si="966"/>
        <v>0</v>
      </c>
      <c r="AF480" s="169">
        <f t="shared" si="966"/>
        <v>0</v>
      </c>
      <c r="AG480" s="169">
        <f t="shared" si="966"/>
        <v>0</v>
      </c>
      <c r="AH480" s="169">
        <f t="shared" si="966"/>
        <v>0</v>
      </c>
      <c r="AI480" s="169">
        <f t="shared" si="966"/>
        <v>0</v>
      </c>
      <c r="AJ480" s="169">
        <f t="shared" si="966"/>
        <v>0</v>
      </c>
      <c r="AK480" s="169">
        <f t="shared" si="966"/>
        <v>0</v>
      </c>
      <c r="AL480" s="169">
        <f t="shared" si="966"/>
        <v>0</v>
      </c>
      <c r="AM480" s="169">
        <f t="shared" si="966"/>
        <v>0</v>
      </c>
      <c r="AN480" s="169">
        <f t="shared" si="966"/>
        <v>0</v>
      </c>
      <c r="AO480" s="169">
        <f t="shared" si="966"/>
        <v>0</v>
      </c>
      <c r="AP480" s="169">
        <f t="shared" si="966"/>
        <v>0</v>
      </c>
    </row>
    <row r="481" spans="1:42" x14ac:dyDescent="0.2">
      <c r="A481" s="101">
        <f t="shared" si="961"/>
        <v>8</v>
      </c>
      <c r="C481" s="169">
        <f t="shared" si="959"/>
        <v>0</v>
      </c>
      <c r="D481" s="169">
        <f t="shared" ref="D481:AP481" si="967">D347</f>
        <v>0</v>
      </c>
      <c r="E481" s="169">
        <f t="shared" si="967"/>
        <v>0</v>
      </c>
      <c r="F481" s="169">
        <f t="shared" si="967"/>
        <v>0</v>
      </c>
      <c r="G481" s="169">
        <f t="shared" si="967"/>
        <v>0</v>
      </c>
      <c r="H481" s="169">
        <f t="shared" si="967"/>
        <v>0</v>
      </c>
      <c r="I481" s="169">
        <f t="shared" si="967"/>
        <v>0</v>
      </c>
      <c r="J481" s="169">
        <f t="shared" si="967"/>
        <v>0</v>
      </c>
      <c r="K481" s="169">
        <f t="shared" si="967"/>
        <v>0</v>
      </c>
      <c r="L481" s="169">
        <f t="shared" si="967"/>
        <v>0</v>
      </c>
      <c r="M481" s="169">
        <f t="shared" si="967"/>
        <v>0</v>
      </c>
      <c r="N481" s="169">
        <f t="shared" si="967"/>
        <v>0</v>
      </c>
      <c r="O481" s="169">
        <f t="shared" si="967"/>
        <v>0</v>
      </c>
      <c r="P481" s="169">
        <f t="shared" si="967"/>
        <v>0</v>
      </c>
      <c r="Q481" s="169">
        <f t="shared" si="967"/>
        <v>0</v>
      </c>
      <c r="R481" s="169">
        <f t="shared" si="967"/>
        <v>0</v>
      </c>
      <c r="S481" s="169">
        <f t="shared" si="967"/>
        <v>0</v>
      </c>
      <c r="T481" s="169">
        <f t="shared" si="967"/>
        <v>0</v>
      </c>
      <c r="U481" s="169">
        <f t="shared" si="967"/>
        <v>0</v>
      </c>
      <c r="V481" s="169">
        <f t="shared" si="967"/>
        <v>0</v>
      </c>
      <c r="W481" s="169">
        <f t="shared" si="967"/>
        <v>0</v>
      </c>
      <c r="X481" s="169">
        <f t="shared" si="967"/>
        <v>0</v>
      </c>
      <c r="Y481" s="169">
        <f t="shared" si="967"/>
        <v>0</v>
      </c>
      <c r="Z481" s="169">
        <f t="shared" si="967"/>
        <v>0</v>
      </c>
      <c r="AA481" s="169">
        <f t="shared" si="967"/>
        <v>0</v>
      </c>
      <c r="AB481" s="169">
        <f t="shared" si="967"/>
        <v>0</v>
      </c>
      <c r="AC481" s="169">
        <f t="shared" si="967"/>
        <v>0</v>
      </c>
      <c r="AD481" s="169">
        <f t="shared" si="967"/>
        <v>0</v>
      </c>
      <c r="AE481" s="169">
        <f t="shared" si="967"/>
        <v>0</v>
      </c>
      <c r="AF481" s="169">
        <f t="shared" si="967"/>
        <v>0</v>
      </c>
      <c r="AG481" s="169">
        <f t="shared" si="967"/>
        <v>0</v>
      </c>
      <c r="AH481" s="169">
        <f t="shared" si="967"/>
        <v>0</v>
      </c>
      <c r="AI481" s="169">
        <f t="shared" si="967"/>
        <v>0</v>
      </c>
      <c r="AJ481" s="169">
        <f t="shared" si="967"/>
        <v>0</v>
      </c>
      <c r="AK481" s="169">
        <f t="shared" si="967"/>
        <v>0</v>
      </c>
      <c r="AL481" s="169">
        <f t="shared" si="967"/>
        <v>0</v>
      </c>
      <c r="AM481" s="169">
        <f t="shared" si="967"/>
        <v>0</v>
      </c>
      <c r="AN481" s="169">
        <f t="shared" si="967"/>
        <v>0</v>
      </c>
      <c r="AO481" s="169">
        <f t="shared" si="967"/>
        <v>0</v>
      </c>
      <c r="AP481" s="169">
        <f t="shared" si="967"/>
        <v>0</v>
      </c>
    </row>
    <row r="482" spans="1:42" x14ac:dyDescent="0.2">
      <c r="A482" s="101">
        <f>A481+1</f>
        <v>9</v>
      </c>
      <c r="C482" s="169">
        <f t="shared" si="959"/>
        <v>0</v>
      </c>
      <c r="D482" s="169">
        <f t="shared" ref="D482:AP482" si="968">D348</f>
        <v>0</v>
      </c>
      <c r="E482" s="169">
        <f t="shared" si="968"/>
        <v>0</v>
      </c>
      <c r="F482" s="169">
        <f t="shared" si="968"/>
        <v>0</v>
      </c>
      <c r="G482" s="169">
        <f t="shared" si="968"/>
        <v>0</v>
      </c>
      <c r="H482" s="169">
        <f t="shared" si="968"/>
        <v>0</v>
      </c>
      <c r="I482" s="169">
        <f t="shared" si="968"/>
        <v>0</v>
      </c>
      <c r="J482" s="169">
        <f t="shared" si="968"/>
        <v>0</v>
      </c>
      <c r="K482" s="169">
        <f t="shared" si="968"/>
        <v>0</v>
      </c>
      <c r="L482" s="169">
        <f t="shared" si="968"/>
        <v>0</v>
      </c>
      <c r="M482" s="169">
        <f t="shared" si="968"/>
        <v>0</v>
      </c>
      <c r="N482" s="169">
        <f t="shared" si="968"/>
        <v>0</v>
      </c>
      <c r="O482" s="169">
        <f t="shared" si="968"/>
        <v>0</v>
      </c>
      <c r="P482" s="169">
        <f t="shared" si="968"/>
        <v>0</v>
      </c>
      <c r="Q482" s="169">
        <f t="shared" si="968"/>
        <v>0</v>
      </c>
      <c r="R482" s="169">
        <f t="shared" si="968"/>
        <v>0</v>
      </c>
      <c r="S482" s="169">
        <f t="shared" si="968"/>
        <v>0</v>
      </c>
      <c r="T482" s="169">
        <f t="shared" si="968"/>
        <v>0</v>
      </c>
      <c r="U482" s="169">
        <f t="shared" si="968"/>
        <v>0</v>
      </c>
      <c r="V482" s="169">
        <f t="shared" si="968"/>
        <v>0</v>
      </c>
      <c r="W482" s="169">
        <f t="shared" si="968"/>
        <v>0</v>
      </c>
      <c r="X482" s="169">
        <f t="shared" si="968"/>
        <v>0</v>
      </c>
      <c r="Y482" s="169">
        <f t="shared" si="968"/>
        <v>0</v>
      </c>
      <c r="Z482" s="169">
        <f t="shared" si="968"/>
        <v>0</v>
      </c>
      <c r="AA482" s="169">
        <f t="shared" si="968"/>
        <v>0</v>
      </c>
      <c r="AB482" s="169">
        <f t="shared" si="968"/>
        <v>0</v>
      </c>
      <c r="AC482" s="169">
        <f t="shared" si="968"/>
        <v>0</v>
      </c>
      <c r="AD482" s="169">
        <f t="shared" si="968"/>
        <v>0</v>
      </c>
      <c r="AE482" s="169">
        <f t="shared" si="968"/>
        <v>0</v>
      </c>
      <c r="AF482" s="169">
        <f t="shared" si="968"/>
        <v>0</v>
      </c>
      <c r="AG482" s="169">
        <f t="shared" si="968"/>
        <v>0</v>
      </c>
      <c r="AH482" s="169">
        <f t="shared" si="968"/>
        <v>0</v>
      </c>
      <c r="AI482" s="169">
        <f t="shared" si="968"/>
        <v>0</v>
      </c>
      <c r="AJ482" s="169">
        <f t="shared" si="968"/>
        <v>0</v>
      </c>
      <c r="AK482" s="169">
        <f t="shared" si="968"/>
        <v>0</v>
      </c>
      <c r="AL482" s="169">
        <f t="shared" si="968"/>
        <v>0</v>
      </c>
      <c r="AM482" s="169">
        <f t="shared" si="968"/>
        <v>0</v>
      </c>
      <c r="AN482" s="169">
        <f t="shared" si="968"/>
        <v>0</v>
      </c>
      <c r="AO482" s="169">
        <f t="shared" si="968"/>
        <v>0</v>
      </c>
      <c r="AP482" s="169">
        <f t="shared" si="968"/>
        <v>0</v>
      </c>
    </row>
    <row r="483" spans="1:42" x14ac:dyDescent="0.2">
      <c r="A483" s="101">
        <f t="shared" ref="A483" si="969">A482+1</f>
        <v>10</v>
      </c>
      <c r="C483" s="169">
        <f t="shared" si="959"/>
        <v>0</v>
      </c>
      <c r="D483" s="169">
        <f t="shared" ref="D483:AP483" si="970">D349</f>
        <v>0</v>
      </c>
      <c r="E483" s="169">
        <f t="shared" si="970"/>
        <v>0</v>
      </c>
      <c r="F483" s="169">
        <f t="shared" si="970"/>
        <v>0</v>
      </c>
      <c r="G483" s="169">
        <f t="shared" si="970"/>
        <v>0</v>
      </c>
      <c r="H483" s="169">
        <f t="shared" si="970"/>
        <v>0</v>
      </c>
      <c r="I483" s="169">
        <f t="shared" si="970"/>
        <v>0</v>
      </c>
      <c r="J483" s="169">
        <f t="shared" si="970"/>
        <v>0</v>
      </c>
      <c r="K483" s="169">
        <f t="shared" si="970"/>
        <v>0</v>
      </c>
      <c r="L483" s="169">
        <f t="shared" si="970"/>
        <v>0</v>
      </c>
      <c r="M483" s="169">
        <f t="shared" si="970"/>
        <v>0</v>
      </c>
      <c r="N483" s="169">
        <f t="shared" si="970"/>
        <v>0</v>
      </c>
      <c r="O483" s="169">
        <f t="shared" si="970"/>
        <v>0</v>
      </c>
      <c r="P483" s="169">
        <f t="shared" si="970"/>
        <v>0</v>
      </c>
      <c r="Q483" s="169">
        <f t="shared" si="970"/>
        <v>0</v>
      </c>
      <c r="R483" s="169">
        <f t="shared" si="970"/>
        <v>0</v>
      </c>
      <c r="S483" s="169">
        <f t="shared" si="970"/>
        <v>0</v>
      </c>
      <c r="T483" s="169">
        <f t="shared" si="970"/>
        <v>0</v>
      </c>
      <c r="U483" s="169">
        <f t="shared" si="970"/>
        <v>0</v>
      </c>
      <c r="V483" s="169">
        <f t="shared" si="970"/>
        <v>0</v>
      </c>
      <c r="W483" s="169">
        <f t="shared" si="970"/>
        <v>0</v>
      </c>
      <c r="X483" s="169">
        <f t="shared" si="970"/>
        <v>0</v>
      </c>
      <c r="Y483" s="169">
        <f t="shared" si="970"/>
        <v>0</v>
      </c>
      <c r="Z483" s="169">
        <f t="shared" si="970"/>
        <v>0</v>
      </c>
      <c r="AA483" s="169">
        <f t="shared" si="970"/>
        <v>0</v>
      </c>
      <c r="AB483" s="169">
        <f t="shared" si="970"/>
        <v>0</v>
      </c>
      <c r="AC483" s="169">
        <f t="shared" si="970"/>
        <v>0</v>
      </c>
      <c r="AD483" s="169">
        <f t="shared" si="970"/>
        <v>0</v>
      </c>
      <c r="AE483" s="169">
        <f t="shared" si="970"/>
        <v>0</v>
      </c>
      <c r="AF483" s="169">
        <f t="shared" si="970"/>
        <v>0</v>
      </c>
      <c r="AG483" s="169">
        <f t="shared" si="970"/>
        <v>0</v>
      </c>
      <c r="AH483" s="169">
        <f t="shared" si="970"/>
        <v>0</v>
      </c>
      <c r="AI483" s="169">
        <f t="shared" si="970"/>
        <v>0</v>
      </c>
      <c r="AJ483" s="169">
        <f t="shared" si="970"/>
        <v>0</v>
      </c>
      <c r="AK483" s="169">
        <f t="shared" si="970"/>
        <v>0</v>
      </c>
      <c r="AL483" s="169">
        <f t="shared" si="970"/>
        <v>0</v>
      </c>
      <c r="AM483" s="169">
        <f t="shared" si="970"/>
        <v>0</v>
      </c>
      <c r="AN483" s="169">
        <f t="shared" si="970"/>
        <v>0</v>
      </c>
      <c r="AO483" s="169">
        <f t="shared" si="970"/>
        <v>0</v>
      </c>
      <c r="AP483" s="169">
        <f t="shared" si="970"/>
        <v>0</v>
      </c>
    </row>
    <row r="484" spans="1:42" x14ac:dyDescent="0.2">
      <c r="A484" s="187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</row>
    <row r="485" spans="1:42" x14ac:dyDescent="0.2">
      <c r="A485" s="187" t="s">
        <v>196</v>
      </c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</row>
    <row r="486" spans="1:42" x14ac:dyDescent="0.2">
      <c r="A486" s="101">
        <v>1</v>
      </c>
      <c r="B486" s="179">
        <f t="shared" ref="B486:B495" si="971">SUM(C486:AP486)</f>
        <v>2944872.3435013141</v>
      </c>
      <c r="C486" s="208">
        <f t="shared" ref="C486:AP486" si="972">LOOKUP(C474,$B$469:$AP$469,$B$470:$AP$470)*$B685</f>
        <v>0</v>
      </c>
      <c r="D486" s="169">
        <f t="shared" si="972"/>
        <v>0</v>
      </c>
      <c r="E486" s="169">
        <f t="shared" si="972"/>
        <v>0</v>
      </c>
      <c r="F486" s="169">
        <f t="shared" si="972"/>
        <v>0</v>
      </c>
      <c r="G486" s="169">
        <f t="shared" si="972"/>
        <v>0</v>
      </c>
      <c r="H486" s="169">
        <f t="shared" si="972"/>
        <v>0</v>
      </c>
      <c r="I486" s="169">
        <f t="shared" si="972"/>
        <v>0</v>
      </c>
      <c r="J486" s="169">
        <f t="shared" si="972"/>
        <v>0</v>
      </c>
      <c r="K486" s="169">
        <f t="shared" si="972"/>
        <v>0</v>
      </c>
      <c r="L486" s="169">
        <f t="shared" si="972"/>
        <v>0</v>
      </c>
      <c r="M486" s="169">
        <f t="shared" si="972"/>
        <v>0</v>
      </c>
      <c r="N486" s="169">
        <f t="shared" si="972"/>
        <v>588974.46870026283</v>
      </c>
      <c r="O486" s="169">
        <f t="shared" si="972"/>
        <v>942359.14992042049</v>
      </c>
      <c r="P486" s="169">
        <f t="shared" si="972"/>
        <v>565415.48995225236</v>
      </c>
      <c r="Q486" s="169">
        <f t="shared" si="972"/>
        <v>339249.29397135135</v>
      </c>
      <c r="R486" s="169">
        <f t="shared" si="972"/>
        <v>339249.29397135135</v>
      </c>
      <c r="S486" s="169">
        <f t="shared" si="972"/>
        <v>169624.64698567567</v>
      </c>
      <c r="T486" s="169">
        <f t="shared" si="972"/>
        <v>0</v>
      </c>
      <c r="U486" s="169">
        <f t="shared" si="972"/>
        <v>0</v>
      </c>
      <c r="V486" s="169">
        <f t="shared" si="972"/>
        <v>0</v>
      </c>
      <c r="W486" s="169">
        <f t="shared" si="972"/>
        <v>0</v>
      </c>
      <c r="X486" s="169">
        <f t="shared" si="972"/>
        <v>0</v>
      </c>
      <c r="Y486" s="169">
        <f t="shared" si="972"/>
        <v>0</v>
      </c>
      <c r="Z486" s="169">
        <f t="shared" si="972"/>
        <v>0</v>
      </c>
      <c r="AA486" s="169">
        <f t="shared" si="972"/>
        <v>0</v>
      </c>
      <c r="AB486" s="169">
        <f t="shared" si="972"/>
        <v>0</v>
      </c>
      <c r="AC486" s="169">
        <f t="shared" si="972"/>
        <v>0</v>
      </c>
      <c r="AD486" s="169">
        <f t="shared" si="972"/>
        <v>0</v>
      </c>
      <c r="AE486" s="169">
        <f t="shared" si="972"/>
        <v>0</v>
      </c>
      <c r="AF486" s="169">
        <f t="shared" si="972"/>
        <v>0</v>
      </c>
      <c r="AG486" s="169">
        <f t="shared" si="972"/>
        <v>0</v>
      </c>
      <c r="AH486" s="169">
        <f t="shared" si="972"/>
        <v>0</v>
      </c>
      <c r="AI486" s="169">
        <f t="shared" si="972"/>
        <v>0</v>
      </c>
      <c r="AJ486" s="169">
        <f t="shared" si="972"/>
        <v>0</v>
      </c>
      <c r="AK486" s="169">
        <f t="shared" si="972"/>
        <v>0</v>
      </c>
      <c r="AL486" s="169">
        <f t="shared" si="972"/>
        <v>0</v>
      </c>
      <c r="AM486" s="169">
        <f t="shared" si="972"/>
        <v>0</v>
      </c>
      <c r="AN486" s="169">
        <f t="shared" si="972"/>
        <v>0</v>
      </c>
      <c r="AO486" s="169">
        <f t="shared" si="972"/>
        <v>0</v>
      </c>
      <c r="AP486" s="169">
        <f t="shared" si="972"/>
        <v>0</v>
      </c>
    </row>
    <row r="487" spans="1:42" x14ac:dyDescent="0.2">
      <c r="A487" s="101">
        <f>A486+1</f>
        <v>2</v>
      </c>
      <c r="B487" s="179">
        <f t="shared" si="971"/>
        <v>3520942.886524681</v>
      </c>
      <c r="C487" s="208">
        <f t="shared" ref="C487:AP487" si="973">LOOKUP(C475,$B$469:$AP$469,$B$470:$AP$470)*$B686</f>
        <v>0</v>
      </c>
      <c r="D487" s="169">
        <f t="shared" si="973"/>
        <v>0</v>
      </c>
      <c r="E487" s="169">
        <f t="shared" si="973"/>
        <v>0</v>
      </c>
      <c r="F487" s="169">
        <f t="shared" si="973"/>
        <v>0</v>
      </c>
      <c r="G487" s="169">
        <f t="shared" si="973"/>
        <v>0</v>
      </c>
      <c r="H487" s="169">
        <f t="shared" si="973"/>
        <v>0</v>
      </c>
      <c r="I487" s="169">
        <f t="shared" si="973"/>
        <v>0</v>
      </c>
      <c r="J487" s="169">
        <f t="shared" si="973"/>
        <v>0</v>
      </c>
      <c r="K487" s="169">
        <f t="shared" si="973"/>
        <v>0</v>
      </c>
      <c r="L487" s="169">
        <f t="shared" si="973"/>
        <v>0</v>
      </c>
      <c r="M487" s="169">
        <f t="shared" si="973"/>
        <v>0</v>
      </c>
      <c r="N487" s="169">
        <f t="shared" si="973"/>
        <v>0</v>
      </c>
      <c r="O487" s="169">
        <f t="shared" si="973"/>
        <v>0</v>
      </c>
      <c r="P487" s="169">
        <f t="shared" si="973"/>
        <v>0</v>
      </c>
      <c r="Q487" s="169">
        <f t="shared" si="973"/>
        <v>0</v>
      </c>
      <c r="R487" s="169">
        <f t="shared" si="973"/>
        <v>0</v>
      </c>
      <c r="S487" s="169">
        <f t="shared" si="973"/>
        <v>0</v>
      </c>
      <c r="T487" s="169">
        <f t="shared" si="973"/>
        <v>0</v>
      </c>
      <c r="U487" s="169">
        <f t="shared" si="973"/>
        <v>0</v>
      </c>
      <c r="V487" s="169">
        <f t="shared" si="973"/>
        <v>0</v>
      </c>
      <c r="W487" s="169">
        <f t="shared" si="973"/>
        <v>0</v>
      </c>
      <c r="X487" s="169">
        <f t="shared" si="973"/>
        <v>0</v>
      </c>
      <c r="Y487" s="169">
        <f t="shared" si="973"/>
        <v>0</v>
      </c>
      <c r="Z487" s="169">
        <f t="shared" si="973"/>
        <v>704188.57730493625</v>
      </c>
      <c r="AA487" s="169">
        <f t="shared" si="973"/>
        <v>1126701.7236878979</v>
      </c>
      <c r="AB487" s="169">
        <f t="shared" si="973"/>
        <v>676021.03421273874</v>
      </c>
      <c r="AC487" s="169">
        <f t="shared" si="973"/>
        <v>405612.62052764324</v>
      </c>
      <c r="AD487" s="169">
        <f t="shared" si="973"/>
        <v>405612.62052764324</v>
      </c>
      <c r="AE487" s="169">
        <f t="shared" si="973"/>
        <v>202806.31026382162</v>
      </c>
      <c r="AF487" s="169">
        <f t="shared" si="973"/>
        <v>0</v>
      </c>
      <c r="AG487" s="169">
        <f t="shared" si="973"/>
        <v>0</v>
      </c>
      <c r="AH487" s="169">
        <f t="shared" si="973"/>
        <v>0</v>
      </c>
      <c r="AI487" s="169">
        <f t="shared" si="973"/>
        <v>0</v>
      </c>
      <c r="AJ487" s="169">
        <f t="shared" si="973"/>
        <v>0</v>
      </c>
      <c r="AK487" s="169">
        <f t="shared" si="973"/>
        <v>0</v>
      </c>
      <c r="AL487" s="169">
        <f t="shared" si="973"/>
        <v>0</v>
      </c>
      <c r="AM487" s="169">
        <f t="shared" si="973"/>
        <v>0</v>
      </c>
      <c r="AN487" s="169">
        <f t="shared" si="973"/>
        <v>0</v>
      </c>
      <c r="AO487" s="169">
        <f t="shared" si="973"/>
        <v>0</v>
      </c>
      <c r="AP487" s="169">
        <f t="shared" si="973"/>
        <v>0</v>
      </c>
    </row>
    <row r="488" spans="1:42" x14ac:dyDescent="0.2">
      <c r="A488" s="101">
        <f t="shared" ref="A488:A493" si="974">A487+1</f>
        <v>3</v>
      </c>
      <c r="B488" s="179">
        <f t="shared" si="971"/>
        <v>3967224.3859686418</v>
      </c>
      <c r="C488" s="208">
        <f t="shared" ref="C488:AP488" si="975">LOOKUP(C476,$B$469:$AP$469,$B$470:$AP$470)*$B687</f>
        <v>0</v>
      </c>
      <c r="D488" s="169">
        <f t="shared" si="975"/>
        <v>0</v>
      </c>
      <c r="E488" s="169">
        <f t="shared" si="975"/>
        <v>0</v>
      </c>
      <c r="F488" s="169">
        <f t="shared" si="975"/>
        <v>0</v>
      </c>
      <c r="G488" s="169">
        <f t="shared" si="975"/>
        <v>0</v>
      </c>
      <c r="H488" s="169">
        <f t="shared" si="975"/>
        <v>0</v>
      </c>
      <c r="I488" s="169">
        <f t="shared" si="975"/>
        <v>0</v>
      </c>
      <c r="J488" s="169">
        <f t="shared" si="975"/>
        <v>0</v>
      </c>
      <c r="K488" s="169">
        <f t="shared" si="975"/>
        <v>0</v>
      </c>
      <c r="L488" s="169">
        <f t="shared" si="975"/>
        <v>0</v>
      </c>
      <c r="M488" s="169">
        <f t="shared" si="975"/>
        <v>0</v>
      </c>
      <c r="N488" s="169">
        <f t="shared" si="975"/>
        <v>0</v>
      </c>
      <c r="O488" s="169">
        <f t="shared" si="975"/>
        <v>0</v>
      </c>
      <c r="P488" s="169">
        <f t="shared" si="975"/>
        <v>0</v>
      </c>
      <c r="Q488" s="169">
        <f t="shared" si="975"/>
        <v>0</v>
      </c>
      <c r="R488" s="169">
        <f t="shared" si="975"/>
        <v>0</v>
      </c>
      <c r="S488" s="169">
        <f t="shared" si="975"/>
        <v>0</v>
      </c>
      <c r="T488" s="169">
        <f t="shared" si="975"/>
        <v>0</v>
      </c>
      <c r="U488" s="169">
        <f t="shared" si="975"/>
        <v>0</v>
      </c>
      <c r="V488" s="169">
        <f t="shared" si="975"/>
        <v>0</v>
      </c>
      <c r="W488" s="169">
        <f t="shared" si="975"/>
        <v>0</v>
      </c>
      <c r="X488" s="169">
        <f t="shared" si="975"/>
        <v>0</v>
      </c>
      <c r="Y488" s="169">
        <f t="shared" si="975"/>
        <v>0</v>
      </c>
      <c r="Z488" s="169">
        <f t="shared" si="975"/>
        <v>0</v>
      </c>
      <c r="AA488" s="169">
        <f t="shared" si="975"/>
        <v>0</v>
      </c>
      <c r="AB488" s="169">
        <f t="shared" si="975"/>
        <v>0</v>
      </c>
      <c r="AC488" s="169">
        <f t="shared" si="975"/>
        <v>0</v>
      </c>
      <c r="AD488" s="169">
        <f t="shared" si="975"/>
        <v>0</v>
      </c>
      <c r="AE488" s="169">
        <f t="shared" si="975"/>
        <v>0</v>
      </c>
      <c r="AF488" s="169">
        <f t="shared" si="975"/>
        <v>0</v>
      </c>
      <c r="AG488" s="169">
        <f t="shared" si="975"/>
        <v>0</v>
      </c>
      <c r="AH488" s="169">
        <f t="shared" si="975"/>
        <v>0</v>
      </c>
      <c r="AI488" s="169">
        <f t="shared" si="975"/>
        <v>0</v>
      </c>
      <c r="AJ488" s="169">
        <f t="shared" si="975"/>
        <v>0</v>
      </c>
      <c r="AK488" s="169">
        <f t="shared" si="975"/>
        <v>0</v>
      </c>
      <c r="AL488" s="169">
        <f t="shared" si="975"/>
        <v>841940.65916142659</v>
      </c>
      <c r="AM488" s="169">
        <f t="shared" si="975"/>
        <v>1347105.0546582823</v>
      </c>
      <c r="AN488" s="169">
        <f t="shared" si="975"/>
        <v>808263.03279496951</v>
      </c>
      <c r="AO488" s="169">
        <f t="shared" si="975"/>
        <v>484957.81967698166</v>
      </c>
      <c r="AP488" s="169">
        <f t="shared" si="975"/>
        <v>484957.81967698166</v>
      </c>
    </row>
    <row r="489" spans="1:42" x14ac:dyDescent="0.2">
      <c r="A489" s="101">
        <f t="shared" si="974"/>
        <v>4</v>
      </c>
      <c r="B489" s="179">
        <f t="shared" si="971"/>
        <v>0</v>
      </c>
      <c r="C489" s="208">
        <f t="shared" ref="C489:AP489" si="976">LOOKUP(C477,$B$469:$AP$469,$B$470:$AP$470)*$B688</f>
        <v>0</v>
      </c>
      <c r="D489" s="169">
        <f t="shared" si="976"/>
        <v>0</v>
      </c>
      <c r="E489" s="169">
        <f t="shared" si="976"/>
        <v>0</v>
      </c>
      <c r="F489" s="169">
        <f t="shared" si="976"/>
        <v>0</v>
      </c>
      <c r="G489" s="169">
        <f t="shared" si="976"/>
        <v>0</v>
      </c>
      <c r="H489" s="169">
        <f t="shared" si="976"/>
        <v>0</v>
      </c>
      <c r="I489" s="169">
        <f t="shared" si="976"/>
        <v>0</v>
      </c>
      <c r="J489" s="169">
        <f t="shared" si="976"/>
        <v>0</v>
      </c>
      <c r="K489" s="169">
        <f t="shared" si="976"/>
        <v>0</v>
      </c>
      <c r="L489" s="169">
        <f t="shared" si="976"/>
        <v>0</v>
      </c>
      <c r="M489" s="169">
        <f t="shared" si="976"/>
        <v>0</v>
      </c>
      <c r="N489" s="169">
        <f t="shared" si="976"/>
        <v>0</v>
      </c>
      <c r="O489" s="169">
        <f t="shared" si="976"/>
        <v>0</v>
      </c>
      <c r="P489" s="169">
        <f t="shared" si="976"/>
        <v>0</v>
      </c>
      <c r="Q489" s="169">
        <f t="shared" si="976"/>
        <v>0</v>
      </c>
      <c r="R489" s="169">
        <f t="shared" si="976"/>
        <v>0</v>
      </c>
      <c r="S489" s="169">
        <f t="shared" si="976"/>
        <v>0</v>
      </c>
      <c r="T489" s="169">
        <f t="shared" si="976"/>
        <v>0</v>
      </c>
      <c r="U489" s="169">
        <f t="shared" si="976"/>
        <v>0</v>
      </c>
      <c r="V489" s="169">
        <f t="shared" si="976"/>
        <v>0</v>
      </c>
      <c r="W489" s="169">
        <f t="shared" si="976"/>
        <v>0</v>
      </c>
      <c r="X489" s="169">
        <f t="shared" si="976"/>
        <v>0</v>
      </c>
      <c r="Y489" s="169">
        <f t="shared" si="976"/>
        <v>0</v>
      </c>
      <c r="Z489" s="169">
        <f t="shared" si="976"/>
        <v>0</v>
      </c>
      <c r="AA489" s="169">
        <f t="shared" si="976"/>
        <v>0</v>
      </c>
      <c r="AB489" s="169">
        <f t="shared" si="976"/>
        <v>0</v>
      </c>
      <c r="AC489" s="169">
        <f t="shared" si="976"/>
        <v>0</v>
      </c>
      <c r="AD489" s="169">
        <f t="shared" si="976"/>
        <v>0</v>
      </c>
      <c r="AE489" s="169">
        <f t="shared" si="976"/>
        <v>0</v>
      </c>
      <c r="AF489" s="169">
        <f t="shared" si="976"/>
        <v>0</v>
      </c>
      <c r="AG489" s="169">
        <f t="shared" si="976"/>
        <v>0</v>
      </c>
      <c r="AH489" s="169">
        <f t="shared" si="976"/>
        <v>0</v>
      </c>
      <c r="AI489" s="169">
        <f t="shared" si="976"/>
        <v>0</v>
      </c>
      <c r="AJ489" s="169">
        <f t="shared" si="976"/>
        <v>0</v>
      </c>
      <c r="AK489" s="169">
        <f t="shared" si="976"/>
        <v>0</v>
      </c>
      <c r="AL489" s="169">
        <f t="shared" si="976"/>
        <v>0</v>
      </c>
      <c r="AM489" s="169">
        <f t="shared" si="976"/>
        <v>0</v>
      </c>
      <c r="AN489" s="169">
        <f t="shared" si="976"/>
        <v>0</v>
      </c>
      <c r="AO489" s="169">
        <f t="shared" si="976"/>
        <v>0</v>
      </c>
      <c r="AP489" s="169">
        <f t="shared" si="976"/>
        <v>0</v>
      </c>
    </row>
    <row r="490" spans="1:42" x14ac:dyDescent="0.2">
      <c r="A490" s="101">
        <f t="shared" si="974"/>
        <v>5</v>
      </c>
      <c r="B490" s="179">
        <f t="shared" si="971"/>
        <v>0</v>
      </c>
      <c r="C490" s="208">
        <f t="shared" ref="C490:AP490" si="977">LOOKUP(C478,$B$469:$AP$469,$B$470:$AP$470)*$B689</f>
        <v>0</v>
      </c>
      <c r="D490" s="169">
        <f t="shared" si="977"/>
        <v>0</v>
      </c>
      <c r="E490" s="169">
        <f t="shared" si="977"/>
        <v>0</v>
      </c>
      <c r="F490" s="169">
        <f t="shared" si="977"/>
        <v>0</v>
      </c>
      <c r="G490" s="169">
        <f t="shared" si="977"/>
        <v>0</v>
      </c>
      <c r="H490" s="169">
        <f t="shared" si="977"/>
        <v>0</v>
      </c>
      <c r="I490" s="169">
        <f t="shared" si="977"/>
        <v>0</v>
      </c>
      <c r="J490" s="169">
        <f t="shared" si="977"/>
        <v>0</v>
      </c>
      <c r="K490" s="169">
        <f t="shared" si="977"/>
        <v>0</v>
      </c>
      <c r="L490" s="169">
        <f t="shared" si="977"/>
        <v>0</v>
      </c>
      <c r="M490" s="169">
        <f t="shared" si="977"/>
        <v>0</v>
      </c>
      <c r="N490" s="169">
        <f t="shared" si="977"/>
        <v>0</v>
      </c>
      <c r="O490" s="169">
        <f t="shared" si="977"/>
        <v>0</v>
      </c>
      <c r="P490" s="169">
        <f t="shared" si="977"/>
        <v>0</v>
      </c>
      <c r="Q490" s="169">
        <f t="shared" si="977"/>
        <v>0</v>
      </c>
      <c r="R490" s="169">
        <f t="shared" si="977"/>
        <v>0</v>
      </c>
      <c r="S490" s="169">
        <f t="shared" si="977"/>
        <v>0</v>
      </c>
      <c r="T490" s="169">
        <f t="shared" si="977"/>
        <v>0</v>
      </c>
      <c r="U490" s="169">
        <f t="shared" si="977"/>
        <v>0</v>
      </c>
      <c r="V490" s="169">
        <f t="shared" si="977"/>
        <v>0</v>
      </c>
      <c r="W490" s="169">
        <f t="shared" si="977"/>
        <v>0</v>
      </c>
      <c r="X490" s="169">
        <f t="shared" si="977"/>
        <v>0</v>
      </c>
      <c r="Y490" s="169">
        <f t="shared" si="977"/>
        <v>0</v>
      </c>
      <c r="Z490" s="169">
        <f t="shared" si="977"/>
        <v>0</v>
      </c>
      <c r="AA490" s="169">
        <f t="shared" si="977"/>
        <v>0</v>
      </c>
      <c r="AB490" s="169">
        <f t="shared" si="977"/>
        <v>0</v>
      </c>
      <c r="AC490" s="169">
        <f t="shared" si="977"/>
        <v>0</v>
      </c>
      <c r="AD490" s="169">
        <f t="shared" si="977"/>
        <v>0</v>
      </c>
      <c r="AE490" s="169">
        <f t="shared" si="977"/>
        <v>0</v>
      </c>
      <c r="AF490" s="169">
        <f t="shared" si="977"/>
        <v>0</v>
      </c>
      <c r="AG490" s="169">
        <f t="shared" si="977"/>
        <v>0</v>
      </c>
      <c r="AH490" s="169">
        <f t="shared" si="977"/>
        <v>0</v>
      </c>
      <c r="AI490" s="169">
        <f t="shared" si="977"/>
        <v>0</v>
      </c>
      <c r="AJ490" s="169">
        <f t="shared" si="977"/>
        <v>0</v>
      </c>
      <c r="AK490" s="169">
        <f t="shared" si="977"/>
        <v>0</v>
      </c>
      <c r="AL490" s="169">
        <f t="shared" si="977"/>
        <v>0</v>
      </c>
      <c r="AM490" s="169">
        <f t="shared" si="977"/>
        <v>0</v>
      </c>
      <c r="AN490" s="169">
        <f t="shared" si="977"/>
        <v>0</v>
      </c>
      <c r="AO490" s="169">
        <f t="shared" si="977"/>
        <v>0</v>
      </c>
      <c r="AP490" s="169">
        <f t="shared" si="977"/>
        <v>0</v>
      </c>
    </row>
    <row r="491" spans="1:42" x14ac:dyDescent="0.2">
      <c r="A491" s="101">
        <f t="shared" si="974"/>
        <v>6</v>
      </c>
      <c r="B491" s="179">
        <f t="shared" si="971"/>
        <v>0</v>
      </c>
      <c r="C491" s="208">
        <f t="shared" ref="C491:AP491" si="978">LOOKUP(C479,$B$469:$AP$469,$B$470:$AP$470)*$B690</f>
        <v>0</v>
      </c>
      <c r="D491" s="169">
        <f t="shared" si="978"/>
        <v>0</v>
      </c>
      <c r="E491" s="169">
        <f t="shared" si="978"/>
        <v>0</v>
      </c>
      <c r="F491" s="169">
        <f t="shared" si="978"/>
        <v>0</v>
      </c>
      <c r="G491" s="169">
        <f t="shared" si="978"/>
        <v>0</v>
      </c>
      <c r="H491" s="169">
        <f t="shared" si="978"/>
        <v>0</v>
      </c>
      <c r="I491" s="169">
        <f t="shared" si="978"/>
        <v>0</v>
      </c>
      <c r="J491" s="169">
        <f t="shared" si="978"/>
        <v>0</v>
      </c>
      <c r="K491" s="169">
        <f t="shared" si="978"/>
        <v>0</v>
      </c>
      <c r="L491" s="169">
        <f t="shared" si="978"/>
        <v>0</v>
      </c>
      <c r="M491" s="169">
        <f t="shared" si="978"/>
        <v>0</v>
      </c>
      <c r="N491" s="169">
        <f t="shared" si="978"/>
        <v>0</v>
      </c>
      <c r="O491" s="169">
        <f t="shared" si="978"/>
        <v>0</v>
      </c>
      <c r="P491" s="169">
        <f t="shared" si="978"/>
        <v>0</v>
      </c>
      <c r="Q491" s="169">
        <f t="shared" si="978"/>
        <v>0</v>
      </c>
      <c r="R491" s="169">
        <f t="shared" si="978"/>
        <v>0</v>
      </c>
      <c r="S491" s="169">
        <f t="shared" si="978"/>
        <v>0</v>
      </c>
      <c r="T491" s="169">
        <f t="shared" si="978"/>
        <v>0</v>
      </c>
      <c r="U491" s="169">
        <f t="shared" si="978"/>
        <v>0</v>
      </c>
      <c r="V491" s="169">
        <f t="shared" si="978"/>
        <v>0</v>
      </c>
      <c r="W491" s="169">
        <f t="shared" si="978"/>
        <v>0</v>
      </c>
      <c r="X491" s="169">
        <f t="shared" si="978"/>
        <v>0</v>
      </c>
      <c r="Y491" s="169">
        <f t="shared" si="978"/>
        <v>0</v>
      </c>
      <c r="Z491" s="169">
        <f t="shared" si="978"/>
        <v>0</v>
      </c>
      <c r="AA491" s="169">
        <f t="shared" si="978"/>
        <v>0</v>
      </c>
      <c r="AB491" s="169">
        <f t="shared" si="978"/>
        <v>0</v>
      </c>
      <c r="AC491" s="169">
        <f t="shared" si="978"/>
        <v>0</v>
      </c>
      <c r="AD491" s="169">
        <f t="shared" si="978"/>
        <v>0</v>
      </c>
      <c r="AE491" s="169">
        <f t="shared" si="978"/>
        <v>0</v>
      </c>
      <c r="AF491" s="169">
        <f t="shared" si="978"/>
        <v>0</v>
      </c>
      <c r="AG491" s="169">
        <f t="shared" si="978"/>
        <v>0</v>
      </c>
      <c r="AH491" s="169">
        <f t="shared" si="978"/>
        <v>0</v>
      </c>
      <c r="AI491" s="169">
        <f t="shared" si="978"/>
        <v>0</v>
      </c>
      <c r="AJ491" s="169">
        <f t="shared" si="978"/>
        <v>0</v>
      </c>
      <c r="AK491" s="169">
        <f t="shared" si="978"/>
        <v>0</v>
      </c>
      <c r="AL491" s="169">
        <f t="shared" si="978"/>
        <v>0</v>
      </c>
      <c r="AM491" s="169">
        <f t="shared" si="978"/>
        <v>0</v>
      </c>
      <c r="AN491" s="169">
        <f t="shared" si="978"/>
        <v>0</v>
      </c>
      <c r="AO491" s="169">
        <f t="shared" si="978"/>
        <v>0</v>
      </c>
      <c r="AP491" s="169">
        <f t="shared" si="978"/>
        <v>0</v>
      </c>
    </row>
    <row r="492" spans="1:42" x14ac:dyDescent="0.2">
      <c r="A492" s="101">
        <f t="shared" si="974"/>
        <v>7</v>
      </c>
      <c r="B492" s="179">
        <f t="shared" si="971"/>
        <v>0</v>
      </c>
      <c r="C492" s="208">
        <f t="shared" ref="C492:AP492" si="979">LOOKUP(C480,$B$469:$AP$469,$B$470:$AP$470)*$B691</f>
        <v>0</v>
      </c>
      <c r="D492" s="169">
        <f t="shared" si="979"/>
        <v>0</v>
      </c>
      <c r="E492" s="169">
        <f t="shared" si="979"/>
        <v>0</v>
      </c>
      <c r="F492" s="169">
        <f t="shared" si="979"/>
        <v>0</v>
      </c>
      <c r="G492" s="169">
        <f t="shared" si="979"/>
        <v>0</v>
      </c>
      <c r="H492" s="169">
        <f t="shared" si="979"/>
        <v>0</v>
      </c>
      <c r="I492" s="169">
        <f t="shared" si="979"/>
        <v>0</v>
      </c>
      <c r="J492" s="169">
        <f t="shared" si="979"/>
        <v>0</v>
      </c>
      <c r="K492" s="169">
        <f t="shared" si="979"/>
        <v>0</v>
      </c>
      <c r="L492" s="169">
        <f t="shared" si="979"/>
        <v>0</v>
      </c>
      <c r="M492" s="169">
        <f t="shared" si="979"/>
        <v>0</v>
      </c>
      <c r="N492" s="169">
        <f t="shared" si="979"/>
        <v>0</v>
      </c>
      <c r="O492" s="169">
        <f t="shared" si="979"/>
        <v>0</v>
      </c>
      <c r="P492" s="169">
        <f t="shared" si="979"/>
        <v>0</v>
      </c>
      <c r="Q492" s="169">
        <f t="shared" si="979"/>
        <v>0</v>
      </c>
      <c r="R492" s="169">
        <f t="shared" si="979"/>
        <v>0</v>
      </c>
      <c r="S492" s="169">
        <f t="shared" si="979"/>
        <v>0</v>
      </c>
      <c r="T492" s="169">
        <f t="shared" si="979"/>
        <v>0</v>
      </c>
      <c r="U492" s="169">
        <f t="shared" si="979"/>
        <v>0</v>
      </c>
      <c r="V492" s="169">
        <f t="shared" si="979"/>
        <v>0</v>
      </c>
      <c r="W492" s="169">
        <f t="shared" si="979"/>
        <v>0</v>
      </c>
      <c r="X492" s="169">
        <f t="shared" si="979"/>
        <v>0</v>
      </c>
      <c r="Y492" s="169">
        <f t="shared" si="979"/>
        <v>0</v>
      </c>
      <c r="Z492" s="169">
        <f t="shared" si="979"/>
        <v>0</v>
      </c>
      <c r="AA492" s="169">
        <f t="shared" si="979"/>
        <v>0</v>
      </c>
      <c r="AB492" s="169">
        <f t="shared" si="979"/>
        <v>0</v>
      </c>
      <c r="AC492" s="169">
        <f t="shared" si="979"/>
        <v>0</v>
      </c>
      <c r="AD492" s="169">
        <f t="shared" si="979"/>
        <v>0</v>
      </c>
      <c r="AE492" s="169">
        <f t="shared" si="979"/>
        <v>0</v>
      </c>
      <c r="AF492" s="169">
        <f t="shared" si="979"/>
        <v>0</v>
      </c>
      <c r="AG492" s="169">
        <f t="shared" si="979"/>
        <v>0</v>
      </c>
      <c r="AH492" s="169">
        <f t="shared" si="979"/>
        <v>0</v>
      </c>
      <c r="AI492" s="169">
        <f t="shared" si="979"/>
        <v>0</v>
      </c>
      <c r="AJ492" s="169">
        <f t="shared" si="979"/>
        <v>0</v>
      </c>
      <c r="AK492" s="169">
        <f t="shared" si="979"/>
        <v>0</v>
      </c>
      <c r="AL492" s="169">
        <f t="shared" si="979"/>
        <v>0</v>
      </c>
      <c r="AM492" s="169">
        <f t="shared" si="979"/>
        <v>0</v>
      </c>
      <c r="AN492" s="169">
        <f t="shared" si="979"/>
        <v>0</v>
      </c>
      <c r="AO492" s="169">
        <f t="shared" si="979"/>
        <v>0</v>
      </c>
      <c r="AP492" s="169">
        <f t="shared" si="979"/>
        <v>0</v>
      </c>
    </row>
    <row r="493" spans="1:42" x14ac:dyDescent="0.2">
      <c r="A493" s="101">
        <f t="shared" si="974"/>
        <v>8</v>
      </c>
      <c r="B493" s="179">
        <f t="shared" si="971"/>
        <v>0</v>
      </c>
      <c r="C493" s="208">
        <f t="shared" ref="C493:AP493" si="980">LOOKUP(C481,$B$469:$AP$469,$B$470:$AP$470)*$B692</f>
        <v>0</v>
      </c>
      <c r="D493" s="169">
        <f t="shared" si="980"/>
        <v>0</v>
      </c>
      <c r="E493" s="169">
        <f t="shared" si="980"/>
        <v>0</v>
      </c>
      <c r="F493" s="169">
        <f t="shared" si="980"/>
        <v>0</v>
      </c>
      <c r="G493" s="169">
        <f t="shared" si="980"/>
        <v>0</v>
      </c>
      <c r="H493" s="169">
        <f t="shared" si="980"/>
        <v>0</v>
      </c>
      <c r="I493" s="169">
        <f t="shared" si="980"/>
        <v>0</v>
      </c>
      <c r="J493" s="169">
        <f t="shared" si="980"/>
        <v>0</v>
      </c>
      <c r="K493" s="169">
        <f t="shared" si="980"/>
        <v>0</v>
      </c>
      <c r="L493" s="169">
        <f t="shared" si="980"/>
        <v>0</v>
      </c>
      <c r="M493" s="169">
        <f t="shared" si="980"/>
        <v>0</v>
      </c>
      <c r="N493" s="169">
        <f t="shared" si="980"/>
        <v>0</v>
      </c>
      <c r="O493" s="169">
        <f t="shared" si="980"/>
        <v>0</v>
      </c>
      <c r="P493" s="169">
        <f t="shared" si="980"/>
        <v>0</v>
      </c>
      <c r="Q493" s="169">
        <f t="shared" si="980"/>
        <v>0</v>
      </c>
      <c r="R493" s="169">
        <f t="shared" si="980"/>
        <v>0</v>
      </c>
      <c r="S493" s="169">
        <f t="shared" si="980"/>
        <v>0</v>
      </c>
      <c r="T493" s="169">
        <f t="shared" si="980"/>
        <v>0</v>
      </c>
      <c r="U493" s="169">
        <f t="shared" si="980"/>
        <v>0</v>
      </c>
      <c r="V493" s="169">
        <f t="shared" si="980"/>
        <v>0</v>
      </c>
      <c r="W493" s="169">
        <f t="shared" si="980"/>
        <v>0</v>
      </c>
      <c r="X493" s="169">
        <f t="shared" si="980"/>
        <v>0</v>
      </c>
      <c r="Y493" s="169">
        <f t="shared" si="980"/>
        <v>0</v>
      </c>
      <c r="Z493" s="169">
        <f t="shared" si="980"/>
        <v>0</v>
      </c>
      <c r="AA493" s="169">
        <f t="shared" si="980"/>
        <v>0</v>
      </c>
      <c r="AB493" s="169">
        <f t="shared" si="980"/>
        <v>0</v>
      </c>
      <c r="AC493" s="169">
        <f t="shared" si="980"/>
        <v>0</v>
      </c>
      <c r="AD493" s="169">
        <f t="shared" si="980"/>
        <v>0</v>
      </c>
      <c r="AE493" s="169">
        <f t="shared" si="980"/>
        <v>0</v>
      </c>
      <c r="AF493" s="169">
        <f t="shared" si="980"/>
        <v>0</v>
      </c>
      <c r="AG493" s="169">
        <f t="shared" si="980"/>
        <v>0</v>
      </c>
      <c r="AH493" s="169">
        <f t="shared" si="980"/>
        <v>0</v>
      </c>
      <c r="AI493" s="169">
        <f t="shared" si="980"/>
        <v>0</v>
      </c>
      <c r="AJ493" s="169">
        <f t="shared" si="980"/>
        <v>0</v>
      </c>
      <c r="AK493" s="169">
        <f t="shared" si="980"/>
        <v>0</v>
      </c>
      <c r="AL493" s="169">
        <f t="shared" si="980"/>
        <v>0</v>
      </c>
      <c r="AM493" s="169">
        <f t="shared" si="980"/>
        <v>0</v>
      </c>
      <c r="AN493" s="169">
        <f t="shared" si="980"/>
        <v>0</v>
      </c>
      <c r="AO493" s="169">
        <f t="shared" si="980"/>
        <v>0</v>
      </c>
      <c r="AP493" s="169">
        <f t="shared" si="980"/>
        <v>0</v>
      </c>
    </row>
    <row r="494" spans="1:42" x14ac:dyDescent="0.2">
      <c r="A494" s="101">
        <f>A493+1</f>
        <v>9</v>
      </c>
      <c r="B494" s="179">
        <f t="shared" si="971"/>
        <v>0</v>
      </c>
      <c r="C494" s="208">
        <f t="shared" ref="C494:AP494" si="981">LOOKUP(C482,$B$469:$AP$469,$B$470:$AP$470)*$B693</f>
        <v>0</v>
      </c>
      <c r="D494" s="169">
        <f t="shared" si="981"/>
        <v>0</v>
      </c>
      <c r="E494" s="169">
        <f t="shared" si="981"/>
        <v>0</v>
      </c>
      <c r="F494" s="169">
        <f t="shared" si="981"/>
        <v>0</v>
      </c>
      <c r="G494" s="169">
        <f t="shared" si="981"/>
        <v>0</v>
      </c>
      <c r="H494" s="169">
        <f t="shared" si="981"/>
        <v>0</v>
      </c>
      <c r="I494" s="169">
        <f t="shared" si="981"/>
        <v>0</v>
      </c>
      <c r="J494" s="169">
        <f t="shared" si="981"/>
        <v>0</v>
      </c>
      <c r="K494" s="169">
        <f t="shared" si="981"/>
        <v>0</v>
      </c>
      <c r="L494" s="169">
        <f t="shared" si="981"/>
        <v>0</v>
      </c>
      <c r="M494" s="169">
        <f t="shared" si="981"/>
        <v>0</v>
      </c>
      <c r="N494" s="169">
        <f t="shared" si="981"/>
        <v>0</v>
      </c>
      <c r="O494" s="169">
        <f t="shared" si="981"/>
        <v>0</v>
      </c>
      <c r="P494" s="169">
        <f t="shared" si="981"/>
        <v>0</v>
      </c>
      <c r="Q494" s="169">
        <f t="shared" si="981"/>
        <v>0</v>
      </c>
      <c r="R494" s="169">
        <f t="shared" si="981"/>
        <v>0</v>
      </c>
      <c r="S494" s="169">
        <f t="shared" si="981"/>
        <v>0</v>
      </c>
      <c r="T494" s="169">
        <f t="shared" si="981"/>
        <v>0</v>
      </c>
      <c r="U494" s="169">
        <f t="shared" si="981"/>
        <v>0</v>
      </c>
      <c r="V494" s="169">
        <f t="shared" si="981"/>
        <v>0</v>
      </c>
      <c r="W494" s="169">
        <f t="shared" si="981"/>
        <v>0</v>
      </c>
      <c r="X494" s="169">
        <f t="shared" si="981"/>
        <v>0</v>
      </c>
      <c r="Y494" s="169">
        <f t="shared" si="981"/>
        <v>0</v>
      </c>
      <c r="Z494" s="169">
        <f t="shared" si="981"/>
        <v>0</v>
      </c>
      <c r="AA494" s="169">
        <f t="shared" si="981"/>
        <v>0</v>
      </c>
      <c r="AB494" s="169">
        <f t="shared" si="981"/>
        <v>0</v>
      </c>
      <c r="AC494" s="169">
        <f t="shared" si="981"/>
        <v>0</v>
      </c>
      <c r="AD494" s="169">
        <f t="shared" si="981"/>
        <v>0</v>
      </c>
      <c r="AE494" s="169">
        <f t="shared" si="981"/>
        <v>0</v>
      </c>
      <c r="AF494" s="169">
        <f t="shared" si="981"/>
        <v>0</v>
      </c>
      <c r="AG494" s="169">
        <f t="shared" si="981"/>
        <v>0</v>
      </c>
      <c r="AH494" s="169">
        <f t="shared" si="981"/>
        <v>0</v>
      </c>
      <c r="AI494" s="169">
        <f t="shared" si="981"/>
        <v>0</v>
      </c>
      <c r="AJ494" s="169">
        <f t="shared" si="981"/>
        <v>0</v>
      </c>
      <c r="AK494" s="169">
        <f t="shared" si="981"/>
        <v>0</v>
      </c>
      <c r="AL494" s="169">
        <f t="shared" si="981"/>
        <v>0</v>
      </c>
      <c r="AM494" s="169">
        <f t="shared" si="981"/>
        <v>0</v>
      </c>
      <c r="AN494" s="169">
        <f t="shared" si="981"/>
        <v>0</v>
      </c>
      <c r="AO494" s="169">
        <f t="shared" si="981"/>
        <v>0</v>
      </c>
      <c r="AP494" s="169">
        <f t="shared" si="981"/>
        <v>0</v>
      </c>
    </row>
    <row r="495" spans="1:42" x14ac:dyDescent="0.2">
      <c r="A495" s="101">
        <f t="shared" ref="A495" si="982">A494+1</f>
        <v>10</v>
      </c>
      <c r="B495" s="179">
        <f t="shared" si="971"/>
        <v>0</v>
      </c>
      <c r="C495" s="204">
        <f t="shared" ref="C495:AP495" si="983">LOOKUP(C483,$B$469:$AP$469,$B$470:$AP$470)*$B694</f>
        <v>0</v>
      </c>
      <c r="D495" s="170">
        <f t="shared" si="983"/>
        <v>0</v>
      </c>
      <c r="E495" s="170">
        <f t="shared" si="983"/>
        <v>0</v>
      </c>
      <c r="F495" s="170">
        <f t="shared" si="983"/>
        <v>0</v>
      </c>
      <c r="G495" s="170">
        <f t="shared" si="983"/>
        <v>0</v>
      </c>
      <c r="H495" s="170">
        <f t="shared" si="983"/>
        <v>0</v>
      </c>
      <c r="I495" s="170">
        <f t="shared" si="983"/>
        <v>0</v>
      </c>
      <c r="J495" s="170">
        <f t="shared" si="983"/>
        <v>0</v>
      </c>
      <c r="K495" s="170">
        <f t="shared" si="983"/>
        <v>0</v>
      </c>
      <c r="L495" s="170">
        <f t="shared" si="983"/>
        <v>0</v>
      </c>
      <c r="M495" s="170">
        <f t="shared" si="983"/>
        <v>0</v>
      </c>
      <c r="N495" s="170">
        <f t="shared" si="983"/>
        <v>0</v>
      </c>
      <c r="O495" s="170">
        <f t="shared" si="983"/>
        <v>0</v>
      </c>
      <c r="P495" s="170">
        <f t="shared" si="983"/>
        <v>0</v>
      </c>
      <c r="Q495" s="170">
        <f t="shared" si="983"/>
        <v>0</v>
      </c>
      <c r="R495" s="170">
        <f t="shared" si="983"/>
        <v>0</v>
      </c>
      <c r="S495" s="170">
        <f t="shared" si="983"/>
        <v>0</v>
      </c>
      <c r="T495" s="170">
        <f t="shared" si="983"/>
        <v>0</v>
      </c>
      <c r="U495" s="170">
        <f t="shared" si="983"/>
        <v>0</v>
      </c>
      <c r="V495" s="170">
        <f t="shared" si="983"/>
        <v>0</v>
      </c>
      <c r="W495" s="170">
        <f t="shared" si="983"/>
        <v>0</v>
      </c>
      <c r="X495" s="170">
        <f t="shared" si="983"/>
        <v>0</v>
      </c>
      <c r="Y495" s="170">
        <f t="shared" si="983"/>
        <v>0</v>
      </c>
      <c r="Z495" s="170">
        <f t="shared" si="983"/>
        <v>0</v>
      </c>
      <c r="AA495" s="170">
        <f t="shared" si="983"/>
        <v>0</v>
      </c>
      <c r="AB495" s="170">
        <f t="shared" si="983"/>
        <v>0</v>
      </c>
      <c r="AC495" s="170">
        <f t="shared" si="983"/>
        <v>0</v>
      </c>
      <c r="AD495" s="170">
        <f t="shared" si="983"/>
        <v>0</v>
      </c>
      <c r="AE495" s="170">
        <f t="shared" si="983"/>
        <v>0</v>
      </c>
      <c r="AF495" s="170">
        <f t="shared" si="983"/>
        <v>0</v>
      </c>
      <c r="AG495" s="170">
        <f t="shared" si="983"/>
        <v>0</v>
      </c>
      <c r="AH495" s="170">
        <f t="shared" si="983"/>
        <v>0</v>
      </c>
      <c r="AI495" s="170">
        <f t="shared" si="983"/>
        <v>0</v>
      </c>
      <c r="AJ495" s="170">
        <f t="shared" si="983"/>
        <v>0</v>
      </c>
      <c r="AK495" s="170">
        <f t="shared" si="983"/>
        <v>0</v>
      </c>
      <c r="AL495" s="170">
        <f t="shared" si="983"/>
        <v>0</v>
      </c>
      <c r="AM495" s="170">
        <f t="shared" si="983"/>
        <v>0</v>
      </c>
      <c r="AN495" s="170">
        <f t="shared" si="983"/>
        <v>0</v>
      </c>
      <c r="AO495" s="170">
        <f t="shared" si="983"/>
        <v>0</v>
      </c>
      <c r="AP495" s="170">
        <f t="shared" si="983"/>
        <v>0</v>
      </c>
    </row>
    <row r="496" spans="1:42" s="101" customFormat="1" x14ac:dyDescent="0.2">
      <c r="A496" s="205" t="s">
        <v>53</v>
      </c>
      <c r="B496" s="124"/>
      <c r="C496" s="124">
        <f>SUM(C486:C495)</f>
        <v>0</v>
      </c>
      <c r="D496" s="124">
        <f t="shared" ref="D496" si="984">SUM(D486:D495)</f>
        <v>0</v>
      </c>
      <c r="E496" s="124">
        <f t="shared" ref="E496" si="985">SUM(E486:E495)</f>
        <v>0</v>
      </c>
      <c r="F496" s="124">
        <f t="shared" ref="F496" si="986">SUM(F486:F495)</f>
        <v>0</v>
      </c>
      <c r="G496" s="124">
        <f t="shared" ref="G496" si="987">SUM(G486:G495)</f>
        <v>0</v>
      </c>
      <c r="H496" s="124">
        <f t="shared" ref="H496" si="988">SUM(H486:H495)</f>
        <v>0</v>
      </c>
      <c r="I496" s="124">
        <f t="shared" ref="I496" si="989">SUM(I486:I495)</f>
        <v>0</v>
      </c>
      <c r="J496" s="124">
        <f t="shared" ref="J496" si="990">SUM(J486:J495)</f>
        <v>0</v>
      </c>
      <c r="K496" s="124">
        <f t="shared" ref="K496" si="991">SUM(K486:K495)</f>
        <v>0</v>
      </c>
      <c r="L496" s="124">
        <f t="shared" ref="L496" si="992">SUM(L486:L495)</f>
        <v>0</v>
      </c>
      <c r="M496" s="124">
        <f t="shared" ref="M496" si="993">SUM(M486:M495)</f>
        <v>0</v>
      </c>
      <c r="N496" s="124">
        <f t="shared" ref="N496" si="994">SUM(N486:N495)</f>
        <v>588974.46870026283</v>
      </c>
      <c r="O496" s="124">
        <f t="shared" ref="O496" si="995">SUM(O486:O495)</f>
        <v>942359.14992042049</v>
      </c>
      <c r="P496" s="124">
        <f t="shared" ref="P496" si="996">SUM(P486:P495)</f>
        <v>565415.48995225236</v>
      </c>
      <c r="Q496" s="124">
        <f t="shared" ref="Q496" si="997">SUM(Q486:Q495)</f>
        <v>339249.29397135135</v>
      </c>
      <c r="R496" s="124">
        <f t="shared" ref="R496" si="998">SUM(R486:R495)</f>
        <v>339249.29397135135</v>
      </c>
      <c r="S496" s="124">
        <f t="shared" ref="S496" si="999">SUM(S486:S495)</f>
        <v>169624.64698567567</v>
      </c>
      <c r="T496" s="124">
        <f t="shared" ref="T496" si="1000">SUM(T486:T495)</f>
        <v>0</v>
      </c>
      <c r="U496" s="124">
        <f t="shared" ref="U496" si="1001">SUM(U486:U495)</f>
        <v>0</v>
      </c>
      <c r="V496" s="124">
        <f t="shared" ref="V496" si="1002">SUM(V486:V495)</f>
        <v>0</v>
      </c>
      <c r="W496" s="124">
        <f t="shared" ref="W496" si="1003">SUM(W486:W495)</f>
        <v>0</v>
      </c>
      <c r="X496" s="124">
        <f t="shared" ref="X496" si="1004">SUM(X486:X495)</f>
        <v>0</v>
      </c>
      <c r="Y496" s="124">
        <f t="shared" ref="Y496" si="1005">SUM(Y486:Y495)</f>
        <v>0</v>
      </c>
      <c r="Z496" s="124">
        <f t="shared" ref="Z496" si="1006">SUM(Z486:Z495)</f>
        <v>704188.57730493625</v>
      </c>
      <c r="AA496" s="124">
        <f t="shared" ref="AA496" si="1007">SUM(AA486:AA495)</f>
        <v>1126701.7236878979</v>
      </c>
      <c r="AB496" s="124">
        <f t="shared" ref="AB496" si="1008">SUM(AB486:AB495)</f>
        <v>676021.03421273874</v>
      </c>
      <c r="AC496" s="124">
        <f t="shared" ref="AC496" si="1009">SUM(AC486:AC495)</f>
        <v>405612.62052764324</v>
      </c>
      <c r="AD496" s="124">
        <f t="shared" ref="AD496" si="1010">SUM(AD486:AD495)</f>
        <v>405612.62052764324</v>
      </c>
      <c r="AE496" s="124">
        <f t="shared" ref="AE496" si="1011">SUM(AE486:AE495)</f>
        <v>202806.31026382162</v>
      </c>
      <c r="AF496" s="124">
        <f t="shared" ref="AF496" si="1012">SUM(AF486:AF495)</f>
        <v>0</v>
      </c>
      <c r="AG496" s="124">
        <f t="shared" ref="AG496" si="1013">SUM(AG486:AG495)</f>
        <v>0</v>
      </c>
      <c r="AH496" s="124">
        <f t="shared" ref="AH496" si="1014">SUM(AH486:AH495)</f>
        <v>0</v>
      </c>
      <c r="AI496" s="124">
        <f t="shared" ref="AI496" si="1015">SUM(AI486:AI495)</f>
        <v>0</v>
      </c>
      <c r="AJ496" s="124">
        <f t="shared" ref="AJ496" si="1016">SUM(AJ486:AJ495)</f>
        <v>0</v>
      </c>
      <c r="AK496" s="124">
        <f t="shared" ref="AK496" si="1017">SUM(AK486:AK495)</f>
        <v>0</v>
      </c>
      <c r="AL496" s="124">
        <f t="shared" ref="AL496" si="1018">SUM(AL486:AL495)</f>
        <v>841940.65916142659</v>
      </c>
      <c r="AM496" s="124">
        <f t="shared" ref="AM496" si="1019">SUM(AM486:AM495)</f>
        <v>1347105.0546582823</v>
      </c>
      <c r="AN496" s="124">
        <f t="shared" ref="AN496" si="1020">SUM(AN486:AN495)</f>
        <v>808263.03279496951</v>
      </c>
      <c r="AO496" s="124">
        <f t="shared" ref="AO496" si="1021">SUM(AO486:AO495)</f>
        <v>484957.81967698166</v>
      </c>
      <c r="AP496" s="124">
        <f t="shared" ref="AP496" si="1022">SUM(AP486:AP495)</f>
        <v>484957.81967698166</v>
      </c>
    </row>
    <row r="497" spans="1:42" s="101" customFormat="1" x14ac:dyDescent="0.2">
      <c r="A497" s="205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</row>
    <row r="498" spans="1:42" x14ac:dyDescent="0.2">
      <c r="A498" s="180" t="s">
        <v>306</v>
      </c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</row>
    <row r="499" spans="1:42" x14ac:dyDescent="0.2">
      <c r="A499" s="187" t="s">
        <v>192</v>
      </c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</row>
    <row r="500" spans="1:42" x14ac:dyDescent="0.2">
      <c r="A500" s="101">
        <v>1</v>
      </c>
      <c r="C500" s="169">
        <f>C365</f>
        <v>0</v>
      </c>
      <c r="D500" s="169">
        <f t="shared" ref="D500:AP506" si="1023">D365</f>
        <v>0</v>
      </c>
      <c r="E500" s="169">
        <f t="shared" si="1023"/>
        <v>0</v>
      </c>
      <c r="F500" s="169">
        <f t="shared" si="1023"/>
        <v>0</v>
      </c>
      <c r="G500" s="169">
        <f t="shared" si="1023"/>
        <v>0</v>
      </c>
      <c r="H500" s="169">
        <f t="shared" si="1023"/>
        <v>0</v>
      </c>
      <c r="I500" s="169">
        <f t="shared" si="1023"/>
        <v>0</v>
      </c>
      <c r="J500" s="169">
        <f t="shared" si="1023"/>
        <v>0</v>
      </c>
      <c r="K500" s="169">
        <f t="shared" si="1023"/>
        <v>0</v>
      </c>
      <c r="L500" s="169">
        <f t="shared" si="1023"/>
        <v>0</v>
      </c>
      <c r="M500" s="169">
        <f t="shared" si="1023"/>
        <v>0</v>
      </c>
      <c r="N500" s="169">
        <f t="shared" si="1023"/>
        <v>0</v>
      </c>
      <c r="O500" s="169">
        <f t="shared" si="1023"/>
        <v>0</v>
      </c>
      <c r="P500" s="169">
        <f t="shared" si="1023"/>
        <v>0</v>
      </c>
      <c r="Q500" s="169">
        <f t="shared" si="1023"/>
        <v>0</v>
      </c>
      <c r="R500" s="169">
        <f t="shared" si="1023"/>
        <v>0</v>
      </c>
      <c r="S500" s="169">
        <f t="shared" si="1023"/>
        <v>0</v>
      </c>
      <c r="T500" s="169">
        <f t="shared" si="1023"/>
        <v>0</v>
      </c>
      <c r="U500" s="169">
        <f t="shared" si="1023"/>
        <v>0</v>
      </c>
      <c r="V500" s="169">
        <f t="shared" si="1023"/>
        <v>0</v>
      </c>
      <c r="W500" s="169">
        <f t="shared" si="1023"/>
        <v>0</v>
      </c>
      <c r="X500" s="169">
        <f t="shared" si="1023"/>
        <v>0</v>
      </c>
      <c r="Y500" s="169">
        <f t="shared" si="1023"/>
        <v>0</v>
      </c>
      <c r="Z500" s="169">
        <f t="shared" si="1023"/>
        <v>0</v>
      </c>
      <c r="AA500" s="169">
        <f t="shared" si="1023"/>
        <v>0</v>
      </c>
      <c r="AB500" s="169">
        <f t="shared" si="1023"/>
        <v>0</v>
      </c>
      <c r="AC500" s="169">
        <f t="shared" si="1023"/>
        <v>0</v>
      </c>
      <c r="AD500" s="169">
        <f t="shared" si="1023"/>
        <v>0</v>
      </c>
      <c r="AE500" s="169">
        <f t="shared" si="1023"/>
        <v>0</v>
      </c>
      <c r="AF500" s="169">
        <f t="shared" si="1023"/>
        <v>0</v>
      </c>
      <c r="AG500" s="169">
        <f t="shared" si="1023"/>
        <v>0</v>
      </c>
      <c r="AH500" s="169">
        <f t="shared" si="1023"/>
        <v>0</v>
      </c>
      <c r="AI500" s="169">
        <f t="shared" si="1023"/>
        <v>0</v>
      </c>
      <c r="AJ500" s="169">
        <f t="shared" si="1023"/>
        <v>0</v>
      </c>
      <c r="AK500" s="169">
        <f t="shared" si="1023"/>
        <v>0</v>
      </c>
      <c r="AL500" s="169">
        <f t="shared" si="1023"/>
        <v>0</v>
      </c>
      <c r="AM500" s="169">
        <f t="shared" si="1023"/>
        <v>0</v>
      </c>
      <c r="AN500" s="169">
        <f t="shared" si="1023"/>
        <v>0</v>
      </c>
      <c r="AO500" s="169">
        <f t="shared" si="1023"/>
        <v>0</v>
      </c>
      <c r="AP500" s="169">
        <f t="shared" si="1023"/>
        <v>0</v>
      </c>
    </row>
    <row r="501" spans="1:42" x14ac:dyDescent="0.2">
      <c r="A501" s="101">
        <f>A500+1</f>
        <v>2</v>
      </c>
      <c r="C501" s="169">
        <f t="shared" ref="C501:R509" si="1024">C366</f>
        <v>0</v>
      </c>
      <c r="D501" s="169">
        <f t="shared" si="1024"/>
        <v>0</v>
      </c>
      <c r="E501" s="169">
        <f t="shared" si="1024"/>
        <v>0</v>
      </c>
      <c r="F501" s="169">
        <f t="shared" si="1024"/>
        <v>0</v>
      </c>
      <c r="G501" s="169">
        <f t="shared" si="1024"/>
        <v>0</v>
      </c>
      <c r="H501" s="169">
        <f t="shared" si="1024"/>
        <v>0</v>
      </c>
      <c r="I501" s="169">
        <f t="shared" si="1024"/>
        <v>0</v>
      </c>
      <c r="J501" s="169">
        <f t="shared" si="1024"/>
        <v>0</v>
      </c>
      <c r="K501" s="169">
        <f t="shared" si="1024"/>
        <v>0</v>
      </c>
      <c r="L501" s="169">
        <f t="shared" si="1024"/>
        <v>0</v>
      </c>
      <c r="M501" s="169">
        <f t="shared" si="1024"/>
        <v>0</v>
      </c>
      <c r="N501" s="169">
        <f t="shared" si="1024"/>
        <v>0</v>
      </c>
      <c r="O501" s="169">
        <f t="shared" si="1024"/>
        <v>0</v>
      </c>
      <c r="P501" s="169">
        <f t="shared" si="1024"/>
        <v>0</v>
      </c>
      <c r="Q501" s="169">
        <f t="shared" si="1024"/>
        <v>0</v>
      </c>
      <c r="R501" s="169">
        <f t="shared" si="1024"/>
        <v>0</v>
      </c>
      <c r="S501" s="169">
        <f t="shared" si="1023"/>
        <v>0</v>
      </c>
      <c r="T501" s="169">
        <f t="shared" si="1023"/>
        <v>0</v>
      </c>
      <c r="U501" s="169">
        <f t="shared" si="1023"/>
        <v>0</v>
      </c>
      <c r="V501" s="169">
        <f t="shared" si="1023"/>
        <v>0</v>
      </c>
      <c r="W501" s="169">
        <f t="shared" si="1023"/>
        <v>0</v>
      </c>
      <c r="X501" s="169">
        <f t="shared" si="1023"/>
        <v>0</v>
      </c>
      <c r="Y501" s="169">
        <f t="shared" si="1023"/>
        <v>0</v>
      </c>
      <c r="Z501" s="169">
        <f t="shared" si="1023"/>
        <v>0</v>
      </c>
      <c r="AA501" s="169">
        <f t="shared" si="1023"/>
        <v>0</v>
      </c>
      <c r="AB501" s="169">
        <f t="shared" si="1023"/>
        <v>0</v>
      </c>
      <c r="AC501" s="169">
        <f t="shared" si="1023"/>
        <v>0</v>
      </c>
      <c r="AD501" s="169">
        <f t="shared" si="1023"/>
        <v>0</v>
      </c>
      <c r="AE501" s="169">
        <f t="shared" si="1023"/>
        <v>0</v>
      </c>
      <c r="AF501" s="169">
        <f t="shared" si="1023"/>
        <v>0</v>
      </c>
      <c r="AG501" s="169">
        <f t="shared" si="1023"/>
        <v>0</v>
      </c>
      <c r="AH501" s="169">
        <f t="shared" si="1023"/>
        <v>0</v>
      </c>
      <c r="AI501" s="169">
        <f t="shared" si="1023"/>
        <v>0</v>
      </c>
      <c r="AJ501" s="169">
        <f t="shared" si="1023"/>
        <v>0</v>
      </c>
      <c r="AK501" s="169">
        <f t="shared" si="1023"/>
        <v>0</v>
      </c>
      <c r="AL501" s="169">
        <f t="shared" si="1023"/>
        <v>0</v>
      </c>
      <c r="AM501" s="169">
        <f t="shared" si="1023"/>
        <v>0</v>
      </c>
      <c r="AN501" s="169">
        <f t="shared" si="1023"/>
        <v>0</v>
      </c>
      <c r="AO501" s="169">
        <f t="shared" si="1023"/>
        <v>0</v>
      </c>
      <c r="AP501" s="169">
        <f t="shared" si="1023"/>
        <v>0</v>
      </c>
    </row>
    <row r="502" spans="1:42" x14ac:dyDescent="0.2">
      <c r="A502" s="101">
        <f t="shared" ref="A502:A507" si="1025">A501+1</f>
        <v>3</v>
      </c>
      <c r="C502" s="169">
        <f t="shared" si="1024"/>
        <v>0</v>
      </c>
      <c r="D502" s="169">
        <f t="shared" si="1023"/>
        <v>0</v>
      </c>
      <c r="E502" s="169">
        <f t="shared" si="1023"/>
        <v>0</v>
      </c>
      <c r="F502" s="169">
        <f t="shared" si="1023"/>
        <v>0</v>
      </c>
      <c r="G502" s="169">
        <f t="shared" si="1023"/>
        <v>0</v>
      </c>
      <c r="H502" s="169">
        <f t="shared" si="1023"/>
        <v>0</v>
      </c>
      <c r="I502" s="169">
        <f t="shared" si="1023"/>
        <v>0</v>
      </c>
      <c r="J502" s="169">
        <f t="shared" si="1023"/>
        <v>0</v>
      </c>
      <c r="K502" s="169">
        <f t="shared" si="1023"/>
        <v>0</v>
      </c>
      <c r="L502" s="169">
        <f t="shared" si="1023"/>
        <v>0</v>
      </c>
      <c r="M502" s="169">
        <f t="shared" si="1023"/>
        <v>0</v>
      </c>
      <c r="N502" s="169">
        <f t="shared" si="1023"/>
        <v>0</v>
      </c>
      <c r="O502" s="169">
        <f t="shared" si="1023"/>
        <v>0</v>
      </c>
      <c r="P502" s="169">
        <f t="shared" si="1023"/>
        <v>0</v>
      </c>
      <c r="Q502" s="169">
        <f t="shared" si="1023"/>
        <v>0</v>
      </c>
      <c r="R502" s="169">
        <f t="shared" si="1023"/>
        <v>0</v>
      </c>
      <c r="S502" s="169">
        <f t="shared" si="1023"/>
        <v>0</v>
      </c>
      <c r="T502" s="169">
        <f t="shared" si="1023"/>
        <v>0</v>
      </c>
      <c r="U502" s="169">
        <f t="shared" si="1023"/>
        <v>0</v>
      </c>
      <c r="V502" s="169">
        <f t="shared" si="1023"/>
        <v>0</v>
      </c>
      <c r="W502" s="169">
        <f t="shared" si="1023"/>
        <v>0</v>
      </c>
      <c r="X502" s="169">
        <f t="shared" si="1023"/>
        <v>0</v>
      </c>
      <c r="Y502" s="169">
        <f t="shared" si="1023"/>
        <v>0</v>
      </c>
      <c r="Z502" s="169">
        <f t="shared" si="1023"/>
        <v>0</v>
      </c>
      <c r="AA502" s="169">
        <f t="shared" si="1023"/>
        <v>0</v>
      </c>
      <c r="AB502" s="169">
        <f t="shared" si="1023"/>
        <v>0</v>
      </c>
      <c r="AC502" s="169">
        <f t="shared" si="1023"/>
        <v>0</v>
      </c>
      <c r="AD502" s="169">
        <f t="shared" si="1023"/>
        <v>0</v>
      </c>
      <c r="AE502" s="169">
        <f t="shared" si="1023"/>
        <v>0</v>
      </c>
      <c r="AF502" s="169">
        <f t="shared" si="1023"/>
        <v>0</v>
      </c>
      <c r="AG502" s="169">
        <f t="shared" si="1023"/>
        <v>0</v>
      </c>
      <c r="AH502" s="169">
        <f t="shared" si="1023"/>
        <v>0</v>
      </c>
      <c r="AI502" s="169">
        <f t="shared" si="1023"/>
        <v>0</v>
      </c>
      <c r="AJ502" s="169">
        <f t="shared" si="1023"/>
        <v>0</v>
      </c>
      <c r="AK502" s="169">
        <f t="shared" si="1023"/>
        <v>0</v>
      </c>
      <c r="AL502" s="169">
        <f t="shared" si="1023"/>
        <v>0</v>
      </c>
      <c r="AM502" s="169">
        <f t="shared" si="1023"/>
        <v>0</v>
      </c>
      <c r="AN502" s="169">
        <f t="shared" si="1023"/>
        <v>0</v>
      </c>
      <c r="AO502" s="169">
        <f t="shared" si="1023"/>
        <v>0</v>
      </c>
      <c r="AP502" s="169">
        <f t="shared" si="1023"/>
        <v>0</v>
      </c>
    </row>
    <row r="503" spans="1:42" x14ac:dyDescent="0.2">
      <c r="A503" s="101">
        <f t="shared" si="1025"/>
        <v>4</v>
      </c>
      <c r="C503" s="169">
        <f t="shared" si="1024"/>
        <v>0</v>
      </c>
      <c r="D503" s="169">
        <f t="shared" si="1023"/>
        <v>0</v>
      </c>
      <c r="E503" s="169">
        <f t="shared" si="1023"/>
        <v>0</v>
      </c>
      <c r="F503" s="169">
        <f t="shared" si="1023"/>
        <v>0</v>
      </c>
      <c r="G503" s="169">
        <f t="shared" si="1023"/>
        <v>0</v>
      </c>
      <c r="H503" s="169">
        <f t="shared" si="1023"/>
        <v>0</v>
      </c>
      <c r="I503" s="169">
        <f t="shared" si="1023"/>
        <v>0</v>
      </c>
      <c r="J503" s="169">
        <f t="shared" si="1023"/>
        <v>0</v>
      </c>
      <c r="K503" s="169">
        <f t="shared" si="1023"/>
        <v>0</v>
      </c>
      <c r="L503" s="169">
        <f t="shared" si="1023"/>
        <v>0</v>
      </c>
      <c r="M503" s="169">
        <f t="shared" si="1023"/>
        <v>0</v>
      </c>
      <c r="N503" s="169">
        <f t="shared" si="1023"/>
        <v>0</v>
      </c>
      <c r="O503" s="169">
        <f t="shared" si="1023"/>
        <v>0</v>
      </c>
      <c r="P503" s="169">
        <f t="shared" si="1023"/>
        <v>0</v>
      </c>
      <c r="Q503" s="169">
        <f t="shared" si="1023"/>
        <v>0</v>
      </c>
      <c r="R503" s="169">
        <f t="shared" si="1023"/>
        <v>0</v>
      </c>
      <c r="S503" s="169">
        <f t="shared" si="1023"/>
        <v>0</v>
      </c>
      <c r="T503" s="169">
        <f t="shared" si="1023"/>
        <v>0</v>
      </c>
      <c r="U503" s="169">
        <f t="shared" si="1023"/>
        <v>0</v>
      </c>
      <c r="V503" s="169">
        <f t="shared" si="1023"/>
        <v>0</v>
      </c>
      <c r="W503" s="169">
        <f t="shared" si="1023"/>
        <v>0</v>
      </c>
      <c r="X503" s="169">
        <f t="shared" si="1023"/>
        <v>0</v>
      </c>
      <c r="Y503" s="169">
        <f t="shared" si="1023"/>
        <v>0</v>
      </c>
      <c r="Z503" s="169">
        <f t="shared" si="1023"/>
        <v>0</v>
      </c>
      <c r="AA503" s="169">
        <f t="shared" si="1023"/>
        <v>0</v>
      </c>
      <c r="AB503" s="169">
        <f t="shared" si="1023"/>
        <v>0</v>
      </c>
      <c r="AC503" s="169">
        <f t="shared" si="1023"/>
        <v>0</v>
      </c>
      <c r="AD503" s="169">
        <f t="shared" si="1023"/>
        <v>0</v>
      </c>
      <c r="AE503" s="169">
        <f t="shared" si="1023"/>
        <v>0</v>
      </c>
      <c r="AF503" s="169">
        <f t="shared" si="1023"/>
        <v>0</v>
      </c>
      <c r="AG503" s="169">
        <f t="shared" si="1023"/>
        <v>0</v>
      </c>
      <c r="AH503" s="169">
        <f t="shared" si="1023"/>
        <v>0</v>
      </c>
      <c r="AI503" s="169">
        <f t="shared" si="1023"/>
        <v>0</v>
      </c>
      <c r="AJ503" s="169">
        <f t="shared" si="1023"/>
        <v>0</v>
      </c>
      <c r="AK503" s="169">
        <f t="shared" si="1023"/>
        <v>0</v>
      </c>
      <c r="AL503" s="169">
        <f t="shared" si="1023"/>
        <v>0</v>
      </c>
      <c r="AM503" s="169">
        <f t="shared" si="1023"/>
        <v>0</v>
      </c>
      <c r="AN503" s="169">
        <f t="shared" si="1023"/>
        <v>0</v>
      </c>
      <c r="AO503" s="169">
        <f t="shared" si="1023"/>
        <v>0</v>
      </c>
      <c r="AP503" s="169">
        <f t="shared" si="1023"/>
        <v>0</v>
      </c>
    </row>
    <row r="504" spans="1:42" x14ac:dyDescent="0.2">
      <c r="A504" s="101">
        <f t="shared" si="1025"/>
        <v>5</v>
      </c>
      <c r="C504" s="169">
        <f t="shared" si="1024"/>
        <v>0</v>
      </c>
      <c r="D504" s="169">
        <f t="shared" si="1023"/>
        <v>0</v>
      </c>
      <c r="E504" s="169">
        <f t="shared" si="1023"/>
        <v>0</v>
      </c>
      <c r="F504" s="169">
        <f t="shared" si="1023"/>
        <v>0</v>
      </c>
      <c r="G504" s="169">
        <f t="shared" si="1023"/>
        <v>0</v>
      </c>
      <c r="H504" s="169">
        <f t="shared" si="1023"/>
        <v>0</v>
      </c>
      <c r="I504" s="169">
        <f t="shared" si="1023"/>
        <v>0</v>
      </c>
      <c r="J504" s="169">
        <f t="shared" si="1023"/>
        <v>0</v>
      </c>
      <c r="K504" s="169">
        <f t="shared" si="1023"/>
        <v>0</v>
      </c>
      <c r="L504" s="169">
        <f t="shared" si="1023"/>
        <v>0</v>
      </c>
      <c r="M504" s="169">
        <f t="shared" si="1023"/>
        <v>0</v>
      </c>
      <c r="N504" s="169">
        <f t="shared" si="1023"/>
        <v>0</v>
      </c>
      <c r="O504" s="169">
        <f t="shared" si="1023"/>
        <v>0</v>
      </c>
      <c r="P504" s="169">
        <f t="shared" si="1023"/>
        <v>0</v>
      </c>
      <c r="Q504" s="169">
        <f t="shared" si="1023"/>
        <v>0</v>
      </c>
      <c r="R504" s="169">
        <f t="shared" si="1023"/>
        <v>0</v>
      </c>
      <c r="S504" s="169">
        <f t="shared" si="1023"/>
        <v>0</v>
      </c>
      <c r="T504" s="169">
        <f t="shared" si="1023"/>
        <v>0</v>
      </c>
      <c r="U504" s="169">
        <f t="shared" si="1023"/>
        <v>0</v>
      </c>
      <c r="V504" s="169">
        <f t="shared" si="1023"/>
        <v>0</v>
      </c>
      <c r="W504" s="169">
        <f t="shared" si="1023"/>
        <v>0</v>
      </c>
      <c r="X504" s="169">
        <f t="shared" si="1023"/>
        <v>0</v>
      </c>
      <c r="Y504" s="169">
        <f t="shared" si="1023"/>
        <v>0</v>
      </c>
      <c r="Z504" s="169">
        <f t="shared" si="1023"/>
        <v>0</v>
      </c>
      <c r="AA504" s="169">
        <f t="shared" si="1023"/>
        <v>0</v>
      </c>
      <c r="AB504" s="169">
        <f t="shared" si="1023"/>
        <v>0</v>
      </c>
      <c r="AC504" s="169">
        <f t="shared" si="1023"/>
        <v>0</v>
      </c>
      <c r="AD504" s="169">
        <f t="shared" si="1023"/>
        <v>0</v>
      </c>
      <c r="AE504" s="169">
        <f t="shared" si="1023"/>
        <v>0</v>
      </c>
      <c r="AF504" s="169">
        <f t="shared" si="1023"/>
        <v>0</v>
      </c>
      <c r="AG504" s="169">
        <f t="shared" si="1023"/>
        <v>0</v>
      </c>
      <c r="AH504" s="169">
        <f t="shared" si="1023"/>
        <v>0</v>
      </c>
      <c r="AI504" s="169">
        <f t="shared" si="1023"/>
        <v>0</v>
      </c>
      <c r="AJ504" s="169">
        <f t="shared" si="1023"/>
        <v>0</v>
      </c>
      <c r="AK504" s="169">
        <f t="shared" si="1023"/>
        <v>0</v>
      </c>
      <c r="AL504" s="169">
        <f t="shared" si="1023"/>
        <v>0</v>
      </c>
      <c r="AM504" s="169">
        <f t="shared" si="1023"/>
        <v>0</v>
      </c>
      <c r="AN504" s="169">
        <f t="shared" si="1023"/>
        <v>0</v>
      </c>
      <c r="AO504" s="169">
        <f t="shared" si="1023"/>
        <v>0</v>
      </c>
      <c r="AP504" s="169">
        <f t="shared" si="1023"/>
        <v>0</v>
      </c>
    </row>
    <row r="505" spans="1:42" x14ac:dyDescent="0.2">
      <c r="A505" s="101">
        <f t="shared" si="1025"/>
        <v>6</v>
      </c>
      <c r="C505" s="169">
        <f t="shared" si="1024"/>
        <v>0</v>
      </c>
      <c r="D505" s="169">
        <f t="shared" si="1023"/>
        <v>0</v>
      </c>
      <c r="E505" s="169">
        <f t="shared" si="1023"/>
        <v>0</v>
      </c>
      <c r="F505" s="169">
        <f t="shared" si="1023"/>
        <v>0</v>
      </c>
      <c r="G505" s="169">
        <f t="shared" si="1023"/>
        <v>0</v>
      </c>
      <c r="H505" s="169">
        <f t="shared" si="1023"/>
        <v>0</v>
      </c>
      <c r="I505" s="169">
        <f t="shared" si="1023"/>
        <v>0</v>
      </c>
      <c r="J505" s="169">
        <f t="shared" si="1023"/>
        <v>0</v>
      </c>
      <c r="K505" s="169">
        <f t="shared" si="1023"/>
        <v>0</v>
      </c>
      <c r="L505" s="169">
        <f t="shared" si="1023"/>
        <v>0</v>
      </c>
      <c r="M505" s="169">
        <f t="shared" si="1023"/>
        <v>0</v>
      </c>
      <c r="N505" s="169">
        <f t="shared" si="1023"/>
        <v>0</v>
      </c>
      <c r="O505" s="169">
        <f t="shared" si="1023"/>
        <v>0</v>
      </c>
      <c r="P505" s="169">
        <f t="shared" si="1023"/>
        <v>0</v>
      </c>
      <c r="Q505" s="169">
        <f t="shared" si="1023"/>
        <v>0</v>
      </c>
      <c r="R505" s="169">
        <f t="shared" si="1023"/>
        <v>0</v>
      </c>
      <c r="S505" s="169">
        <f t="shared" si="1023"/>
        <v>0</v>
      </c>
      <c r="T505" s="169">
        <f t="shared" si="1023"/>
        <v>0</v>
      </c>
      <c r="U505" s="169">
        <f t="shared" si="1023"/>
        <v>0</v>
      </c>
      <c r="V505" s="169">
        <f t="shared" si="1023"/>
        <v>0</v>
      </c>
      <c r="W505" s="169">
        <f t="shared" si="1023"/>
        <v>0</v>
      </c>
      <c r="X505" s="169">
        <f t="shared" si="1023"/>
        <v>0</v>
      </c>
      <c r="Y505" s="169">
        <f t="shared" si="1023"/>
        <v>0</v>
      </c>
      <c r="Z505" s="169">
        <f t="shared" si="1023"/>
        <v>0</v>
      </c>
      <c r="AA505" s="169">
        <f t="shared" si="1023"/>
        <v>0</v>
      </c>
      <c r="AB505" s="169">
        <f t="shared" si="1023"/>
        <v>0</v>
      </c>
      <c r="AC505" s="169">
        <f t="shared" si="1023"/>
        <v>0</v>
      </c>
      <c r="AD505" s="169">
        <f t="shared" si="1023"/>
        <v>0</v>
      </c>
      <c r="AE505" s="169">
        <f t="shared" si="1023"/>
        <v>0</v>
      </c>
      <c r="AF505" s="169">
        <f t="shared" si="1023"/>
        <v>0</v>
      </c>
      <c r="AG505" s="169">
        <f t="shared" si="1023"/>
        <v>0</v>
      </c>
      <c r="AH505" s="169">
        <f t="shared" si="1023"/>
        <v>0</v>
      </c>
      <c r="AI505" s="169">
        <f t="shared" si="1023"/>
        <v>0</v>
      </c>
      <c r="AJ505" s="169">
        <f t="shared" si="1023"/>
        <v>0</v>
      </c>
      <c r="AK505" s="169">
        <f t="shared" si="1023"/>
        <v>0</v>
      </c>
      <c r="AL505" s="169">
        <f t="shared" si="1023"/>
        <v>0</v>
      </c>
      <c r="AM505" s="169">
        <f t="shared" si="1023"/>
        <v>0</v>
      </c>
      <c r="AN505" s="169">
        <f t="shared" si="1023"/>
        <v>0</v>
      </c>
      <c r="AO505" s="169">
        <f t="shared" si="1023"/>
        <v>0</v>
      </c>
      <c r="AP505" s="169">
        <f t="shared" si="1023"/>
        <v>0</v>
      </c>
    </row>
    <row r="506" spans="1:42" x14ac:dyDescent="0.2">
      <c r="A506" s="101">
        <f t="shared" si="1025"/>
        <v>7</v>
      </c>
      <c r="C506" s="169">
        <f t="shared" si="1024"/>
        <v>0</v>
      </c>
      <c r="D506" s="169">
        <f t="shared" si="1023"/>
        <v>0</v>
      </c>
      <c r="E506" s="169">
        <f t="shared" si="1023"/>
        <v>0</v>
      </c>
      <c r="F506" s="169">
        <f t="shared" si="1023"/>
        <v>0</v>
      </c>
      <c r="G506" s="169">
        <f t="shared" si="1023"/>
        <v>0</v>
      </c>
      <c r="H506" s="169">
        <f t="shared" si="1023"/>
        <v>0</v>
      </c>
      <c r="I506" s="169">
        <f t="shared" si="1023"/>
        <v>0</v>
      </c>
      <c r="J506" s="169">
        <f t="shared" si="1023"/>
        <v>0</v>
      </c>
      <c r="K506" s="169">
        <f t="shared" si="1023"/>
        <v>0</v>
      </c>
      <c r="L506" s="169">
        <f t="shared" si="1023"/>
        <v>0</v>
      </c>
      <c r="M506" s="169">
        <f t="shared" si="1023"/>
        <v>0</v>
      </c>
      <c r="N506" s="169">
        <f t="shared" si="1023"/>
        <v>0</v>
      </c>
      <c r="O506" s="169">
        <f t="shared" si="1023"/>
        <v>0</v>
      </c>
      <c r="P506" s="169">
        <f t="shared" si="1023"/>
        <v>0</v>
      </c>
      <c r="Q506" s="169">
        <f t="shared" si="1023"/>
        <v>0</v>
      </c>
      <c r="R506" s="169">
        <f t="shared" si="1023"/>
        <v>0</v>
      </c>
      <c r="S506" s="169">
        <f t="shared" si="1023"/>
        <v>0</v>
      </c>
      <c r="T506" s="169">
        <f t="shared" si="1023"/>
        <v>0</v>
      </c>
      <c r="U506" s="169">
        <f t="shared" si="1023"/>
        <v>0</v>
      </c>
      <c r="V506" s="169">
        <f t="shared" si="1023"/>
        <v>0</v>
      </c>
      <c r="W506" s="169">
        <f t="shared" si="1023"/>
        <v>0</v>
      </c>
      <c r="X506" s="169">
        <f t="shared" si="1023"/>
        <v>0</v>
      </c>
      <c r="Y506" s="169">
        <f t="shared" si="1023"/>
        <v>0</v>
      </c>
      <c r="Z506" s="169">
        <f t="shared" si="1023"/>
        <v>0</v>
      </c>
      <c r="AA506" s="169">
        <f t="shared" si="1023"/>
        <v>0</v>
      </c>
      <c r="AB506" s="169">
        <f t="shared" si="1023"/>
        <v>0</v>
      </c>
      <c r="AC506" s="169">
        <f t="shared" si="1023"/>
        <v>0</v>
      </c>
      <c r="AD506" s="169">
        <f t="shared" si="1023"/>
        <v>0</v>
      </c>
      <c r="AE506" s="169">
        <f t="shared" si="1023"/>
        <v>0</v>
      </c>
      <c r="AF506" s="169">
        <f t="shared" si="1023"/>
        <v>0</v>
      </c>
      <c r="AG506" s="169">
        <f t="shared" si="1023"/>
        <v>0</v>
      </c>
      <c r="AH506" s="169">
        <f t="shared" si="1023"/>
        <v>0</v>
      </c>
      <c r="AI506" s="169">
        <f t="shared" si="1023"/>
        <v>0</v>
      </c>
      <c r="AJ506" s="169">
        <f t="shared" si="1023"/>
        <v>0</v>
      </c>
      <c r="AK506" s="169">
        <f t="shared" si="1023"/>
        <v>0</v>
      </c>
      <c r="AL506" s="169">
        <f t="shared" si="1023"/>
        <v>0</v>
      </c>
      <c r="AM506" s="169">
        <f t="shared" si="1023"/>
        <v>0</v>
      </c>
      <c r="AN506" s="169">
        <f t="shared" ref="D506:AP509" si="1026">AN371</f>
        <v>0</v>
      </c>
      <c r="AO506" s="169">
        <f t="shared" si="1026"/>
        <v>0</v>
      </c>
      <c r="AP506" s="169">
        <f t="shared" si="1026"/>
        <v>0</v>
      </c>
    </row>
    <row r="507" spans="1:42" x14ac:dyDescent="0.2">
      <c r="A507" s="101">
        <f t="shared" si="1025"/>
        <v>8</v>
      </c>
      <c r="C507" s="169">
        <f t="shared" si="1024"/>
        <v>0</v>
      </c>
      <c r="D507" s="169">
        <f t="shared" si="1026"/>
        <v>0</v>
      </c>
      <c r="E507" s="169">
        <f t="shared" si="1026"/>
        <v>0</v>
      </c>
      <c r="F507" s="169">
        <f t="shared" si="1026"/>
        <v>0</v>
      </c>
      <c r="G507" s="169">
        <f t="shared" si="1026"/>
        <v>0</v>
      </c>
      <c r="H507" s="169">
        <f t="shared" si="1026"/>
        <v>0</v>
      </c>
      <c r="I507" s="169">
        <f t="shared" si="1026"/>
        <v>0</v>
      </c>
      <c r="J507" s="169">
        <f t="shared" si="1026"/>
        <v>0</v>
      </c>
      <c r="K507" s="169">
        <f t="shared" si="1026"/>
        <v>0</v>
      </c>
      <c r="L507" s="169">
        <f t="shared" si="1026"/>
        <v>0</v>
      </c>
      <c r="M507" s="169">
        <f t="shared" si="1026"/>
        <v>0</v>
      </c>
      <c r="N507" s="169">
        <f t="shared" si="1026"/>
        <v>0</v>
      </c>
      <c r="O507" s="169">
        <f t="shared" si="1026"/>
        <v>0</v>
      </c>
      <c r="P507" s="169">
        <f t="shared" si="1026"/>
        <v>0</v>
      </c>
      <c r="Q507" s="169">
        <f t="shared" si="1026"/>
        <v>0</v>
      </c>
      <c r="R507" s="169">
        <f t="shared" si="1026"/>
        <v>0</v>
      </c>
      <c r="S507" s="169">
        <f t="shared" si="1026"/>
        <v>0</v>
      </c>
      <c r="T507" s="169">
        <f t="shared" si="1026"/>
        <v>0</v>
      </c>
      <c r="U507" s="169">
        <f t="shared" si="1026"/>
        <v>0</v>
      </c>
      <c r="V507" s="169">
        <f t="shared" si="1026"/>
        <v>0</v>
      </c>
      <c r="W507" s="169">
        <f t="shared" si="1026"/>
        <v>0</v>
      </c>
      <c r="X507" s="169">
        <f t="shared" si="1026"/>
        <v>0</v>
      </c>
      <c r="Y507" s="169">
        <f t="shared" si="1026"/>
        <v>0</v>
      </c>
      <c r="Z507" s="169">
        <f t="shared" si="1026"/>
        <v>0</v>
      </c>
      <c r="AA507" s="169">
        <f t="shared" si="1026"/>
        <v>0</v>
      </c>
      <c r="AB507" s="169">
        <f t="shared" si="1026"/>
        <v>0</v>
      </c>
      <c r="AC507" s="169">
        <f t="shared" si="1026"/>
        <v>0</v>
      </c>
      <c r="AD507" s="169">
        <f t="shared" si="1026"/>
        <v>0</v>
      </c>
      <c r="AE507" s="169">
        <f t="shared" si="1026"/>
        <v>0</v>
      </c>
      <c r="AF507" s="169">
        <f t="shared" si="1026"/>
        <v>0</v>
      </c>
      <c r="AG507" s="169">
        <f t="shared" si="1026"/>
        <v>0</v>
      </c>
      <c r="AH507" s="169">
        <f t="shared" si="1026"/>
        <v>0</v>
      </c>
      <c r="AI507" s="169">
        <f t="shared" si="1026"/>
        <v>0</v>
      </c>
      <c r="AJ507" s="169">
        <f t="shared" si="1026"/>
        <v>0</v>
      </c>
      <c r="AK507" s="169">
        <f t="shared" si="1026"/>
        <v>0</v>
      </c>
      <c r="AL507" s="169">
        <f t="shared" si="1026"/>
        <v>0</v>
      </c>
      <c r="AM507" s="169">
        <f t="shared" si="1026"/>
        <v>0</v>
      </c>
      <c r="AN507" s="169">
        <f t="shared" si="1026"/>
        <v>0</v>
      </c>
      <c r="AO507" s="169">
        <f t="shared" si="1026"/>
        <v>0</v>
      </c>
      <c r="AP507" s="169">
        <f t="shared" si="1026"/>
        <v>0</v>
      </c>
    </row>
    <row r="508" spans="1:42" x14ac:dyDescent="0.2">
      <c r="A508" s="101">
        <f>A507+1</f>
        <v>9</v>
      </c>
      <c r="C508" s="169">
        <f t="shared" si="1024"/>
        <v>0</v>
      </c>
      <c r="D508" s="169">
        <f t="shared" si="1026"/>
        <v>0</v>
      </c>
      <c r="E508" s="169">
        <f t="shared" si="1026"/>
        <v>0</v>
      </c>
      <c r="F508" s="169">
        <f t="shared" si="1026"/>
        <v>0</v>
      </c>
      <c r="G508" s="169">
        <f t="shared" si="1026"/>
        <v>0</v>
      </c>
      <c r="H508" s="169">
        <f t="shared" si="1026"/>
        <v>0</v>
      </c>
      <c r="I508" s="169">
        <f t="shared" si="1026"/>
        <v>0</v>
      </c>
      <c r="J508" s="169">
        <f t="shared" si="1026"/>
        <v>0</v>
      </c>
      <c r="K508" s="169">
        <f t="shared" si="1026"/>
        <v>0</v>
      </c>
      <c r="L508" s="169">
        <f t="shared" si="1026"/>
        <v>0</v>
      </c>
      <c r="M508" s="169">
        <f t="shared" si="1026"/>
        <v>0</v>
      </c>
      <c r="N508" s="169">
        <f t="shared" si="1026"/>
        <v>0</v>
      </c>
      <c r="O508" s="169">
        <f t="shared" si="1026"/>
        <v>0</v>
      </c>
      <c r="P508" s="169">
        <f t="shared" si="1026"/>
        <v>0</v>
      </c>
      <c r="Q508" s="169">
        <f t="shared" si="1026"/>
        <v>0</v>
      </c>
      <c r="R508" s="169">
        <f t="shared" si="1026"/>
        <v>0</v>
      </c>
      <c r="S508" s="169">
        <f t="shared" si="1026"/>
        <v>0</v>
      </c>
      <c r="T508" s="169">
        <f t="shared" si="1026"/>
        <v>0</v>
      </c>
      <c r="U508" s="169">
        <f t="shared" si="1026"/>
        <v>0</v>
      </c>
      <c r="V508" s="169">
        <f t="shared" si="1026"/>
        <v>0</v>
      </c>
      <c r="W508" s="169">
        <f t="shared" si="1026"/>
        <v>0</v>
      </c>
      <c r="X508" s="169">
        <f t="shared" si="1026"/>
        <v>0</v>
      </c>
      <c r="Y508" s="169">
        <f t="shared" si="1026"/>
        <v>0</v>
      </c>
      <c r="Z508" s="169">
        <f t="shared" si="1026"/>
        <v>0</v>
      </c>
      <c r="AA508" s="169">
        <f t="shared" si="1026"/>
        <v>0</v>
      </c>
      <c r="AB508" s="169">
        <f t="shared" si="1026"/>
        <v>0</v>
      </c>
      <c r="AC508" s="169">
        <f t="shared" si="1026"/>
        <v>0</v>
      </c>
      <c r="AD508" s="169">
        <f t="shared" si="1026"/>
        <v>0</v>
      </c>
      <c r="AE508" s="169">
        <f t="shared" si="1026"/>
        <v>0</v>
      </c>
      <c r="AF508" s="169">
        <f t="shared" si="1026"/>
        <v>0</v>
      </c>
      <c r="AG508" s="169">
        <f t="shared" si="1026"/>
        <v>0</v>
      </c>
      <c r="AH508" s="169">
        <f t="shared" si="1026"/>
        <v>0</v>
      </c>
      <c r="AI508" s="169">
        <f t="shared" si="1026"/>
        <v>0</v>
      </c>
      <c r="AJ508" s="169">
        <f t="shared" si="1026"/>
        <v>0</v>
      </c>
      <c r="AK508" s="169">
        <f t="shared" si="1026"/>
        <v>0</v>
      </c>
      <c r="AL508" s="169">
        <f t="shared" si="1026"/>
        <v>0</v>
      </c>
      <c r="AM508" s="169">
        <f t="shared" si="1026"/>
        <v>0</v>
      </c>
      <c r="AN508" s="169">
        <f t="shared" si="1026"/>
        <v>0</v>
      </c>
      <c r="AO508" s="169">
        <f t="shared" si="1026"/>
        <v>0</v>
      </c>
      <c r="AP508" s="169">
        <f t="shared" si="1026"/>
        <v>0</v>
      </c>
    </row>
    <row r="509" spans="1:42" x14ac:dyDescent="0.2">
      <c r="A509" s="101">
        <f t="shared" ref="A509" si="1027">A508+1</f>
        <v>10</v>
      </c>
      <c r="C509" s="169">
        <f t="shared" si="1024"/>
        <v>0</v>
      </c>
      <c r="D509" s="169">
        <f t="shared" si="1026"/>
        <v>0</v>
      </c>
      <c r="E509" s="169">
        <f t="shared" si="1026"/>
        <v>0</v>
      </c>
      <c r="F509" s="169">
        <f t="shared" si="1026"/>
        <v>0</v>
      </c>
      <c r="G509" s="169">
        <f t="shared" si="1026"/>
        <v>0</v>
      </c>
      <c r="H509" s="169">
        <f t="shared" si="1026"/>
        <v>0</v>
      </c>
      <c r="I509" s="169">
        <f t="shared" si="1026"/>
        <v>0</v>
      </c>
      <c r="J509" s="169">
        <f t="shared" si="1026"/>
        <v>0</v>
      </c>
      <c r="K509" s="169">
        <f t="shared" si="1026"/>
        <v>0</v>
      </c>
      <c r="L509" s="169">
        <f t="shared" si="1026"/>
        <v>0</v>
      </c>
      <c r="M509" s="169">
        <f t="shared" si="1026"/>
        <v>0</v>
      </c>
      <c r="N509" s="169">
        <f t="shared" si="1026"/>
        <v>0</v>
      </c>
      <c r="O509" s="169">
        <f t="shared" si="1026"/>
        <v>0</v>
      </c>
      <c r="P509" s="169">
        <f t="shared" si="1026"/>
        <v>0</v>
      </c>
      <c r="Q509" s="169">
        <f t="shared" si="1026"/>
        <v>0</v>
      </c>
      <c r="R509" s="169">
        <f t="shared" si="1026"/>
        <v>0</v>
      </c>
      <c r="S509" s="169">
        <f t="shared" si="1026"/>
        <v>0</v>
      </c>
      <c r="T509" s="169">
        <f t="shared" si="1026"/>
        <v>0</v>
      </c>
      <c r="U509" s="169">
        <f t="shared" si="1026"/>
        <v>0</v>
      </c>
      <c r="V509" s="169">
        <f t="shared" si="1026"/>
        <v>0</v>
      </c>
      <c r="W509" s="169">
        <f t="shared" si="1026"/>
        <v>0</v>
      </c>
      <c r="X509" s="169">
        <f t="shared" si="1026"/>
        <v>0</v>
      </c>
      <c r="Y509" s="169">
        <f t="shared" si="1026"/>
        <v>0</v>
      </c>
      <c r="Z509" s="169">
        <f t="shared" si="1026"/>
        <v>0</v>
      </c>
      <c r="AA509" s="169">
        <f t="shared" si="1026"/>
        <v>0</v>
      </c>
      <c r="AB509" s="169">
        <f t="shared" si="1026"/>
        <v>0</v>
      </c>
      <c r="AC509" s="169">
        <f t="shared" si="1026"/>
        <v>0</v>
      </c>
      <c r="AD509" s="169">
        <f t="shared" si="1026"/>
        <v>0</v>
      </c>
      <c r="AE509" s="169">
        <f t="shared" si="1026"/>
        <v>0</v>
      </c>
      <c r="AF509" s="169">
        <f t="shared" si="1026"/>
        <v>0</v>
      </c>
      <c r="AG509" s="169">
        <f t="shared" si="1026"/>
        <v>0</v>
      </c>
      <c r="AH509" s="169">
        <f t="shared" si="1026"/>
        <v>0</v>
      </c>
      <c r="AI509" s="169">
        <f t="shared" si="1026"/>
        <v>0</v>
      </c>
      <c r="AJ509" s="169">
        <f t="shared" si="1026"/>
        <v>0</v>
      </c>
      <c r="AK509" s="169">
        <f t="shared" si="1026"/>
        <v>0</v>
      </c>
      <c r="AL509" s="169">
        <f t="shared" si="1026"/>
        <v>0</v>
      </c>
      <c r="AM509" s="169">
        <f t="shared" si="1026"/>
        <v>0</v>
      </c>
      <c r="AN509" s="169">
        <f t="shared" si="1026"/>
        <v>0</v>
      </c>
      <c r="AO509" s="169">
        <f t="shared" si="1026"/>
        <v>0</v>
      </c>
      <c r="AP509" s="169">
        <f t="shared" si="1026"/>
        <v>0</v>
      </c>
    </row>
    <row r="510" spans="1:42" x14ac:dyDescent="0.2">
      <c r="A510" s="187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</row>
    <row r="511" spans="1:42" x14ac:dyDescent="0.2">
      <c r="A511" s="187" t="s">
        <v>196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</row>
    <row r="512" spans="1:42" x14ac:dyDescent="0.2">
      <c r="A512" s="101">
        <v>1</v>
      </c>
      <c r="B512" s="179">
        <f t="shared" ref="B512:B521" si="1028">SUM(C512:AP512)</f>
        <v>0</v>
      </c>
      <c r="C512" s="208">
        <f t="shared" ref="C512:AP512" si="1029">LOOKUP(C500,$B$469:$AP$469,$B$470:$AP$470)*$B717</f>
        <v>0</v>
      </c>
      <c r="D512" s="169">
        <f t="shared" si="1029"/>
        <v>0</v>
      </c>
      <c r="E512" s="169">
        <f t="shared" si="1029"/>
        <v>0</v>
      </c>
      <c r="F512" s="169">
        <f t="shared" si="1029"/>
        <v>0</v>
      </c>
      <c r="G512" s="169">
        <f t="shared" si="1029"/>
        <v>0</v>
      </c>
      <c r="H512" s="169">
        <f t="shared" si="1029"/>
        <v>0</v>
      </c>
      <c r="I512" s="169">
        <f t="shared" si="1029"/>
        <v>0</v>
      </c>
      <c r="J512" s="169">
        <f t="shared" si="1029"/>
        <v>0</v>
      </c>
      <c r="K512" s="169">
        <f t="shared" si="1029"/>
        <v>0</v>
      </c>
      <c r="L512" s="169">
        <f t="shared" si="1029"/>
        <v>0</v>
      </c>
      <c r="M512" s="169">
        <f t="shared" si="1029"/>
        <v>0</v>
      </c>
      <c r="N512" s="169">
        <f t="shared" si="1029"/>
        <v>0</v>
      </c>
      <c r="O512" s="169">
        <f t="shared" si="1029"/>
        <v>0</v>
      </c>
      <c r="P512" s="169">
        <f t="shared" si="1029"/>
        <v>0</v>
      </c>
      <c r="Q512" s="169">
        <f t="shared" si="1029"/>
        <v>0</v>
      </c>
      <c r="R512" s="169">
        <f t="shared" si="1029"/>
        <v>0</v>
      </c>
      <c r="S512" s="169">
        <f t="shared" si="1029"/>
        <v>0</v>
      </c>
      <c r="T512" s="169">
        <f t="shared" si="1029"/>
        <v>0</v>
      </c>
      <c r="U512" s="169">
        <f t="shared" si="1029"/>
        <v>0</v>
      </c>
      <c r="V512" s="169">
        <f t="shared" si="1029"/>
        <v>0</v>
      </c>
      <c r="W512" s="169">
        <f t="shared" si="1029"/>
        <v>0</v>
      </c>
      <c r="X512" s="169">
        <f t="shared" si="1029"/>
        <v>0</v>
      </c>
      <c r="Y512" s="169">
        <f t="shared" si="1029"/>
        <v>0</v>
      </c>
      <c r="Z512" s="169">
        <f t="shared" si="1029"/>
        <v>0</v>
      </c>
      <c r="AA512" s="169">
        <f t="shared" si="1029"/>
        <v>0</v>
      </c>
      <c r="AB512" s="169">
        <f t="shared" si="1029"/>
        <v>0</v>
      </c>
      <c r="AC512" s="169">
        <f t="shared" si="1029"/>
        <v>0</v>
      </c>
      <c r="AD512" s="169">
        <f t="shared" si="1029"/>
        <v>0</v>
      </c>
      <c r="AE512" s="169">
        <f t="shared" si="1029"/>
        <v>0</v>
      </c>
      <c r="AF512" s="169">
        <f t="shared" si="1029"/>
        <v>0</v>
      </c>
      <c r="AG512" s="169">
        <f t="shared" si="1029"/>
        <v>0</v>
      </c>
      <c r="AH512" s="169">
        <f t="shared" si="1029"/>
        <v>0</v>
      </c>
      <c r="AI512" s="169">
        <f t="shared" si="1029"/>
        <v>0</v>
      </c>
      <c r="AJ512" s="169">
        <f t="shared" si="1029"/>
        <v>0</v>
      </c>
      <c r="AK512" s="169">
        <f t="shared" si="1029"/>
        <v>0</v>
      </c>
      <c r="AL512" s="169">
        <f t="shared" si="1029"/>
        <v>0</v>
      </c>
      <c r="AM512" s="169">
        <f t="shared" si="1029"/>
        <v>0</v>
      </c>
      <c r="AN512" s="169">
        <f t="shared" si="1029"/>
        <v>0</v>
      </c>
      <c r="AO512" s="169">
        <f t="shared" si="1029"/>
        <v>0</v>
      </c>
      <c r="AP512" s="169">
        <f t="shared" si="1029"/>
        <v>0</v>
      </c>
    </row>
    <row r="513" spans="1:42" x14ac:dyDescent="0.2">
      <c r="A513" s="101">
        <f>A512+1</f>
        <v>2</v>
      </c>
      <c r="B513" s="179">
        <f t="shared" si="1028"/>
        <v>0</v>
      </c>
      <c r="C513" s="208">
        <f t="shared" ref="C513:AP513" si="1030">LOOKUP(C501,$B$469:$AP$469,$B$470:$AP$470)*$B718</f>
        <v>0</v>
      </c>
      <c r="D513" s="169">
        <f t="shared" si="1030"/>
        <v>0</v>
      </c>
      <c r="E513" s="169">
        <f t="shared" si="1030"/>
        <v>0</v>
      </c>
      <c r="F513" s="169">
        <f t="shared" si="1030"/>
        <v>0</v>
      </c>
      <c r="G513" s="169">
        <f t="shared" si="1030"/>
        <v>0</v>
      </c>
      <c r="H513" s="169">
        <f t="shared" si="1030"/>
        <v>0</v>
      </c>
      <c r="I513" s="169">
        <f t="shared" si="1030"/>
        <v>0</v>
      </c>
      <c r="J513" s="169">
        <f t="shared" si="1030"/>
        <v>0</v>
      </c>
      <c r="K513" s="169">
        <f t="shared" si="1030"/>
        <v>0</v>
      </c>
      <c r="L513" s="169">
        <f t="shared" si="1030"/>
        <v>0</v>
      </c>
      <c r="M513" s="169">
        <f t="shared" si="1030"/>
        <v>0</v>
      </c>
      <c r="N513" s="169">
        <f t="shared" si="1030"/>
        <v>0</v>
      </c>
      <c r="O513" s="169">
        <f t="shared" si="1030"/>
        <v>0</v>
      </c>
      <c r="P513" s="169">
        <f t="shared" si="1030"/>
        <v>0</v>
      </c>
      <c r="Q513" s="169">
        <f t="shared" si="1030"/>
        <v>0</v>
      </c>
      <c r="R513" s="169">
        <f t="shared" si="1030"/>
        <v>0</v>
      </c>
      <c r="S513" s="169">
        <f t="shared" si="1030"/>
        <v>0</v>
      </c>
      <c r="T513" s="169">
        <f t="shared" si="1030"/>
        <v>0</v>
      </c>
      <c r="U513" s="169">
        <f t="shared" si="1030"/>
        <v>0</v>
      </c>
      <c r="V513" s="169">
        <f t="shared" si="1030"/>
        <v>0</v>
      </c>
      <c r="W513" s="169">
        <f t="shared" si="1030"/>
        <v>0</v>
      </c>
      <c r="X513" s="169">
        <f t="shared" si="1030"/>
        <v>0</v>
      </c>
      <c r="Y513" s="169">
        <f t="shared" si="1030"/>
        <v>0</v>
      </c>
      <c r="Z513" s="169">
        <f t="shared" si="1030"/>
        <v>0</v>
      </c>
      <c r="AA513" s="169">
        <f t="shared" si="1030"/>
        <v>0</v>
      </c>
      <c r="AB513" s="169">
        <f t="shared" si="1030"/>
        <v>0</v>
      </c>
      <c r="AC513" s="169">
        <f t="shared" si="1030"/>
        <v>0</v>
      </c>
      <c r="AD513" s="169">
        <f t="shared" si="1030"/>
        <v>0</v>
      </c>
      <c r="AE513" s="169">
        <f t="shared" si="1030"/>
        <v>0</v>
      </c>
      <c r="AF513" s="169">
        <f t="shared" si="1030"/>
        <v>0</v>
      </c>
      <c r="AG513" s="169">
        <f t="shared" si="1030"/>
        <v>0</v>
      </c>
      <c r="AH513" s="169">
        <f t="shared" si="1030"/>
        <v>0</v>
      </c>
      <c r="AI513" s="169">
        <f t="shared" si="1030"/>
        <v>0</v>
      </c>
      <c r="AJ513" s="169">
        <f t="shared" si="1030"/>
        <v>0</v>
      </c>
      <c r="AK513" s="169">
        <f t="shared" si="1030"/>
        <v>0</v>
      </c>
      <c r="AL513" s="169">
        <f t="shared" si="1030"/>
        <v>0</v>
      </c>
      <c r="AM513" s="169">
        <f t="shared" si="1030"/>
        <v>0</v>
      </c>
      <c r="AN513" s="169">
        <f t="shared" si="1030"/>
        <v>0</v>
      </c>
      <c r="AO513" s="169">
        <f t="shared" si="1030"/>
        <v>0</v>
      </c>
      <c r="AP513" s="169">
        <f t="shared" si="1030"/>
        <v>0</v>
      </c>
    </row>
    <row r="514" spans="1:42" x14ac:dyDescent="0.2">
      <c r="A514" s="101">
        <f t="shared" ref="A514:A519" si="1031">A513+1</f>
        <v>3</v>
      </c>
      <c r="B514" s="179">
        <f t="shared" si="1028"/>
        <v>0</v>
      </c>
      <c r="C514" s="208">
        <f t="shared" ref="C514:AP514" si="1032">LOOKUP(C502,$B$469:$AP$469,$B$470:$AP$470)*$B719</f>
        <v>0</v>
      </c>
      <c r="D514" s="169">
        <f t="shared" si="1032"/>
        <v>0</v>
      </c>
      <c r="E514" s="169">
        <f t="shared" si="1032"/>
        <v>0</v>
      </c>
      <c r="F514" s="169">
        <f t="shared" si="1032"/>
        <v>0</v>
      </c>
      <c r="G514" s="169">
        <f t="shared" si="1032"/>
        <v>0</v>
      </c>
      <c r="H514" s="169">
        <f t="shared" si="1032"/>
        <v>0</v>
      </c>
      <c r="I514" s="169">
        <f t="shared" si="1032"/>
        <v>0</v>
      </c>
      <c r="J514" s="169">
        <f t="shared" si="1032"/>
        <v>0</v>
      </c>
      <c r="K514" s="169">
        <f t="shared" si="1032"/>
        <v>0</v>
      </c>
      <c r="L514" s="169">
        <f t="shared" si="1032"/>
        <v>0</v>
      </c>
      <c r="M514" s="169">
        <f t="shared" si="1032"/>
        <v>0</v>
      </c>
      <c r="N514" s="169">
        <f t="shared" si="1032"/>
        <v>0</v>
      </c>
      <c r="O514" s="169">
        <f t="shared" si="1032"/>
        <v>0</v>
      </c>
      <c r="P514" s="169">
        <f t="shared" si="1032"/>
        <v>0</v>
      </c>
      <c r="Q514" s="169">
        <f t="shared" si="1032"/>
        <v>0</v>
      </c>
      <c r="R514" s="169">
        <f t="shared" si="1032"/>
        <v>0</v>
      </c>
      <c r="S514" s="169">
        <f t="shared" si="1032"/>
        <v>0</v>
      </c>
      <c r="T514" s="169">
        <f t="shared" si="1032"/>
        <v>0</v>
      </c>
      <c r="U514" s="169">
        <f t="shared" si="1032"/>
        <v>0</v>
      </c>
      <c r="V514" s="169">
        <f t="shared" si="1032"/>
        <v>0</v>
      </c>
      <c r="W514" s="169">
        <f t="shared" si="1032"/>
        <v>0</v>
      </c>
      <c r="X514" s="169">
        <f t="shared" si="1032"/>
        <v>0</v>
      </c>
      <c r="Y514" s="169">
        <f t="shared" si="1032"/>
        <v>0</v>
      </c>
      <c r="Z514" s="169">
        <f t="shared" si="1032"/>
        <v>0</v>
      </c>
      <c r="AA514" s="169">
        <f t="shared" si="1032"/>
        <v>0</v>
      </c>
      <c r="AB514" s="169">
        <f t="shared" si="1032"/>
        <v>0</v>
      </c>
      <c r="AC514" s="169">
        <f t="shared" si="1032"/>
        <v>0</v>
      </c>
      <c r="AD514" s="169">
        <f t="shared" si="1032"/>
        <v>0</v>
      </c>
      <c r="AE514" s="169">
        <f t="shared" si="1032"/>
        <v>0</v>
      </c>
      <c r="AF514" s="169">
        <f t="shared" si="1032"/>
        <v>0</v>
      </c>
      <c r="AG514" s="169">
        <f t="shared" si="1032"/>
        <v>0</v>
      </c>
      <c r="AH514" s="169">
        <f t="shared" si="1032"/>
        <v>0</v>
      </c>
      <c r="AI514" s="169">
        <f t="shared" si="1032"/>
        <v>0</v>
      </c>
      <c r="AJ514" s="169">
        <f t="shared" si="1032"/>
        <v>0</v>
      </c>
      <c r="AK514" s="169">
        <f t="shared" si="1032"/>
        <v>0</v>
      </c>
      <c r="AL514" s="169">
        <f t="shared" si="1032"/>
        <v>0</v>
      </c>
      <c r="AM514" s="169">
        <f t="shared" si="1032"/>
        <v>0</v>
      </c>
      <c r="AN514" s="169">
        <f t="shared" si="1032"/>
        <v>0</v>
      </c>
      <c r="AO514" s="169">
        <f t="shared" si="1032"/>
        <v>0</v>
      </c>
      <c r="AP514" s="169">
        <f t="shared" si="1032"/>
        <v>0</v>
      </c>
    </row>
    <row r="515" spans="1:42" x14ac:dyDescent="0.2">
      <c r="A515" s="101">
        <f t="shared" si="1031"/>
        <v>4</v>
      </c>
      <c r="B515" s="179">
        <f t="shared" si="1028"/>
        <v>0</v>
      </c>
      <c r="C515" s="208">
        <f t="shared" ref="C515:AP515" si="1033">LOOKUP(C503,$B$469:$AP$469,$B$470:$AP$470)*$B720</f>
        <v>0</v>
      </c>
      <c r="D515" s="169">
        <f t="shared" si="1033"/>
        <v>0</v>
      </c>
      <c r="E515" s="169">
        <f t="shared" si="1033"/>
        <v>0</v>
      </c>
      <c r="F515" s="169">
        <f t="shared" si="1033"/>
        <v>0</v>
      </c>
      <c r="G515" s="169">
        <f t="shared" si="1033"/>
        <v>0</v>
      </c>
      <c r="H515" s="169">
        <f t="shared" si="1033"/>
        <v>0</v>
      </c>
      <c r="I515" s="169">
        <f t="shared" si="1033"/>
        <v>0</v>
      </c>
      <c r="J515" s="169">
        <f t="shared" si="1033"/>
        <v>0</v>
      </c>
      <c r="K515" s="169">
        <f t="shared" si="1033"/>
        <v>0</v>
      </c>
      <c r="L515" s="169">
        <f t="shared" si="1033"/>
        <v>0</v>
      </c>
      <c r="M515" s="169">
        <f t="shared" si="1033"/>
        <v>0</v>
      </c>
      <c r="N515" s="169">
        <f t="shared" si="1033"/>
        <v>0</v>
      </c>
      <c r="O515" s="169">
        <f t="shared" si="1033"/>
        <v>0</v>
      </c>
      <c r="P515" s="169">
        <f t="shared" si="1033"/>
        <v>0</v>
      </c>
      <c r="Q515" s="169">
        <f t="shared" si="1033"/>
        <v>0</v>
      </c>
      <c r="R515" s="169">
        <f t="shared" si="1033"/>
        <v>0</v>
      </c>
      <c r="S515" s="169">
        <f t="shared" si="1033"/>
        <v>0</v>
      </c>
      <c r="T515" s="169">
        <f t="shared" si="1033"/>
        <v>0</v>
      </c>
      <c r="U515" s="169">
        <f t="shared" si="1033"/>
        <v>0</v>
      </c>
      <c r="V515" s="169">
        <f t="shared" si="1033"/>
        <v>0</v>
      </c>
      <c r="W515" s="169">
        <f t="shared" si="1033"/>
        <v>0</v>
      </c>
      <c r="X515" s="169">
        <f t="shared" si="1033"/>
        <v>0</v>
      </c>
      <c r="Y515" s="169">
        <f t="shared" si="1033"/>
        <v>0</v>
      </c>
      <c r="Z515" s="169">
        <f t="shared" si="1033"/>
        <v>0</v>
      </c>
      <c r="AA515" s="169">
        <f t="shared" si="1033"/>
        <v>0</v>
      </c>
      <c r="AB515" s="169">
        <f t="shared" si="1033"/>
        <v>0</v>
      </c>
      <c r="AC515" s="169">
        <f t="shared" si="1033"/>
        <v>0</v>
      </c>
      <c r="AD515" s="169">
        <f t="shared" si="1033"/>
        <v>0</v>
      </c>
      <c r="AE515" s="169">
        <f t="shared" si="1033"/>
        <v>0</v>
      </c>
      <c r="AF515" s="169">
        <f t="shared" si="1033"/>
        <v>0</v>
      </c>
      <c r="AG515" s="169">
        <f t="shared" si="1033"/>
        <v>0</v>
      </c>
      <c r="AH515" s="169">
        <f t="shared" si="1033"/>
        <v>0</v>
      </c>
      <c r="AI515" s="169">
        <f t="shared" si="1033"/>
        <v>0</v>
      </c>
      <c r="AJ515" s="169">
        <f t="shared" si="1033"/>
        <v>0</v>
      </c>
      <c r="AK515" s="169">
        <f t="shared" si="1033"/>
        <v>0</v>
      </c>
      <c r="AL515" s="169">
        <f t="shared" si="1033"/>
        <v>0</v>
      </c>
      <c r="AM515" s="169">
        <f t="shared" si="1033"/>
        <v>0</v>
      </c>
      <c r="AN515" s="169">
        <f t="shared" si="1033"/>
        <v>0</v>
      </c>
      <c r="AO515" s="169">
        <f t="shared" si="1033"/>
        <v>0</v>
      </c>
      <c r="AP515" s="169">
        <f t="shared" si="1033"/>
        <v>0</v>
      </c>
    </row>
    <row r="516" spans="1:42" x14ac:dyDescent="0.2">
      <c r="A516" s="101">
        <f t="shared" si="1031"/>
        <v>5</v>
      </c>
      <c r="B516" s="179">
        <f t="shared" si="1028"/>
        <v>0</v>
      </c>
      <c r="C516" s="208">
        <f t="shared" ref="C516:AP516" si="1034">LOOKUP(C504,$B$469:$AP$469,$B$470:$AP$470)*$B721</f>
        <v>0</v>
      </c>
      <c r="D516" s="169">
        <f t="shared" si="1034"/>
        <v>0</v>
      </c>
      <c r="E516" s="169">
        <f t="shared" si="1034"/>
        <v>0</v>
      </c>
      <c r="F516" s="169">
        <f t="shared" si="1034"/>
        <v>0</v>
      </c>
      <c r="G516" s="169">
        <f t="shared" si="1034"/>
        <v>0</v>
      </c>
      <c r="H516" s="169">
        <f t="shared" si="1034"/>
        <v>0</v>
      </c>
      <c r="I516" s="169">
        <f t="shared" si="1034"/>
        <v>0</v>
      </c>
      <c r="J516" s="169">
        <f t="shared" si="1034"/>
        <v>0</v>
      </c>
      <c r="K516" s="169">
        <f t="shared" si="1034"/>
        <v>0</v>
      </c>
      <c r="L516" s="169">
        <f t="shared" si="1034"/>
        <v>0</v>
      </c>
      <c r="M516" s="169">
        <f t="shared" si="1034"/>
        <v>0</v>
      </c>
      <c r="N516" s="169">
        <f t="shared" si="1034"/>
        <v>0</v>
      </c>
      <c r="O516" s="169">
        <f t="shared" si="1034"/>
        <v>0</v>
      </c>
      <c r="P516" s="169">
        <f t="shared" si="1034"/>
        <v>0</v>
      </c>
      <c r="Q516" s="169">
        <f t="shared" si="1034"/>
        <v>0</v>
      </c>
      <c r="R516" s="169">
        <f t="shared" si="1034"/>
        <v>0</v>
      </c>
      <c r="S516" s="169">
        <f t="shared" si="1034"/>
        <v>0</v>
      </c>
      <c r="T516" s="169">
        <f t="shared" si="1034"/>
        <v>0</v>
      </c>
      <c r="U516" s="169">
        <f t="shared" si="1034"/>
        <v>0</v>
      </c>
      <c r="V516" s="169">
        <f t="shared" si="1034"/>
        <v>0</v>
      </c>
      <c r="W516" s="169">
        <f t="shared" si="1034"/>
        <v>0</v>
      </c>
      <c r="X516" s="169">
        <f t="shared" si="1034"/>
        <v>0</v>
      </c>
      <c r="Y516" s="169">
        <f t="shared" si="1034"/>
        <v>0</v>
      </c>
      <c r="Z516" s="169">
        <f t="shared" si="1034"/>
        <v>0</v>
      </c>
      <c r="AA516" s="169">
        <f t="shared" si="1034"/>
        <v>0</v>
      </c>
      <c r="AB516" s="169">
        <f t="shared" si="1034"/>
        <v>0</v>
      </c>
      <c r="AC516" s="169">
        <f t="shared" si="1034"/>
        <v>0</v>
      </c>
      <c r="AD516" s="169">
        <f t="shared" si="1034"/>
        <v>0</v>
      </c>
      <c r="AE516" s="169">
        <f t="shared" si="1034"/>
        <v>0</v>
      </c>
      <c r="AF516" s="169">
        <f t="shared" si="1034"/>
        <v>0</v>
      </c>
      <c r="AG516" s="169">
        <f t="shared" si="1034"/>
        <v>0</v>
      </c>
      <c r="AH516" s="169">
        <f t="shared" si="1034"/>
        <v>0</v>
      </c>
      <c r="AI516" s="169">
        <f t="shared" si="1034"/>
        <v>0</v>
      </c>
      <c r="AJ516" s="169">
        <f t="shared" si="1034"/>
        <v>0</v>
      </c>
      <c r="AK516" s="169">
        <f t="shared" si="1034"/>
        <v>0</v>
      </c>
      <c r="AL516" s="169">
        <f t="shared" si="1034"/>
        <v>0</v>
      </c>
      <c r="AM516" s="169">
        <f t="shared" si="1034"/>
        <v>0</v>
      </c>
      <c r="AN516" s="169">
        <f t="shared" si="1034"/>
        <v>0</v>
      </c>
      <c r="AO516" s="169">
        <f t="shared" si="1034"/>
        <v>0</v>
      </c>
      <c r="AP516" s="169">
        <f t="shared" si="1034"/>
        <v>0</v>
      </c>
    </row>
    <row r="517" spans="1:42" x14ac:dyDescent="0.2">
      <c r="A517" s="101">
        <f t="shared" si="1031"/>
        <v>6</v>
      </c>
      <c r="B517" s="179">
        <f t="shared" si="1028"/>
        <v>0</v>
      </c>
      <c r="C517" s="208">
        <f t="shared" ref="C517:AP517" si="1035">LOOKUP(C505,$B$469:$AP$469,$B$470:$AP$470)*$B722</f>
        <v>0</v>
      </c>
      <c r="D517" s="169">
        <f t="shared" si="1035"/>
        <v>0</v>
      </c>
      <c r="E517" s="169">
        <f t="shared" si="1035"/>
        <v>0</v>
      </c>
      <c r="F517" s="169">
        <f t="shared" si="1035"/>
        <v>0</v>
      </c>
      <c r="G517" s="169">
        <f t="shared" si="1035"/>
        <v>0</v>
      </c>
      <c r="H517" s="169">
        <f t="shared" si="1035"/>
        <v>0</v>
      </c>
      <c r="I517" s="169">
        <f t="shared" si="1035"/>
        <v>0</v>
      </c>
      <c r="J517" s="169">
        <f t="shared" si="1035"/>
        <v>0</v>
      </c>
      <c r="K517" s="169">
        <f t="shared" si="1035"/>
        <v>0</v>
      </c>
      <c r="L517" s="169">
        <f t="shared" si="1035"/>
        <v>0</v>
      </c>
      <c r="M517" s="169">
        <f t="shared" si="1035"/>
        <v>0</v>
      </c>
      <c r="N517" s="169">
        <f t="shared" si="1035"/>
        <v>0</v>
      </c>
      <c r="O517" s="169">
        <f t="shared" si="1035"/>
        <v>0</v>
      </c>
      <c r="P517" s="169">
        <f t="shared" si="1035"/>
        <v>0</v>
      </c>
      <c r="Q517" s="169">
        <f t="shared" si="1035"/>
        <v>0</v>
      </c>
      <c r="R517" s="169">
        <f t="shared" si="1035"/>
        <v>0</v>
      </c>
      <c r="S517" s="169">
        <f t="shared" si="1035"/>
        <v>0</v>
      </c>
      <c r="T517" s="169">
        <f t="shared" si="1035"/>
        <v>0</v>
      </c>
      <c r="U517" s="169">
        <f t="shared" si="1035"/>
        <v>0</v>
      </c>
      <c r="V517" s="169">
        <f t="shared" si="1035"/>
        <v>0</v>
      </c>
      <c r="W517" s="169">
        <f t="shared" si="1035"/>
        <v>0</v>
      </c>
      <c r="X517" s="169">
        <f t="shared" si="1035"/>
        <v>0</v>
      </c>
      <c r="Y517" s="169">
        <f t="shared" si="1035"/>
        <v>0</v>
      </c>
      <c r="Z517" s="169">
        <f t="shared" si="1035"/>
        <v>0</v>
      </c>
      <c r="AA517" s="169">
        <f t="shared" si="1035"/>
        <v>0</v>
      </c>
      <c r="AB517" s="169">
        <f t="shared" si="1035"/>
        <v>0</v>
      </c>
      <c r="AC517" s="169">
        <f t="shared" si="1035"/>
        <v>0</v>
      </c>
      <c r="AD517" s="169">
        <f t="shared" si="1035"/>
        <v>0</v>
      </c>
      <c r="AE517" s="169">
        <f t="shared" si="1035"/>
        <v>0</v>
      </c>
      <c r="AF517" s="169">
        <f t="shared" si="1035"/>
        <v>0</v>
      </c>
      <c r="AG517" s="169">
        <f t="shared" si="1035"/>
        <v>0</v>
      </c>
      <c r="AH517" s="169">
        <f t="shared" si="1035"/>
        <v>0</v>
      </c>
      <c r="AI517" s="169">
        <f t="shared" si="1035"/>
        <v>0</v>
      </c>
      <c r="AJ517" s="169">
        <f t="shared" si="1035"/>
        <v>0</v>
      </c>
      <c r="AK517" s="169">
        <f t="shared" si="1035"/>
        <v>0</v>
      </c>
      <c r="AL517" s="169">
        <f t="shared" si="1035"/>
        <v>0</v>
      </c>
      <c r="AM517" s="169">
        <f t="shared" si="1035"/>
        <v>0</v>
      </c>
      <c r="AN517" s="169">
        <f t="shared" si="1035"/>
        <v>0</v>
      </c>
      <c r="AO517" s="169">
        <f t="shared" si="1035"/>
        <v>0</v>
      </c>
      <c r="AP517" s="169">
        <f t="shared" si="1035"/>
        <v>0</v>
      </c>
    </row>
    <row r="518" spans="1:42" x14ac:dyDescent="0.2">
      <c r="A518" s="101">
        <f t="shared" si="1031"/>
        <v>7</v>
      </c>
      <c r="B518" s="179">
        <f t="shared" si="1028"/>
        <v>0</v>
      </c>
      <c r="C518" s="208">
        <f t="shared" ref="C518:AP518" si="1036">LOOKUP(C506,$B$469:$AP$469,$B$470:$AP$470)*$B723</f>
        <v>0</v>
      </c>
      <c r="D518" s="169">
        <f t="shared" si="1036"/>
        <v>0</v>
      </c>
      <c r="E518" s="169">
        <f t="shared" si="1036"/>
        <v>0</v>
      </c>
      <c r="F518" s="169">
        <f t="shared" si="1036"/>
        <v>0</v>
      </c>
      <c r="G518" s="169">
        <f t="shared" si="1036"/>
        <v>0</v>
      </c>
      <c r="H518" s="169">
        <f t="shared" si="1036"/>
        <v>0</v>
      </c>
      <c r="I518" s="169">
        <f t="shared" si="1036"/>
        <v>0</v>
      </c>
      <c r="J518" s="169">
        <f t="shared" si="1036"/>
        <v>0</v>
      </c>
      <c r="K518" s="169">
        <f t="shared" si="1036"/>
        <v>0</v>
      </c>
      <c r="L518" s="169">
        <f t="shared" si="1036"/>
        <v>0</v>
      </c>
      <c r="M518" s="169">
        <f t="shared" si="1036"/>
        <v>0</v>
      </c>
      <c r="N518" s="169">
        <f t="shared" si="1036"/>
        <v>0</v>
      </c>
      <c r="O518" s="169">
        <f t="shared" si="1036"/>
        <v>0</v>
      </c>
      <c r="P518" s="169">
        <f t="shared" si="1036"/>
        <v>0</v>
      </c>
      <c r="Q518" s="169">
        <f t="shared" si="1036"/>
        <v>0</v>
      </c>
      <c r="R518" s="169">
        <f t="shared" si="1036"/>
        <v>0</v>
      </c>
      <c r="S518" s="169">
        <f t="shared" si="1036"/>
        <v>0</v>
      </c>
      <c r="T518" s="169">
        <f t="shared" si="1036"/>
        <v>0</v>
      </c>
      <c r="U518" s="169">
        <f t="shared" si="1036"/>
        <v>0</v>
      </c>
      <c r="V518" s="169">
        <f t="shared" si="1036"/>
        <v>0</v>
      </c>
      <c r="W518" s="169">
        <f t="shared" si="1036"/>
        <v>0</v>
      </c>
      <c r="X518" s="169">
        <f t="shared" si="1036"/>
        <v>0</v>
      </c>
      <c r="Y518" s="169">
        <f t="shared" si="1036"/>
        <v>0</v>
      </c>
      <c r="Z518" s="169">
        <f t="shared" si="1036"/>
        <v>0</v>
      </c>
      <c r="AA518" s="169">
        <f t="shared" si="1036"/>
        <v>0</v>
      </c>
      <c r="AB518" s="169">
        <f t="shared" si="1036"/>
        <v>0</v>
      </c>
      <c r="AC518" s="169">
        <f t="shared" si="1036"/>
        <v>0</v>
      </c>
      <c r="AD518" s="169">
        <f t="shared" si="1036"/>
        <v>0</v>
      </c>
      <c r="AE518" s="169">
        <f t="shared" si="1036"/>
        <v>0</v>
      </c>
      <c r="AF518" s="169">
        <f t="shared" si="1036"/>
        <v>0</v>
      </c>
      <c r="AG518" s="169">
        <f t="shared" si="1036"/>
        <v>0</v>
      </c>
      <c r="AH518" s="169">
        <f t="shared" si="1036"/>
        <v>0</v>
      </c>
      <c r="AI518" s="169">
        <f t="shared" si="1036"/>
        <v>0</v>
      </c>
      <c r="AJ518" s="169">
        <f t="shared" si="1036"/>
        <v>0</v>
      </c>
      <c r="AK518" s="169">
        <f t="shared" si="1036"/>
        <v>0</v>
      </c>
      <c r="AL518" s="169">
        <f t="shared" si="1036"/>
        <v>0</v>
      </c>
      <c r="AM518" s="169">
        <f t="shared" si="1036"/>
        <v>0</v>
      </c>
      <c r="AN518" s="169">
        <f t="shared" si="1036"/>
        <v>0</v>
      </c>
      <c r="AO518" s="169">
        <f t="shared" si="1036"/>
        <v>0</v>
      </c>
      <c r="AP518" s="169">
        <f t="shared" si="1036"/>
        <v>0</v>
      </c>
    </row>
    <row r="519" spans="1:42" x14ac:dyDescent="0.2">
      <c r="A519" s="101">
        <f t="shared" si="1031"/>
        <v>8</v>
      </c>
      <c r="B519" s="179">
        <f t="shared" si="1028"/>
        <v>0</v>
      </c>
      <c r="C519" s="208">
        <f t="shared" ref="C519:AP519" si="1037">LOOKUP(C507,$B$469:$AP$469,$B$470:$AP$470)*$B724</f>
        <v>0</v>
      </c>
      <c r="D519" s="169">
        <f t="shared" si="1037"/>
        <v>0</v>
      </c>
      <c r="E519" s="169">
        <f t="shared" si="1037"/>
        <v>0</v>
      </c>
      <c r="F519" s="169">
        <f t="shared" si="1037"/>
        <v>0</v>
      </c>
      <c r="G519" s="169">
        <f t="shared" si="1037"/>
        <v>0</v>
      </c>
      <c r="H519" s="169">
        <f t="shared" si="1037"/>
        <v>0</v>
      </c>
      <c r="I519" s="169">
        <f t="shared" si="1037"/>
        <v>0</v>
      </c>
      <c r="J519" s="169">
        <f t="shared" si="1037"/>
        <v>0</v>
      </c>
      <c r="K519" s="169">
        <f t="shared" si="1037"/>
        <v>0</v>
      </c>
      <c r="L519" s="169">
        <f t="shared" si="1037"/>
        <v>0</v>
      </c>
      <c r="M519" s="169">
        <f t="shared" si="1037"/>
        <v>0</v>
      </c>
      <c r="N519" s="169">
        <f t="shared" si="1037"/>
        <v>0</v>
      </c>
      <c r="O519" s="169">
        <f t="shared" si="1037"/>
        <v>0</v>
      </c>
      <c r="P519" s="169">
        <f t="shared" si="1037"/>
        <v>0</v>
      </c>
      <c r="Q519" s="169">
        <f t="shared" si="1037"/>
        <v>0</v>
      </c>
      <c r="R519" s="169">
        <f t="shared" si="1037"/>
        <v>0</v>
      </c>
      <c r="S519" s="169">
        <f t="shared" si="1037"/>
        <v>0</v>
      </c>
      <c r="T519" s="169">
        <f t="shared" si="1037"/>
        <v>0</v>
      </c>
      <c r="U519" s="169">
        <f t="shared" si="1037"/>
        <v>0</v>
      </c>
      <c r="V519" s="169">
        <f t="shared" si="1037"/>
        <v>0</v>
      </c>
      <c r="W519" s="169">
        <f t="shared" si="1037"/>
        <v>0</v>
      </c>
      <c r="X519" s="169">
        <f t="shared" si="1037"/>
        <v>0</v>
      </c>
      <c r="Y519" s="169">
        <f t="shared" si="1037"/>
        <v>0</v>
      </c>
      <c r="Z519" s="169">
        <f t="shared" si="1037"/>
        <v>0</v>
      </c>
      <c r="AA519" s="169">
        <f t="shared" si="1037"/>
        <v>0</v>
      </c>
      <c r="AB519" s="169">
        <f t="shared" si="1037"/>
        <v>0</v>
      </c>
      <c r="AC519" s="169">
        <f t="shared" si="1037"/>
        <v>0</v>
      </c>
      <c r="AD519" s="169">
        <f t="shared" si="1037"/>
        <v>0</v>
      </c>
      <c r="AE519" s="169">
        <f t="shared" si="1037"/>
        <v>0</v>
      </c>
      <c r="AF519" s="169">
        <f t="shared" si="1037"/>
        <v>0</v>
      </c>
      <c r="AG519" s="169">
        <f t="shared" si="1037"/>
        <v>0</v>
      </c>
      <c r="AH519" s="169">
        <f t="shared" si="1037"/>
        <v>0</v>
      </c>
      <c r="AI519" s="169">
        <f t="shared" si="1037"/>
        <v>0</v>
      </c>
      <c r="AJ519" s="169">
        <f t="shared" si="1037"/>
        <v>0</v>
      </c>
      <c r="AK519" s="169">
        <f t="shared" si="1037"/>
        <v>0</v>
      </c>
      <c r="AL519" s="169">
        <f t="shared" si="1037"/>
        <v>0</v>
      </c>
      <c r="AM519" s="169">
        <f t="shared" si="1037"/>
        <v>0</v>
      </c>
      <c r="AN519" s="169">
        <f t="shared" si="1037"/>
        <v>0</v>
      </c>
      <c r="AO519" s="169">
        <f t="shared" si="1037"/>
        <v>0</v>
      </c>
      <c r="AP519" s="169">
        <f t="shared" si="1037"/>
        <v>0</v>
      </c>
    </row>
    <row r="520" spans="1:42" x14ac:dyDescent="0.2">
      <c r="A520" s="101">
        <f>A519+1</f>
        <v>9</v>
      </c>
      <c r="B520" s="179">
        <f t="shared" si="1028"/>
        <v>0</v>
      </c>
      <c r="C520" s="208">
        <f t="shared" ref="C520:AP520" si="1038">LOOKUP(C508,$B$469:$AP$469,$B$470:$AP$470)*$B725</f>
        <v>0</v>
      </c>
      <c r="D520" s="169">
        <f t="shared" si="1038"/>
        <v>0</v>
      </c>
      <c r="E520" s="169">
        <f t="shared" si="1038"/>
        <v>0</v>
      </c>
      <c r="F520" s="169">
        <f t="shared" si="1038"/>
        <v>0</v>
      </c>
      <c r="G520" s="169">
        <f t="shared" si="1038"/>
        <v>0</v>
      </c>
      <c r="H520" s="169">
        <f t="shared" si="1038"/>
        <v>0</v>
      </c>
      <c r="I520" s="169">
        <f t="shared" si="1038"/>
        <v>0</v>
      </c>
      <c r="J520" s="169">
        <f t="shared" si="1038"/>
        <v>0</v>
      </c>
      <c r="K520" s="169">
        <f t="shared" si="1038"/>
        <v>0</v>
      </c>
      <c r="L520" s="169">
        <f t="shared" si="1038"/>
        <v>0</v>
      </c>
      <c r="M520" s="169">
        <f t="shared" si="1038"/>
        <v>0</v>
      </c>
      <c r="N520" s="169">
        <f t="shared" si="1038"/>
        <v>0</v>
      </c>
      <c r="O520" s="169">
        <f t="shared" si="1038"/>
        <v>0</v>
      </c>
      <c r="P520" s="169">
        <f t="shared" si="1038"/>
        <v>0</v>
      </c>
      <c r="Q520" s="169">
        <f t="shared" si="1038"/>
        <v>0</v>
      </c>
      <c r="R520" s="169">
        <f t="shared" si="1038"/>
        <v>0</v>
      </c>
      <c r="S520" s="169">
        <f t="shared" si="1038"/>
        <v>0</v>
      </c>
      <c r="T520" s="169">
        <f t="shared" si="1038"/>
        <v>0</v>
      </c>
      <c r="U520" s="169">
        <f t="shared" si="1038"/>
        <v>0</v>
      </c>
      <c r="V520" s="169">
        <f t="shared" si="1038"/>
        <v>0</v>
      </c>
      <c r="W520" s="169">
        <f t="shared" si="1038"/>
        <v>0</v>
      </c>
      <c r="X520" s="169">
        <f t="shared" si="1038"/>
        <v>0</v>
      </c>
      <c r="Y520" s="169">
        <f t="shared" si="1038"/>
        <v>0</v>
      </c>
      <c r="Z520" s="169">
        <f t="shared" si="1038"/>
        <v>0</v>
      </c>
      <c r="AA520" s="169">
        <f t="shared" si="1038"/>
        <v>0</v>
      </c>
      <c r="AB520" s="169">
        <f t="shared" si="1038"/>
        <v>0</v>
      </c>
      <c r="AC520" s="169">
        <f t="shared" si="1038"/>
        <v>0</v>
      </c>
      <c r="AD520" s="169">
        <f t="shared" si="1038"/>
        <v>0</v>
      </c>
      <c r="AE520" s="169">
        <f t="shared" si="1038"/>
        <v>0</v>
      </c>
      <c r="AF520" s="169">
        <f t="shared" si="1038"/>
        <v>0</v>
      </c>
      <c r="AG520" s="169">
        <f t="shared" si="1038"/>
        <v>0</v>
      </c>
      <c r="AH520" s="169">
        <f t="shared" si="1038"/>
        <v>0</v>
      </c>
      <c r="AI520" s="169">
        <f t="shared" si="1038"/>
        <v>0</v>
      </c>
      <c r="AJ520" s="169">
        <f t="shared" si="1038"/>
        <v>0</v>
      </c>
      <c r="AK520" s="169">
        <f t="shared" si="1038"/>
        <v>0</v>
      </c>
      <c r="AL520" s="169">
        <f t="shared" si="1038"/>
        <v>0</v>
      </c>
      <c r="AM520" s="169">
        <f t="shared" si="1038"/>
        <v>0</v>
      </c>
      <c r="AN520" s="169">
        <f t="shared" si="1038"/>
        <v>0</v>
      </c>
      <c r="AO520" s="169">
        <f t="shared" si="1038"/>
        <v>0</v>
      </c>
      <c r="AP520" s="169">
        <f t="shared" si="1038"/>
        <v>0</v>
      </c>
    </row>
    <row r="521" spans="1:42" x14ac:dyDescent="0.2">
      <c r="A521" s="101">
        <f t="shared" ref="A521" si="1039">A520+1</f>
        <v>10</v>
      </c>
      <c r="B521" s="179">
        <f t="shared" si="1028"/>
        <v>0</v>
      </c>
      <c r="C521" s="204">
        <f t="shared" ref="C521:AP521" si="1040">LOOKUP(C509,$B$469:$AP$469,$B$470:$AP$470)*$B726</f>
        <v>0</v>
      </c>
      <c r="D521" s="170">
        <f t="shared" si="1040"/>
        <v>0</v>
      </c>
      <c r="E521" s="170">
        <f t="shared" si="1040"/>
        <v>0</v>
      </c>
      <c r="F521" s="170">
        <f t="shared" si="1040"/>
        <v>0</v>
      </c>
      <c r="G521" s="170">
        <f t="shared" si="1040"/>
        <v>0</v>
      </c>
      <c r="H521" s="170">
        <f t="shared" si="1040"/>
        <v>0</v>
      </c>
      <c r="I521" s="170">
        <f t="shared" si="1040"/>
        <v>0</v>
      </c>
      <c r="J521" s="170">
        <f t="shared" si="1040"/>
        <v>0</v>
      </c>
      <c r="K521" s="170">
        <f t="shared" si="1040"/>
        <v>0</v>
      </c>
      <c r="L521" s="170">
        <f t="shared" si="1040"/>
        <v>0</v>
      </c>
      <c r="M521" s="170">
        <f t="shared" si="1040"/>
        <v>0</v>
      </c>
      <c r="N521" s="170">
        <f t="shared" si="1040"/>
        <v>0</v>
      </c>
      <c r="O521" s="170">
        <f t="shared" si="1040"/>
        <v>0</v>
      </c>
      <c r="P521" s="170">
        <f t="shared" si="1040"/>
        <v>0</v>
      </c>
      <c r="Q521" s="170">
        <f t="shared" si="1040"/>
        <v>0</v>
      </c>
      <c r="R521" s="170">
        <f t="shared" si="1040"/>
        <v>0</v>
      </c>
      <c r="S521" s="170">
        <f t="shared" si="1040"/>
        <v>0</v>
      </c>
      <c r="T521" s="170">
        <f t="shared" si="1040"/>
        <v>0</v>
      </c>
      <c r="U521" s="170">
        <f t="shared" si="1040"/>
        <v>0</v>
      </c>
      <c r="V521" s="170">
        <f t="shared" si="1040"/>
        <v>0</v>
      </c>
      <c r="W521" s="170">
        <f t="shared" si="1040"/>
        <v>0</v>
      </c>
      <c r="X521" s="170">
        <f t="shared" si="1040"/>
        <v>0</v>
      </c>
      <c r="Y521" s="170">
        <f t="shared" si="1040"/>
        <v>0</v>
      </c>
      <c r="Z521" s="170">
        <f t="shared" si="1040"/>
        <v>0</v>
      </c>
      <c r="AA521" s="170">
        <f t="shared" si="1040"/>
        <v>0</v>
      </c>
      <c r="AB521" s="170">
        <f t="shared" si="1040"/>
        <v>0</v>
      </c>
      <c r="AC521" s="170">
        <f t="shared" si="1040"/>
        <v>0</v>
      </c>
      <c r="AD521" s="170">
        <f t="shared" si="1040"/>
        <v>0</v>
      </c>
      <c r="AE521" s="170">
        <f t="shared" si="1040"/>
        <v>0</v>
      </c>
      <c r="AF521" s="170">
        <f t="shared" si="1040"/>
        <v>0</v>
      </c>
      <c r="AG521" s="170">
        <f t="shared" si="1040"/>
        <v>0</v>
      </c>
      <c r="AH521" s="170">
        <f t="shared" si="1040"/>
        <v>0</v>
      </c>
      <c r="AI521" s="170">
        <f t="shared" si="1040"/>
        <v>0</v>
      </c>
      <c r="AJ521" s="170">
        <f t="shared" si="1040"/>
        <v>0</v>
      </c>
      <c r="AK521" s="170">
        <f t="shared" si="1040"/>
        <v>0</v>
      </c>
      <c r="AL521" s="170">
        <f t="shared" si="1040"/>
        <v>0</v>
      </c>
      <c r="AM521" s="170">
        <f t="shared" si="1040"/>
        <v>0</v>
      </c>
      <c r="AN521" s="170">
        <f t="shared" si="1040"/>
        <v>0</v>
      </c>
      <c r="AO521" s="170">
        <f t="shared" si="1040"/>
        <v>0</v>
      </c>
      <c r="AP521" s="170">
        <f t="shared" si="1040"/>
        <v>0</v>
      </c>
    </row>
    <row r="522" spans="1:42" s="101" customFormat="1" x14ac:dyDescent="0.2">
      <c r="A522" s="205" t="s">
        <v>53</v>
      </c>
      <c r="B522" s="124"/>
      <c r="C522" s="124">
        <f>SUM(C512:C521)</f>
        <v>0</v>
      </c>
      <c r="D522" s="124">
        <f t="shared" ref="D522:AP522" si="1041">SUM(D512:D521)</f>
        <v>0</v>
      </c>
      <c r="E522" s="124">
        <f t="shared" si="1041"/>
        <v>0</v>
      </c>
      <c r="F522" s="124">
        <f t="shared" si="1041"/>
        <v>0</v>
      </c>
      <c r="G522" s="124">
        <f t="shared" si="1041"/>
        <v>0</v>
      </c>
      <c r="H522" s="124">
        <f t="shared" si="1041"/>
        <v>0</v>
      </c>
      <c r="I522" s="124">
        <f t="shared" si="1041"/>
        <v>0</v>
      </c>
      <c r="J522" s="124">
        <f t="shared" si="1041"/>
        <v>0</v>
      </c>
      <c r="K522" s="124">
        <f t="shared" si="1041"/>
        <v>0</v>
      </c>
      <c r="L522" s="124">
        <f t="shared" si="1041"/>
        <v>0</v>
      </c>
      <c r="M522" s="124">
        <f t="shared" si="1041"/>
        <v>0</v>
      </c>
      <c r="N522" s="124">
        <f t="shared" si="1041"/>
        <v>0</v>
      </c>
      <c r="O522" s="124">
        <f t="shared" si="1041"/>
        <v>0</v>
      </c>
      <c r="P522" s="124">
        <f t="shared" si="1041"/>
        <v>0</v>
      </c>
      <c r="Q522" s="124">
        <f t="shared" si="1041"/>
        <v>0</v>
      </c>
      <c r="R522" s="124">
        <f t="shared" si="1041"/>
        <v>0</v>
      </c>
      <c r="S522" s="124">
        <f t="shared" si="1041"/>
        <v>0</v>
      </c>
      <c r="T522" s="124">
        <f t="shared" si="1041"/>
        <v>0</v>
      </c>
      <c r="U522" s="124">
        <f t="shared" si="1041"/>
        <v>0</v>
      </c>
      <c r="V522" s="124">
        <f t="shared" si="1041"/>
        <v>0</v>
      </c>
      <c r="W522" s="124">
        <f t="shared" si="1041"/>
        <v>0</v>
      </c>
      <c r="X522" s="124">
        <f t="shared" si="1041"/>
        <v>0</v>
      </c>
      <c r="Y522" s="124">
        <f t="shared" si="1041"/>
        <v>0</v>
      </c>
      <c r="Z522" s="124">
        <f t="shared" si="1041"/>
        <v>0</v>
      </c>
      <c r="AA522" s="124">
        <f t="shared" si="1041"/>
        <v>0</v>
      </c>
      <c r="AB522" s="124">
        <f t="shared" si="1041"/>
        <v>0</v>
      </c>
      <c r="AC522" s="124">
        <f t="shared" si="1041"/>
        <v>0</v>
      </c>
      <c r="AD522" s="124">
        <f t="shared" si="1041"/>
        <v>0</v>
      </c>
      <c r="AE522" s="124">
        <f t="shared" si="1041"/>
        <v>0</v>
      </c>
      <c r="AF522" s="124">
        <f t="shared" si="1041"/>
        <v>0</v>
      </c>
      <c r="AG522" s="124">
        <f t="shared" si="1041"/>
        <v>0</v>
      </c>
      <c r="AH522" s="124">
        <f t="shared" si="1041"/>
        <v>0</v>
      </c>
      <c r="AI522" s="124">
        <f t="shared" si="1041"/>
        <v>0</v>
      </c>
      <c r="AJ522" s="124">
        <f t="shared" si="1041"/>
        <v>0</v>
      </c>
      <c r="AK522" s="124">
        <f t="shared" si="1041"/>
        <v>0</v>
      </c>
      <c r="AL522" s="124">
        <f t="shared" si="1041"/>
        <v>0</v>
      </c>
      <c r="AM522" s="124">
        <f t="shared" si="1041"/>
        <v>0</v>
      </c>
      <c r="AN522" s="124">
        <f t="shared" si="1041"/>
        <v>0</v>
      </c>
      <c r="AO522" s="124">
        <f t="shared" si="1041"/>
        <v>0</v>
      </c>
      <c r="AP522" s="124">
        <f t="shared" si="1041"/>
        <v>0</v>
      </c>
    </row>
    <row r="523" spans="1:42" s="101" customFormat="1" x14ac:dyDescent="0.2">
      <c r="A523" s="205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</row>
    <row r="524" spans="1:42" x14ac:dyDescent="0.2">
      <c r="A524" s="180" t="s">
        <v>307</v>
      </c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</row>
    <row r="525" spans="1:42" x14ac:dyDescent="0.2">
      <c r="A525" s="187" t="s">
        <v>192</v>
      </c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</row>
    <row r="526" spans="1:42" x14ac:dyDescent="0.2">
      <c r="A526" s="20">
        <v>1</v>
      </c>
      <c r="C526" s="169">
        <f>C391</f>
        <v>0</v>
      </c>
      <c r="D526" s="169">
        <f t="shared" ref="D526:AP532" si="1042">D391</f>
        <v>0</v>
      </c>
      <c r="E526" s="169">
        <f t="shared" si="1042"/>
        <v>0</v>
      </c>
      <c r="F526" s="169">
        <f t="shared" si="1042"/>
        <v>0</v>
      </c>
      <c r="G526" s="169">
        <f t="shared" si="1042"/>
        <v>0</v>
      </c>
      <c r="H526" s="169">
        <f t="shared" si="1042"/>
        <v>0</v>
      </c>
      <c r="I526" s="169">
        <f t="shared" si="1042"/>
        <v>0</v>
      </c>
      <c r="J526" s="169">
        <f t="shared" si="1042"/>
        <v>0</v>
      </c>
      <c r="K526" s="169">
        <f t="shared" si="1042"/>
        <v>0</v>
      </c>
      <c r="L526" s="169">
        <f t="shared" si="1042"/>
        <v>0</v>
      </c>
      <c r="M526" s="169">
        <f t="shared" si="1042"/>
        <v>0</v>
      </c>
      <c r="N526" s="169">
        <f t="shared" si="1042"/>
        <v>0</v>
      </c>
      <c r="O526" s="169">
        <f t="shared" si="1042"/>
        <v>0</v>
      </c>
      <c r="P526" s="169">
        <f t="shared" si="1042"/>
        <v>0</v>
      </c>
      <c r="Q526" s="169">
        <f t="shared" si="1042"/>
        <v>0</v>
      </c>
      <c r="R526" s="169">
        <f t="shared" si="1042"/>
        <v>0</v>
      </c>
      <c r="S526" s="169">
        <f t="shared" si="1042"/>
        <v>0</v>
      </c>
      <c r="T526" s="169">
        <f t="shared" si="1042"/>
        <v>0</v>
      </c>
      <c r="U526" s="169">
        <f t="shared" si="1042"/>
        <v>0</v>
      </c>
      <c r="V526" s="169">
        <f t="shared" si="1042"/>
        <v>0</v>
      </c>
      <c r="W526" s="169">
        <f t="shared" si="1042"/>
        <v>0</v>
      </c>
      <c r="X526" s="169">
        <f t="shared" si="1042"/>
        <v>0</v>
      </c>
      <c r="Y526" s="169">
        <f t="shared" si="1042"/>
        <v>0</v>
      </c>
      <c r="Z526" s="169">
        <f t="shared" si="1042"/>
        <v>0</v>
      </c>
      <c r="AA526" s="169">
        <f t="shared" si="1042"/>
        <v>0</v>
      </c>
      <c r="AB526" s="169">
        <f t="shared" si="1042"/>
        <v>0</v>
      </c>
      <c r="AC526" s="169">
        <f t="shared" si="1042"/>
        <v>0</v>
      </c>
      <c r="AD526" s="169">
        <f t="shared" si="1042"/>
        <v>0</v>
      </c>
      <c r="AE526" s="169">
        <f t="shared" si="1042"/>
        <v>0</v>
      </c>
      <c r="AF526" s="169">
        <f t="shared" si="1042"/>
        <v>0</v>
      </c>
      <c r="AG526" s="169">
        <f t="shared" si="1042"/>
        <v>0</v>
      </c>
      <c r="AH526" s="169">
        <f t="shared" si="1042"/>
        <v>0</v>
      </c>
      <c r="AI526" s="169">
        <f t="shared" si="1042"/>
        <v>0</v>
      </c>
      <c r="AJ526" s="169">
        <f t="shared" si="1042"/>
        <v>0</v>
      </c>
      <c r="AK526" s="169">
        <f t="shared" si="1042"/>
        <v>0</v>
      </c>
      <c r="AL526" s="169">
        <f t="shared" si="1042"/>
        <v>0</v>
      </c>
      <c r="AM526" s="169">
        <f t="shared" si="1042"/>
        <v>0</v>
      </c>
      <c r="AN526" s="169">
        <f t="shared" si="1042"/>
        <v>0</v>
      </c>
      <c r="AO526" s="169">
        <f t="shared" si="1042"/>
        <v>0</v>
      </c>
      <c r="AP526" s="169">
        <f t="shared" si="1042"/>
        <v>0</v>
      </c>
    </row>
    <row r="527" spans="1:42" x14ac:dyDescent="0.2">
      <c r="A527" s="20">
        <f>A526+1</f>
        <v>2</v>
      </c>
      <c r="C527" s="169">
        <f t="shared" ref="C527:R527" si="1043">C392</f>
        <v>0</v>
      </c>
      <c r="D527" s="169">
        <f t="shared" si="1043"/>
        <v>0</v>
      </c>
      <c r="E527" s="169">
        <f t="shared" si="1043"/>
        <v>0</v>
      </c>
      <c r="F527" s="169">
        <f t="shared" si="1043"/>
        <v>0</v>
      </c>
      <c r="G527" s="169">
        <f t="shared" si="1043"/>
        <v>0</v>
      </c>
      <c r="H527" s="169">
        <f t="shared" si="1043"/>
        <v>0</v>
      </c>
      <c r="I527" s="169">
        <f t="shared" si="1043"/>
        <v>0</v>
      </c>
      <c r="J527" s="169">
        <f t="shared" si="1043"/>
        <v>0</v>
      </c>
      <c r="K527" s="169">
        <f t="shared" si="1043"/>
        <v>0</v>
      </c>
      <c r="L527" s="169">
        <f t="shared" si="1043"/>
        <v>0</v>
      </c>
      <c r="M527" s="169">
        <f t="shared" si="1043"/>
        <v>0</v>
      </c>
      <c r="N527" s="169">
        <f t="shared" si="1043"/>
        <v>0</v>
      </c>
      <c r="O527" s="169">
        <f t="shared" si="1043"/>
        <v>0</v>
      </c>
      <c r="P527" s="169">
        <f t="shared" si="1043"/>
        <v>0</v>
      </c>
      <c r="Q527" s="169">
        <f t="shared" si="1043"/>
        <v>0</v>
      </c>
      <c r="R527" s="169">
        <f t="shared" si="1043"/>
        <v>0</v>
      </c>
      <c r="S527" s="169">
        <f t="shared" si="1042"/>
        <v>0</v>
      </c>
      <c r="T527" s="169">
        <f t="shared" si="1042"/>
        <v>0</v>
      </c>
      <c r="U527" s="169">
        <f t="shared" si="1042"/>
        <v>0</v>
      </c>
      <c r="V527" s="169">
        <f t="shared" si="1042"/>
        <v>0</v>
      </c>
      <c r="W527" s="169">
        <f t="shared" si="1042"/>
        <v>0</v>
      </c>
      <c r="X527" s="169">
        <f t="shared" si="1042"/>
        <v>0</v>
      </c>
      <c r="Y527" s="169">
        <f t="shared" si="1042"/>
        <v>0</v>
      </c>
      <c r="Z527" s="169">
        <f t="shared" si="1042"/>
        <v>0</v>
      </c>
      <c r="AA527" s="169">
        <f t="shared" si="1042"/>
        <v>0</v>
      </c>
      <c r="AB527" s="169">
        <f t="shared" si="1042"/>
        <v>0</v>
      </c>
      <c r="AC527" s="169">
        <f t="shared" si="1042"/>
        <v>0</v>
      </c>
      <c r="AD527" s="169">
        <f t="shared" si="1042"/>
        <v>0</v>
      </c>
      <c r="AE527" s="169">
        <f t="shared" si="1042"/>
        <v>0</v>
      </c>
      <c r="AF527" s="169">
        <f t="shared" si="1042"/>
        <v>0</v>
      </c>
      <c r="AG527" s="169">
        <f t="shared" si="1042"/>
        <v>0</v>
      </c>
      <c r="AH527" s="169">
        <f t="shared" si="1042"/>
        <v>0</v>
      </c>
      <c r="AI527" s="169">
        <f t="shared" si="1042"/>
        <v>0</v>
      </c>
      <c r="AJ527" s="169">
        <f t="shared" si="1042"/>
        <v>0</v>
      </c>
      <c r="AK527" s="169">
        <f t="shared" si="1042"/>
        <v>0</v>
      </c>
      <c r="AL527" s="169">
        <f t="shared" si="1042"/>
        <v>0</v>
      </c>
      <c r="AM527" s="169">
        <f t="shared" si="1042"/>
        <v>0</v>
      </c>
      <c r="AN527" s="169">
        <f t="shared" si="1042"/>
        <v>0</v>
      </c>
      <c r="AO527" s="169">
        <f t="shared" si="1042"/>
        <v>0</v>
      </c>
      <c r="AP527" s="169">
        <f t="shared" si="1042"/>
        <v>0</v>
      </c>
    </row>
    <row r="528" spans="1:42" x14ac:dyDescent="0.2">
      <c r="A528" s="20">
        <f t="shared" ref="A528:A533" si="1044">A527+1</f>
        <v>3</v>
      </c>
      <c r="C528" s="169">
        <f t="shared" ref="C528" si="1045">C393</f>
        <v>0</v>
      </c>
      <c r="D528" s="169">
        <f t="shared" si="1042"/>
        <v>0</v>
      </c>
      <c r="E528" s="169">
        <f t="shared" si="1042"/>
        <v>0</v>
      </c>
      <c r="F528" s="169">
        <f t="shared" si="1042"/>
        <v>0</v>
      </c>
      <c r="G528" s="169">
        <f t="shared" si="1042"/>
        <v>0</v>
      </c>
      <c r="H528" s="169">
        <f t="shared" si="1042"/>
        <v>0</v>
      </c>
      <c r="I528" s="169">
        <f t="shared" si="1042"/>
        <v>0</v>
      </c>
      <c r="J528" s="169">
        <f t="shared" si="1042"/>
        <v>0</v>
      </c>
      <c r="K528" s="169">
        <f t="shared" si="1042"/>
        <v>0</v>
      </c>
      <c r="L528" s="169">
        <f t="shared" si="1042"/>
        <v>0</v>
      </c>
      <c r="M528" s="169">
        <f t="shared" si="1042"/>
        <v>0</v>
      </c>
      <c r="N528" s="169">
        <f t="shared" si="1042"/>
        <v>0</v>
      </c>
      <c r="O528" s="169">
        <f t="shared" si="1042"/>
        <v>0</v>
      </c>
      <c r="P528" s="169">
        <f t="shared" si="1042"/>
        <v>0</v>
      </c>
      <c r="Q528" s="169">
        <f t="shared" si="1042"/>
        <v>0</v>
      </c>
      <c r="R528" s="169">
        <f t="shared" si="1042"/>
        <v>0</v>
      </c>
      <c r="S528" s="169">
        <f t="shared" si="1042"/>
        <v>0</v>
      </c>
      <c r="T528" s="169">
        <f t="shared" si="1042"/>
        <v>0</v>
      </c>
      <c r="U528" s="169">
        <f t="shared" si="1042"/>
        <v>0</v>
      </c>
      <c r="V528" s="169">
        <f t="shared" si="1042"/>
        <v>0</v>
      </c>
      <c r="W528" s="169">
        <f t="shared" si="1042"/>
        <v>0</v>
      </c>
      <c r="X528" s="169">
        <f t="shared" si="1042"/>
        <v>0</v>
      </c>
      <c r="Y528" s="169">
        <f t="shared" si="1042"/>
        <v>0</v>
      </c>
      <c r="Z528" s="169">
        <f t="shared" si="1042"/>
        <v>0</v>
      </c>
      <c r="AA528" s="169">
        <f t="shared" si="1042"/>
        <v>0</v>
      </c>
      <c r="AB528" s="169">
        <f t="shared" si="1042"/>
        <v>0</v>
      </c>
      <c r="AC528" s="169">
        <f t="shared" si="1042"/>
        <v>0</v>
      </c>
      <c r="AD528" s="169">
        <f t="shared" si="1042"/>
        <v>0</v>
      </c>
      <c r="AE528" s="169">
        <f t="shared" si="1042"/>
        <v>0</v>
      </c>
      <c r="AF528" s="169">
        <f t="shared" si="1042"/>
        <v>0</v>
      </c>
      <c r="AG528" s="169">
        <f t="shared" si="1042"/>
        <v>0</v>
      </c>
      <c r="AH528" s="169">
        <f t="shared" si="1042"/>
        <v>0</v>
      </c>
      <c r="AI528" s="169">
        <f t="shared" si="1042"/>
        <v>0</v>
      </c>
      <c r="AJ528" s="169">
        <f t="shared" si="1042"/>
        <v>0</v>
      </c>
      <c r="AK528" s="169">
        <f t="shared" si="1042"/>
        <v>0</v>
      </c>
      <c r="AL528" s="169">
        <f t="shared" si="1042"/>
        <v>0</v>
      </c>
      <c r="AM528" s="169">
        <f t="shared" si="1042"/>
        <v>0</v>
      </c>
      <c r="AN528" s="169">
        <f t="shared" si="1042"/>
        <v>0</v>
      </c>
      <c r="AO528" s="169">
        <f t="shared" si="1042"/>
        <v>0</v>
      </c>
      <c r="AP528" s="169">
        <f t="shared" si="1042"/>
        <v>0</v>
      </c>
    </row>
    <row r="529" spans="1:42" x14ac:dyDescent="0.2">
      <c r="A529" s="20">
        <f t="shared" si="1044"/>
        <v>4</v>
      </c>
      <c r="C529" s="169">
        <f t="shared" ref="C529" si="1046">C394</f>
        <v>0</v>
      </c>
      <c r="D529" s="169">
        <f t="shared" si="1042"/>
        <v>0</v>
      </c>
      <c r="E529" s="169">
        <f t="shared" si="1042"/>
        <v>0</v>
      </c>
      <c r="F529" s="169">
        <f t="shared" si="1042"/>
        <v>0</v>
      </c>
      <c r="G529" s="169">
        <f t="shared" si="1042"/>
        <v>0</v>
      </c>
      <c r="H529" s="169">
        <f t="shared" si="1042"/>
        <v>0</v>
      </c>
      <c r="I529" s="169">
        <f t="shared" si="1042"/>
        <v>0</v>
      </c>
      <c r="J529" s="169">
        <f t="shared" si="1042"/>
        <v>0</v>
      </c>
      <c r="K529" s="169">
        <f t="shared" si="1042"/>
        <v>0</v>
      </c>
      <c r="L529" s="169">
        <f t="shared" si="1042"/>
        <v>0</v>
      </c>
      <c r="M529" s="169">
        <f t="shared" si="1042"/>
        <v>0</v>
      </c>
      <c r="N529" s="169">
        <f t="shared" si="1042"/>
        <v>0</v>
      </c>
      <c r="O529" s="169">
        <f t="shared" si="1042"/>
        <v>0</v>
      </c>
      <c r="P529" s="169">
        <f t="shared" si="1042"/>
        <v>0</v>
      </c>
      <c r="Q529" s="169">
        <f t="shared" si="1042"/>
        <v>0</v>
      </c>
      <c r="R529" s="169">
        <f t="shared" si="1042"/>
        <v>0</v>
      </c>
      <c r="S529" s="169">
        <f t="shared" si="1042"/>
        <v>0</v>
      </c>
      <c r="T529" s="169">
        <f t="shared" si="1042"/>
        <v>0</v>
      </c>
      <c r="U529" s="169">
        <f t="shared" si="1042"/>
        <v>0</v>
      </c>
      <c r="V529" s="169">
        <f t="shared" si="1042"/>
        <v>0</v>
      </c>
      <c r="W529" s="169">
        <f t="shared" si="1042"/>
        <v>0</v>
      </c>
      <c r="X529" s="169">
        <f t="shared" si="1042"/>
        <v>0</v>
      </c>
      <c r="Y529" s="169">
        <f t="shared" si="1042"/>
        <v>0</v>
      </c>
      <c r="Z529" s="169">
        <f t="shared" si="1042"/>
        <v>0</v>
      </c>
      <c r="AA529" s="169">
        <f t="shared" si="1042"/>
        <v>0</v>
      </c>
      <c r="AB529" s="169">
        <f t="shared" si="1042"/>
        <v>0</v>
      </c>
      <c r="AC529" s="169">
        <f t="shared" si="1042"/>
        <v>0</v>
      </c>
      <c r="AD529" s="169">
        <f t="shared" si="1042"/>
        <v>0</v>
      </c>
      <c r="AE529" s="169">
        <f t="shared" si="1042"/>
        <v>0</v>
      </c>
      <c r="AF529" s="169">
        <f t="shared" si="1042"/>
        <v>0</v>
      </c>
      <c r="AG529" s="169">
        <f t="shared" si="1042"/>
        <v>0</v>
      </c>
      <c r="AH529" s="169">
        <f t="shared" si="1042"/>
        <v>0</v>
      </c>
      <c r="AI529" s="169">
        <f t="shared" si="1042"/>
        <v>0</v>
      </c>
      <c r="AJ529" s="169">
        <f t="shared" si="1042"/>
        <v>0</v>
      </c>
      <c r="AK529" s="169">
        <f t="shared" si="1042"/>
        <v>0</v>
      </c>
      <c r="AL529" s="169">
        <f t="shared" si="1042"/>
        <v>0</v>
      </c>
      <c r="AM529" s="169">
        <f t="shared" si="1042"/>
        <v>0</v>
      </c>
      <c r="AN529" s="169">
        <f t="shared" si="1042"/>
        <v>0</v>
      </c>
      <c r="AO529" s="169">
        <f t="shared" si="1042"/>
        <v>0</v>
      </c>
      <c r="AP529" s="169">
        <f t="shared" si="1042"/>
        <v>0</v>
      </c>
    </row>
    <row r="530" spans="1:42" x14ac:dyDescent="0.2">
      <c r="A530" s="20">
        <f t="shared" si="1044"/>
        <v>5</v>
      </c>
      <c r="C530" s="169">
        <f t="shared" ref="C530" si="1047">C395</f>
        <v>0</v>
      </c>
      <c r="D530" s="169">
        <f t="shared" si="1042"/>
        <v>0</v>
      </c>
      <c r="E530" s="169">
        <f t="shared" si="1042"/>
        <v>0</v>
      </c>
      <c r="F530" s="169">
        <f t="shared" si="1042"/>
        <v>0</v>
      </c>
      <c r="G530" s="169">
        <f t="shared" si="1042"/>
        <v>0</v>
      </c>
      <c r="H530" s="169">
        <f t="shared" si="1042"/>
        <v>0</v>
      </c>
      <c r="I530" s="169">
        <f t="shared" si="1042"/>
        <v>0</v>
      </c>
      <c r="J530" s="169">
        <f t="shared" si="1042"/>
        <v>0</v>
      </c>
      <c r="K530" s="169">
        <f t="shared" si="1042"/>
        <v>0</v>
      </c>
      <c r="L530" s="169">
        <f t="shared" si="1042"/>
        <v>0</v>
      </c>
      <c r="M530" s="169">
        <f t="shared" si="1042"/>
        <v>0</v>
      </c>
      <c r="N530" s="169">
        <f t="shared" si="1042"/>
        <v>0</v>
      </c>
      <c r="O530" s="169">
        <f t="shared" si="1042"/>
        <v>0</v>
      </c>
      <c r="P530" s="169">
        <f t="shared" si="1042"/>
        <v>0</v>
      </c>
      <c r="Q530" s="169">
        <f t="shared" si="1042"/>
        <v>0</v>
      </c>
      <c r="R530" s="169">
        <f t="shared" si="1042"/>
        <v>0</v>
      </c>
      <c r="S530" s="169">
        <f t="shared" si="1042"/>
        <v>0</v>
      </c>
      <c r="T530" s="169">
        <f t="shared" si="1042"/>
        <v>0</v>
      </c>
      <c r="U530" s="169">
        <f t="shared" si="1042"/>
        <v>0</v>
      </c>
      <c r="V530" s="169">
        <f t="shared" si="1042"/>
        <v>0</v>
      </c>
      <c r="W530" s="169">
        <f t="shared" si="1042"/>
        <v>0</v>
      </c>
      <c r="X530" s="169">
        <f t="shared" si="1042"/>
        <v>0</v>
      </c>
      <c r="Y530" s="169">
        <f t="shared" si="1042"/>
        <v>0</v>
      </c>
      <c r="Z530" s="169">
        <f t="shared" si="1042"/>
        <v>0</v>
      </c>
      <c r="AA530" s="169">
        <f t="shared" si="1042"/>
        <v>0</v>
      </c>
      <c r="AB530" s="169">
        <f t="shared" si="1042"/>
        <v>0</v>
      </c>
      <c r="AC530" s="169">
        <f t="shared" si="1042"/>
        <v>0</v>
      </c>
      <c r="AD530" s="169">
        <f t="shared" si="1042"/>
        <v>0</v>
      </c>
      <c r="AE530" s="169">
        <f t="shared" si="1042"/>
        <v>0</v>
      </c>
      <c r="AF530" s="169">
        <f t="shared" si="1042"/>
        <v>0</v>
      </c>
      <c r="AG530" s="169">
        <f t="shared" si="1042"/>
        <v>0</v>
      </c>
      <c r="AH530" s="169">
        <f t="shared" si="1042"/>
        <v>0</v>
      </c>
      <c r="AI530" s="169">
        <f t="shared" si="1042"/>
        <v>0</v>
      </c>
      <c r="AJ530" s="169">
        <f t="shared" si="1042"/>
        <v>0</v>
      </c>
      <c r="AK530" s="169">
        <f t="shared" si="1042"/>
        <v>0</v>
      </c>
      <c r="AL530" s="169">
        <f t="shared" si="1042"/>
        <v>0</v>
      </c>
      <c r="AM530" s="169">
        <f t="shared" si="1042"/>
        <v>0</v>
      </c>
      <c r="AN530" s="169">
        <f t="shared" si="1042"/>
        <v>0</v>
      </c>
      <c r="AO530" s="169">
        <f t="shared" si="1042"/>
        <v>0</v>
      </c>
      <c r="AP530" s="169">
        <f t="shared" si="1042"/>
        <v>0</v>
      </c>
    </row>
    <row r="531" spans="1:42" x14ac:dyDescent="0.2">
      <c r="A531" s="20">
        <f t="shared" si="1044"/>
        <v>6</v>
      </c>
      <c r="C531" s="169">
        <f t="shared" ref="C531" si="1048">C396</f>
        <v>0</v>
      </c>
      <c r="D531" s="169">
        <f t="shared" si="1042"/>
        <v>0</v>
      </c>
      <c r="E531" s="169">
        <f t="shared" si="1042"/>
        <v>0</v>
      </c>
      <c r="F531" s="169">
        <f t="shared" si="1042"/>
        <v>0</v>
      </c>
      <c r="G531" s="169">
        <f t="shared" si="1042"/>
        <v>0</v>
      </c>
      <c r="H531" s="169">
        <f t="shared" si="1042"/>
        <v>0</v>
      </c>
      <c r="I531" s="169">
        <f t="shared" si="1042"/>
        <v>0</v>
      </c>
      <c r="J531" s="169">
        <f t="shared" si="1042"/>
        <v>0</v>
      </c>
      <c r="K531" s="169">
        <f t="shared" si="1042"/>
        <v>0</v>
      </c>
      <c r="L531" s="169">
        <f t="shared" si="1042"/>
        <v>0</v>
      </c>
      <c r="M531" s="169">
        <f t="shared" si="1042"/>
        <v>0</v>
      </c>
      <c r="N531" s="169">
        <f t="shared" si="1042"/>
        <v>0</v>
      </c>
      <c r="O531" s="169">
        <f t="shared" si="1042"/>
        <v>0</v>
      </c>
      <c r="P531" s="169">
        <f t="shared" si="1042"/>
        <v>0</v>
      </c>
      <c r="Q531" s="169">
        <f t="shared" si="1042"/>
        <v>0</v>
      </c>
      <c r="R531" s="169">
        <f t="shared" si="1042"/>
        <v>0</v>
      </c>
      <c r="S531" s="169">
        <f t="shared" si="1042"/>
        <v>0</v>
      </c>
      <c r="T531" s="169">
        <f t="shared" si="1042"/>
        <v>0</v>
      </c>
      <c r="U531" s="169">
        <f t="shared" si="1042"/>
        <v>0</v>
      </c>
      <c r="V531" s="169">
        <f t="shared" si="1042"/>
        <v>0</v>
      </c>
      <c r="W531" s="169">
        <f t="shared" si="1042"/>
        <v>0</v>
      </c>
      <c r="X531" s="169">
        <f t="shared" si="1042"/>
        <v>0</v>
      </c>
      <c r="Y531" s="169">
        <f t="shared" si="1042"/>
        <v>0</v>
      </c>
      <c r="Z531" s="169">
        <f t="shared" si="1042"/>
        <v>0</v>
      </c>
      <c r="AA531" s="169">
        <f t="shared" si="1042"/>
        <v>0</v>
      </c>
      <c r="AB531" s="169">
        <f t="shared" si="1042"/>
        <v>0</v>
      </c>
      <c r="AC531" s="169">
        <f t="shared" si="1042"/>
        <v>0</v>
      </c>
      <c r="AD531" s="169">
        <f t="shared" si="1042"/>
        <v>0</v>
      </c>
      <c r="AE531" s="169">
        <f t="shared" si="1042"/>
        <v>0</v>
      </c>
      <c r="AF531" s="169">
        <f t="shared" si="1042"/>
        <v>0</v>
      </c>
      <c r="AG531" s="169">
        <f t="shared" si="1042"/>
        <v>0</v>
      </c>
      <c r="AH531" s="169">
        <f t="shared" si="1042"/>
        <v>0</v>
      </c>
      <c r="AI531" s="169">
        <f t="shared" si="1042"/>
        <v>0</v>
      </c>
      <c r="AJ531" s="169">
        <f t="shared" si="1042"/>
        <v>0</v>
      </c>
      <c r="AK531" s="169">
        <f t="shared" si="1042"/>
        <v>0</v>
      </c>
      <c r="AL531" s="169">
        <f t="shared" si="1042"/>
        <v>0</v>
      </c>
      <c r="AM531" s="169">
        <f t="shared" si="1042"/>
        <v>0</v>
      </c>
      <c r="AN531" s="169">
        <f t="shared" si="1042"/>
        <v>0</v>
      </c>
      <c r="AO531" s="169">
        <f t="shared" si="1042"/>
        <v>0</v>
      </c>
      <c r="AP531" s="169">
        <f t="shared" si="1042"/>
        <v>0</v>
      </c>
    </row>
    <row r="532" spans="1:42" x14ac:dyDescent="0.2">
      <c r="A532" s="20">
        <f t="shared" si="1044"/>
        <v>7</v>
      </c>
      <c r="C532" s="169">
        <f t="shared" ref="C532" si="1049">C397</f>
        <v>0</v>
      </c>
      <c r="D532" s="169">
        <f t="shared" si="1042"/>
        <v>0</v>
      </c>
      <c r="E532" s="169">
        <f t="shared" si="1042"/>
        <v>0</v>
      </c>
      <c r="F532" s="169">
        <f t="shared" si="1042"/>
        <v>0</v>
      </c>
      <c r="G532" s="169">
        <f t="shared" si="1042"/>
        <v>0</v>
      </c>
      <c r="H532" s="169">
        <f t="shared" si="1042"/>
        <v>0</v>
      </c>
      <c r="I532" s="169">
        <f t="shared" si="1042"/>
        <v>0</v>
      </c>
      <c r="J532" s="169">
        <f t="shared" si="1042"/>
        <v>0</v>
      </c>
      <c r="K532" s="169">
        <f t="shared" si="1042"/>
        <v>0</v>
      </c>
      <c r="L532" s="169">
        <f t="shared" si="1042"/>
        <v>0</v>
      </c>
      <c r="M532" s="169">
        <f t="shared" si="1042"/>
        <v>0</v>
      </c>
      <c r="N532" s="169">
        <f t="shared" si="1042"/>
        <v>0</v>
      </c>
      <c r="O532" s="169">
        <f t="shared" si="1042"/>
        <v>0</v>
      </c>
      <c r="P532" s="169">
        <f t="shared" si="1042"/>
        <v>0</v>
      </c>
      <c r="Q532" s="169">
        <f t="shared" si="1042"/>
        <v>0</v>
      </c>
      <c r="R532" s="169">
        <f t="shared" si="1042"/>
        <v>0</v>
      </c>
      <c r="S532" s="169">
        <f t="shared" si="1042"/>
        <v>0</v>
      </c>
      <c r="T532" s="169">
        <f t="shared" si="1042"/>
        <v>0</v>
      </c>
      <c r="U532" s="169">
        <f t="shared" si="1042"/>
        <v>0</v>
      </c>
      <c r="V532" s="169">
        <f t="shared" si="1042"/>
        <v>0</v>
      </c>
      <c r="W532" s="169">
        <f t="shared" si="1042"/>
        <v>0</v>
      </c>
      <c r="X532" s="169">
        <f t="shared" si="1042"/>
        <v>0</v>
      </c>
      <c r="Y532" s="169">
        <f t="shared" si="1042"/>
        <v>0</v>
      </c>
      <c r="Z532" s="169">
        <f t="shared" si="1042"/>
        <v>0</v>
      </c>
      <c r="AA532" s="169">
        <f t="shared" si="1042"/>
        <v>0</v>
      </c>
      <c r="AB532" s="169">
        <f t="shared" si="1042"/>
        <v>0</v>
      </c>
      <c r="AC532" s="169">
        <f t="shared" si="1042"/>
        <v>0</v>
      </c>
      <c r="AD532" s="169">
        <f t="shared" si="1042"/>
        <v>0</v>
      </c>
      <c r="AE532" s="169">
        <f t="shared" si="1042"/>
        <v>0</v>
      </c>
      <c r="AF532" s="169">
        <f t="shared" si="1042"/>
        <v>0</v>
      </c>
      <c r="AG532" s="169">
        <f t="shared" si="1042"/>
        <v>0</v>
      </c>
      <c r="AH532" s="169">
        <f t="shared" si="1042"/>
        <v>0</v>
      </c>
      <c r="AI532" s="169">
        <f t="shared" si="1042"/>
        <v>0</v>
      </c>
      <c r="AJ532" s="169">
        <f t="shared" si="1042"/>
        <v>0</v>
      </c>
      <c r="AK532" s="169">
        <f t="shared" si="1042"/>
        <v>0</v>
      </c>
      <c r="AL532" s="169">
        <f t="shared" si="1042"/>
        <v>0</v>
      </c>
      <c r="AM532" s="169">
        <f t="shared" si="1042"/>
        <v>0</v>
      </c>
      <c r="AN532" s="169">
        <f t="shared" ref="AN532:AP532" si="1050">AN397</f>
        <v>0</v>
      </c>
      <c r="AO532" s="169">
        <f t="shared" si="1050"/>
        <v>0</v>
      </c>
      <c r="AP532" s="169">
        <f t="shared" si="1050"/>
        <v>0</v>
      </c>
    </row>
    <row r="533" spans="1:42" x14ac:dyDescent="0.2">
      <c r="A533" s="20">
        <f t="shared" si="1044"/>
        <v>8</v>
      </c>
      <c r="C533" s="169">
        <f t="shared" ref="C533:AP533" si="1051">C398</f>
        <v>0</v>
      </c>
      <c r="D533" s="169">
        <f t="shared" si="1051"/>
        <v>0</v>
      </c>
      <c r="E533" s="169">
        <f t="shared" si="1051"/>
        <v>0</v>
      </c>
      <c r="F533" s="169">
        <f t="shared" si="1051"/>
        <v>0</v>
      </c>
      <c r="G533" s="169">
        <f t="shared" si="1051"/>
        <v>0</v>
      </c>
      <c r="H533" s="169">
        <f t="shared" si="1051"/>
        <v>0</v>
      </c>
      <c r="I533" s="169">
        <f t="shared" si="1051"/>
        <v>0</v>
      </c>
      <c r="J533" s="169">
        <f t="shared" si="1051"/>
        <v>0</v>
      </c>
      <c r="K533" s="169">
        <f t="shared" si="1051"/>
        <v>0</v>
      </c>
      <c r="L533" s="169">
        <f t="shared" si="1051"/>
        <v>0</v>
      </c>
      <c r="M533" s="169">
        <f t="shared" si="1051"/>
        <v>0</v>
      </c>
      <c r="N533" s="169">
        <f t="shared" si="1051"/>
        <v>0</v>
      </c>
      <c r="O533" s="169">
        <f t="shared" si="1051"/>
        <v>0</v>
      </c>
      <c r="P533" s="169">
        <f t="shared" si="1051"/>
        <v>0</v>
      </c>
      <c r="Q533" s="169">
        <f t="shared" si="1051"/>
        <v>0</v>
      </c>
      <c r="R533" s="169">
        <f t="shared" si="1051"/>
        <v>0</v>
      </c>
      <c r="S533" s="169">
        <f t="shared" si="1051"/>
        <v>0</v>
      </c>
      <c r="T533" s="169">
        <f t="shared" si="1051"/>
        <v>0</v>
      </c>
      <c r="U533" s="169">
        <f t="shared" si="1051"/>
        <v>0</v>
      </c>
      <c r="V533" s="169">
        <f t="shared" si="1051"/>
        <v>0</v>
      </c>
      <c r="W533" s="169">
        <f t="shared" si="1051"/>
        <v>0</v>
      </c>
      <c r="X533" s="169">
        <f t="shared" si="1051"/>
        <v>0</v>
      </c>
      <c r="Y533" s="169">
        <f t="shared" si="1051"/>
        <v>0</v>
      </c>
      <c r="Z533" s="169">
        <f t="shared" si="1051"/>
        <v>0</v>
      </c>
      <c r="AA533" s="169">
        <f t="shared" si="1051"/>
        <v>0</v>
      </c>
      <c r="AB533" s="169">
        <f t="shared" si="1051"/>
        <v>0</v>
      </c>
      <c r="AC533" s="169">
        <f t="shared" si="1051"/>
        <v>0</v>
      </c>
      <c r="AD533" s="169">
        <f t="shared" si="1051"/>
        <v>0</v>
      </c>
      <c r="AE533" s="169">
        <f t="shared" si="1051"/>
        <v>0</v>
      </c>
      <c r="AF533" s="169">
        <f t="shared" si="1051"/>
        <v>0</v>
      </c>
      <c r="AG533" s="169">
        <f t="shared" si="1051"/>
        <v>0</v>
      </c>
      <c r="AH533" s="169">
        <f t="shared" si="1051"/>
        <v>0</v>
      </c>
      <c r="AI533" s="169">
        <f t="shared" si="1051"/>
        <v>0</v>
      </c>
      <c r="AJ533" s="169">
        <f t="shared" si="1051"/>
        <v>0</v>
      </c>
      <c r="AK533" s="169">
        <f t="shared" si="1051"/>
        <v>0</v>
      </c>
      <c r="AL533" s="169">
        <f t="shared" si="1051"/>
        <v>0</v>
      </c>
      <c r="AM533" s="169">
        <f t="shared" si="1051"/>
        <v>0</v>
      </c>
      <c r="AN533" s="169">
        <f t="shared" si="1051"/>
        <v>0</v>
      </c>
      <c r="AO533" s="169">
        <f t="shared" si="1051"/>
        <v>0</v>
      </c>
      <c r="AP533" s="169">
        <f t="shared" si="1051"/>
        <v>0</v>
      </c>
    </row>
    <row r="534" spans="1:42" x14ac:dyDescent="0.2">
      <c r="A534" s="20">
        <f>A533+1</f>
        <v>9</v>
      </c>
      <c r="C534" s="169">
        <f t="shared" ref="C534:AP534" si="1052">C399</f>
        <v>0</v>
      </c>
      <c r="D534" s="169">
        <f t="shared" si="1052"/>
        <v>0</v>
      </c>
      <c r="E534" s="169">
        <f t="shared" si="1052"/>
        <v>0</v>
      </c>
      <c r="F534" s="169">
        <f t="shared" si="1052"/>
        <v>0</v>
      </c>
      <c r="G534" s="169">
        <f t="shared" si="1052"/>
        <v>0</v>
      </c>
      <c r="H534" s="169">
        <f t="shared" si="1052"/>
        <v>0</v>
      </c>
      <c r="I534" s="169">
        <f t="shared" si="1052"/>
        <v>0</v>
      </c>
      <c r="J534" s="169">
        <f t="shared" si="1052"/>
        <v>0</v>
      </c>
      <c r="K534" s="169">
        <f t="shared" si="1052"/>
        <v>0</v>
      </c>
      <c r="L534" s="169">
        <f t="shared" si="1052"/>
        <v>0</v>
      </c>
      <c r="M534" s="169">
        <f t="shared" si="1052"/>
        <v>0</v>
      </c>
      <c r="N534" s="169">
        <f t="shared" si="1052"/>
        <v>0</v>
      </c>
      <c r="O534" s="169">
        <f t="shared" si="1052"/>
        <v>0</v>
      </c>
      <c r="P534" s="169">
        <f t="shared" si="1052"/>
        <v>0</v>
      </c>
      <c r="Q534" s="169">
        <f t="shared" si="1052"/>
        <v>0</v>
      </c>
      <c r="R534" s="169">
        <f t="shared" si="1052"/>
        <v>0</v>
      </c>
      <c r="S534" s="169">
        <f t="shared" si="1052"/>
        <v>0</v>
      </c>
      <c r="T534" s="169">
        <f t="shared" si="1052"/>
        <v>0</v>
      </c>
      <c r="U534" s="169">
        <f t="shared" si="1052"/>
        <v>0</v>
      </c>
      <c r="V534" s="169">
        <f t="shared" si="1052"/>
        <v>0</v>
      </c>
      <c r="W534" s="169">
        <f t="shared" si="1052"/>
        <v>0</v>
      </c>
      <c r="X534" s="169">
        <f t="shared" si="1052"/>
        <v>0</v>
      </c>
      <c r="Y534" s="169">
        <f t="shared" si="1052"/>
        <v>0</v>
      </c>
      <c r="Z534" s="169">
        <f t="shared" si="1052"/>
        <v>0</v>
      </c>
      <c r="AA534" s="169">
        <f t="shared" si="1052"/>
        <v>0</v>
      </c>
      <c r="AB534" s="169">
        <f t="shared" si="1052"/>
        <v>0</v>
      </c>
      <c r="AC534" s="169">
        <f t="shared" si="1052"/>
        <v>0</v>
      </c>
      <c r="AD534" s="169">
        <f t="shared" si="1052"/>
        <v>0</v>
      </c>
      <c r="AE534" s="169">
        <f t="shared" si="1052"/>
        <v>0</v>
      </c>
      <c r="AF534" s="169">
        <f t="shared" si="1052"/>
        <v>0</v>
      </c>
      <c r="AG534" s="169">
        <f t="shared" si="1052"/>
        <v>0</v>
      </c>
      <c r="AH534" s="169">
        <f t="shared" si="1052"/>
        <v>0</v>
      </c>
      <c r="AI534" s="169">
        <f t="shared" si="1052"/>
        <v>0</v>
      </c>
      <c r="AJ534" s="169">
        <f t="shared" si="1052"/>
        <v>0</v>
      </c>
      <c r="AK534" s="169">
        <f t="shared" si="1052"/>
        <v>0</v>
      </c>
      <c r="AL534" s="169">
        <f t="shared" si="1052"/>
        <v>0</v>
      </c>
      <c r="AM534" s="169">
        <f t="shared" si="1052"/>
        <v>0</v>
      </c>
      <c r="AN534" s="169">
        <f t="shared" si="1052"/>
        <v>0</v>
      </c>
      <c r="AO534" s="169">
        <f t="shared" si="1052"/>
        <v>0</v>
      </c>
      <c r="AP534" s="169">
        <f t="shared" si="1052"/>
        <v>0</v>
      </c>
    </row>
    <row r="535" spans="1:42" x14ac:dyDescent="0.2">
      <c r="A535" s="20">
        <f t="shared" ref="A535" si="1053">A534+1</f>
        <v>10</v>
      </c>
      <c r="C535" s="169">
        <f t="shared" ref="C535:AP535" si="1054">C400</f>
        <v>0</v>
      </c>
      <c r="D535" s="169">
        <f t="shared" si="1054"/>
        <v>0</v>
      </c>
      <c r="E535" s="169">
        <f t="shared" si="1054"/>
        <v>0</v>
      </c>
      <c r="F535" s="169">
        <f t="shared" si="1054"/>
        <v>0</v>
      </c>
      <c r="G535" s="169">
        <f t="shared" si="1054"/>
        <v>0</v>
      </c>
      <c r="H535" s="169">
        <f t="shared" si="1054"/>
        <v>0</v>
      </c>
      <c r="I535" s="169">
        <f t="shared" si="1054"/>
        <v>0</v>
      </c>
      <c r="J535" s="169">
        <f t="shared" si="1054"/>
        <v>0</v>
      </c>
      <c r="K535" s="169">
        <f t="shared" si="1054"/>
        <v>0</v>
      </c>
      <c r="L535" s="169">
        <f t="shared" si="1054"/>
        <v>0</v>
      </c>
      <c r="M535" s="169">
        <f t="shared" si="1054"/>
        <v>0</v>
      </c>
      <c r="N535" s="169">
        <f t="shared" si="1054"/>
        <v>0</v>
      </c>
      <c r="O535" s="169">
        <f t="shared" si="1054"/>
        <v>0</v>
      </c>
      <c r="P535" s="169">
        <f t="shared" si="1054"/>
        <v>0</v>
      </c>
      <c r="Q535" s="169">
        <f t="shared" si="1054"/>
        <v>0</v>
      </c>
      <c r="R535" s="169">
        <f t="shared" si="1054"/>
        <v>0</v>
      </c>
      <c r="S535" s="169">
        <f t="shared" si="1054"/>
        <v>0</v>
      </c>
      <c r="T535" s="169">
        <f t="shared" si="1054"/>
        <v>0</v>
      </c>
      <c r="U535" s="169">
        <f t="shared" si="1054"/>
        <v>0</v>
      </c>
      <c r="V535" s="169">
        <f t="shared" si="1054"/>
        <v>0</v>
      </c>
      <c r="W535" s="169">
        <f t="shared" si="1054"/>
        <v>0</v>
      </c>
      <c r="X535" s="169">
        <f t="shared" si="1054"/>
        <v>0</v>
      </c>
      <c r="Y535" s="169">
        <f t="shared" si="1054"/>
        <v>0</v>
      </c>
      <c r="Z535" s="169">
        <f t="shared" si="1054"/>
        <v>0</v>
      </c>
      <c r="AA535" s="169">
        <f t="shared" si="1054"/>
        <v>0</v>
      </c>
      <c r="AB535" s="169">
        <f t="shared" si="1054"/>
        <v>0</v>
      </c>
      <c r="AC535" s="169">
        <f t="shared" si="1054"/>
        <v>0</v>
      </c>
      <c r="AD535" s="169">
        <f t="shared" si="1054"/>
        <v>0</v>
      </c>
      <c r="AE535" s="169">
        <f t="shared" si="1054"/>
        <v>0</v>
      </c>
      <c r="AF535" s="169">
        <f t="shared" si="1054"/>
        <v>0</v>
      </c>
      <c r="AG535" s="169">
        <f t="shared" si="1054"/>
        <v>0</v>
      </c>
      <c r="AH535" s="169">
        <f t="shared" si="1054"/>
        <v>0</v>
      </c>
      <c r="AI535" s="169">
        <f t="shared" si="1054"/>
        <v>0</v>
      </c>
      <c r="AJ535" s="169">
        <f t="shared" si="1054"/>
        <v>0</v>
      </c>
      <c r="AK535" s="169">
        <f t="shared" si="1054"/>
        <v>0</v>
      </c>
      <c r="AL535" s="169">
        <f t="shared" si="1054"/>
        <v>0</v>
      </c>
      <c r="AM535" s="169">
        <f t="shared" si="1054"/>
        <v>0</v>
      </c>
      <c r="AN535" s="169">
        <f t="shared" si="1054"/>
        <v>0</v>
      </c>
      <c r="AO535" s="169">
        <f t="shared" si="1054"/>
        <v>0</v>
      </c>
      <c r="AP535" s="169">
        <f t="shared" si="1054"/>
        <v>0</v>
      </c>
    </row>
    <row r="536" spans="1:42" x14ac:dyDescent="0.2">
      <c r="A536" s="187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</row>
    <row r="537" spans="1:42" x14ac:dyDescent="0.2">
      <c r="A537" s="187" t="s">
        <v>196</v>
      </c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</row>
    <row r="538" spans="1:42" x14ac:dyDescent="0.2">
      <c r="A538" s="20">
        <v>1</v>
      </c>
      <c r="B538" s="179">
        <f t="shared" ref="B538:B547" si="1055">SUM(C538:AP538)</f>
        <v>0</v>
      </c>
      <c r="C538" s="208">
        <f t="shared" ref="C538:AP538" si="1056">LOOKUP(C526,$B$469:$AP$469,$B$470:$AP$470)*$B749</f>
        <v>0</v>
      </c>
      <c r="D538" s="169">
        <f t="shared" si="1056"/>
        <v>0</v>
      </c>
      <c r="E538" s="169">
        <f t="shared" si="1056"/>
        <v>0</v>
      </c>
      <c r="F538" s="169">
        <f t="shared" si="1056"/>
        <v>0</v>
      </c>
      <c r="G538" s="169">
        <f t="shared" si="1056"/>
        <v>0</v>
      </c>
      <c r="H538" s="169">
        <f t="shared" si="1056"/>
        <v>0</v>
      </c>
      <c r="I538" s="169">
        <f t="shared" si="1056"/>
        <v>0</v>
      </c>
      <c r="J538" s="169">
        <f t="shared" si="1056"/>
        <v>0</v>
      </c>
      <c r="K538" s="169">
        <f t="shared" si="1056"/>
        <v>0</v>
      </c>
      <c r="L538" s="169">
        <f t="shared" si="1056"/>
        <v>0</v>
      </c>
      <c r="M538" s="169">
        <f t="shared" si="1056"/>
        <v>0</v>
      </c>
      <c r="N538" s="169">
        <f t="shared" si="1056"/>
        <v>0</v>
      </c>
      <c r="O538" s="169">
        <f t="shared" si="1056"/>
        <v>0</v>
      </c>
      <c r="P538" s="169">
        <f t="shared" si="1056"/>
        <v>0</v>
      </c>
      <c r="Q538" s="169">
        <f t="shared" si="1056"/>
        <v>0</v>
      </c>
      <c r="R538" s="169">
        <f t="shared" si="1056"/>
        <v>0</v>
      </c>
      <c r="S538" s="169">
        <f t="shared" si="1056"/>
        <v>0</v>
      </c>
      <c r="T538" s="169">
        <f t="shared" si="1056"/>
        <v>0</v>
      </c>
      <c r="U538" s="169">
        <f t="shared" si="1056"/>
        <v>0</v>
      </c>
      <c r="V538" s="169">
        <f t="shared" si="1056"/>
        <v>0</v>
      </c>
      <c r="W538" s="169">
        <f t="shared" si="1056"/>
        <v>0</v>
      </c>
      <c r="X538" s="169">
        <f t="shared" si="1056"/>
        <v>0</v>
      </c>
      <c r="Y538" s="169">
        <f t="shared" si="1056"/>
        <v>0</v>
      </c>
      <c r="Z538" s="169">
        <f t="shared" si="1056"/>
        <v>0</v>
      </c>
      <c r="AA538" s="169">
        <f t="shared" si="1056"/>
        <v>0</v>
      </c>
      <c r="AB538" s="169">
        <f t="shared" si="1056"/>
        <v>0</v>
      </c>
      <c r="AC538" s="169">
        <f t="shared" si="1056"/>
        <v>0</v>
      </c>
      <c r="AD538" s="169">
        <f t="shared" si="1056"/>
        <v>0</v>
      </c>
      <c r="AE538" s="169">
        <f t="shared" si="1056"/>
        <v>0</v>
      </c>
      <c r="AF538" s="169">
        <f t="shared" si="1056"/>
        <v>0</v>
      </c>
      <c r="AG538" s="169">
        <f t="shared" si="1056"/>
        <v>0</v>
      </c>
      <c r="AH538" s="169">
        <f t="shared" si="1056"/>
        <v>0</v>
      </c>
      <c r="AI538" s="169">
        <f t="shared" si="1056"/>
        <v>0</v>
      </c>
      <c r="AJ538" s="169">
        <f t="shared" si="1056"/>
        <v>0</v>
      </c>
      <c r="AK538" s="169">
        <f t="shared" si="1056"/>
        <v>0</v>
      </c>
      <c r="AL538" s="169">
        <f t="shared" si="1056"/>
        <v>0</v>
      </c>
      <c r="AM538" s="169">
        <f t="shared" si="1056"/>
        <v>0</v>
      </c>
      <c r="AN538" s="169">
        <f t="shared" si="1056"/>
        <v>0</v>
      </c>
      <c r="AO538" s="169">
        <f t="shared" si="1056"/>
        <v>0</v>
      </c>
      <c r="AP538" s="169">
        <f t="shared" si="1056"/>
        <v>0</v>
      </c>
    </row>
    <row r="539" spans="1:42" x14ac:dyDescent="0.2">
      <c r="A539" s="20">
        <f>A538+1</f>
        <v>2</v>
      </c>
      <c r="B539" s="179">
        <f t="shared" si="1055"/>
        <v>0</v>
      </c>
      <c r="C539" s="208">
        <f t="shared" ref="C539:AP539" si="1057">LOOKUP(C527,$B$469:$AP$469,$B$470:$AP$470)*$B750</f>
        <v>0</v>
      </c>
      <c r="D539" s="169">
        <f t="shared" si="1057"/>
        <v>0</v>
      </c>
      <c r="E539" s="169">
        <f t="shared" si="1057"/>
        <v>0</v>
      </c>
      <c r="F539" s="169">
        <f t="shared" si="1057"/>
        <v>0</v>
      </c>
      <c r="G539" s="169">
        <f t="shared" si="1057"/>
        <v>0</v>
      </c>
      <c r="H539" s="169">
        <f t="shared" si="1057"/>
        <v>0</v>
      </c>
      <c r="I539" s="169">
        <f t="shared" si="1057"/>
        <v>0</v>
      </c>
      <c r="J539" s="169">
        <f t="shared" si="1057"/>
        <v>0</v>
      </c>
      <c r="K539" s="169">
        <f t="shared" si="1057"/>
        <v>0</v>
      </c>
      <c r="L539" s="169">
        <f t="shared" si="1057"/>
        <v>0</v>
      </c>
      <c r="M539" s="169">
        <f t="shared" si="1057"/>
        <v>0</v>
      </c>
      <c r="N539" s="169">
        <f t="shared" si="1057"/>
        <v>0</v>
      </c>
      <c r="O539" s="169">
        <f t="shared" si="1057"/>
        <v>0</v>
      </c>
      <c r="P539" s="169">
        <f t="shared" si="1057"/>
        <v>0</v>
      </c>
      <c r="Q539" s="169">
        <f t="shared" si="1057"/>
        <v>0</v>
      </c>
      <c r="R539" s="169">
        <f t="shared" si="1057"/>
        <v>0</v>
      </c>
      <c r="S539" s="169">
        <f t="shared" si="1057"/>
        <v>0</v>
      </c>
      <c r="T539" s="169">
        <f t="shared" si="1057"/>
        <v>0</v>
      </c>
      <c r="U539" s="169">
        <f t="shared" si="1057"/>
        <v>0</v>
      </c>
      <c r="V539" s="169">
        <f t="shared" si="1057"/>
        <v>0</v>
      </c>
      <c r="W539" s="169">
        <f t="shared" si="1057"/>
        <v>0</v>
      </c>
      <c r="X539" s="169">
        <f t="shared" si="1057"/>
        <v>0</v>
      </c>
      <c r="Y539" s="169">
        <f t="shared" si="1057"/>
        <v>0</v>
      </c>
      <c r="Z539" s="169">
        <f t="shared" si="1057"/>
        <v>0</v>
      </c>
      <c r="AA539" s="169">
        <f t="shared" si="1057"/>
        <v>0</v>
      </c>
      <c r="AB539" s="169">
        <f t="shared" si="1057"/>
        <v>0</v>
      </c>
      <c r="AC539" s="169">
        <f t="shared" si="1057"/>
        <v>0</v>
      </c>
      <c r="AD539" s="169">
        <f t="shared" si="1057"/>
        <v>0</v>
      </c>
      <c r="AE539" s="169">
        <f t="shared" si="1057"/>
        <v>0</v>
      </c>
      <c r="AF539" s="169">
        <f t="shared" si="1057"/>
        <v>0</v>
      </c>
      <c r="AG539" s="169">
        <f t="shared" si="1057"/>
        <v>0</v>
      </c>
      <c r="AH539" s="169">
        <f t="shared" si="1057"/>
        <v>0</v>
      </c>
      <c r="AI539" s="169">
        <f t="shared" si="1057"/>
        <v>0</v>
      </c>
      <c r="AJ539" s="169">
        <f t="shared" si="1057"/>
        <v>0</v>
      </c>
      <c r="AK539" s="169">
        <f t="shared" si="1057"/>
        <v>0</v>
      </c>
      <c r="AL539" s="169">
        <f t="shared" si="1057"/>
        <v>0</v>
      </c>
      <c r="AM539" s="169">
        <f t="shared" si="1057"/>
        <v>0</v>
      </c>
      <c r="AN539" s="169">
        <f t="shared" si="1057"/>
        <v>0</v>
      </c>
      <c r="AO539" s="169">
        <f t="shared" si="1057"/>
        <v>0</v>
      </c>
      <c r="AP539" s="169">
        <f t="shared" si="1057"/>
        <v>0</v>
      </c>
    </row>
    <row r="540" spans="1:42" x14ac:dyDescent="0.2">
      <c r="A540" s="20">
        <f t="shared" ref="A540:A545" si="1058">A539+1</f>
        <v>3</v>
      </c>
      <c r="B540" s="179">
        <f t="shared" si="1055"/>
        <v>0</v>
      </c>
      <c r="C540" s="208">
        <f t="shared" ref="C540:AP540" si="1059">LOOKUP(C528,$B$469:$AP$469,$B$470:$AP$470)*$B751</f>
        <v>0</v>
      </c>
      <c r="D540" s="169">
        <f t="shared" si="1059"/>
        <v>0</v>
      </c>
      <c r="E540" s="169">
        <f t="shared" si="1059"/>
        <v>0</v>
      </c>
      <c r="F540" s="169">
        <f t="shared" si="1059"/>
        <v>0</v>
      </c>
      <c r="G540" s="169">
        <f t="shared" si="1059"/>
        <v>0</v>
      </c>
      <c r="H540" s="169">
        <f t="shared" si="1059"/>
        <v>0</v>
      </c>
      <c r="I540" s="169">
        <f t="shared" si="1059"/>
        <v>0</v>
      </c>
      <c r="J540" s="169">
        <f t="shared" si="1059"/>
        <v>0</v>
      </c>
      <c r="K540" s="169">
        <f t="shared" si="1059"/>
        <v>0</v>
      </c>
      <c r="L540" s="169">
        <f t="shared" si="1059"/>
        <v>0</v>
      </c>
      <c r="M540" s="169">
        <f t="shared" si="1059"/>
        <v>0</v>
      </c>
      <c r="N540" s="169">
        <f t="shared" si="1059"/>
        <v>0</v>
      </c>
      <c r="O540" s="169">
        <f t="shared" si="1059"/>
        <v>0</v>
      </c>
      <c r="P540" s="169">
        <f t="shared" si="1059"/>
        <v>0</v>
      </c>
      <c r="Q540" s="169">
        <f t="shared" si="1059"/>
        <v>0</v>
      </c>
      <c r="R540" s="169">
        <f t="shared" si="1059"/>
        <v>0</v>
      </c>
      <c r="S540" s="169">
        <f t="shared" si="1059"/>
        <v>0</v>
      </c>
      <c r="T540" s="169">
        <f t="shared" si="1059"/>
        <v>0</v>
      </c>
      <c r="U540" s="169">
        <f t="shared" si="1059"/>
        <v>0</v>
      </c>
      <c r="V540" s="169">
        <f t="shared" si="1059"/>
        <v>0</v>
      </c>
      <c r="W540" s="169">
        <f t="shared" si="1059"/>
        <v>0</v>
      </c>
      <c r="X540" s="169">
        <f t="shared" si="1059"/>
        <v>0</v>
      </c>
      <c r="Y540" s="169">
        <f t="shared" si="1059"/>
        <v>0</v>
      </c>
      <c r="Z540" s="169">
        <f t="shared" si="1059"/>
        <v>0</v>
      </c>
      <c r="AA540" s="169">
        <f t="shared" si="1059"/>
        <v>0</v>
      </c>
      <c r="AB540" s="169">
        <f t="shared" si="1059"/>
        <v>0</v>
      </c>
      <c r="AC540" s="169">
        <f t="shared" si="1059"/>
        <v>0</v>
      </c>
      <c r="AD540" s="169">
        <f t="shared" si="1059"/>
        <v>0</v>
      </c>
      <c r="AE540" s="169">
        <f t="shared" si="1059"/>
        <v>0</v>
      </c>
      <c r="AF540" s="169">
        <f t="shared" si="1059"/>
        <v>0</v>
      </c>
      <c r="AG540" s="169">
        <f t="shared" si="1059"/>
        <v>0</v>
      </c>
      <c r="AH540" s="169">
        <f t="shared" si="1059"/>
        <v>0</v>
      </c>
      <c r="AI540" s="169">
        <f t="shared" si="1059"/>
        <v>0</v>
      </c>
      <c r="AJ540" s="169">
        <f t="shared" si="1059"/>
        <v>0</v>
      </c>
      <c r="AK540" s="169">
        <f t="shared" si="1059"/>
        <v>0</v>
      </c>
      <c r="AL540" s="169">
        <f t="shared" si="1059"/>
        <v>0</v>
      </c>
      <c r="AM540" s="169">
        <f t="shared" si="1059"/>
        <v>0</v>
      </c>
      <c r="AN540" s="169">
        <f t="shared" si="1059"/>
        <v>0</v>
      </c>
      <c r="AO540" s="169">
        <f t="shared" si="1059"/>
        <v>0</v>
      </c>
      <c r="AP540" s="169">
        <f t="shared" si="1059"/>
        <v>0</v>
      </c>
    </row>
    <row r="541" spans="1:42" x14ac:dyDescent="0.2">
      <c r="A541" s="20">
        <f t="shared" si="1058"/>
        <v>4</v>
      </c>
      <c r="B541" s="179">
        <f t="shared" si="1055"/>
        <v>0</v>
      </c>
      <c r="C541" s="208">
        <f t="shared" ref="C541:AP541" si="1060">LOOKUP(C529,$B$469:$AP$469,$B$470:$AP$470)*$B752</f>
        <v>0</v>
      </c>
      <c r="D541" s="169">
        <f t="shared" si="1060"/>
        <v>0</v>
      </c>
      <c r="E541" s="169">
        <f t="shared" si="1060"/>
        <v>0</v>
      </c>
      <c r="F541" s="169">
        <f t="shared" si="1060"/>
        <v>0</v>
      </c>
      <c r="G541" s="169">
        <f t="shared" si="1060"/>
        <v>0</v>
      </c>
      <c r="H541" s="169">
        <f t="shared" si="1060"/>
        <v>0</v>
      </c>
      <c r="I541" s="169">
        <f t="shared" si="1060"/>
        <v>0</v>
      </c>
      <c r="J541" s="169">
        <f t="shared" si="1060"/>
        <v>0</v>
      </c>
      <c r="K541" s="169">
        <f t="shared" si="1060"/>
        <v>0</v>
      </c>
      <c r="L541" s="169">
        <f t="shared" si="1060"/>
        <v>0</v>
      </c>
      <c r="M541" s="169">
        <f t="shared" si="1060"/>
        <v>0</v>
      </c>
      <c r="N541" s="169">
        <f t="shared" si="1060"/>
        <v>0</v>
      </c>
      <c r="O541" s="169">
        <f t="shared" si="1060"/>
        <v>0</v>
      </c>
      <c r="P541" s="169">
        <f t="shared" si="1060"/>
        <v>0</v>
      </c>
      <c r="Q541" s="169">
        <f t="shared" si="1060"/>
        <v>0</v>
      </c>
      <c r="R541" s="169">
        <f t="shared" si="1060"/>
        <v>0</v>
      </c>
      <c r="S541" s="169">
        <f t="shared" si="1060"/>
        <v>0</v>
      </c>
      <c r="T541" s="169">
        <f t="shared" si="1060"/>
        <v>0</v>
      </c>
      <c r="U541" s="169">
        <f t="shared" si="1060"/>
        <v>0</v>
      </c>
      <c r="V541" s="169">
        <f t="shared" si="1060"/>
        <v>0</v>
      </c>
      <c r="W541" s="169">
        <f t="shared" si="1060"/>
        <v>0</v>
      </c>
      <c r="X541" s="169">
        <f t="shared" si="1060"/>
        <v>0</v>
      </c>
      <c r="Y541" s="169">
        <f t="shared" si="1060"/>
        <v>0</v>
      </c>
      <c r="Z541" s="169">
        <f t="shared" si="1060"/>
        <v>0</v>
      </c>
      <c r="AA541" s="169">
        <f t="shared" si="1060"/>
        <v>0</v>
      </c>
      <c r="AB541" s="169">
        <f t="shared" si="1060"/>
        <v>0</v>
      </c>
      <c r="AC541" s="169">
        <f t="shared" si="1060"/>
        <v>0</v>
      </c>
      <c r="AD541" s="169">
        <f t="shared" si="1060"/>
        <v>0</v>
      </c>
      <c r="AE541" s="169">
        <f t="shared" si="1060"/>
        <v>0</v>
      </c>
      <c r="AF541" s="169">
        <f t="shared" si="1060"/>
        <v>0</v>
      </c>
      <c r="AG541" s="169">
        <f t="shared" si="1060"/>
        <v>0</v>
      </c>
      <c r="AH541" s="169">
        <f t="shared" si="1060"/>
        <v>0</v>
      </c>
      <c r="AI541" s="169">
        <f t="shared" si="1060"/>
        <v>0</v>
      </c>
      <c r="AJ541" s="169">
        <f t="shared" si="1060"/>
        <v>0</v>
      </c>
      <c r="AK541" s="169">
        <f t="shared" si="1060"/>
        <v>0</v>
      </c>
      <c r="AL541" s="169">
        <f t="shared" si="1060"/>
        <v>0</v>
      </c>
      <c r="AM541" s="169">
        <f t="shared" si="1060"/>
        <v>0</v>
      </c>
      <c r="AN541" s="169">
        <f t="shared" si="1060"/>
        <v>0</v>
      </c>
      <c r="AO541" s="169">
        <f t="shared" si="1060"/>
        <v>0</v>
      </c>
      <c r="AP541" s="169">
        <f t="shared" si="1060"/>
        <v>0</v>
      </c>
    </row>
    <row r="542" spans="1:42" x14ac:dyDescent="0.2">
      <c r="A542" s="20">
        <f t="shared" si="1058"/>
        <v>5</v>
      </c>
      <c r="B542" s="179">
        <f t="shared" si="1055"/>
        <v>0</v>
      </c>
      <c r="C542" s="208">
        <f t="shared" ref="C542:AP542" si="1061">LOOKUP(C530,$B$469:$AP$469,$B$470:$AP$470)*$B753</f>
        <v>0</v>
      </c>
      <c r="D542" s="169">
        <f t="shared" si="1061"/>
        <v>0</v>
      </c>
      <c r="E542" s="169">
        <f t="shared" si="1061"/>
        <v>0</v>
      </c>
      <c r="F542" s="169">
        <f t="shared" si="1061"/>
        <v>0</v>
      </c>
      <c r="G542" s="169">
        <f t="shared" si="1061"/>
        <v>0</v>
      </c>
      <c r="H542" s="169">
        <f t="shared" si="1061"/>
        <v>0</v>
      </c>
      <c r="I542" s="169">
        <f t="shared" si="1061"/>
        <v>0</v>
      </c>
      <c r="J542" s="169">
        <f t="shared" si="1061"/>
        <v>0</v>
      </c>
      <c r="K542" s="169">
        <f t="shared" si="1061"/>
        <v>0</v>
      </c>
      <c r="L542" s="169">
        <f t="shared" si="1061"/>
        <v>0</v>
      </c>
      <c r="M542" s="169">
        <f t="shared" si="1061"/>
        <v>0</v>
      </c>
      <c r="N542" s="169">
        <f t="shared" si="1061"/>
        <v>0</v>
      </c>
      <c r="O542" s="169">
        <f t="shared" si="1061"/>
        <v>0</v>
      </c>
      <c r="P542" s="169">
        <f t="shared" si="1061"/>
        <v>0</v>
      </c>
      <c r="Q542" s="169">
        <f t="shared" si="1061"/>
        <v>0</v>
      </c>
      <c r="R542" s="169">
        <f t="shared" si="1061"/>
        <v>0</v>
      </c>
      <c r="S542" s="169">
        <f t="shared" si="1061"/>
        <v>0</v>
      </c>
      <c r="T542" s="169">
        <f t="shared" si="1061"/>
        <v>0</v>
      </c>
      <c r="U542" s="169">
        <f t="shared" si="1061"/>
        <v>0</v>
      </c>
      <c r="V542" s="169">
        <f t="shared" si="1061"/>
        <v>0</v>
      </c>
      <c r="W542" s="169">
        <f t="shared" si="1061"/>
        <v>0</v>
      </c>
      <c r="X542" s="169">
        <f t="shared" si="1061"/>
        <v>0</v>
      </c>
      <c r="Y542" s="169">
        <f t="shared" si="1061"/>
        <v>0</v>
      </c>
      <c r="Z542" s="169">
        <f t="shared" si="1061"/>
        <v>0</v>
      </c>
      <c r="AA542" s="169">
        <f t="shared" si="1061"/>
        <v>0</v>
      </c>
      <c r="AB542" s="169">
        <f t="shared" si="1061"/>
        <v>0</v>
      </c>
      <c r="AC542" s="169">
        <f t="shared" si="1061"/>
        <v>0</v>
      </c>
      <c r="AD542" s="169">
        <f t="shared" si="1061"/>
        <v>0</v>
      </c>
      <c r="AE542" s="169">
        <f t="shared" si="1061"/>
        <v>0</v>
      </c>
      <c r="AF542" s="169">
        <f t="shared" si="1061"/>
        <v>0</v>
      </c>
      <c r="AG542" s="169">
        <f t="shared" si="1061"/>
        <v>0</v>
      </c>
      <c r="AH542" s="169">
        <f t="shared" si="1061"/>
        <v>0</v>
      </c>
      <c r="AI542" s="169">
        <f t="shared" si="1061"/>
        <v>0</v>
      </c>
      <c r="AJ542" s="169">
        <f t="shared" si="1061"/>
        <v>0</v>
      </c>
      <c r="AK542" s="169">
        <f t="shared" si="1061"/>
        <v>0</v>
      </c>
      <c r="AL542" s="169">
        <f t="shared" si="1061"/>
        <v>0</v>
      </c>
      <c r="AM542" s="169">
        <f t="shared" si="1061"/>
        <v>0</v>
      </c>
      <c r="AN542" s="169">
        <f t="shared" si="1061"/>
        <v>0</v>
      </c>
      <c r="AO542" s="169">
        <f t="shared" si="1061"/>
        <v>0</v>
      </c>
      <c r="AP542" s="169">
        <f t="shared" si="1061"/>
        <v>0</v>
      </c>
    </row>
    <row r="543" spans="1:42" x14ac:dyDescent="0.2">
      <c r="A543" s="20">
        <f t="shared" si="1058"/>
        <v>6</v>
      </c>
      <c r="B543" s="179">
        <f t="shared" si="1055"/>
        <v>0</v>
      </c>
      <c r="C543" s="208">
        <f t="shared" ref="C543:AP543" si="1062">LOOKUP(C531,$B$469:$AP$469,$B$470:$AP$470)*$B754</f>
        <v>0</v>
      </c>
      <c r="D543" s="169">
        <f t="shared" si="1062"/>
        <v>0</v>
      </c>
      <c r="E543" s="169">
        <f t="shared" si="1062"/>
        <v>0</v>
      </c>
      <c r="F543" s="169">
        <f t="shared" si="1062"/>
        <v>0</v>
      </c>
      <c r="G543" s="169">
        <f t="shared" si="1062"/>
        <v>0</v>
      </c>
      <c r="H543" s="169">
        <f t="shared" si="1062"/>
        <v>0</v>
      </c>
      <c r="I543" s="169">
        <f t="shared" si="1062"/>
        <v>0</v>
      </c>
      <c r="J543" s="169">
        <f t="shared" si="1062"/>
        <v>0</v>
      </c>
      <c r="K543" s="169">
        <f t="shared" si="1062"/>
        <v>0</v>
      </c>
      <c r="L543" s="169">
        <f t="shared" si="1062"/>
        <v>0</v>
      </c>
      <c r="M543" s="169">
        <f t="shared" si="1062"/>
        <v>0</v>
      </c>
      <c r="N543" s="169">
        <f t="shared" si="1062"/>
        <v>0</v>
      </c>
      <c r="O543" s="169">
        <f t="shared" si="1062"/>
        <v>0</v>
      </c>
      <c r="P543" s="169">
        <f t="shared" si="1062"/>
        <v>0</v>
      </c>
      <c r="Q543" s="169">
        <f t="shared" si="1062"/>
        <v>0</v>
      </c>
      <c r="R543" s="169">
        <f t="shared" si="1062"/>
        <v>0</v>
      </c>
      <c r="S543" s="169">
        <f t="shared" si="1062"/>
        <v>0</v>
      </c>
      <c r="T543" s="169">
        <f t="shared" si="1062"/>
        <v>0</v>
      </c>
      <c r="U543" s="169">
        <f t="shared" si="1062"/>
        <v>0</v>
      </c>
      <c r="V543" s="169">
        <f t="shared" si="1062"/>
        <v>0</v>
      </c>
      <c r="W543" s="169">
        <f t="shared" si="1062"/>
        <v>0</v>
      </c>
      <c r="X543" s="169">
        <f t="shared" si="1062"/>
        <v>0</v>
      </c>
      <c r="Y543" s="169">
        <f t="shared" si="1062"/>
        <v>0</v>
      </c>
      <c r="Z543" s="169">
        <f t="shared" si="1062"/>
        <v>0</v>
      </c>
      <c r="AA543" s="169">
        <f t="shared" si="1062"/>
        <v>0</v>
      </c>
      <c r="AB543" s="169">
        <f t="shared" si="1062"/>
        <v>0</v>
      </c>
      <c r="AC543" s="169">
        <f t="shared" si="1062"/>
        <v>0</v>
      </c>
      <c r="AD543" s="169">
        <f t="shared" si="1062"/>
        <v>0</v>
      </c>
      <c r="AE543" s="169">
        <f t="shared" si="1062"/>
        <v>0</v>
      </c>
      <c r="AF543" s="169">
        <f t="shared" si="1062"/>
        <v>0</v>
      </c>
      <c r="AG543" s="169">
        <f t="shared" si="1062"/>
        <v>0</v>
      </c>
      <c r="AH543" s="169">
        <f t="shared" si="1062"/>
        <v>0</v>
      </c>
      <c r="AI543" s="169">
        <f t="shared" si="1062"/>
        <v>0</v>
      </c>
      <c r="AJ543" s="169">
        <f t="shared" si="1062"/>
        <v>0</v>
      </c>
      <c r="AK543" s="169">
        <f t="shared" si="1062"/>
        <v>0</v>
      </c>
      <c r="AL543" s="169">
        <f t="shared" si="1062"/>
        <v>0</v>
      </c>
      <c r="AM543" s="169">
        <f t="shared" si="1062"/>
        <v>0</v>
      </c>
      <c r="AN543" s="169">
        <f t="shared" si="1062"/>
        <v>0</v>
      </c>
      <c r="AO543" s="169">
        <f t="shared" si="1062"/>
        <v>0</v>
      </c>
      <c r="AP543" s="169">
        <f t="shared" si="1062"/>
        <v>0</v>
      </c>
    </row>
    <row r="544" spans="1:42" x14ac:dyDescent="0.2">
      <c r="A544" s="20">
        <f t="shared" si="1058"/>
        <v>7</v>
      </c>
      <c r="B544" s="179">
        <f t="shared" si="1055"/>
        <v>0</v>
      </c>
      <c r="C544" s="208">
        <f t="shared" ref="C544:AP544" si="1063">LOOKUP(C532,$B$469:$AP$469,$B$470:$AP$470)*$B755</f>
        <v>0</v>
      </c>
      <c r="D544" s="169">
        <f t="shared" si="1063"/>
        <v>0</v>
      </c>
      <c r="E544" s="169">
        <f t="shared" si="1063"/>
        <v>0</v>
      </c>
      <c r="F544" s="169">
        <f t="shared" si="1063"/>
        <v>0</v>
      </c>
      <c r="G544" s="169">
        <f t="shared" si="1063"/>
        <v>0</v>
      </c>
      <c r="H544" s="169">
        <f t="shared" si="1063"/>
        <v>0</v>
      </c>
      <c r="I544" s="169">
        <f t="shared" si="1063"/>
        <v>0</v>
      </c>
      <c r="J544" s="169">
        <f t="shared" si="1063"/>
        <v>0</v>
      </c>
      <c r="K544" s="169">
        <f t="shared" si="1063"/>
        <v>0</v>
      </c>
      <c r="L544" s="169">
        <f t="shared" si="1063"/>
        <v>0</v>
      </c>
      <c r="M544" s="169">
        <f t="shared" si="1063"/>
        <v>0</v>
      </c>
      <c r="N544" s="169">
        <f t="shared" si="1063"/>
        <v>0</v>
      </c>
      <c r="O544" s="169">
        <f t="shared" si="1063"/>
        <v>0</v>
      </c>
      <c r="P544" s="169">
        <f t="shared" si="1063"/>
        <v>0</v>
      </c>
      <c r="Q544" s="169">
        <f t="shared" si="1063"/>
        <v>0</v>
      </c>
      <c r="R544" s="169">
        <f t="shared" si="1063"/>
        <v>0</v>
      </c>
      <c r="S544" s="169">
        <f t="shared" si="1063"/>
        <v>0</v>
      </c>
      <c r="T544" s="169">
        <f t="shared" si="1063"/>
        <v>0</v>
      </c>
      <c r="U544" s="169">
        <f t="shared" si="1063"/>
        <v>0</v>
      </c>
      <c r="V544" s="169">
        <f t="shared" si="1063"/>
        <v>0</v>
      </c>
      <c r="W544" s="169">
        <f t="shared" si="1063"/>
        <v>0</v>
      </c>
      <c r="X544" s="169">
        <f t="shared" si="1063"/>
        <v>0</v>
      </c>
      <c r="Y544" s="169">
        <f t="shared" si="1063"/>
        <v>0</v>
      </c>
      <c r="Z544" s="169">
        <f t="shared" si="1063"/>
        <v>0</v>
      </c>
      <c r="AA544" s="169">
        <f t="shared" si="1063"/>
        <v>0</v>
      </c>
      <c r="AB544" s="169">
        <f t="shared" si="1063"/>
        <v>0</v>
      </c>
      <c r="AC544" s="169">
        <f t="shared" si="1063"/>
        <v>0</v>
      </c>
      <c r="AD544" s="169">
        <f t="shared" si="1063"/>
        <v>0</v>
      </c>
      <c r="AE544" s="169">
        <f t="shared" si="1063"/>
        <v>0</v>
      </c>
      <c r="AF544" s="169">
        <f t="shared" si="1063"/>
        <v>0</v>
      </c>
      <c r="AG544" s="169">
        <f t="shared" si="1063"/>
        <v>0</v>
      </c>
      <c r="AH544" s="169">
        <f t="shared" si="1063"/>
        <v>0</v>
      </c>
      <c r="AI544" s="169">
        <f t="shared" si="1063"/>
        <v>0</v>
      </c>
      <c r="AJ544" s="169">
        <f t="shared" si="1063"/>
        <v>0</v>
      </c>
      <c r="AK544" s="169">
        <f t="shared" si="1063"/>
        <v>0</v>
      </c>
      <c r="AL544" s="169">
        <f t="shared" si="1063"/>
        <v>0</v>
      </c>
      <c r="AM544" s="169">
        <f t="shared" si="1063"/>
        <v>0</v>
      </c>
      <c r="AN544" s="169">
        <f t="shared" si="1063"/>
        <v>0</v>
      </c>
      <c r="AO544" s="169">
        <f t="shared" si="1063"/>
        <v>0</v>
      </c>
      <c r="AP544" s="169">
        <f t="shared" si="1063"/>
        <v>0</v>
      </c>
    </row>
    <row r="545" spans="1:42" x14ac:dyDescent="0.2">
      <c r="A545" s="20">
        <f t="shared" si="1058"/>
        <v>8</v>
      </c>
      <c r="B545" s="179">
        <f t="shared" si="1055"/>
        <v>0</v>
      </c>
      <c r="C545" s="208">
        <f t="shared" ref="C545:AP545" si="1064">LOOKUP(C533,$B$469:$AP$469,$B$470:$AP$470)*$B756</f>
        <v>0</v>
      </c>
      <c r="D545" s="169">
        <f t="shared" si="1064"/>
        <v>0</v>
      </c>
      <c r="E545" s="169">
        <f t="shared" si="1064"/>
        <v>0</v>
      </c>
      <c r="F545" s="169">
        <f t="shared" si="1064"/>
        <v>0</v>
      </c>
      <c r="G545" s="169">
        <f t="shared" si="1064"/>
        <v>0</v>
      </c>
      <c r="H545" s="169">
        <f t="shared" si="1064"/>
        <v>0</v>
      </c>
      <c r="I545" s="169">
        <f t="shared" si="1064"/>
        <v>0</v>
      </c>
      <c r="J545" s="169">
        <f t="shared" si="1064"/>
        <v>0</v>
      </c>
      <c r="K545" s="169">
        <f t="shared" si="1064"/>
        <v>0</v>
      </c>
      <c r="L545" s="169">
        <f t="shared" si="1064"/>
        <v>0</v>
      </c>
      <c r="M545" s="169">
        <f t="shared" si="1064"/>
        <v>0</v>
      </c>
      <c r="N545" s="169">
        <f t="shared" si="1064"/>
        <v>0</v>
      </c>
      <c r="O545" s="169">
        <f t="shared" si="1064"/>
        <v>0</v>
      </c>
      <c r="P545" s="169">
        <f t="shared" si="1064"/>
        <v>0</v>
      </c>
      <c r="Q545" s="169">
        <f t="shared" si="1064"/>
        <v>0</v>
      </c>
      <c r="R545" s="169">
        <f t="shared" si="1064"/>
        <v>0</v>
      </c>
      <c r="S545" s="169">
        <f t="shared" si="1064"/>
        <v>0</v>
      </c>
      <c r="T545" s="169">
        <f t="shared" si="1064"/>
        <v>0</v>
      </c>
      <c r="U545" s="169">
        <f t="shared" si="1064"/>
        <v>0</v>
      </c>
      <c r="V545" s="169">
        <f t="shared" si="1064"/>
        <v>0</v>
      </c>
      <c r="W545" s="169">
        <f t="shared" si="1064"/>
        <v>0</v>
      </c>
      <c r="X545" s="169">
        <f t="shared" si="1064"/>
        <v>0</v>
      </c>
      <c r="Y545" s="169">
        <f t="shared" si="1064"/>
        <v>0</v>
      </c>
      <c r="Z545" s="169">
        <f t="shared" si="1064"/>
        <v>0</v>
      </c>
      <c r="AA545" s="169">
        <f t="shared" si="1064"/>
        <v>0</v>
      </c>
      <c r="AB545" s="169">
        <f t="shared" si="1064"/>
        <v>0</v>
      </c>
      <c r="AC545" s="169">
        <f t="shared" si="1064"/>
        <v>0</v>
      </c>
      <c r="AD545" s="169">
        <f t="shared" si="1064"/>
        <v>0</v>
      </c>
      <c r="AE545" s="169">
        <f t="shared" si="1064"/>
        <v>0</v>
      </c>
      <c r="AF545" s="169">
        <f t="shared" si="1064"/>
        <v>0</v>
      </c>
      <c r="AG545" s="169">
        <f t="shared" si="1064"/>
        <v>0</v>
      </c>
      <c r="AH545" s="169">
        <f t="shared" si="1064"/>
        <v>0</v>
      </c>
      <c r="AI545" s="169">
        <f t="shared" si="1064"/>
        <v>0</v>
      </c>
      <c r="AJ545" s="169">
        <f t="shared" si="1064"/>
        <v>0</v>
      </c>
      <c r="AK545" s="169">
        <f t="shared" si="1064"/>
        <v>0</v>
      </c>
      <c r="AL545" s="169">
        <f t="shared" si="1064"/>
        <v>0</v>
      </c>
      <c r="AM545" s="169">
        <f t="shared" si="1064"/>
        <v>0</v>
      </c>
      <c r="AN545" s="169">
        <f t="shared" si="1064"/>
        <v>0</v>
      </c>
      <c r="AO545" s="169">
        <f t="shared" si="1064"/>
        <v>0</v>
      </c>
      <c r="AP545" s="169">
        <f t="shared" si="1064"/>
        <v>0</v>
      </c>
    </row>
    <row r="546" spans="1:42" x14ac:dyDescent="0.2">
      <c r="A546" s="20">
        <f>A545+1</f>
        <v>9</v>
      </c>
      <c r="B546" s="179">
        <f t="shared" si="1055"/>
        <v>0</v>
      </c>
      <c r="C546" s="208">
        <f t="shared" ref="C546:AP546" si="1065">LOOKUP(C534,$B$469:$AP$469,$B$470:$AP$470)*$B757</f>
        <v>0</v>
      </c>
      <c r="D546" s="169">
        <f t="shared" si="1065"/>
        <v>0</v>
      </c>
      <c r="E546" s="169">
        <f t="shared" si="1065"/>
        <v>0</v>
      </c>
      <c r="F546" s="169">
        <f t="shared" si="1065"/>
        <v>0</v>
      </c>
      <c r="G546" s="169">
        <f t="shared" si="1065"/>
        <v>0</v>
      </c>
      <c r="H546" s="169">
        <f t="shared" si="1065"/>
        <v>0</v>
      </c>
      <c r="I546" s="169">
        <f t="shared" si="1065"/>
        <v>0</v>
      </c>
      <c r="J546" s="169">
        <f t="shared" si="1065"/>
        <v>0</v>
      </c>
      <c r="K546" s="169">
        <f t="shared" si="1065"/>
        <v>0</v>
      </c>
      <c r="L546" s="169">
        <f t="shared" si="1065"/>
        <v>0</v>
      </c>
      <c r="M546" s="169">
        <f t="shared" si="1065"/>
        <v>0</v>
      </c>
      <c r="N546" s="169">
        <f t="shared" si="1065"/>
        <v>0</v>
      </c>
      <c r="O546" s="169">
        <f t="shared" si="1065"/>
        <v>0</v>
      </c>
      <c r="P546" s="169">
        <f t="shared" si="1065"/>
        <v>0</v>
      </c>
      <c r="Q546" s="169">
        <f t="shared" si="1065"/>
        <v>0</v>
      </c>
      <c r="R546" s="169">
        <f t="shared" si="1065"/>
        <v>0</v>
      </c>
      <c r="S546" s="169">
        <f t="shared" si="1065"/>
        <v>0</v>
      </c>
      <c r="T546" s="169">
        <f t="shared" si="1065"/>
        <v>0</v>
      </c>
      <c r="U546" s="169">
        <f t="shared" si="1065"/>
        <v>0</v>
      </c>
      <c r="V546" s="169">
        <f t="shared" si="1065"/>
        <v>0</v>
      </c>
      <c r="W546" s="169">
        <f t="shared" si="1065"/>
        <v>0</v>
      </c>
      <c r="X546" s="169">
        <f t="shared" si="1065"/>
        <v>0</v>
      </c>
      <c r="Y546" s="169">
        <f t="shared" si="1065"/>
        <v>0</v>
      </c>
      <c r="Z546" s="169">
        <f t="shared" si="1065"/>
        <v>0</v>
      </c>
      <c r="AA546" s="169">
        <f t="shared" si="1065"/>
        <v>0</v>
      </c>
      <c r="AB546" s="169">
        <f t="shared" si="1065"/>
        <v>0</v>
      </c>
      <c r="AC546" s="169">
        <f t="shared" si="1065"/>
        <v>0</v>
      </c>
      <c r="AD546" s="169">
        <f t="shared" si="1065"/>
        <v>0</v>
      </c>
      <c r="AE546" s="169">
        <f t="shared" si="1065"/>
        <v>0</v>
      </c>
      <c r="AF546" s="169">
        <f t="shared" si="1065"/>
        <v>0</v>
      </c>
      <c r="AG546" s="169">
        <f t="shared" si="1065"/>
        <v>0</v>
      </c>
      <c r="AH546" s="169">
        <f t="shared" si="1065"/>
        <v>0</v>
      </c>
      <c r="AI546" s="169">
        <f t="shared" si="1065"/>
        <v>0</v>
      </c>
      <c r="AJ546" s="169">
        <f t="shared" si="1065"/>
        <v>0</v>
      </c>
      <c r="AK546" s="169">
        <f t="shared" si="1065"/>
        <v>0</v>
      </c>
      <c r="AL546" s="169">
        <f t="shared" si="1065"/>
        <v>0</v>
      </c>
      <c r="AM546" s="169">
        <f t="shared" si="1065"/>
        <v>0</v>
      </c>
      <c r="AN546" s="169">
        <f t="shared" si="1065"/>
        <v>0</v>
      </c>
      <c r="AO546" s="169">
        <f t="shared" si="1065"/>
        <v>0</v>
      </c>
      <c r="AP546" s="169">
        <f t="shared" si="1065"/>
        <v>0</v>
      </c>
    </row>
    <row r="547" spans="1:42" x14ac:dyDescent="0.2">
      <c r="A547" s="20">
        <f t="shared" ref="A547" si="1066">A546+1</f>
        <v>10</v>
      </c>
      <c r="B547" s="179">
        <f t="shared" si="1055"/>
        <v>0</v>
      </c>
      <c r="C547" s="204">
        <f t="shared" ref="C547:AP547" si="1067">LOOKUP(C535,$B$469:$AP$469,$B$470:$AP$470)*$B758</f>
        <v>0</v>
      </c>
      <c r="D547" s="170">
        <f t="shared" si="1067"/>
        <v>0</v>
      </c>
      <c r="E547" s="170">
        <f t="shared" si="1067"/>
        <v>0</v>
      </c>
      <c r="F547" s="170">
        <f t="shared" si="1067"/>
        <v>0</v>
      </c>
      <c r="G547" s="170">
        <f t="shared" si="1067"/>
        <v>0</v>
      </c>
      <c r="H547" s="170">
        <f t="shared" si="1067"/>
        <v>0</v>
      </c>
      <c r="I547" s="170">
        <f t="shared" si="1067"/>
        <v>0</v>
      </c>
      <c r="J547" s="170">
        <f t="shared" si="1067"/>
        <v>0</v>
      </c>
      <c r="K547" s="170">
        <f t="shared" si="1067"/>
        <v>0</v>
      </c>
      <c r="L547" s="170">
        <f t="shared" si="1067"/>
        <v>0</v>
      </c>
      <c r="M547" s="170">
        <f t="shared" si="1067"/>
        <v>0</v>
      </c>
      <c r="N547" s="170">
        <f t="shared" si="1067"/>
        <v>0</v>
      </c>
      <c r="O547" s="170">
        <f t="shared" si="1067"/>
        <v>0</v>
      </c>
      <c r="P547" s="170">
        <f t="shared" si="1067"/>
        <v>0</v>
      </c>
      <c r="Q547" s="170">
        <f t="shared" si="1067"/>
        <v>0</v>
      </c>
      <c r="R547" s="170">
        <f t="shared" si="1067"/>
        <v>0</v>
      </c>
      <c r="S547" s="170">
        <f t="shared" si="1067"/>
        <v>0</v>
      </c>
      <c r="T547" s="170">
        <f t="shared" si="1067"/>
        <v>0</v>
      </c>
      <c r="U547" s="170">
        <f t="shared" si="1067"/>
        <v>0</v>
      </c>
      <c r="V547" s="170">
        <f t="shared" si="1067"/>
        <v>0</v>
      </c>
      <c r="W547" s="170">
        <f t="shared" si="1067"/>
        <v>0</v>
      </c>
      <c r="X547" s="170">
        <f t="shared" si="1067"/>
        <v>0</v>
      </c>
      <c r="Y547" s="170">
        <f t="shared" si="1067"/>
        <v>0</v>
      </c>
      <c r="Z547" s="170">
        <f t="shared" si="1067"/>
        <v>0</v>
      </c>
      <c r="AA547" s="170">
        <f t="shared" si="1067"/>
        <v>0</v>
      </c>
      <c r="AB547" s="170">
        <f t="shared" si="1067"/>
        <v>0</v>
      </c>
      <c r="AC547" s="170">
        <f t="shared" si="1067"/>
        <v>0</v>
      </c>
      <c r="AD547" s="170">
        <f t="shared" si="1067"/>
        <v>0</v>
      </c>
      <c r="AE547" s="170">
        <f t="shared" si="1067"/>
        <v>0</v>
      </c>
      <c r="AF547" s="170">
        <f t="shared" si="1067"/>
        <v>0</v>
      </c>
      <c r="AG547" s="170">
        <f t="shared" si="1067"/>
        <v>0</v>
      </c>
      <c r="AH547" s="170">
        <f t="shared" si="1067"/>
        <v>0</v>
      </c>
      <c r="AI547" s="170">
        <f t="shared" si="1067"/>
        <v>0</v>
      </c>
      <c r="AJ547" s="170">
        <f t="shared" si="1067"/>
        <v>0</v>
      </c>
      <c r="AK547" s="170">
        <f t="shared" si="1067"/>
        <v>0</v>
      </c>
      <c r="AL547" s="170">
        <f t="shared" si="1067"/>
        <v>0</v>
      </c>
      <c r="AM547" s="170">
        <f t="shared" si="1067"/>
        <v>0</v>
      </c>
      <c r="AN547" s="170">
        <f t="shared" si="1067"/>
        <v>0</v>
      </c>
      <c r="AO547" s="170">
        <f t="shared" si="1067"/>
        <v>0</v>
      </c>
      <c r="AP547" s="170">
        <f t="shared" si="1067"/>
        <v>0</v>
      </c>
    </row>
    <row r="548" spans="1:42" s="101" customFormat="1" x14ac:dyDescent="0.2">
      <c r="A548" s="205" t="s">
        <v>53</v>
      </c>
      <c r="B548" s="124"/>
      <c r="C548" s="124">
        <f>SUM(C538:C547)</f>
        <v>0</v>
      </c>
      <c r="D548" s="124">
        <f t="shared" ref="D548:AP548" si="1068">SUM(D538:D547)</f>
        <v>0</v>
      </c>
      <c r="E548" s="124">
        <f t="shared" si="1068"/>
        <v>0</v>
      </c>
      <c r="F548" s="124">
        <f t="shared" si="1068"/>
        <v>0</v>
      </c>
      <c r="G548" s="124">
        <f t="shared" si="1068"/>
        <v>0</v>
      </c>
      <c r="H548" s="124">
        <f t="shared" si="1068"/>
        <v>0</v>
      </c>
      <c r="I548" s="124">
        <f t="shared" si="1068"/>
        <v>0</v>
      </c>
      <c r="J548" s="124">
        <f t="shared" si="1068"/>
        <v>0</v>
      </c>
      <c r="K548" s="124">
        <f t="shared" si="1068"/>
        <v>0</v>
      </c>
      <c r="L548" s="124">
        <f t="shared" si="1068"/>
        <v>0</v>
      </c>
      <c r="M548" s="124">
        <f t="shared" si="1068"/>
        <v>0</v>
      </c>
      <c r="N548" s="124">
        <f t="shared" si="1068"/>
        <v>0</v>
      </c>
      <c r="O548" s="124">
        <f t="shared" si="1068"/>
        <v>0</v>
      </c>
      <c r="P548" s="124">
        <f t="shared" si="1068"/>
        <v>0</v>
      </c>
      <c r="Q548" s="124">
        <f t="shared" si="1068"/>
        <v>0</v>
      </c>
      <c r="R548" s="124">
        <f t="shared" si="1068"/>
        <v>0</v>
      </c>
      <c r="S548" s="124">
        <f t="shared" si="1068"/>
        <v>0</v>
      </c>
      <c r="T548" s="124">
        <f t="shared" si="1068"/>
        <v>0</v>
      </c>
      <c r="U548" s="124">
        <f t="shared" si="1068"/>
        <v>0</v>
      </c>
      <c r="V548" s="124">
        <f t="shared" si="1068"/>
        <v>0</v>
      </c>
      <c r="W548" s="124">
        <f t="shared" si="1068"/>
        <v>0</v>
      </c>
      <c r="X548" s="124">
        <f t="shared" si="1068"/>
        <v>0</v>
      </c>
      <c r="Y548" s="124">
        <f t="shared" si="1068"/>
        <v>0</v>
      </c>
      <c r="Z548" s="124">
        <f t="shared" si="1068"/>
        <v>0</v>
      </c>
      <c r="AA548" s="124">
        <f t="shared" si="1068"/>
        <v>0</v>
      </c>
      <c r="AB548" s="124">
        <f t="shared" si="1068"/>
        <v>0</v>
      </c>
      <c r="AC548" s="124">
        <f t="shared" si="1068"/>
        <v>0</v>
      </c>
      <c r="AD548" s="124">
        <f t="shared" si="1068"/>
        <v>0</v>
      </c>
      <c r="AE548" s="124">
        <f t="shared" si="1068"/>
        <v>0</v>
      </c>
      <c r="AF548" s="124">
        <f t="shared" si="1068"/>
        <v>0</v>
      </c>
      <c r="AG548" s="124">
        <f t="shared" si="1068"/>
        <v>0</v>
      </c>
      <c r="AH548" s="124">
        <f t="shared" si="1068"/>
        <v>0</v>
      </c>
      <c r="AI548" s="124">
        <f t="shared" si="1068"/>
        <v>0</v>
      </c>
      <c r="AJ548" s="124">
        <f t="shared" si="1068"/>
        <v>0</v>
      </c>
      <c r="AK548" s="124">
        <f t="shared" si="1068"/>
        <v>0</v>
      </c>
      <c r="AL548" s="124">
        <f t="shared" si="1068"/>
        <v>0</v>
      </c>
      <c r="AM548" s="124">
        <f t="shared" si="1068"/>
        <v>0</v>
      </c>
      <c r="AN548" s="124">
        <f t="shared" si="1068"/>
        <v>0</v>
      </c>
      <c r="AO548" s="124">
        <f t="shared" si="1068"/>
        <v>0</v>
      </c>
      <c r="AP548" s="124">
        <f t="shared" si="1068"/>
        <v>0</v>
      </c>
    </row>
    <row r="549" spans="1:42" s="101" customFormat="1" x14ac:dyDescent="0.2">
      <c r="A549" s="205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</row>
    <row r="550" spans="1:42" s="101" customFormat="1" x14ac:dyDescent="0.2">
      <c r="A550" s="162" t="s">
        <v>158</v>
      </c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</row>
    <row r="551" spans="1:42" s="101" customFormat="1" x14ac:dyDescent="0.2">
      <c r="A551" s="180" t="s">
        <v>37</v>
      </c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</row>
    <row r="552" spans="1:42" s="101" customFormat="1" x14ac:dyDescent="0.2">
      <c r="A552" s="187" t="s">
        <v>159</v>
      </c>
      <c r="C552" s="215">
        <f t="shared" ref="C552:AP552" si="1069">IF(C$2&lt;=StatePTCTerm,StatePTCAmount*(1+Inflation)^B$2,0)</f>
        <v>0</v>
      </c>
      <c r="D552" s="215">
        <f t="shared" si="1069"/>
        <v>0</v>
      </c>
      <c r="E552" s="215">
        <f t="shared" si="1069"/>
        <v>0</v>
      </c>
      <c r="F552" s="215">
        <f t="shared" si="1069"/>
        <v>0</v>
      </c>
      <c r="G552" s="215">
        <f t="shared" si="1069"/>
        <v>0</v>
      </c>
      <c r="H552" s="215">
        <f t="shared" si="1069"/>
        <v>0</v>
      </c>
      <c r="I552" s="215">
        <f t="shared" si="1069"/>
        <v>0</v>
      </c>
      <c r="J552" s="215">
        <f t="shared" si="1069"/>
        <v>0</v>
      </c>
      <c r="K552" s="215">
        <f t="shared" si="1069"/>
        <v>0</v>
      </c>
      <c r="L552" s="215">
        <f t="shared" si="1069"/>
        <v>0</v>
      </c>
      <c r="M552" s="215">
        <f t="shared" si="1069"/>
        <v>0</v>
      </c>
      <c r="N552" s="215">
        <f t="shared" si="1069"/>
        <v>0</v>
      </c>
      <c r="O552" s="215">
        <f t="shared" si="1069"/>
        <v>0</v>
      </c>
      <c r="P552" s="215">
        <f t="shared" si="1069"/>
        <v>0</v>
      </c>
      <c r="Q552" s="215">
        <f t="shared" si="1069"/>
        <v>0</v>
      </c>
      <c r="R552" s="215">
        <f t="shared" si="1069"/>
        <v>0</v>
      </c>
      <c r="S552" s="215">
        <f t="shared" si="1069"/>
        <v>0</v>
      </c>
      <c r="T552" s="215">
        <f t="shared" si="1069"/>
        <v>0</v>
      </c>
      <c r="U552" s="215">
        <f t="shared" si="1069"/>
        <v>0</v>
      </c>
      <c r="V552" s="215">
        <f t="shared" si="1069"/>
        <v>0</v>
      </c>
      <c r="W552" s="215">
        <f t="shared" si="1069"/>
        <v>0</v>
      </c>
      <c r="X552" s="215">
        <f t="shared" si="1069"/>
        <v>0</v>
      </c>
      <c r="Y552" s="215">
        <f t="shared" si="1069"/>
        <v>0</v>
      </c>
      <c r="Z552" s="215">
        <f t="shared" si="1069"/>
        <v>0</v>
      </c>
      <c r="AA552" s="215">
        <f t="shared" si="1069"/>
        <v>0</v>
      </c>
      <c r="AB552" s="215">
        <f t="shared" si="1069"/>
        <v>0</v>
      </c>
      <c r="AC552" s="215">
        <f t="shared" si="1069"/>
        <v>0</v>
      </c>
      <c r="AD552" s="215">
        <f t="shared" si="1069"/>
        <v>0</v>
      </c>
      <c r="AE552" s="215">
        <f t="shared" si="1069"/>
        <v>0</v>
      </c>
      <c r="AF552" s="215">
        <f t="shared" si="1069"/>
        <v>0</v>
      </c>
      <c r="AG552" s="215">
        <f t="shared" si="1069"/>
        <v>0</v>
      </c>
      <c r="AH552" s="215">
        <f t="shared" si="1069"/>
        <v>0</v>
      </c>
      <c r="AI552" s="215">
        <f t="shared" si="1069"/>
        <v>0</v>
      </c>
      <c r="AJ552" s="215">
        <f t="shared" si="1069"/>
        <v>0</v>
      </c>
      <c r="AK552" s="215">
        <f t="shared" si="1069"/>
        <v>0</v>
      </c>
      <c r="AL552" s="215">
        <f t="shared" si="1069"/>
        <v>0</v>
      </c>
      <c r="AM552" s="215">
        <f t="shared" si="1069"/>
        <v>0</v>
      </c>
      <c r="AN552" s="215">
        <f t="shared" si="1069"/>
        <v>0</v>
      </c>
      <c r="AO552" s="215">
        <f t="shared" si="1069"/>
        <v>0</v>
      </c>
      <c r="AP552" s="215">
        <f t="shared" si="1069"/>
        <v>0</v>
      </c>
    </row>
    <row r="553" spans="1:42" s="101" customFormat="1" x14ac:dyDescent="0.2">
      <c r="A553" s="187" t="s">
        <v>160</v>
      </c>
      <c r="C553" s="216">
        <f>ROUND(C552*1000,0)</f>
        <v>0</v>
      </c>
      <c r="D553" s="216">
        <f>ROUND(D552*1000,0)</f>
        <v>0</v>
      </c>
      <c r="E553" s="216">
        <f t="shared" ref="E553:AP553" si="1070">ROUND(E552*1000,0)</f>
        <v>0</v>
      </c>
      <c r="F553" s="216">
        <f t="shared" si="1070"/>
        <v>0</v>
      </c>
      <c r="G553" s="216">
        <f t="shared" si="1070"/>
        <v>0</v>
      </c>
      <c r="H553" s="216">
        <f t="shared" si="1070"/>
        <v>0</v>
      </c>
      <c r="I553" s="216">
        <f t="shared" si="1070"/>
        <v>0</v>
      </c>
      <c r="J553" s="216">
        <f t="shared" si="1070"/>
        <v>0</v>
      </c>
      <c r="K553" s="216">
        <f t="shared" si="1070"/>
        <v>0</v>
      </c>
      <c r="L553" s="216">
        <f t="shared" si="1070"/>
        <v>0</v>
      </c>
      <c r="M553" s="216">
        <f t="shared" si="1070"/>
        <v>0</v>
      </c>
      <c r="N553" s="216">
        <f t="shared" si="1070"/>
        <v>0</v>
      </c>
      <c r="O553" s="216">
        <f t="shared" si="1070"/>
        <v>0</v>
      </c>
      <c r="P553" s="216">
        <f t="shared" si="1070"/>
        <v>0</v>
      </c>
      <c r="Q553" s="216">
        <f t="shared" si="1070"/>
        <v>0</v>
      </c>
      <c r="R553" s="216">
        <f t="shared" si="1070"/>
        <v>0</v>
      </c>
      <c r="S553" s="216">
        <f t="shared" si="1070"/>
        <v>0</v>
      </c>
      <c r="T553" s="216">
        <f t="shared" si="1070"/>
        <v>0</v>
      </c>
      <c r="U553" s="216">
        <f t="shared" si="1070"/>
        <v>0</v>
      </c>
      <c r="V553" s="216">
        <f t="shared" si="1070"/>
        <v>0</v>
      </c>
      <c r="W553" s="216">
        <f t="shared" si="1070"/>
        <v>0</v>
      </c>
      <c r="X553" s="216">
        <f t="shared" si="1070"/>
        <v>0</v>
      </c>
      <c r="Y553" s="216">
        <f t="shared" si="1070"/>
        <v>0</v>
      </c>
      <c r="Z553" s="216">
        <f t="shared" si="1070"/>
        <v>0</v>
      </c>
      <c r="AA553" s="216">
        <f t="shared" si="1070"/>
        <v>0</v>
      </c>
      <c r="AB553" s="216">
        <f t="shared" si="1070"/>
        <v>0</v>
      </c>
      <c r="AC553" s="216">
        <f t="shared" si="1070"/>
        <v>0</v>
      </c>
      <c r="AD553" s="216">
        <f t="shared" si="1070"/>
        <v>0</v>
      </c>
      <c r="AE553" s="216">
        <f t="shared" si="1070"/>
        <v>0</v>
      </c>
      <c r="AF553" s="216">
        <f t="shared" si="1070"/>
        <v>0</v>
      </c>
      <c r="AG553" s="216">
        <f t="shared" si="1070"/>
        <v>0</v>
      </c>
      <c r="AH553" s="216">
        <f t="shared" si="1070"/>
        <v>0</v>
      </c>
      <c r="AI553" s="216">
        <f t="shared" si="1070"/>
        <v>0</v>
      </c>
      <c r="AJ553" s="216">
        <f t="shared" si="1070"/>
        <v>0</v>
      </c>
      <c r="AK553" s="216">
        <f t="shared" si="1070"/>
        <v>0</v>
      </c>
      <c r="AL553" s="216">
        <f t="shared" si="1070"/>
        <v>0</v>
      </c>
      <c r="AM553" s="216">
        <f t="shared" si="1070"/>
        <v>0</v>
      </c>
      <c r="AN553" s="216">
        <f t="shared" si="1070"/>
        <v>0</v>
      </c>
      <c r="AO553" s="216">
        <f t="shared" si="1070"/>
        <v>0</v>
      </c>
      <c r="AP553" s="216">
        <f t="shared" si="1070"/>
        <v>0</v>
      </c>
    </row>
    <row r="554" spans="1:42" s="101" customFormat="1" x14ac:dyDescent="0.2">
      <c r="A554" s="187" t="s">
        <v>161</v>
      </c>
      <c r="C554" s="186">
        <f>C$5/1000</f>
        <v>16188.48</v>
      </c>
      <c r="D554" s="186">
        <f>D$5/1000</f>
        <v>16107.5376</v>
      </c>
      <c r="E554" s="186">
        <f t="shared" ref="E554:AP554" si="1071">E$5/1000</f>
        <v>16026.999912000001</v>
      </c>
      <c r="F554" s="186">
        <f t="shared" si="1071"/>
        <v>15946.86491244</v>
      </c>
      <c r="G554" s="186">
        <f t="shared" si="1071"/>
        <v>15867.1305878778</v>
      </c>
      <c r="H554" s="186">
        <f t="shared" si="1071"/>
        <v>15787.794934938413</v>
      </c>
      <c r="I554" s="186">
        <f t="shared" si="1071"/>
        <v>15708.85596026372</v>
      </c>
      <c r="J554" s="186">
        <f t="shared" si="1071"/>
        <v>15630.311680462401</v>
      </c>
      <c r="K554" s="186">
        <f t="shared" si="1071"/>
        <v>15552.16012206009</v>
      </c>
      <c r="L554" s="186">
        <f t="shared" si="1071"/>
        <v>15474.399321449788</v>
      </c>
      <c r="M554" s="186">
        <f t="shared" si="1071"/>
        <v>15397.02732484254</v>
      </c>
      <c r="N554" s="186">
        <f t="shared" si="1071"/>
        <v>15320.042188218327</v>
      </c>
      <c r="O554" s="186">
        <f t="shared" si="1071"/>
        <v>15243.441977277236</v>
      </c>
      <c r="P554" s="186">
        <f t="shared" si="1071"/>
        <v>15167.224767390851</v>
      </c>
      <c r="Q554" s="186">
        <f t="shared" si="1071"/>
        <v>15091.388643553897</v>
      </c>
      <c r="R554" s="186">
        <f t="shared" si="1071"/>
        <v>15015.931700336127</v>
      </c>
      <c r="S554" s="186">
        <f t="shared" si="1071"/>
        <v>14940.852041834445</v>
      </c>
      <c r="T554" s="186">
        <f t="shared" si="1071"/>
        <v>14866.147781625275</v>
      </c>
      <c r="U554" s="186">
        <f t="shared" si="1071"/>
        <v>14791.817042717148</v>
      </c>
      <c r="V554" s="186">
        <f t="shared" si="1071"/>
        <v>14717.85795750356</v>
      </c>
      <c r="W554" s="186">
        <f t="shared" si="1071"/>
        <v>14644.268667716045</v>
      </c>
      <c r="X554" s="186">
        <f t="shared" si="1071"/>
        <v>14571.047324377465</v>
      </c>
      <c r="Y554" s="186">
        <f t="shared" si="1071"/>
        <v>14498.192087755579</v>
      </c>
      <c r="Z554" s="186">
        <f t="shared" si="1071"/>
        <v>14425.701127316799</v>
      </c>
      <c r="AA554" s="186">
        <f t="shared" si="1071"/>
        <v>14353.572621680216</v>
      </c>
      <c r="AB554" s="186">
        <f t="shared" si="1071"/>
        <v>14281.804758571814</v>
      </c>
      <c r="AC554" s="186">
        <f t="shared" si="1071"/>
        <v>14210.395734778956</v>
      </c>
      <c r="AD554" s="186">
        <f t="shared" si="1071"/>
        <v>14139.34375610506</v>
      </c>
      <c r="AE554" s="186">
        <f t="shared" si="1071"/>
        <v>14068.647037324537</v>
      </c>
      <c r="AF554" s="186">
        <f t="shared" si="1071"/>
        <v>13998.303802137914</v>
      </c>
      <c r="AG554" s="186">
        <f t="shared" si="1071"/>
        <v>13928.312283127225</v>
      </c>
      <c r="AH554" s="186">
        <f t="shared" si="1071"/>
        <v>13858.670721711587</v>
      </c>
      <c r="AI554" s="186">
        <f t="shared" si="1071"/>
        <v>13789.377368103029</v>
      </c>
      <c r="AJ554" s="186">
        <f t="shared" si="1071"/>
        <v>13720.430481262514</v>
      </c>
      <c r="AK554" s="186">
        <f t="shared" si="1071"/>
        <v>13651.828328856202</v>
      </c>
      <c r="AL554" s="186">
        <f t="shared" si="1071"/>
        <v>13583.569187211922</v>
      </c>
      <c r="AM554" s="186">
        <f t="shared" si="1071"/>
        <v>13515.651341275861</v>
      </c>
      <c r="AN554" s="186">
        <f t="shared" si="1071"/>
        <v>13448.073084569483</v>
      </c>
      <c r="AO554" s="186">
        <f t="shared" si="1071"/>
        <v>13380.832719146636</v>
      </c>
      <c r="AP554" s="186">
        <f t="shared" si="1071"/>
        <v>13313.928555550903</v>
      </c>
    </row>
    <row r="555" spans="1:42" s="101" customFormat="1" x14ac:dyDescent="0.2">
      <c r="A555" s="187" t="s">
        <v>53</v>
      </c>
      <c r="C555" s="124">
        <f>C553*C554</f>
        <v>0</v>
      </c>
      <c r="D555" s="124">
        <f>D553*D554</f>
        <v>0</v>
      </c>
      <c r="E555" s="124">
        <f t="shared" ref="E555:AP555" si="1072">E553*E554</f>
        <v>0</v>
      </c>
      <c r="F555" s="124">
        <f t="shared" si="1072"/>
        <v>0</v>
      </c>
      <c r="G555" s="124">
        <f t="shared" si="1072"/>
        <v>0</v>
      </c>
      <c r="H555" s="124">
        <f t="shared" si="1072"/>
        <v>0</v>
      </c>
      <c r="I555" s="124">
        <f t="shared" si="1072"/>
        <v>0</v>
      </c>
      <c r="J555" s="124">
        <f t="shared" si="1072"/>
        <v>0</v>
      </c>
      <c r="K555" s="124">
        <f t="shared" si="1072"/>
        <v>0</v>
      </c>
      <c r="L555" s="124">
        <f t="shared" si="1072"/>
        <v>0</v>
      </c>
      <c r="M555" s="124">
        <f t="shared" si="1072"/>
        <v>0</v>
      </c>
      <c r="N555" s="124">
        <f t="shared" si="1072"/>
        <v>0</v>
      </c>
      <c r="O555" s="124">
        <f t="shared" si="1072"/>
        <v>0</v>
      </c>
      <c r="P555" s="124">
        <f t="shared" si="1072"/>
        <v>0</v>
      </c>
      <c r="Q555" s="124">
        <f t="shared" si="1072"/>
        <v>0</v>
      </c>
      <c r="R555" s="124">
        <f t="shared" si="1072"/>
        <v>0</v>
      </c>
      <c r="S555" s="124">
        <f t="shared" si="1072"/>
        <v>0</v>
      </c>
      <c r="T555" s="124">
        <f t="shared" si="1072"/>
        <v>0</v>
      </c>
      <c r="U555" s="124">
        <f t="shared" si="1072"/>
        <v>0</v>
      </c>
      <c r="V555" s="124">
        <f t="shared" si="1072"/>
        <v>0</v>
      </c>
      <c r="W555" s="124">
        <f t="shared" si="1072"/>
        <v>0</v>
      </c>
      <c r="X555" s="124">
        <f t="shared" si="1072"/>
        <v>0</v>
      </c>
      <c r="Y555" s="124">
        <f t="shared" si="1072"/>
        <v>0</v>
      </c>
      <c r="Z555" s="124">
        <f t="shared" si="1072"/>
        <v>0</v>
      </c>
      <c r="AA555" s="124">
        <f t="shared" si="1072"/>
        <v>0</v>
      </c>
      <c r="AB555" s="124">
        <f t="shared" si="1072"/>
        <v>0</v>
      </c>
      <c r="AC555" s="124">
        <f t="shared" si="1072"/>
        <v>0</v>
      </c>
      <c r="AD555" s="124">
        <f t="shared" si="1072"/>
        <v>0</v>
      </c>
      <c r="AE555" s="124">
        <f t="shared" si="1072"/>
        <v>0</v>
      </c>
      <c r="AF555" s="124">
        <f t="shared" si="1072"/>
        <v>0</v>
      </c>
      <c r="AG555" s="124">
        <f t="shared" si="1072"/>
        <v>0</v>
      </c>
      <c r="AH555" s="124">
        <f t="shared" si="1072"/>
        <v>0</v>
      </c>
      <c r="AI555" s="124">
        <f t="shared" si="1072"/>
        <v>0</v>
      </c>
      <c r="AJ555" s="124">
        <f t="shared" si="1072"/>
        <v>0</v>
      </c>
      <c r="AK555" s="124">
        <f t="shared" si="1072"/>
        <v>0</v>
      </c>
      <c r="AL555" s="124">
        <f t="shared" si="1072"/>
        <v>0</v>
      </c>
      <c r="AM555" s="124">
        <f t="shared" si="1072"/>
        <v>0</v>
      </c>
      <c r="AN555" s="124">
        <f t="shared" si="1072"/>
        <v>0</v>
      </c>
      <c r="AO555" s="124">
        <f t="shared" si="1072"/>
        <v>0</v>
      </c>
      <c r="AP555" s="124">
        <f t="shared" si="1072"/>
        <v>0</v>
      </c>
    </row>
    <row r="556" spans="1:42" s="101" customFormat="1" x14ac:dyDescent="0.2">
      <c r="A556" s="180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</row>
    <row r="557" spans="1:42" s="101" customFormat="1" x14ac:dyDescent="0.2">
      <c r="A557" s="180" t="s">
        <v>36</v>
      </c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</row>
    <row r="558" spans="1:42" s="101" customFormat="1" x14ac:dyDescent="0.2">
      <c r="A558" s="187" t="s">
        <v>159</v>
      </c>
      <c r="C558" s="215">
        <f t="shared" ref="C558:AP558" si="1073">IF(C$2&lt;=FedPTCTerm,FedPTCAmount*(1+Inflation)^B$2,0)</f>
        <v>0</v>
      </c>
      <c r="D558" s="215">
        <f t="shared" si="1073"/>
        <v>0</v>
      </c>
      <c r="E558" s="215">
        <f t="shared" si="1073"/>
        <v>0</v>
      </c>
      <c r="F558" s="215">
        <f t="shared" si="1073"/>
        <v>0</v>
      </c>
      <c r="G558" s="215">
        <f t="shared" si="1073"/>
        <v>0</v>
      </c>
      <c r="H558" s="215">
        <f t="shared" si="1073"/>
        <v>0</v>
      </c>
      <c r="I558" s="215">
        <f t="shared" si="1073"/>
        <v>0</v>
      </c>
      <c r="J558" s="215">
        <f t="shared" si="1073"/>
        <v>0</v>
      </c>
      <c r="K558" s="215">
        <f t="shared" si="1073"/>
        <v>0</v>
      </c>
      <c r="L558" s="215">
        <f t="shared" si="1073"/>
        <v>0</v>
      </c>
      <c r="M558" s="215">
        <f t="shared" si="1073"/>
        <v>0</v>
      </c>
      <c r="N558" s="215">
        <f t="shared" si="1073"/>
        <v>0</v>
      </c>
      <c r="O558" s="215">
        <f t="shared" si="1073"/>
        <v>0</v>
      </c>
      <c r="P558" s="215">
        <f t="shared" si="1073"/>
        <v>0</v>
      </c>
      <c r="Q558" s="215">
        <f t="shared" si="1073"/>
        <v>0</v>
      </c>
      <c r="R558" s="215">
        <f t="shared" si="1073"/>
        <v>0</v>
      </c>
      <c r="S558" s="215">
        <f t="shared" si="1073"/>
        <v>0</v>
      </c>
      <c r="T558" s="215">
        <f t="shared" si="1073"/>
        <v>0</v>
      </c>
      <c r="U558" s="215">
        <f t="shared" si="1073"/>
        <v>0</v>
      </c>
      <c r="V558" s="215">
        <f t="shared" si="1073"/>
        <v>0</v>
      </c>
      <c r="W558" s="215">
        <f t="shared" si="1073"/>
        <v>0</v>
      </c>
      <c r="X558" s="215">
        <f t="shared" si="1073"/>
        <v>0</v>
      </c>
      <c r="Y558" s="215">
        <f t="shared" si="1073"/>
        <v>0</v>
      </c>
      <c r="Z558" s="215">
        <f t="shared" si="1073"/>
        <v>0</v>
      </c>
      <c r="AA558" s="215">
        <f t="shared" si="1073"/>
        <v>0</v>
      </c>
      <c r="AB558" s="215">
        <f t="shared" si="1073"/>
        <v>0</v>
      </c>
      <c r="AC558" s="215">
        <f t="shared" si="1073"/>
        <v>0</v>
      </c>
      <c r="AD558" s="215">
        <f t="shared" si="1073"/>
        <v>0</v>
      </c>
      <c r="AE558" s="215">
        <f t="shared" si="1073"/>
        <v>0</v>
      </c>
      <c r="AF558" s="215">
        <f t="shared" si="1073"/>
        <v>0</v>
      </c>
      <c r="AG558" s="215">
        <f t="shared" si="1073"/>
        <v>0</v>
      </c>
      <c r="AH558" s="215">
        <f t="shared" si="1073"/>
        <v>0</v>
      </c>
      <c r="AI558" s="215">
        <f t="shared" si="1073"/>
        <v>0</v>
      </c>
      <c r="AJ558" s="215">
        <f t="shared" si="1073"/>
        <v>0</v>
      </c>
      <c r="AK558" s="215">
        <f t="shared" si="1073"/>
        <v>0</v>
      </c>
      <c r="AL558" s="215">
        <f t="shared" si="1073"/>
        <v>0</v>
      </c>
      <c r="AM558" s="215">
        <f t="shared" si="1073"/>
        <v>0</v>
      </c>
      <c r="AN558" s="215">
        <f t="shared" si="1073"/>
        <v>0</v>
      </c>
      <c r="AO558" s="215">
        <f t="shared" si="1073"/>
        <v>0</v>
      </c>
      <c r="AP558" s="215">
        <f t="shared" si="1073"/>
        <v>0</v>
      </c>
    </row>
    <row r="559" spans="1:42" s="101" customFormat="1" x14ac:dyDescent="0.2">
      <c r="A559" s="187" t="s">
        <v>160</v>
      </c>
      <c r="C559" s="216">
        <f>ROUND(C558*1000,0)</f>
        <v>0</v>
      </c>
      <c r="D559" s="216">
        <f>ROUND(D558*1000,0)</f>
        <v>0</v>
      </c>
      <c r="E559" s="216">
        <f t="shared" ref="E559:AP559" si="1074">ROUND(E558*1000,0)</f>
        <v>0</v>
      </c>
      <c r="F559" s="216">
        <f t="shared" si="1074"/>
        <v>0</v>
      </c>
      <c r="G559" s="216">
        <f t="shared" si="1074"/>
        <v>0</v>
      </c>
      <c r="H559" s="216">
        <f t="shared" si="1074"/>
        <v>0</v>
      </c>
      <c r="I559" s="216">
        <f t="shared" si="1074"/>
        <v>0</v>
      </c>
      <c r="J559" s="216">
        <f t="shared" si="1074"/>
        <v>0</v>
      </c>
      <c r="K559" s="216">
        <f t="shared" si="1074"/>
        <v>0</v>
      </c>
      <c r="L559" s="216">
        <f t="shared" si="1074"/>
        <v>0</v>
      </c>
      <c r="M559" s="216">
        <f t="shared" si="1074"/>
        <v>0</v>
      </c>
      <c r="N559" s="216">
        <f t="shared" si="1074"/>
        <v>0</v>
      </c>
      <c r="O559" s="216">
        <f t="shared" si="1074"/>
        <v>0</v>
      </c>
      <c r="P559" s="216">
        <f t="shared" si="1074"/>
        <v>0</v>
      </c>
      <c r="Q559" s="216">
        <f t="shared" si="1074"/>
        <v>0</v>
      </c>
      <c r="R559" s="216">
        <f t="shared" si="1074"/>
        <v>0</v>
      </c>
      <c r="S559" s="216">
        <f t="shared" si="1074"/>
        <v>0</v>
      </c>
      <c r="T559" s="216">
        <f t="shared" si="1074"/>
        <v>0</v>
      </c>
      <c r="U559" s="216">
        <f t="shared" si="1074"/>
        <v>0</v>
      </c>
      <c r="V559" s="216">
        <f t="shared" si="1074"/>
        <v>0</v>
      </c>
      <c r="W559" s="216">
        <f t="shared" si="1074"/>
        <v>0</v>
      </c>
      <c r="X559" s="216">
        <f t="shared" si="1074"/>
        <v>0</v>
      </c>
      <c r="Y559" s="216">
        <f t="shared" si="1074"/>
        <v>0</v>
      </c>
      <c r="Z559" s="216">
        <f t="shared" si="1074"/>
        <v>0</v>
      </c>
      <c r="AA559" s="216">
        <f t="shared" si="1074"/>
        <v>0</v>
      </c>
      <c r="AB559" s="216">
        <f t="shared" si="1074"/>
        <v>0</v>
      </c>
      <c r="AC559" s="216">
        <f t="shared" si="1074"/>
        <v>0</v>
      </c>
      <c r="AD559" s="216">
        <f t="shared" si="1074"/>
        <v>0</v>
      </c>
      <c r="AE559" s="216">
        <f t="shared" si="1074"/>
        <v>0</v>
      </c>
      <c r="AF559" s="216">
        <f t="shared" si="1074"/>
        <v>0</v>
      </c>
      <c r="AG559" s="216">
        <f t="shared" si="1074"/>
        <v>0</v>
      </c>
      <c r="AH559" s="216">
        <f t="shared" si="1074"/>
        <v>0</v>
      </c>
      <c r="AI559" s="216">
        <f t="shared" si="1074"/>
        <v>0</v>
      </c>
      <c r="AJ559" s="216">
        <f t="shared" si="1074"/>
        <v>0</v>
      </c>
      <c r="AK559" s="216">
        <f t="shared" si="1074"/>
        <v>0</v>
      </c>
      <c r="AL559" s="216">
        <f t="shared" si="1074"/>
        <v>0</v>
      </c>
      <c r="AM559" s="216">
        <f t="shared" si="1074"/>
        <v>0</v>
      </c>
      <c r="AN559" s="216">
        <f t="shared" si="1074"/>
        <v>0</v>
      </c>
      <c r="AO559" s="216">
        <f t="shared" si="1074"/>
        <v>0</v>
      </c>
      <c r="AP559" s="216">
        <f t="shared" si="1074"/>
        <v>0</v>
      </c>
    </row>
    <row r="560" spans="1:42" s="101" customFormat="1" x14ac:dyDescent="0.2">
      <c r="A560" s="187" t="s">
        <v>161</v>
      </c>
      <c r="C560" s="186">
        <f>C$5/1000</f>
        <v>16188.48</v>
      </c>
      <c r="D560" s="186">
        <f>D$5/1000</f>
        <v>16107.5376</v>
      </c>
      <c r="E560" s="186">
        <f t="shared" ref="E560:AP560" si="1075">E$5/1000</f>
        <v>16026.999912000001</v>
      </c>
      <c r="F560" s="186">
        <f t="shared" si="1075"/>
        <v>15946.86491244</v>
      </c>
      <c r="G560" s="186">
        <f t="shared" si="1075"/>
        <v>15867.1305878778</v>
      </c>
      <c r="H560" s="186">
        <f t="shared" si="1075"/>
        <v>15787.794934938413</v>
      </c>
      <c r="I560" s="186">
        <f t="shared" si="1075"/>
        <v>15708.85596026372</v>
      </c>
      <c r="J560" s="186">
        <f t="shared" si="1075"/>
        <v>15630.311680462401</v>
      </c>
      <c r="K560" s="186">
        <f t="shared" si="1075"/>
        <v>15552.16012206009</v>
      </c>
      <c r="L560" s="186">
        <f t="shared" si="1075"/>
        <v>15474.399321449788</v>
      </c>
      <c r="M560" s="186">
        <f t="shared" si="1075"/>
        <v>15397.02732484254</v>
      </c>
      <c r="N560" s="186">
        <f t="shared" si="1075"/>
        <v>15320.042188218327</v>
      </c>
      <c r="O560" s="186">
        <f t="shared" si="1075"/>
        <v>15243.441977277236</v>
      </c>
      <c r="P560" s="186">
        <f t="shared" si="1075"/>
        <v>15167.224767390851</v>
      </c>
      <c r="Q560" s="186">
        <f t="shared" si="1075"/>
        <v>15091.388643553897</v>
      </c>
      <c r="R560" s="186">
        <f t="shared" si="1075"/>
        <v>15015.931700336127</v>
      </c>
      <c r="S560" s="186">
        <f t="shared" si="1075"/>
        <v>14940.852041834445</v>
      </c>
      <c r="T560" s="186">
        <f t="shared" si="1075"/>
        <v>14866.147781625275</v>
      </c>
      <c r="U560" s="186">
        <f t="shared" si="1075"/>
        <v>14791.817042717148</v>
      </c>
      <c r="V560" s="186">
        <f t="shared" si="1075"/>
        <v>14717.85795750356</v>
      </c>
      <c r="W560" s="186">
        <f t="shared" si="1075"/>
        <v>14644.268667716045</v>
      </c>
      <c r="X560" s="186">
        <f t="shared" si="1075"/>
        <v>14571.047324377465</v>
      </c>
      <c r="Y560" s="186">
        <f t="shared" si="1075"/>
        <v>14498.192087755579</v>
      </c>
      <c r="Z560" s="186">
        <f t="shared" si="1075"/>
        <v>14425.701127316799</v>
      </c>
      <c r="AA560" s="186">
        <f t="shared" si="1075"/>
        <v>14353.572621680216</v>
      </c>
      <c r="AB560" s="186">
        <f t="shared" si="1075"/>
        <v>14281.804758571814</v>
      </c>
      <c r="AC560" s="186">
        <f t="shared" si="1075"/>
        <v>14210.395734778956</v>
      </c>
      <c r="AD560" s="186">
        <f t="shared" si="1075"/>
        <v>14139.34375610506</v>
      </c>
      <c r="AE560" s="186">
        <f t="shared" si="1075"/>
        <v>14068.647037324537</v>
      </c>
      <c r="AF560" s="186">
        <f t="shared" si="1075"/>
        <v>13998.303802137914</v>
      </c>
      <c r="AG560" s="186">
        <f t="shared" si="1075"/>
        <v>13928.312283127225</v>
      </c>
      <c r="AH560" s="186">
        <f t="shared" si="1075"/>
        <v>13858.670721711587</v>
      </c>
      <c r="AI560" s="186">
        <f t="shared" si="1075"/>
        <v>13789.377368103029</v>
      </c>
      <c r="AJ560" s="186">
        <f t="shared" si="1075"/>
        <v>13720.430481262514</v>
      </c>
      <c r="AK560" s="186">
        <f t="shared" si="1075"/>
        <v>13651.828328856202</v>
      </c>
      <c r="AL560" s="186">
        <f t="shared" si="1075"/>
        <v>13583.569187211922</v>
      </c>
      <c r="AM560" s="186">
        <f t="shared" si="1075"/>
        <v>13515.651341275861</v>
      </c>
      <c r="AN560" s="186">
        <f t="shared" si="1075"/>
        <v>13448.073084569483</v>
      </c>
      <c r="AO560" s="186">
        <f t="shared" si="1075"/>
        <v>13380.832719146636</v>
      </c>
      <c r="AP560" s="186">
        <f t="shared" si="1075"/>
        <v>13313.928555550903</v>
      </c>
    </row>
    <row r="561" spans="1:42" s="101" customFormat="1" x14ac:dyDescent="0.2">
      <c r="A561" s="187" t="s">
        <v>53</v>
      </c>
      <c r="C561" s="124">
        <f>C559*C560</f>
        <v>0</v>
      </c>
      <c r="D561" s="124">
        <f>D559*D560</f>
        <v>0</v>
      </c>
      <c r="E561" s="124">
        <f t="shared" ref="E561:AP561" si="1076">E559*E560</f>
        <v>0</v>
      </c>
      <c r="F561" s="124">
        <f t="shared" si="1076"/>
        <v>0</v>
      </c>
      <c r="G561" s="124">
        <f t="shared" si="1076"/>
        <v>0</v>
      </c>
      <c r="H561" s="124">
        <f t="shared" si="1076"/>
        <v>0</v>
      </c>
      <c r="I561" s="124">
        <f t="shared" si="1076"/>
        <v>0</v>
      </c>
      <c r="J561" s="124">
        <f t="shared" si="1076"/>
        <v>0</v>
      </c>
      <c r="K561" s="124">
        <f t="shared" si="1076"/>
        <v>0</v>
      </c>
      <c r="L561" s="124">
        <f t="shared" si="1076"/>
        <v>0</v>
      </c>
      <c r="M561" s="124">
        <f t="shared" si="1076"/>
        <v>0</v>
      </c>
      <c r="N561" s="124">
        <f t="shared" si="1076"/>
        <v>0</v>
      </c>
      <c r="O561" s="124">
        <f t="shared" si="1076"/>
        <v>0</v>
      </c>
      <c r="P561" s="124">
        <f t="shared" si="1076"/>
        <v>0</v>
      </c>
      <c r="Q561" s="124">
        <f t="shared" si="1076"/>
        <v>0</v>
      </c>
      <c r="R561" s="124">
        <f t="shared" si="1076"/>
        <v>0</v>
      </c>
      <c r="S561" s="124">
        <f t="shared" si="1076"/>
        <v>0</v>
      </c>
      <c r="T561" s="124">
        <f t="shared" si="1076"/>
        <v>0</v>
      </c>
      <c r="U561" s="124">
        <f t="shared" si="1076"/>
        <v>0</v>
      </c>
      <c r="V561" s="124">
        <f t="shared" si="1076"/>
        <v>0</v>
      </c>
      <c r="W561" s="124">
        <f t="shared" si="1076"/>
        <v>0</v>
      </c>
      <c r="X561" s="124">
        <f t="shared" si="1076"/>
        <v>0</v>
      </c>
      <c r="Y561" s="124">
        <f t="shared" si="1076"/>
        <v>0</v>
      </c>
      <c r="Z561" s="124">
        <f t="shared" si="1076"/>
        <v>0</v>
      </c>
      <c r="AA561" s="124">
        <f t="shared" si="1076"/>
        <v>0</v>
      </c>
      <c r="AB561" s="124">
        <f t="shared" si="1076"/>
        <v>0</v>
      </c>
      <c r="AC561" s="124">
        <f t="shared" si="1076"/>
        <v>0</v>
      </c>
      <c r="AD561" s="124">
        <f t="shared" si="1076"/>
        <v>0</v>
      </c>
      <c r="AE561" s="124">
        <f t="shared" si="1076"/>
        <v>0</v>
      </c>
      <c r="AF561" s="124">
        <f t="shared" si="1076"/>
        <v>0</v>
      </c>
      <c r="AG561" s="124">
        <f t="shared" si="1076"/>
        <v>0</v>
      </c>
      <c r="AH561" s="124">
        <f t="shared" si="1076"/>
        <v>0</v>
      </c>
      <c r="AI561" s="124">
        <f t="shared" si="1076"/>
        <v>0</v>
      </c>
      <c r="AJ561" s="124">
        <f t="shared" si="1076"/>
        <v>0</v>
      </c>
      <c r="AK561" s="124">
        <f t="shared" si="1076"/>
        <v>0</v>
      </c>
      <c r="AL561" s="124">
        <f t="shared" si="1076"/>
        <v>0</v>
      </c>
      <c r="AM561" s="124">
        <f t="shared" si="1076"/>
        <v>0</v>
      </c>
      <c r="AN561" s="124">
        <f t="shared" si="1076"/>
        <v>0</v>
      </c>
      <c r="AO561" s="124">
        <f t="shared" si="1076"/>
        <v>0</v>
      </c>
      <c r="AP561" s="124">
        <f t="shared" si="1076"/>
        <v>0</v>
      </c>
    </row>
    <row r="562" spans="1:42" s="101" customFormat="1" x14ac:dyDescent="0.2">
      <c r="A562" s="187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</row>
    <row r="563" spans="1:42" x14ac:dyDescent="0.2">
      <c r="A563" s="162" t="s">
        <v>58</v>
      </c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</row>
    <row r="564" spans="1:42" x14ac:dyDescent="0.2">
      <c r="A564" s="180" t="str">
        <f>'Inputs &amp; Results'!A54</f>
        <v>Fixed Amount ($)</v>
      </c>
      <c r="B564" s="101"/>
      <c r="C564" s="101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</row>
    <row r="565" spans="1:42" x14ac:dyDescent="0.2">
      <c r="A565" s="187" t="str">
        <f>'Inputs &amp; Results'!A55</f>
        <v>Federal</v>
      </c>
      <c r="B565" s="101"/>
      <c r="C565" s="181">
        <f>IBIFedFixed</f>
        <v>0</v>
      </c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</row>
    <row r="566" spans="1:42" x14ac:dyDescent="0.2">
      <c r="A566" s="187" t="str">
        <f>'Inputs &amp; Results'!A56</f>
        <v>State</v>
      </c>
      <c r="B566" s="101"/>
      <c r="C566" s="181">
        <f>IBIStateFixed</f>
        <v>0</v>
      </c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</row>
    <row r="567" spans="1:42" x14ac:dyDescent="0.2">
      <c r="A567" s="187" t="str">
        <f>'Inputs &amp; Results'!A57</f>
        <v>Utility</v>
      </c>
      <c r="B567" s="101"/>
      <c r="C567" s="181">
        <f>IBIUtilityFixed</f>
        <v>0</v>
      </c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</row>
    <row r="568" spans="1:42" x14ac:dyDescent="0.2">
      <c r="A568" s="187" t="str">
        <f>'Inputs &amp; Results'!A58</f>
        <v>Other</v>
      </c>
      <c r="C568" s="186">
        <f>IBIOtherFixed</f>
        <v>0</v>
      </c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</row>
    <row r="569" spans="1:42" x14ac:dyDescent="0.2">
      <c r="A569" s="167" t="s">
        <v>53</v>
      </c>
      <c r="C569" s="169">
        <f>SUM(C565:C568)</f>
        <v>0</v>
      </c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</row>
    <row r="570" spans="1:42" x14ac:dyDescent="0.2">
      <c r="A570" s="180" t="str">
        <f>'Inputs &amp; Results'!A59</f>
        <v>Percentage of Pre-Financing Costs</v>
      </c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</row>
    <row r="571" spans="1:42" x14ac:dyDescent="0.2">
      <c r="A571" s="187" t="str">
        <f>'Inputs &amp; Results'!A60</f>
        <v>Federal</v>
      </c>
      <c r="C571" s="181">
        <f>IBIFedPercent</f>
        <v>0</v>
      </c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</row>
    <row r="572" spans="1:42" x14ac:dyDescent="0.2">
      <c r="A572" s="187" t="str">
        <f>'Inputs &amp; Results'!A61</f>
        <v>State</v>
      </c>
      <c r="C572" s="181">
        <f>IBIStatePercent</f>
        <v>0</v>
      </c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</row>
    <row r="573" spans="1:42" x14ac:dyDescent="0.2">
      <c r="A573" s="187" t="str">
        <f>'Inputs &amp; Results'!A62</f>
        <v>Utility</v>
      </c>
      <c r="C573" s="181">
        <f>IBIUtilityPercent</f>
        <v>0</v>
      </c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</row>
    <row r="574" spans="1:42" x14ac:dyDescent="0.2">
      <c r="A574" s="187" t="str">
        <f>'Inputs &amp; Results'!A63</f>
        <v>Other</v>
      </c>
      <c r="C574" s="186">
        <f>IBIOtherPercent</f>
        <v>0</v>
      </c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</row>
    <row r="575" spans="1:42" x14ac:dyDescent="0.2">
      <c r="A575" s="187" t="s">
        <v>53</v>
      </c>
      <c r="C575" s="169">
        <f>SUM(C571:C574)</f>
        <v>0</v>
      </c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</row>
    <row r="576" spans="1:42" x14ac:dyDescent="0.2">
      <c r="A576" s="162" t="s">
        <v>120</v>
      </c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</row>
    <row r="577" spans="1:42" x14ac:dyDescent="0.2">
      <c r="A577" s="180" t="str">
        <f>'Inputs &amp; Results'!A65</f>
        <v>Federal</v>
      </c>
      <c r="B577" s="101"/>
      <c r="C577" s="181">
        <f>CBIFed</f>
        <v>0</v>
      </c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</row>
    <row r="578" spans="1:42" x14ac:dyDescent="0.2">
      <c r="A578" s="180" t="str">
        <f>'Inputs &amp; Results'!A66</f>
        <v>State</v>
      </c>
      <c r="B578" s="101"/>
      <c r="C578" s="181">
        <f>CBIState</f>
        <v>0</v>
      </c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</row>
    <row r="579" spans="1:42" x14ac:dyDescent="0.2">
      <c r="A579" s="180" t="str">
        <f>'Inputs &amp; Results'!A67</f>
        <v>Utility</v>
      </c>
      <c r="B579" s="101"/>
      <c r="C579" s="181">
        <f>CBIUtility</f>
        <v>0</v>
      </c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</row>
    <row r="580" spans="1:42" x14ac:dyDescent="0.2">
      <c r="A580" s="180" t="str">
        <f>'Inputs &amp; Results'!A68</f>
        <v>Other</v>
      </c>
      <c r="C580" s="186">
        <f>CBIOther</f>
        <v>0</v>
      </c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</row>
    <row r="581" spans="1:42" x14ac:dyDescent="0.2">
      <c r="A581" s="163" t="s">
        <v>53</v>
      </c>
      <c r="C581" s="169">
        <f>SUM(C577:C580)</f>
        <v>0</v>
      </c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</row>
    <row r="582" spans="1:42" x14ac:dyDescent="0.2"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</row>
    <row r="583" spans="1:42" x14ac:dyDescent="0.2">
      <c r="A583" s="162" t="s">
        <v>117</v>
      </c>
    </row>
    <row r="584" spans="1:42" x14ac:dyDescent="0.2">
      <c r="A584" s="163" t="str">
        <f>'Inputs &amp; Results'!A72</f>
        <v>Federal</v>
      </c>
    </row>
    <row r="585" spans="1:42" x14ac:dyDescent="0.2">
      <c r="A585" s="167" t="s">
        <v>118</v>
      </c>
      <c r="C585" s="215">
        <f t="shared" ref="C585:AP585" si="1077">IF(AND(C$2&lt;=PBIFedTerm,C$2&lt;=AnalysisPeriod),PBIFed*(1+PBIFedEsc)^B$2,0)</f>
        <v>0</v>
      </c>
      <c r="D585" s="215">
        <f t="shared" si="1077"/>
        <v>0</v>
      </c>
      <c r="E585" s="215">
        <f t="shared" si="1077"/>
        <v>0</v>
      </c>
      <c r="F585" s="215">
        <f t="shared" si="1077"/>
        <v>0</v>
      </c>
      <c r="G585" s="215">
        <f t="shared" si="1077"/>
        <v>0</v>
      </c>
      <c r="H585" s="215">
        <f t="shared" si="1077"/>
        <v>0</v>
      </c>
      <c r="I585" s="215">
        <f t="shared" si="1077"/>
        <v>0</v>
      </c>
      <c r="J585" s="215">
        <f t="shared" si="1077"/>
        <v>0</v>
      </c>
      <c r="K585" s="215">
        <f t="shared" si="1077"/>
        <v>0</v>
      </c>
      <c r="L585" s="215">
        <f t="shared" si="1077"/>
        <v>0</v>
      </c>
      <c r="M585" s="215">
        <f t="shared" si="1077"/>
        <v>0</v>
      </c>
      <c r="N585" s="215">
        <f t="shared" si="1077"/>
        <v>0</v>
      </c>
      <c r="O585" s="215">
        <f t="shared" si="1077"/>
        <v>0</v>
      </c>
      <c r="P585" s="215">
        <f t="shared" si="1077"/>
        <v>0</v>
      </c>
      <c r="Q585" s="215">
        <f t="shared" si="1077"/>
        <v>0</v>
      </c>
      <c r="R585" s="215">
        <f t="shared" si="1077"/>
        <v>0</v>
      </c>
      <c r="S585" s="215">
        <f t="shared" si="1077"/>
        <v>0</v>
      </c>
      <c r="T585" s="215">
        <f t="shared" si="1077"/>
        <v>0</v>
      </c>
      <c r="U585" s="215">
        <f t="shared" si="1077"/>
        <v>0</v>
      </c>
      <c r="V585" s="215">
        <f t="shared" si="1077"/>
        <v>0</v>
      </c>
      <c r="W585" s="215">
        <f t="shared" si="1077"/>
        <v>0</v>
      </c>
      <c r="X585" s="215">
        <f t="shared" si="1077"/>
        <v>0</v>
      </c>
      <c r="Y585" s="215">
        <f t="shared" si="1077"/>
        <v>0</v>
      </c>
      <c r="Z585" s="215">
        <f t="shared" si="1077"/>
        <v>0</v>
      </c>
      <c r="AA585" s="215">
        <f t="shared" si="1077"/>
        <v>0</v>
      </c>
      <c r="AB585" s="215">
        <f t="shared" si="1077"/>
        <v>0</v>
      </c>
      <c r="AC585" s="215">
        <f t="shared" si="1077"/>
        <v>0</v>
      </c>
      <c r="AD585" s="215">
        <f t="shared" si="1077"/>
        <v>0</v>
      </c>
      <c r="AE585" s="215">
        <f t="shared" si="1077"/>
        <v>0</v>
      </c>
      <c r="AF585" s="215">
        <f t="shared" si="1077"/>
        <v>0</v>
      </c>
      <c r="AG585" s="215">
        <f t="shared" si="1077"/>
        <v>0</v>
      </c>
      <c r="AH585" s="215">
        <f t="shared" si="1077"/>
        <v>0</v>
      </c>
      <c r="AI585" s="215">
        <f t="shared" si="1077"/>
        <v>0</v>
      </c>
      <c r="AJ585" s="215">
        <f t="shared" si="1077"/>
        <v>0</v>
      </c>
      <c r="AK585" s="215">
        <f t="shared" si="1077"/>
        <v>0</v>
      </c>
      <c r="AL585" s="215">
        <f t="shared" si="1077"/>
        <v>0</v>
      </c>
      <c r="AM585" s="215">
        <f t="shared" si="1077"/>
        <v>0</v>
      </c>
      <c r="AN585" s="215">
        <f t="shared" si="1077"/>
        <v>0</v>
      </c>
      <c r="AO585" s="215">
        <f t="shared" si="1077"/>
        <v>0</v>
      </c>
      <c r="AP585" s="215">
        <f t="shared" si="1077"/>
        <v>0</v>
      </c>
    </row>
    <row r="586" spans="1:42" x14ac:dyDescent="0.2">
      <c r="A586" s="167" t="s">
        <v>119</v>
      </c>
      <c r="C586" s="186">
        <f>C$5</f>
        <v>16188480</v>
      </c>
      <c r="D586" s="186">
        <f t="shared" ref="D586:AP586" si="1078">D$5</f>
        <v>16107537.6</v>
      </c>
      <c r="E586" s="186">
        <f t="shared" si="1078"/>
        <v>16026999.912</v>
      </c>
      <c r="F586" s="186">
        <f t="shared" si="1078"/>
        <v>15946864.91244</v>
      </c>
      <c r="G586" s="186">
        <f t="shared" si="1078"/>
        <v>15867130.587877801</v>
      </c>
      <c r="H586" s="186">
        <f t="shared" si="1078"/>
        <v>15787794.934938412</v>
      </c>
      <c r="I586" s="186">
        <f t="shared" si="1078"/>
        <v>15708855.96026372</v>
      </c>
      <c r="J586" s="186">
        <f t="shared" si="1078"/>
        <v>15630311.680462401</v>
      </c>
      <c r="K586" s="186">
        <f t="shared" si="1078"/>
        <v>15552160.12206009</v>
      </c>
      <c r="L586" s="186">
        <f t="shared" si="1078"/>
        <v>15474399.321449788</v>
      </c>
      <c r="M586" s="186">
        <f t="shared" si="1078"/>
        <v>15397027.324842541</v>
      </c>
      <c r="N586" s="186">
        <f t="shared" si="1078"/>
        <v>15320042.188218327</v>
      </c>
      <c r="O586" s="186">
        <f t="shared" si="1078"/>
        <v>15243441.977277236</v>
      </c>
      <c r="P586" s="186">
        <f t="shared" si="1078"/>
        <v>15167224.767390851</v>
      </c>
      <c r="Q586" s="186">
        <f t="shared" si="1078"/>
        <v>15091388.643553898</v>
      </c>
      <c r="R586" s="186">
        <f t="shared" si="1078"/>
        <v>15015931.700336127</v>
      </c>
      <c r="S586" s="186">
        <f t="shared" si="1078"/>
        <v>14940852.041834446</v>
      </c>
      <c r="T586" s="186">
        <f t="shared" si="1078"/>
        <v>14866147.781625275</v>
      </c>
      <c r="U586" s="186">
        <f t="shared" si="1078"/>
        <v>14791817.042717148</v>
      </c>
      <c r="V586" s="186">
        <f t="shared" si="1078"/>
        <v>14717857.957503561</v>
      </c>
      <c r="W586" s="186">
        <f t="shared" si="1078"/>
        <v>14644268.667716045</v>
      </c>
      <c r="X586" s="186">
        <f t="shared" si="1078"/>
        <v>14571047.324377464</v>
      </c>
      <c r="Y586" s="186">
        <f t="shared" si="1078"/>
        <v>14498192.087755578</v>
      </c>
      <c r="Z586" s="186">
        <f t="shared" si="1078"/>
        <v>14425701.127316799</v>
      </c>
      <c r="AA586" s="186">
        <f t="shared" si="1078"/>
        <v>14353572.621680215</v>
      </c>
      <c r="AB586" s="186">
        <f t="shared" si="1078"/>
        <v>14281804.758571815</v>
      </c>
      <c r="AC586" s="186">
        <f t="shared" si="1078"/>
        <v>14210395.734778956</v>
      </c>
      <c r="AD586" s="186">
        <f t="shared" si="1078"/>
        <v>14139343.75610506</v>
      </c>
      <c r="AE586" s="186">
        <f t="shared" si="1078"/>
        <v>14068647.037324537</v>
      </c>
      <c r="AF586" s="186">
        <f t="shared" si="1078"/>
        <v>13998303.802137915</v>
      </c>
      <c r="AG586" s="186">
        <f t="shared" si="1078"/>
        <v>13928312.283127224</v>
      </c>
      <c r="AH586" s="186">
        <f t="shared" si="1078"/>
        <v>13858670.721711587</v>
      </c>
      <c r="AI586" s="186">
        <f t="shared" si="1078"/>
        <v>13789377.368103029</v>
      </c>
      <c r="AJ586" s="186">
        <f t="shared" si="1078"/>
        <v>13720430.481262514</v>
      </c>
      <c r="AK586" s="186">
        <f t="shared" si="1078"/>
        <v>13651828.328856202</v>
      </c>
      <c r="AL586" s="186">
        <f t="shared" si="1078"/>
        <v>13583569.187211921</v>
      </c>
      <c r="AM586" s="186">
        <f t="shared" si="1078"/>
        <v>13515651.341275861</v>
      </c>
      <c r="AN586" s="186">
        <f t="shared" si="1078"/>
        <v>13448073.084569484</v>
      </c>
      <c r="AO586" s="186">
        <f t="shared" si="1078"/>
        <v>13380832.719146635</v>
      </c>
      <c r="AP586" s="186">
        <f t="shared" si="1078"/>
        <v>13313928.555550903</v>
      </c>
    </row>
    <row r="587" spans="1:42" x14ac:dyDescent="0.2">
      <c r="A587" s="167" t="s">
        <v>53</v>
      </c>
      <c r="C587" s="181">
        <f>C585*C586</f>
        <v>0</v>
      </c>
      <c r="D587" s="181">
        <f t="shared" ref="D587:AP587" si="1079">D585*D586</f>
        <v>0</v>
      </c>
      <c r="E587" s="181">
        <f t="shared" si="1079"/>
        <v>0</v>
      </c>
      <c r="F587" s="181">
        <f t="shared" si="1079"/>
        <v>0</v>
      </c>
      <c r="G587" s="181">
        <f t="shared" si="1079"/>
        <v>0</v>
      </c>
      <c r="H587" s="181">
        <f t="shared" si="1079"/>
        <v>0</v>
      </c>
      <c r="I587" s="181">
        <f t="shared" si="1079"/>
        <v>0</v>
      </c>
      <c r="J587" s="181">
        <f t="shared" si="1079"/>
        <v>0</v>
      </c>
      <c r="K587" s="181">
        <f t="shared" si="1079"/>
        <v>0</v>
      </c>
      <c r="L587" s="181">
        <f t="shared" si="1079"/>
        <v>0</v>
      </c>
      <c r="M587" s="181">
        <f t="shared" si="1079"/>
        <v>0</v>
      </c>
      <c r="N587" s="181">
        <f t="shared" si="1079"/>
        <v>0</v>
      </c>
      <c r="O587" s="181">
        <f t="shared" si="1079"/>
        <v>0</v>
      </c>
      <c r="P587" s="181">
        <f t="shared" si="1079"/>
        <v>0</v>
      </c>
      <c r="Q587" s="181">
        <f t="shared" si="1079"/>
        <v>0</v>
      </c>
      <c r="R587" s="181">
        <f t="shared" si="1079"/>
        <v>0</v>
      </c>
      <c r="S587" s="181">
        <f t="shared" si="1079"/>
        <v>0</v>
      </c>
      <c r="T587" s="181">
        <f t="shared" si="1079"/>
        <v>0</v>
      </c>
      <c r="U587" s="181">
        <f t="shared" si="1079"/>
        <v>0</v>
      </c>
      <c r="V587" s="181">
        <f t="shared" si="1079"/>
        <v>0</v>
      </c>
      <c r="W587" s="181">
        <f t="shared" si="1079"/>
        <v>0</v>
      </c>
      <c r="X587" s="181">
        <f t="shared" si="1079"/>
        <v>0</v>
      </c>
      <c r="Y587" s="181">
        <f t="shared" si="1079"/>
        <v>0</v>
      </c>
      <c r="Z587" s="181">
        <f t="shared" si="1079"/>
        <v>0</v>
      </c>
      <c r="AA587" s="181">
        <f t="shared" si="1079"/>
        <v>0</v>
      </c>
      <c r="AB587" s="181">
        <f t="shared" si="1079"/>
        <v>0</v>
      </c>
      <c r="AC587" s="181">
        <f t="shared" si="1079"/>
        <v>0</v>
      </c>
      <c r="AD587" s="181">
        <f t="shared" si="1079"/>
        <v>0</v>
      </c>
      <c r="AE587" s="181">
        <f t="shared" si="1079"/>
        <v>0</v>
      </c>
      <c r="AF587" s="181">
        <f t="shared" si="1079"/>
        <v>0</v>
      </c>
      <c r="AG587" s="181">
        <f t="shared" si="1079"/>
        <v>0</v>
      </c>
      <c r="AH587" s="181">
        <f t="shared" si="1079"/>
        <v>0</v>
      </c>
      <c r="AI587" s="181">
        <f t="shared" si="1079"/>
        <v>0</v>
      </c>
      <c r="AJ587" s="181">
        <f t="shared" si="1079"/>
        <v>0</v>
      </c>
      <c r="AK587" s="181">
        <f t="shared" si="1079"/>
        <v>0</v>
      </c>
      <c r="AL587" s="181">
        <f t="shared" si="1079"/>
        <v>0</v>
      </c>
      <c r="AM587" s="181">
        <f t="shared" si="1079"/>
        <v>0</v>
      </c>
      <c r="AN587" s="181">
        <f t="shared" si="1079"/>
        <v>0</v>
      </c>
      <c r="AO587" s="181">
        <f t="shared" si="1079"/>
        <v>0</v>
      </c>
      <c r="AP587" s="181">
        <f t="shared" si="1079"/>
        <v>0</v>
      </c>
    </row>
    <row r="588" spans="1:42" x14ac:dyDescent="0.2">
      <c r="A588" s="163" t="str">
        <f>'Inputs &amp; Results'!A73</f>
        <v>State</v>
      </c>
    </row>
    <row r="589" spans="1:42" x14ac:dyDescent="0.2">
      <c r="A589" s="167" t="s">
        <v>118</v>
      </c>
      <c r="C589" s="215">
        <f t="shared" ref="C589:AP589" si="1080">IF(AND(C$2&lt;=PBIStateTerm,C$2&lt;=AnalysisPeriod),PBIState*(1+PBIStateEsc)^B$2,0)</f>
        <v>0</v>
      </c>
      <c r="D589" s="215">
        <f t="shared" si="1080"/>
        <v>0</v>
      </c>
      <c r="E589" s="215">
        <f t="shared" si="1080"/>
        <v>0</v>
      </c>
      <c r="F589" s="215">
        <f t="shared" si="1080"/>
        <v>0</v>
      </c>
      <c r="G589" s="215">
        <f t="shared" si="1080"/>
        <v>0</v>
      </c>
      <c r="H589" s="215">
        <f t="shared" si="1080"/>
        <v>0</v>
      </c>
      <c r="I589" s="215">
        <f t="shared" si="1080"/>
        <v>0</v>
      </c>
      <c r="J589" s="215">
        <f t="shared" si="1080"/>
        <v>0</v>
      </c>
      <c r="K589" s="215">
        <f t="shared" si="1080"/>
        <v>0</v>
      </c>
      <c r="L589" s="215">
        <f t="shared" si="1080"/>
        <v>0</v>
      </c>
      <c r="M589" s="215">
        <f t="shared" si="1080"/>
        <v>0</v>
      </c>
      <c r="N589" s="215">
        <f t="shared" si="1080"/>
        <v>0</v>
      </c>
      <c r="O589" s="215">
        <f t="shared" si="1080"/>
        <v>0</v>
      </c>
      <c r="P589" s="215">
        <f t="shared" si="1080"/>
        <v>0</v>
      </c>
      <c r="Q589" s="215">
        <f t="shared" si="1080"/>
        <v>0</v>
      </c>
      <c r="R589" s="215">
        <f t="shared" si="1080"/>
        <v>0</v>
      </c>
      <c r="S589" s="215">
        <f t="shared" si="1080"/>
        <v>0</v>
      </c>
      <c r="T589" s="215">
        <f t="shared" si="1080"/>
        <v>0</v>
      </c>
      <c r="U589" s="215">
        <f t="shared" si="1080"/>
        <v>0</v>
      </c>
      <c r="V589" s="215">
        <f t="shared" si="1080"/>
        <v>0</v>
      </c>
      <c r="W589" s="215">
        <f t="shared" si="1080"/>
        <v>0</v>
      </c>
      <c r="X589" s="215">
        <f t="shared" si="1080"/>
        <v>0</v>
      </c>
      <c r="Y589" s="215">
        <f t="shared" si="1080"/>
        <v>0</v>
      </c>
      <c r="Z589" s="215">
        <f t="shared" si="1080"/>
        <v>0</v>
      </c>
      <c r="AA589" s="215">
        <f t="shared" si="1080"/>
        <v>0</v>
      </c>
      <c r="AB589" s="215">
        <f t="shared" si="1080"/>
        <v>0</v>
      </c>
      <c r="AC589" s="215">
        <f t="shared" si="1080"/>
        <v>0</v>
      </c>
      <c r="AD589" s="215">
        <f t="shared" si="1080"/>
        <v>0</v>
      </c>
      <c r="AE589" s="215">
        <f t="shared" si="1080"/>
        <v>0</v>
      </c>
      <c r="AF589" s="215">
        <f t="shared" si="1080"/>
        <v>0</v>
      </c>
      <c r="AG589" s="215">
        <f t="shared" si="1080"/>
        <v>0</v>
      </c>
      <c r="AH589" s="215">
        <f t="shared" si="1080"/>
        <v>0</v>
      </c>
      <c r="AI589" s="215">
        <f t="shared" si="1080"/>
        <v>0</v>
      </c>
      <c r="AJ589" s="215">
        <f t="shared" si="1080"/>
        <v>0</v>
      </c>
      <c r="AK589" s="215">
        <f t="shared" si="1080"/>
        <v>0</v>
      </c>
      <c r="AL589" s="215">
        <f t="shared" si="1080"/>
        <v>0</v>
      </c>
      <c r="AM589" s="215">
        <f t="shared" si="1080"/>
        <v>0</v>
      </c>
      <c r="AN589" s="215">
        <f t="shared" si="1080"/>
        <v>0</v>
      </c>
      <c r="AO589" s="215">
        <f t="shared" si="1080"/>
        <v>0</v>
      </c>
      <c r="AP589" s="215">
        <f t="shared" si="1080"/>
        <v>0</v>
      </c>
    </row>
    <row r="590" spans="1:42" x14ac:dyDescent="0.2">
      <c r="A590" s="167" t="s">
        <v>119</v>
      </c>
      <c r="C590" s="186">
        <f>C$5</f>
        <v>16188480</v>
      </c>
      <c r="D590" s="186">
        <f t="shared" ref="D590:AP590" si="1081">D$5</f>
        <v>16107537.6</v>
      </c>
      <c r="E590" s="186">
        <f t="shared" si="1081"/>
        <v>16026999.912</v>
      </c>
      <c r="F590" s="186">
        <f t="shared" si="1081"/>
        <v>15946864.91244</v>
      </c>
      <c r="G590" s="186">
        <f t="shared" si="1081"/>
        <v>15867130.587877801</v>
      </c>
      <c r="H590" s="186">
        <f t="shared" si="1081"/>
        <v>15787794.934938412</v>
      </c>
      <c r="I590" s="186">
        <f t="shared" si="1081"/>
        <v>15708855.96026372</v>
      </c>
      <c r="J590" s="186">
        <f t="shared" si="1081"/>
        <v>15630311.680462401</v>
      </c>
      <c r="K590" s="186">
        <f t="shared" si="1081"/>
        <v>15552160.12206009</v>
      </c>
      <c r="L590" s="186">
        <f t="shared" si="1081"/>
        <v>15474399.321449788</v>
      </c>
      <c r="M590" s="186">
        <f t="shared" si="1081"/>
        <v>15397027.324842541</v>
      </c>
      <c r="N590" s="186">
        <f t="shared" si="1081"/>
        <v>15320042.188218327</v>
      </c>
      <c r="O590" s="186">
        <f t="shared" si="1081"/>
        <v>15243441.977277236</v>
      </c>
      <c r="P590" s="186">
        <f t="shared" si="1081"/>
        <v>15167224.767390851</v>
      </c>
      <c r="Q590" s="186">
        <f t="shared" si="1081"/>
        <v>15091388.643553898</v>
      </c>
      <c r="R590" s="186">
        <f t="shared" si="1081"/>
        <v>15015931.700336127</v>
      </c>
      <c r="S590" s="186">
        <f t="shared" si="1081"/>
        <v>14940852.041834446</v>
      </c>
      <c r="T590" s="186">
        <f t="shared" si="1081"/>
        <v>14866147.781625275</v>
      </c>
      <c r="U590" s="186">
        <f t="shared" si="1081"/>
        <v>14791817.042717148</v>
      </c>
      <c r="V590" s="186">
        <f t="shared" si="1081"/>
        <v>14717857.957503561</v>
      </c>
      <c r="W590" s="186">
        <f t="shared" si="1081"/>
        <v>14644268.667716045</v>
      </c>
      <c r="X590" s="186">
        <f t="shared" si="1081"/>
        <v>14571047.324377464</v>
      </c>
      <c r="Y590" s="186">
        <f t="shared" si="1081"/>
        <v>14498192.087755578</v>
      </c>
      <c r="Z590" s="186">
        <f t="shared" si="1081"/>
        <v>14425701.127316799</v>
      </c>
      <c r="AA590" s="186">
        <f t="shared" si="1081"/>
        <v>14353572.621680215</v>
      </c>
      <c r="AB590" s="186">
        <f t="shared" si="1081"/>
        <v>14281804.758571815</v>
      </c>
      <c r="AC590" s="186">
        <f t="shared" si="1081"/>
        <v>14210395.734778956</v>
      </c>
      <c r="AD590" s="186">
        <f t="shared" si="1081"/>
        <v>14139343.75610506</v>
      </c>
      <c r="AE590" s="186">
        <f t="shared" si="1081"/>
        <v>14068647.037324537</v>
      </c>
      <c r="AF590" s="186">
        <f t="shared" si="1081"/>
        <v>13998303.802137915</v>
      </c>
      <c r="AG590" s="186">
        <f t="shared" si="1081"/>
        <v>13928312.283127224</v>
      </c>
      <c r="AH590" s="186">
        <f t="shared" si="1081"/>
        <v>13858670.721711587</v>
      </c>
      <c r="AI590" s="186">
        <f t="shared" si="1081"/>
        <v>13789377.368103029</v>
      </c>
      <c r="AJ590" s="186">
        <f t="shared" si="1081"/>
        <v>13720430.481262514</v>
      </c>
      <c r="AK590" s="186">
        <f t="shared" si="1081"/>
        <v>13651828.328856202</v>
      </c>
      <c r="AL590" s="186">
        <f t="shared" si="1081"/>
        <v>13583569.187211921</v>
      </c>
      <c r="AM590" s="186">
        <f t="shared" si="1081"/>
        <v>13515651.341275861</v>
      </c>
      <c r="AN590" s="186">
        <f t="shared" si="1081"/>
        <v>13448073.084569484</v>
      </c>
      <c r="AO590" s="186">
        <f t="shared" si="1081"/>
        <v>13380832.719146635</v>
      </c>
      <c r="AP590" s="186">
        <f t="shared" si="1081"/>
        <v>13313928.555550903</v>
      </c>
    </row>
    <row r="591" spans="1:42" x14ac:dyDescent="0.2">
      <c r="A591" s="167" t="s">
        <v>53</v>
      </c>
      <c r="C591" s="181">
        <f>C589*C590</f>
        <v>0</v>
      </c>
      <c r="D591" s="181">
        <f t="shared" ref="D591" si="1082">D589*D590</f>
        <v>0</v>
      </c>
      <c r="E591" s="181">
        <f t="shared" ref="E591" si="1083">E589*E590</f>
        <v>0</v>
      </c>
      <c r="F591" s="181">
        <f t="shared" ref="F591" si="1084">F589*F590</f>
        <v>0</v>
      </c>
      <c r="G591" s="181">
        <f t="shared" ref="G591" si="1085">G589*G590</f>
        <v>0</v>
      </c>
      <c r="H591" s="181">
        <f t="shared" ref="H591" si="1086">H589*H590</f>
        <v>0</v>
      </c>
      <c r="I591" s="181">
        <f t="shared" ref="I591" si="1087">I589*I590</f>
        <v>0</v>
      </c>
      <c r="J591" s="181">
        <f t="shared" ref="J591" si="1088">J589*J590</f>
        <v>0</v>
      </c>
      <c r="K591" s="181">
        <f t="shared" ref="K591" si="1089">K589*K590</f>
        <v>0</v>
      </c>
      <c r="L591" s="181">
        <f t="shared" ref="L591" si="1090">L589*L590</f>
        <v>0</v>
      </c>
      <c r="M591" s="181">
        <f t="shared" ref="M591" si="1091">M589*M590</f>
        <v>0</v>
      </c>
      <c r="N591" s="181">
        <f t="shared" ref="N591" si="1092">N589*N590</f>
        <v>0</v>
      </c>
      <c r="O591" s="181">
        <f t="shared" ref="O591" si="1093">O589*O590</f>
        <v>0</v>
      </c>
      <c r="P591" s="181">
        <f t="shared" ref="P591" si="1094">P589*P590</f>
        <v>0</v>
      </c>
      <c r="Q591" s="181">
        <f t="shared" ref="Q591" si="1095">Q589*Q590</f>
        <v>0</v>
      </c>
      <c r="R591" s="181">
        <f t="shared" ref="R591" si="1096">R589*R590</f>
        <v>0</v>
      </c>
      <c r="S591" s="181">
        <f t="shared" ref="S591" si="1097">S589*S590</f>
        <v>0</v>
      </c>
      <c r="T591" s="181">
        <f t="shared" ref="T591" si="1098">T589*T590</f>
        <v>0</v>
      </c>
      <c r="U591" s="181">
        <f t="shared" ref="U591" si="1099">U589*U590</f>
        <v>0</v>
      </c>
      <c r="V591" s="181">
        <f t="shared" ref="V591" si="1100">V589*V590</f>
        <v>0</v>
      </c>
      <c r="W591" s="181">
        <f t="shared" ref="W591" si="1101">W589*W590</f>
        <v>0</v>
      </c>
      <c r="X591" s="181">
        <f t="shared" ref="X591" si="1102">X589*X590</f>
        <v>0</v>
      </c>
      <c r="Y591" s="181">
        <f t="shared" ref="Y591" si="1103">Y589*Y590</f>
        <v>0</v>
      </c>
      <c r="Z591" s="181">
        <f t="shared" ref="Z591" si="1104">Z589*Z590</f>
        <v>0</v>
      </c>
      <c r="AA591" s="181">
        <f t="shared" ref="AA591" si="1105">AA589*AA590</f>
        <v>0</v>
      </c>
      <c r="AB591" s="181">
        <f t="shared" ref="AB591" si="1106">AB589*AB590</f>
        <v>0</v>
      </c>
      <c r="AC591" s="181">
        <f t="shared" ref="AC591" si="1107">AC589*AC590</f>
        <v>0</v>
      </c>
      <c r="AD591" s="181">
        <f t="shared" ref="AD591" si="1108">AD589*AD590</f>
        <v>0</v>
      </c>
      <c r="AE591" s="181">
        <f t="shared" ref="AE591" si="1109">AE589*AE590</f>
        <v>0</v>
      </c>
      <c r="AF591" s="181">
        <f t="shared" ref="AF591" si="1110">AF589*AF590</f>
        <v>0</v>
      </c>
      <c r="AG591" s="181">
        <f t="shared" ref="AG591" si="1111">AG589*AG590</f>
        <v>0</v>
      </c>
      <c r="AH591" s="181">
        <f t="shared" ref="AH591" si="1112">AH589*AH590</f>
        <v>0</v>
      </c>
      <c r="AI591" s="181">
        <f t="shared" ref="AI591" si="1113">AI589*AI590</f>
        <v>0</v>
      </c>
      <c r="AJ591" s="181">
        <f t="shared" ref="AJ591" si="1114">AJ589*AJ590</f>
        <v>0</v>
      </c>
      <c r="AK591" s="181">
        <f t="shared" ref="AK591" si="1115">AK589*AK590</f>
        <v>0</v>
      </c>
      <c r="AL591" s="181">
        <f t="shared" ref="AL591" si="1116">AL589*AL590</f>
        <v>0</v>
      </c>
      <c r="AM591" s="181">
        <f t="shared" ref="AM591" si="1117">AM589*AM590</f>
        <v>0</v>
      </c>
      <c r="AN591" s="181">
        <f t="shared" ref="AN591" si="1118">AN589*AN590</f>
        <v>0</v>
      </c>
      <c r="AO591" s="181">
        <f t="shared" ref="AO591" si="1119">AO589*AO590</f>
        <v>0</v>
      </c>
      <c r="AP591" s="181">
        <f t="shared" ref="AP591" si="1120">AP589*AP590</f>
        <v>0</v>
      </c>
    </row>
    <row r="592" spans="1:42" x14ac:dyDescent="0.2">
      <c r="A592" s="163" t="str">
        <f>'Inputs &amp; Results'!A74</f>
        <v>Utility</v>
      </c>
    </row>
    <row r="593" spans="1:42" x14ac:dyDescent="0.2">
      <c r="A593" s="167" t="s">
        <v>118</v>
      </c>
      <c r="C593" s="215">
        <f t="shared" ref="C593:AP593" si="1121">IF(AND(C$2&lt;=PBIUtilityTerm,C$2&lt;=AnalysisPeriod),PBIUtility*(1+PBIUtilityEsc)^B$2,0)</f>
        <v>0</v>
      </c>
      <c r="D593" s="215">
        <f t="shared" si="1121"/>
        <v>0</v>
      </c>
      <c r="E593" s="215">
        <f t="shared" si="1121"/>
        <v>0</v>
      </c>
      <c r="F593" s="215">
        <f t="shared" si="1121"/>
        <v>0</v>
      </c>
      <c r="G593" s="215">
        <f t="shared" si="1121"/>
        <v>0</v>
      </c>
      <c r="H593" s="215">
        <f t="shared" si="1121"/>
        <v>0</v>
      </c>
      <c r="I593" s="215">
        <f t="shared" si="1121"/>
        <v>0</v>
      </c>
      <c r="J593" s="215">
        <f t="shared" si="1121"/>
        <v>0</v>
      </c>
      <c r="K593" s="215">
        <f t="shared" si="1121"/>
        <v>0</v>
      </c>
      <c r="L593" s="215">
        <f t="shared" si="1121"/>
        <v>0</v>
      </c>
      <c r="M593" s="215">
        <f t="shared" si="1121"/>
        <v>0</v>
      </c>
      <c r="N593" s="215">
        <f t="shared" si="1121"/>
        <v>0</v>
      </c>
      <c r="O593" s="215">
        <f t="shared" si="1121"/>
        <v>0</v>
      </c>
      <c r="P593" s="215">
        <f t="shared" si="1121"/>
        <v>0</v>
      </c>
      <c r="Q593" s="215">
        <f t="shared" si="1121"/>
        <v>0</v>
      </c>
      <c r="R593" s="215">
        <f t="shared" si="1121"/>
        <v>0</v>
      </c>
      <c r="S593" s="215">
        <f t="shared" si="1121"/>
        <v>0</v>
      </c>
      <c r="T593" s="215">
        <f t="shared" si="1121"/>
        <v>0</v>
      </c>
      <c r="U593" s="215">
        <f t="shared" si="1121"/>
        <v>0</v>
      </c>
      <c r="V593" s="215">
        <f t="shared" si="1121"/>
        <v>0</v>
      </c>
      <c r="W593" s="215">
        <f t="shared" si="1121"/>
        <v>0</v>
      </c>
      <c r="X593" s="215">
        <f t="shared" si="1121"/>
        <v>0</v>
      </c>
      <c r="Y593" s="215">
        <f t="shared" si="1121"/>
        <v>0</v>
      </c>
      <c r="Z593" s="215">
        <f t="shared" si="1121"/>
        <v>0</v>
      </c>
      <c r="AA593" s="215">
        <f t="shared" si="1121"/>
        <v>0</v>
      </c>
      <c r="AB593" s="215">
        <f t="shared" si="1121"/>
        <v>0</v>
      </c>
      <c r="AC593" s="215">
        <f t="shared" si="1121"/>
        <v>0</v>
      </c>
      <c r="AD593" s="215">
        <f t="shared" si="1121"/>
        <v>0</v>
      </c>
      <c r="AE593" s="215">
        <f t="shared" si="1121"/>
        <v>0</v>
      </c>
      <c r="AF593" s="215">
        <f t="shared" si="1121"/>
        <v>0</v>
      </c>
      <c r="AG593" s="215">
        <f t="shared" si="1121"/>
        <v>0</v>
      </c>
      <c r="AH593" s="215">
        <f t="shared" si="1121"/>
        <v>0</v>
      </c>
      <c r="AI593" s="215">
        <f t="shared" si="1121"/>
        <v>0</v>
      </c>
      <c r="AJ593" s="215">
        <f t="shared" si="1121"/>
        <v>0</v>
      </c>
      <c r="AK593" s="215">
        <f t="shared" si="1121"/>
        <v>0</v>
      </c>
      <c r="AL593" s="215">
        <f t="shared" si="1121"/>
        <v>0</v>
      </c>
      <c r="AM593" s="215">
        <f t="shared" si="1121"/>
        <v>0</v>
      </c>
      <c r="AN593" s="215">
        <f t="shared" si="1121"/>
        <v>0</v>
      </c>
      <c r="AO593" s="215">
        <f t="shared" si="1121"/>
        <v>0</v>
      </c>
      <c r="AP593" s="215">
        <f t="shared" si="1121"/>
        <v>0</v>
      </c>
    </row>
    <row r="594" spans="1:42" x14ac:dyDescent="0.2">
      <c r="A594" s="167" t="s">
        <v>119</v>
      </c>
      <c r="C594" s="186">
        <f>C$5</f>
        <v>16188480</v>
      </c>
      <c r="D594" s="186">
        <f t="shared" ref="D594:AP594" si="1122">D$5</f>
        <v>16107537.6</v>
      </c>
      <c r="E594" s="186">
        <f t="shared" si="1122"/>
        <v>16026999.912</v>
      </c>
      <c r="F594" s="186">
        <f t="shared" si="1122"/>
        <v>15946864.91244</v>
      </c>
      <c r="G594" s="186">
        <f t="shared" si="1122"/>
        <v>15867130.587877801</v>
      </c>
      <c r="H594" s="186">
        <f t="shared" si="1122"/>
        <v>15787794.934938412</v>
      </c>
      <c r="I594" s="186">
        <f t="shared" si="1122"/>
        <v>15708855.96026372</v>
      </c>
      <c r="J594" s="186">
        <f t="shared" si="1122"/>
        <v>15630311.680462401</v>
      </c>
      <c r="K594" s="186">
        <f t="shared" si="1122"/>
        <v>15552160.12206009</v>
      </c>
      <c r="L594" s="186">
        <f t="shared" si="1122"/>
        <v>15474399.321449788</v>
      </c>
      <c r="M594" s="186">
        <f t="shared" si="1122"/>
        <v>15397027.324842541</v>
      </c>
      <c r="N594" s="186">
        <f t="shared" si="1122"/>
        <v>15320042.188218327</v>
      </c>
      <c r="O594" s="186">
        <f t="shared" si="1122"/>
        <v>15243441.977277236</v>
      </c>
      <c r="P594" s="186">
        <f t="shared" si="1122"/>
        <v>15167224.767390851</v>
      </c>
      <c r="Q594" s="186">
        <f t="shared" si="1122"/>
        <v>15091388.643553898</v>
      </c>
      <c r="R594" s="186">
        <f t="shared" si="1122"/>
        <v>15015931.700336127</v>
      </c>
      <c r="S594" s="186">
        <f t="shared" si="1122"/>
        <v>14940852.041834446</v>
      </c>
      <c r="T594" s="186">
        <f t="shared" si="1122"/>
        <v>14866147.781625275</v>
      </c>
      <c r="U594" s="186">
        <f t="shared" si="1122"/>
        <v>14791817.042717148</v>
      </c>
      <c r="V594" s="186">
        <f t="shared" si="1122"/>
        <v>14717857.957503561</v>
      </c>
      <c r="W594" s="186">
        <f t="shared" si="1122"/>
        <v>14644268.667716045</v>
      </c>
      <c r="X594" s="186">
        <f t="shared" si="1122"/>
        <v>14571047.324377464</v>
      </c>
      <c r="Y594" s="186">
        <f t="shared" si="1122"/>
        <v>14498192.087755578</v>
      </c>
      <c r="Z594" s="186">
        <f t="shared" si="1122"/>
        <v>14425701.127316799</v>
      </c>
      <c r="AA594" s="186">
        <f t="shared" si="1122"/>
        <v>14353572.621680215</v>
      </c>
      <c r="AB594" s="186">
        <f t="shared" si="1122"/>
        <v>14281804.758571815</v>
      </c>
      <c r="AC594" s="186">
        <f t="shared" si="1122"/>
        <v>14210395.734778956</v>
      </c>
      <c r="AD594" s="186">
        <f t="shared" si="1122"/>
        <v>14139343.75610506</v>
      </c>
      <c r="AE594" s="186">
        <f t="shared" si="1122"/>
        <v>14068647.037324537</v>
      </c>
      <c r="AF594" s="186">
        <f t="shared" si="1122"/>
        <v>13998303.802137915</v>
      </c>
      <c r="AG594" s="186">
        <f t="shared" si="1122"/>
        <v>13928312.283127224</v>
      </c>
      <c r="AH594" s="186">
        <f t="shared" si="1122"/>
        <v>13858670.721711587</v>
      </c>
      <c r="AI594" s="186">
        <f t="shared" si="1122"/>
        <v>13789377.368103029</v>
      </c>
      <c r="AJ594" s="186">
        <f t="shared" si="1122"/>
        <v>13720430.481262514</v>
      </c>
      <c r="AK594" s="186">
        <f t="shared" si="1122"/>
        <v>13651828.328856202</v>
      </c>
      <c r="AL594" s="186">
        <f t="shared" si="1122"/>
        <v>13583569.187211921</v>
      </c>
      <c r="AM594" s="186">
        <f t="shared" si="1122"/>
        <v>13515651.341275861</v>
      </c>
      <c r="AN594" s="186">
        <f t="shared" si="1122"/>
        <v>13448073.084569484</v>
      </c>
      <c r="AO594" s="186">
        <f t="shared" si="1122"/>
        <v>13380832.719146635</v>
      </c>
      <c r="AP594" s="186">
        <f t="shared" si="1122"/>
        <v>13313928.555550903</v>
      </c>
    </row>
    <row r="595" spans="1:42" x14ac:dyDescent="0.2">
      <c r="A595" s="167" t="s">
        <v>53</v>
      </c>
      <c r="C595" s="181">
        <f>C593*C594</f>
        <v>0</v>
      </c>
      <c r="D595" s="181">
        <f t="shared" ref="D595" si="1123">D593*D594</f>
        <v>0</v>
      </c>
      <c r="E595" s="181">
        <f t="shared" ref="E595" si="1124">E593*E594</f>
        <v>0</v>
      </c>
      <c r="F595" s="181">
        <f t="shared" ref="F595" si="1125">F593*F594</f>
        <v>0</v>
      </c>
      <c r="G595" s="181">
        <f t="shared" ref="G595" si="1126">G593*G594</f>
        <v>0</v>
      </c>
      <c r="H595" s="181">
        <f t="shared" ref="H595" si="1127">H593*H594</f>
        <v>0</v>
      </c>
      <c r="I595" s="181">
        <f t="shared" ref="I595" si="1128">I593*I594</f>
        <v>0</v>
      </c>
      <c r="J595" s="181">
        <f t="shared" ref="J595" si="1129">J593*J594</f>
        <v>0</v>
      </c>
      <c r="K595" s="181">
        <f t="shared" ref="K595" si="1130">K593*K594</f>
        <v>0</v>
      </c>
      <c r="L595" s="181">
        <f t="shared" ref="L595" si="1131">L593*L594</f>
        <v>0</v>
      </c>
      <c r="M595" s="181">
        <f t="shared" ref="M595" si="1132">M593*M594</f>
        <v>0</v>
      </c>
      <c r="N595" s="181">
        <f t="shared" ref="N595" si="1133">N593*N594</f>
        <v>0</v>
      </c>
      <c r="O595" s="181">
        <f t="shared" ref="O595" si="1134">O593*O594</f>
        <v>0</v>
      </c>
      <c r="P595" s="181">
        <f t="shared" ref="P595" si="1135">P593*P594</f>
        <v>0</v>
      </c>
      <c r="Q595" s="181">
        <f t="shared" ref="Q595" si="1136">Q593*Q594</f>
        <v>0</v>
      </c>
      <c r="R595" s="181">
        <f t="shared" ref="R595" si="1137">R593*R594</f>
        <v>0</v>
      </c>
      <c r="S595" s="181">
        <f t="shared" ref="S595" si="1138">S593*S594</f>
        <v>0</v>
      </c>
      <c r="T595" s="181">
        <f t="shared" ref="T595" si="1139">T593*T594</f>
        <v>0</v>
      </c>
      <c r="U595" s="181">
        <f t="shared" ref="U595" si="1140">U593*U594</f>
        <v>0</v>
      </c>
      <c r="V595" s="181">
        <f t="shared" ref="V595" si="1141">V593*V594</f>
        <v>0</v>
      </c>
      <c r="W595" s="181">
        <f t="shared" ref="W595" si="1142">W593*W594</f>
        <v>0</v>
      </c>
      <c r="X595" s="181">
        <f t="shared" ref="X595" si="1143">X593*X594</f>
        <v>0</v>
      </c>
      <c r="Y595" s="181">
        <f t="shared" ref="Y595" si="1144">Y593*Y594</f>
        <v>0</v>
      </c>
      <c r="Z595" s="181">
        <f t="shared" ref="Z595" si="1145">Z593*Z594</f>
        <v>0</v>
      </c>
      <c r="AA595" s="181">
        <f t="shared" ref="AA595" si="1146">AA593*AA594</f>
        <v>0</v>
      </c>
      <c r="AB595" s="181">
        <f t="shared" ref="AB595" si="1147">AB593*AB594</f>
        <v>0</v>
      </c>
      <c r="AC595" s="181">
        <f t="shared" ref="AC595" si="1148">AC593*AC594</f>
        <v>0</v>
      </c>
      <c r="AD595" s="181">
        <f t="shared" ref="AD595" si="1149">AD593*AD594</f>
        <v>0</v>
      </c>
      <c r="AE595" s="181">
        <f t="shared" ref="AE595" si="1150">AE593*AE594</f>
        <v>0</v>
      </c>
      <c r="AF595" s="181">
        <f t="shared" ref="AF595" si="1151">AF593*AF594</f>
        <v>0</v>
      </c>
      <c r="AG595" s="181">
        <f t="shared" ref="AG595" si="1152">AG593*AG594</f>
        <v>0</v>
      </c>
      <c r="AH595" s="181">
        <f t="shared" ref="AH595" si="1153">AH593*AH594</f>
        <v>0</v>
      </c>
      <c r="AI595" s="181">
        <f t="shared" ref="AI595" si="1154">AI593*AI594</f>
        <v>0</v>
      </c>
      <c r="AJ595" s="181">
        <f t="shared" ref="AJ595" si="1155">AJ593*AJ594</f>
        <v>0</v>
      </c>
      <c r="AK595" s="181">
        <f t="shared" ref="AK595" si="1156">AK593*AK594</f>
        <v>0</v>
      </c>
      <c r="AL595" s="181">
        <f t="shared" ref="AL595" si="1157">AL593*AL594</f>
        <v>0</v>
      </c>
      <c r="AM595" s="181">
        <f t="shared" ref="AM595" si="1158">AM593*AM594</f>
        <v>0</v>
      </c>
      <c r="AN595" s="181">
        <f t="shared" ref="AN595" si="1159">AN593*AN594</f>
        <v>0</v>
      </c>
      <c r="AO595" s="181">
        <f t="shared" ref="AO595" si="1160">AO593*AO594</f>
        <v>0</v>
      </c>
      <c r="AP595" s="181">
        <f t="shared" ref="AP595" si="1161">AP593*AP594</f>
        <v>0</v>
      </c>
    </row>
    <row r="596" spans="1:42" x14ac:dyDescent="0.2">
      <c r="A596" s="163" t="str">
        <f>'Inputs &amp; Results'!A75</f>
        <v>Other</v>
      </c>
    </row>
    <row r="597" spans="1:42" x14ac:dyDescent="0.2">
      <c r="A597" s="167" t="s">
        <v>118</v>
      </c>
      <c r="C597" s="217">
        <f t="shared" ref="C597:AP597" si="1162">IF(AND(C$2&lt;=PBIOtherTerm,C$2&lt;=AnalysisPeriod),PBIOther*(1+PBIOtherEsc)^B$2,0)</f>
        <v>0</v>
      </c>
      <c r="D597" s="217">
        <f t="shared" si="1162"/>
        <v>0</v>
      </c>
      <c r="E597" s="217">
        <f t="shared" si="1162"/>
        <v>0</v>
      </c>
      <c r="F597" s="217">
        <f t="shared" si="1162"/>
        <v>0</v>
      </c>
      <c r="G597" s="217">
        <f t="shared" si="1162"/>
        <v>0</v>
      </c>
      <c r="H597" s="217">
        <f t="shared" si="1162"/>
        <v>0</v>
      </c>
      <c r="I597" s="217">
        <f t="shared" si="1162"/>
        <v>0</v>
      </c>
      <c r="J597" s="217">
        <f t="shared" si="1162"/>
        <v>0</v>
      </c>
      <c r="K597" s="217">
        <f t="shared" si="1162"/>
        <v>0</v>
      </c>
      <c r="L597" s="217">
        <f t="shared" si="1162"/>
        <v>0</v>
      </c>
      <c r="M597" s="217">
        <f t="shared" si="1162"/>
        <v>0</v>
      </c>
      <c r="N597" s="217">
        <f t="shared" si="1162"/>
        <v>0</v>
      </c>
      <c r="O597" s="217">
        <f t="shared" si="1162"/>
        <v>0</v>
      </c>
      <c r="P597" s="217">
        <f t="shared" si="1162"/>
        <v>0</v>
      </c>
      <c r="Q597" s="217">
        <f t="shared" si="1162"/>
        <v>0</v>
      </c>
      <c r="R597" s="217">
        <f t="shared" si="1162"/>
        <v>0</v>
      </c>
      <c r="S597" s="217">
        <f t="shared" si="1162"/>
        <v>0</v>
      </c>
      <c r="T597" s="217">
        <f t="shared" si="1162"/>
        <v>0</v>
      </c>
      <c r="U597" s="217">
        <f t="shared" si="1162"/>
        <v>0</v>
      </c>
      <c r="V597" s="217">
        <f t="shared" si="1162"/>
        <v>0</v>
      </c>
      <c r="W597" s="217">
        <f t="shared" si="1162"/>
        <v>0</v>
      </c>
      <c r="X597" s="217">
        <f t="shared" si="1162"/>
        <v>0</v>
      </c>
      <c r="Y597" s="217">
        <f t="shared" si="1162"/>
        <v>0</v>
      </c>
      <c r="Z597" s="217">
        <f t="shared" si="1162"/>
        <v>0</v>
      </c>
      <c r="AA597" s="217">
        <f t="shared" si="1162"/>
        <v>0</v>
      </c>
      <c r="AB597" s="217">
        <f t="shared" si="1162"/>
        <v>0</v>
      </c>
      <c r="AC597" s="217">
        <f t="shared" si="1162"/>
        <v>0</v>
      </c>
      <c r="AD597" s="217">
        <f t="shared" si="1162"/>
        <v>0</v>
      </c>
      <c r="AE597" s="217">
        <f t="shared" si="1162"/>
        <v>0</v>
      </c>
      <c r="AF597" s="217">
        <f t="shared" si="1162"/>
        <v>0</v>
      </c>
      <c r="AG597" s="217">
        <f t="shared" si="1162"/>
        <v>0</v>
      </c>
      <c r="AH597" s="217">
        <f t="shared" si="1162"/>
        <v>0</v>
      </c>
      <c r="AI597" s="217">
        <f t="shared" si="1162"/>
        <v>0</v>
      </c>
      <c r="AJ597" s="217">
        <f t="shared" si="1162"/>
        <v>0</v>
      </c>
      <c r="AK597" s="217">
        <f t="shared" si="1162"/>
        <v>0</v>
      </c>
      <c r="AL597" s="217">
        <f t="shared" si="1162"/>
        <v>0</v>
      </c>
      <c r="AM597" s="217">
        <f t="shared" si="1162"/>
        <v>0</v>
      </c>
      <c r="AN597" s="217">
        <f t="shared" si="1162"/>
        <v>0</v>
      </c>
      <c r="AO597" s="217">
        <f t="shared" si="1162"/>
        <v>0</v>
      </c>
      <c r="AP597" s="217">
        <f t="shared" si="1162"/>
        <v>0</v>
      </c>
    </row>
    <row r="598" spans="1:42" x14ac:dyDescent="0.2">
      <c r="A598" s="167" t="s">
        <v>119</v>
      </c>
      <c r="C598" s="186">
        <f>C$5</f>
        <v>16188480</v>
      </c>
      <c r="D598" s="186">
        <f t="shared" ref="D598:AP598" si="1163">D$5</f>
        <v>16107537.6</v>
      </c>
      <c r="E598" s="186">
        <f t="shared" si="1163"/>
        <v>16026999.912</v>
      </c>
      <c r="F598" s="186">
        <f t="shared" si="1163"/>
        <v>15946864.91244</v>
      </c>
      <c r="G598" s="186">
        <f t="shared" si="1163"/>
        <v>15867130.587877801</v>
      </c>
      <c r="H598" s="186">
        <f t="shared" si="1163"/>
        <v>15787794.934938412</v>
      </c>
      <c r="I598" s="186">
        <f t="shared" si="1163"/>
        <v>15708855.96026372</v>
      </c>
      <c r="J598" s="186">
        <f t="shared" si="1163"/>
        <v>15630311.680462401</v>
      </c>
      <c r="K598" s="186">
        <f t="shared" si="1163"/>
        <v>15552160.12206009</v>
      </c>
      <c r="L598" s="186">
        <f t="shared" si="1163"/>
        <v>15474399.321449788</v>
      </c>
      <c r="M598" s="186">
        <f t="shared" si="1163"/>
        <v>15397027.324842541</v>
      </c>
      <c r="N598" s="186">
        <f t="shared" si="1163"/>
        <v>15320042.188218327</v>
      </c>
      <c r="O598" s="186">
        <f t="shared" si="1163"/>
        <v>15243441.977277236</v>
      </c>
      <c r="P598" s="186">
        <f t="shared" si="1163"/>
        <v>15167224.767390851</v>
      </c>
      <c r="Q598" s="186">
        <f t="shared" si="1163"/>
        <v>15091388.643553898</v>
      </c>
      <c r="R598" s="186">
        <f t="shared" si="1163"/>
        <v>15015931.700336127</v>
      </c>
      <c r="S598" s="186">
        <f t="shared" si="1163"/>
        <v>14940852.041834446</v>
      </c>
      <c r="T598" s="186">
        <f t="shared" si="1163"/>
        <v>14866147.781625275</v>
      </c>
      <c r="U598" s="186">
        <f t="shared" si="1163"/>
        <v>14791817.042717148</v>
      </c>
      <c r="V598" s="186">
        <f t="shared" si="1163"/>
        <v>14717857.957503561</v>
      </c>
      <c r="W598" s="186">
        <f t="shared" si="1163"/>
        <v>14644268.667716045</v>
      </c>
      <c r="X598" s="186">
        <f t="shared" si="1163"/>
        <v>14571047.324377464</v>
      </c>
      <c r="Y598" s="186">
        <f t="shared" si="1163"/>
        <v>14498192.087755578</v>
      </c>
      <c r="Z598" s="186">
        <f t="shared" si="1163"/>
        <v>14425701.127316799</v>
      </c>
      <c r="AA598" s="186">
        <f t="shared" si="1163"/>
        <v>14353572.621680215</v>
      </c>
      <c r="AB598" s="186">
        <f t="shared" si="1163"/>
        <v>14281804.758571815</v>
      </c>
      <c r="AC598" s="186">
        <f t="shared" si="1163"/>
        <v>14210395.734778956</v>
      </c>
      <c r="AD598" s="186">
        <f t="shared" si="1163"/>
        <v>14139343.75610506</v>
      </c>
      <c r="AE598" s="186">
        <f t="shared" si="1163"/>
        <v>14068647.037324537</v>
      </c>
      <c r="AF598" s="186">
        <f t="shared" si="1163"/>
        <v>13998303.802137915</v>
      </c>
      <c r="AG598" s="186">
        <f t="shared" si="1163"/>
        <v>13928312.283127224</v>
      </c>
      <c r="AH598" s="186">
        <f t="shared" si="1163"/>
        <v>13858670.721711587</v>
      </c>
      <c r="AI598" s="186">
        <f t="shared" si="1163"/>
        <v>13789377.368103029</v>
      </c>
      <c r="AJ598" s="186">
        <f t="shared" si="1163"/>
        <v>13720430.481262514</v>
      </c>
      <c r="AK598" s="186">
        <f t="shared" si="1163"/>
        <v>13651828.328856202</v>
      </c>
      <c r="AL598" s="186">
        <f t="shared" si="1163"/>
        <v>13583569.187211921</v>
      </c>
      <c r="AM598" s="186">
        <f t="shared" si="1163"/>
        <v>13515651.341275861</v>
      </c>
      <c r="AN598" s="186">
        <f t="shared" si="1163"/>
        <v>13448073.084569484</v>
      </c>
      <c r="AO598" s="186">
        <f t="shared" si="1163"/>
        <v>13380832.719146635</v>
      </c>
      <c r="AP598" s="186">
        <f t="shared" si="1163"/>
        <v>13313928.555550903</v>
      </c>
    </row>
    <row r="599" spans="1:42" x14ac:dyDescent="0.2">
      <c r="A599" s="167" t="s">
        <v>53</v>
      </c>
      <c r="C599" s="181">
        <f>C597*C598</f>
        <v>0</v>
      </c>
      <c r="D599" s="181">
        <f t="shared" ref="D599" si="1164">D597*D598</f>
        <v>0</v>
      </c>
      <c r="E599" s="181">
        <f t="shared" ref="E599" si="1165">E597*E598</f>
        <v>0</v>
      </c>
      <c r="F599" s="181">
        <f t="shared" ref="F599" si="1166">F597*F598</f>
        <v>0</v>
      </c>
      <c r="G599" s="181">
        <f t="shared" ref="G599" si="1167">G597*G598</f>
        <v>0</v>
      </c>
      <c r="H599" s="181">
        <f t="shared" ref="H599" si="1168">H597*H598</f>
        <v>0</v>
      </c>
      <c r="I599" s="181">
        <f t="shared" ref="I599" si="1169">I597*I598</f>
        <v>0</v>
      </c>
      <c r="J599" s="181">
        <f t="shared" ref="J599" si="1170">J597*J598</f>
        <v>0</v>
      </c>
      <c r="K599" s="181">
        <f t="shared" ref="K599" si="1171">K597*K598</f>
        <v>0</v>
      </c>
      <c r="L599" s="181">
        <f t="shared" ref="L599" si="1172">L597*L598</f>
        <v>0</v>
      </c>
      <c r="M599" s="181">
        <f t="shared" ref="M599" si="1173">M597*M598</f>
        <v>0</v>
      </c>
      <c r="N599" s="181">
        <f t="shared" ref="N599" si="1174">N597*N598</f>
        <v>0</v>
      </c>
      <c r="O599" s="181">
        <f t="shared" ref="O599" si="1175">O597*O598</f>
        <v>0</v>
      </c>
      <c r="P599" s="181">
        <f t="shared" ref="P599" si="1176">P597*P598</f>
        <v>0</v>
      </c>
      <c r="Q599" s="181">
        <f t="shared" ref="Q599" si="1177">Q597*Q598</f>
        <v>0</v>
      </c>
      <c r="R599" s="181">
        <f t="shared" ref="R599" si="1178">R597*R598</f>
        <v>0</v>
      </c>
      <c r="S599" s="181">
        <f t="shared" ref="S599" si="1179">S597*S598</f>
        <v>0</v>
      </c>
      <c r="T599" s="181">
        <f t="shared" ref="T599" si="1180">T597*T598</f>
        <v>0</v>
      </c>
      <c r="U599" s="181">
        <f t="shared" ref="U599" si="1181">U597*U598</f>
        <v>0</v>
      </c>
      <c r="V599" s="181">
        <f t="shared" ref="V599" si="1182">V597*V598</f>
        <v>0</v>
      </c>
      <c r="W599" s="181">
        <f t="shared" ref="W599" si="1183">W597*W598</f>
        <v>0</v>
      </c>
      <c r="X599" s="181">
        <f t="shared" ref="X599" si="1184">X597*X598</f>
        <v>0</v>
      </c>
      <c r="Y599" s="181">
        <f t="shared" ref="Y599" si="1185">Y597*Y598</f>
        <v>0</v>
      </c>
      <c r="Z599" s="181">
        <f t="shared" ref="Z599" si="1186">Z597*Z598</f>
        <v>0</v>
      </c>
      <c r="AA599" s="181">
        <f t="shared" ref="AA599" si="1187">AA597*AA598</f>
        <v>0</v>
      </c>
      <c r="AB599" s="181">
        <f t="shared" ref="AB599" si="1188">AB597*AB598</f>
        <v>0</v>
      </c>
      <c r="AC599" s="181">
        <f t="shared" ref="AC599" si="1189">AC597*AC598</f>
        <v>0</v>
      </c>
      <c r="AD599" s="181">
        <f t="shared" ref="AD599" si="1190">AD597*AD598</f>
        <v>0</v>
      </c>
      <c r="AE599" s="181">
        <f t="shared" ref="AE599" si="1191">AE597*AE598</f>
        <v>0</v>
      </c>
      <c r="AF599" s="181">
        <f t="shared" ref="AF599" si="1192">AF597*AF598</f>
        <v>0</v>
      </c>
      <c r="AG599" s="181">
        <f t="shared" ref="AG599" si="1193">AG597*AG598</f>
        <v>0</v>
      </c>
      <c r="AH599" s="181">
        <f t="shared" ref="AH599" si="1194">AH597*AH598</f>
        <v>0</v>
      </c>
      <c r="AI599" s="181">
        <f t="shared" ref="AI599" si="1195">AI597*AI598</f>
        <v>0</v>
      </c>
      <c r="AJ599" s="181">
        <f t="shared" ref="AJ599" si="1196">AJ597*AJ598</f>
        <v>0</v>
      </c>
      <c r="AK599" s="181">
        <f t="shared" ref="AK599" si="1197">AK597*AK598</f>
        <v>0</v>
      </c>
      <c r="AL599" s="181">
        <f t="shared" ref="AL599" si="1198">AL597*AL598</f>
        <v>0</v>
      </c>
      <c r="AM599" s="181">
        <f t="shared" ref="AM599" si="1199">AM597*AM598</f>
        <v>0</v>
      </c>
      <c r="AN599" s="181">
        <f t="shared" ref="AN599" si="1200">AN597*AN598</f>
        <v>0</v>
      </c>
      <c r="AO599" s="181">
        <f t="shared" ref="AO599" si="1201">AO597*AO598</f>
        <v>0</v>
      </c>
      <c r="AP599" s="181">
        <f t="shared" ref="AP599" si="1202">AP597*AP598</f>
        <v>0</v>
      </c>
    </row>
    <row r="600" spans="1:42" x14ac:dyDescent="0.2"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</row>
    <row r="601" spans="1:42" x14ac:dyDescent="0.2">
      <c r="A601" s="20" t="s">
        <v>53</v>
      </c>
      <c r="C601" s="177">
        <f>C587+C591+C595+C599</f>
        <v>0</v>
      </c>
      <c r="D601" s="177">
        <f t="shared" ref="D601:AP601" si="1203">D587+D591+D595+D599</f>
        <v>0</v>
      </c>
      <c r="E601" s="177">
        <f t="shared" si="1203"/>
        <v>0</v>
      </c>
      <c r="F601" s="177">
        <f t="shared" si="1203"/>
        <v>0</v>
      </c>
      <c r="G601" s="177">
        <f t="shared" si="1203"/>
        <v>0</v>
      </c>
      <c r="H601" s="177">
        <f t="shared" si="1203"/>
        <v>0</v>
      </c>
      <c r="I601" s="177">
        <f t="shared" si="1203"/>
        <v>0</v>
      </c>
      <c r="J601" s="177">
        <f t="shared" si="1203"/>
        <v>0</v>
      </c>
      <c r="K601" s="177">
        <f t="shared" si="1203"/>
        <v>0</v>
      </c>
      <c r="L601" s="177">
        <f t="shared" si="1203"/>
        <v>0</v>
      </c>
      <c r="M601" s="177">
        <f t="shared" si="1203"/>
        <v>0</v>
      </c>
      <c r="N601" s="177">
        <f t="shared" si="1203"/>
        <v>0</v>
      </c>
      <c r="O601" s="177">
        <f t="shared" si="1203"/>
        <v>0</v>
      </c>
      <c r="P601" s="177">
        <f t="shared" si="1203"/>
        <v>0</v>
      </c>
      <c r="Q601" s="177">
        <f t="shared" si="1203"/>
        <v>0</v>
      </c>
      <c r="R601" s="177">
        <f t="shared" si="1203"/>
        <v>0</v>
      </c>
      <c r="S601" s="177">
        <f t="shared" si="1203"/>
        <v>0</v>
      </c>
      <c r="T601" s="177">
        <f t="shared" si="1203"/>
        <v>0</v>
      </c>
      <c r="U601" s="177">
        <f t="shared" si="1203"/>
        <v>0</v>
      </c>
      <c r="V601" s="177">
        <f t="shared" si="1203"/>
        <v>0</v>
      </c>
      <c r="W601" s="177">
        <f t="shared" si="1203"/>
        <v>0</v>
      </c>
      <c r="X601" s="177">
        <f t="shared" si="1203"/>
        <v>0</v>
      </c>
      <c r="Y601" s="177">
        <f t="shared" si="1203"/>
        <v>0</v>
      </c>
      <c r="Z601" s="177">
        <f t="shared" si="1203"/>
        <v>0</v>
      </c>
      <c r="AA601" s="177">
        <f t="shared" si="1203"/>
        <v>0</v>
      </c>
      <c r="AB601" s="177">
        <f t="shared" si="1203"/>
        <v>0</v>
      </c>
      <c r="AC601" s="177">
        <f t="shared" si="1203"/>
        <v>0</v>
      </c>
      <c r="AD601" s="177">
        <f t="shared" si="1203"/>
        <v>0</v>
      </c>
      <c r="AE601" s="177">
        <f t="shared" si="1203"/>
        <v>0</v>
      </c>
      <c r="AF601" s="177">
        <f t="shared" si="1203"/>
        <v>0</v>
      </c>
      <c r="AG601" s="177">
        <f t="shared" si="1203"/>
        <v>0</v>
      </c>
      <c r="AH601" s="177">
        <f t="shared" si="1203"/>
        <v>0</v>
      </c>
      <c r="AI601" s="177">
        <f t="shared" si="1203"/>
        <v>0</v>
      </c>
      <c r="AJ601" s="177">
        <f t="shared" si="1203"/>
        <v>0</v>
      </c>
      <c r="AK601" s="177">
        <f t="shared" si="1203"/>
        <v>0</v>
      </c>
      <c r="AL601" s="177">
        <f t="shared" si="1203"/>
        <v>0</v>
      </c>
      <c r="AM601" s="177">
        <f t="shared" si="1203"/>
        <v>0</v>
      </c>
      <c r="AN601" s="177">
        <f t="shared" si="1203"/>
        <v>0</v>
      </c>
      <c r="AO601" s="177">
        <f t="shared" si="1203"/>
        <v>0</v>
      </c>
      <c r="AP601" s="177">
        <f t="shared" si="1203"/>
        <v>0</v>
      </c>
    </row>
    <row r="603" spans="1:42" x14ac:dyDescent="0.2">
      <c r="A603" s="162" t="s">
        <v>95</v>
      </c>
    </row>
    <row r="604" spans="1:42" s="101" customFormat="1" x14ac:dyDescent="0.2">
      <c r="A604" s="178" t="s">
        <v>423</v>
      </c>
    </row>
    <row r="605" spans="1:42" s="101" customFormat="1" x14ac:dyDescent="0.2">
      <c r="A605" s="167" t="s">
        <v>98</v>
      </c>
    </row>
    <row r="606" spans="1:42" s="101" customFormat="1" x14ac:dyDescent="0.2">
      <c r="A606" s="183" t="s">
        <v>96</v>
      </c>
      <c r="B606" s="135">
        <v>0</v>
      </c>
      <c r="C606" s="135">
        <f>B609</f>
        <v>23404892.098486755</v>
      </c>
      <c r="D606" s="135">
        <f t="shared" ref="D606" si="1204">C609</f>
        <v>22636849.025263868</v>
      </c>
      <c r="E606" s="135">
        <f t="shared" ref="E606" si="1205">D609</f>
        <v>21788650.508455615</v>
      </c>
      <c r="F606" s="135">
        <f t="shared" ref="F606" si="1206">E609</f>
        <v>20854127.514452774</v>
      </c>
      <c r="G606" s="135">
        <f t="shared" ref="G606" si="1207">F609</f>
        <v>19826635.02062666</v>
      </c>
      <c r="H606" s="135">
        <f t="shared" ref="H606" si="1208">G609</f>
        <v>18699015.17678545</v>
      </c>
      <c r="I606" s="135">
        <f t="shared" ref="I606" si="1209">H609</f>
        <v>17463557.612762697</v>
      </c>
      <c r="J606" s="135">
        <f t="shared" ref="J606" si="1210">I609</f>
        <v>16111956.670987936</v>
      </c>
      <c r="K606" s="135">
        <f t="shared" ref="K606" si="1211">J609</f>
        <v>14635265.325750655</v>
      </c>
      <c r="L606" s="135">
        <f t="shared" ref="L606" si="1212">K609</f>
        <v>13023845.532402121</v>
      </c>
      <c r="M606" s="135">
        <f t="shared" ref="M606" si="1213">L609</f>
        <v>11267314.729841581</v>
      </c>
      <c r="N606" s="135">
        <f t="shared" ref="N606" si="1214">M609</f>
        <v>9354488.1981932446</v>
      </c>
      <c r="O606" s="135">
        <f t="shared" ref="O606" si="1215">N609</f>
        <v>7273316.9504788592</v>
      </c>
      <c r="P606" s="135">
        <f t="shared" ref="P606" si="1216">O609</f>
        <v>5046380.7222618014</v>
      </c>
      <c r="Q606" s="135">
        <f t="shared" ref="Q606" si="1217">P609</f>
        <v>2626892.0290683652</v>
      </c>
      <c r="R606" s="135">
        <f t="shared" ref="R606" si="1218">Q609</f>
        <v>4.9360096454620361E-8</v>
      </c>
      <c r="S606" s="135">
        <f t="shared" ref="S606" si="1219">R609</f>
        <v>4.9360096454620361E-8</v>
      </c>
      <c r="T606" s="135">
        <f t="shared" ref="T606" si="1220">S609</f>
        <v>4.9360096454620361E-8</v>
      </c>
      <c r="U606" s="135">
        <f t="shared" ref="U606" si="1221">T609</f>
        <v>4.9360096454620361E-8</v>
      </c>
      <c r="V606" s="135">
        <f t="shared" ref="V606" si="1222">U609</f>
        <v>4.9360096454620361E-8</v>
      </c>
      <c r="W606" s="135">
        <f t="shared" ref="W606" si="1223">V609</f>
        <v>4.9360096454620361E-8</v>
      </c>
      <c r="X606" s="135">
        <f t="shared" ref="X606" si="1224">W609</f>
        <v>4.9360096454620361E-8</v>
      </c>
      <c r="Y606" s="135">
        <f t="shared" ref="Y606" si="1225">X609</f>
        <v>4.9360096454620361E-8</v>
      </c>
      <c r="Z606" s="135">
        <f t="shared" ref="Z606" si="1226">Y609</f>
        <v>4.9360096454620361E-8</v>
      </c>
      <c r="AA606" s="135">
        <f t="shared" ref="AA606" si="1227">Z609</f>
        <v>4.9360096454620361E-8</v>
      </c>
      <c r="AB606" s="135">
        <f t="shared" ref="AB606" si="1228">AA609</f>
        <v>4.9360096454620361E-8</v>
      </c>
      <c r="AC606" s="135">
        <f t="shared" ref="AC606" si="1229">AB609</f>
        <v>4.9360096454620361E-8</v>
      </c>
      <c r="AD606" s="135">
        <f t="shared" ref="AD606" si="1230">AC609</f>
        <v>4.9360096454620361E-8</v>
      </c>
      <c r="AE606" s="135">
        <f t="shared" ref="AE606" si="1231">AD609</f>
        <v>4.9360096454620361E-8</v>
      </c>
      <c r="AF606" s="135">
        <f t="shared" ref="AF606" si="1232">AE609</f>
        <v>4.9360096454620361E-8</v>
      </c>
      <c r="AG606" s="135">
        <f t="shared" ref="AG606" si="1233">AF609</f>
        <v>4.9360096454620361E-8</v>
      </c>
      <c r="AH606" s="135">
        <f t="shared" ref="AH606" si="1234">AG609</f>
        <v>4.9360096454620361E-8</v>
      </c>
      <c r="AI606" s="135">
        <f t="shared" ref="AI606" si="1235">AH609</f>
        <v>4.9360096454620361E-8</v>
      </c>
      <c r="AJ606" s="135">
        <f t="shared" ref="AJ606" si="1236">AI609</f>
        <v>4.9360096454620361E-8</v>
      </c>
      <c r="AK606" s="135">
        <f t="shared" ref="AK606" si="1237">AJ609</f>
        <v>4.9360096454620361E-8</v>
      </c>
      <c r="AL606" s="135">
        <f t="shared" ref="AL606" si="1238">AK609</f>
        <v>4.9360096454620361E-8</v>
      </c>
      <c r="AM606" s="135">
        <f t="shared" ref="AM606" si="1239">AL609</f>
        <v>4.9360096454620361E-8</v>
      </c>
      <c r="AN606" s="135">
        <f t="shared" ref="AN606" si="1240">AM609</f>
        <v>4.9360096454620361E-8</v>
      </c>
      <c r="AO606" s="135">
        <f t="shared" ref="AO606" si="1241">AN609</f>
        <v>4.9360096454620361E-8</v>
      </c>
      <c r="AP606" s="135">
        <f t="shared" ref="AP606" si="1242">AO609</f>
        <v>4.9360096454620361E-8</v>
      </c>
    </row>
    <row r="607" spans="1:42" s="101" customFormat="1" x14ac:dyDescent="0.2">
      <c r="A607" s="183" t="s">
        <v>97</v>
      </c>
      <c r="B607" s="135">
        <f>IF(LPFDebtStructure="Mortgage Style",B649,B629)</f>
        <v>23404892.098486755</v>
      </c>
      <c r="C607" s="135">
        <v>0</v>
      </c>
      <c r="D607" s="135">
        <v>0</v>
      </c>
      <c r="E607" s="135">
        <v>0</v>
      </c>
      <c r="F607" s="135">
        <v>0</v>
      </c>
      <c r="G607" s="135">
        <v>0</v>
      </c>
      <c r="H607" s="135">
        <v>0</v>
      </c>
      <c r="I607" s="135">
        <v>0</v>
      </c>
      <c r="J607" s="135">
        <v>0</v>
      </c>
      <c r="K607" s="135">
        <v>0</v>
      </c>
      <c r="L607" s="135">
        <v>0</v>
      </c>
      <c r="M607" s="135">
        <v>0</v>
      </c>
      <c r="N607" s="135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35">
        <v>0</v>
      </c>
      <c r="V607" s="135">
        <v>0</v>
      </c>
      <c r="W607" s="135">
        <v>0</v>
      </c>
      <c r="X607" s="135">
        <v>0</v>
      </c>
      <c r="Y607" s="135">
        <v>0</v>
      </c>
      <c r="Z607" s="135">
        <v>0</v>
      </c>
      <c r="AA607" s="135">
        <v>0</v>
      </c>
      <c r="AB607" s="135">
        <v>0</v>
      </c>
      <c r="AC607" s="135">
        <v>0</v>
      </c>
      <c r="AD607" s="135">
        <v>0</v>
      </c>
      <c r="AE607" s="135">
        <v>0</v>
      </c>
      <c r="AF607" s="135">
        <v>0</v>
      </c>
      <c r="AG607" s="135">
        <v>0</v>
      </c>
      <c r="AH607" s="135">
        <v>0</v>
      </c>
      <c r="AI607" s="135">
        <v>0</v>
      </c>
      <c r="AJ607" s="135">
        <v>0</v>
      </c>
      <c r="AK607" s="135">
        <v>0</v>
      </c>
      <c r="AL607" s="135">
        <v>0</v>
      </c>
      <c r="AM607" s="135">
        <v>0</v>
      </c>
      <c r="AN607" s="135">
        <v>0</v>
      </c>
      <c r="AO607" s="135">
        <v>0</v>
      </c>
      <c r="AP607" s="135">
        <v>0</v>
      </c>
    </row>
    <row r="608" spans="1:42" s="101" customFormat="1" x14ac:dyDescent="0.2">
      <c r="A608" s="183" t="s">
        <v>98</v>
      </c>
      <c r="B608" s="170">
        <v>0</v>
      </c>
      <c r="C608" s="170">
        <f>-C611</f>
        <v>-768043.0732228877</v>
      </c>
      <c r="D608" s="170">
        <f t="shared" ref="D608:AP608" si="1243">-D611</f>
        <v>-848198.51680825348</v>
      </c>
      <c r="E608" s="170">
        <f t="shared" si="1243"/>
        <v>-934522.99400283978</v>
      </c>
      <c r="F608" s="170">
        <f t="shared" si="1243"/>
        <v>-1027492.4938261134</v>
      </c>
      <c r="G608" s="170">
        <f t="shared" si="1243"/>
        <v>-1127619.8438412109</v>
      </c>
      <c r="H608" s="170">
        <f t="shared" si="1243"/>
        <v>-1235457.5640227525</v>
      </c>
      <c r="I608" s="170">
        <f t="shared" si="1243"/>
        <v>-1351600.9417747613</v>
      </c>
      <c r="J608" s="170">
        <f t="shared" si="1243"/>
        <v>-1476691.3452372812</v>
      </c>
      <c r="K608" s="170">
        <f t="shared" si="1243"/>
        <v>-1611419.7933485333</v>
      </c>
      <c r="L608" s="170">
        <f t="shared" si="1243"/>
        <v>-1756530.8025605399</v>
      </c>
      <c r="M608" s="170">
        <f t="shared" si="1243"/>
        <v>-1912826.5316483369</v>
      </c>
      <c r="N608" s="170">
        <f t="shared" si="1243"/>
        <v>-2081171.2477143854</v>
      </c>
      <c r="O608" s="170">
        <f t="shared" si="1243"/>
        <v>-2226936.2282170579</v>
      </c>
      <c r="P608" s="170">
        <f t="shared" si="1243"/>
        <v>-2419488.6931934361</v>
      </c>
      <c r="Q608" s="170">
        <f t="shared" si="1243"/>
        <v>-2626892.0290683159</v>
      </c>
      <c r="R608" s="170">
        <f t="shared" si="1243"/>
        <v>0</v>
      </c>
      <c r="S608" s="170">
        <f t="shared" si="1243"/>
        <v>0</v>
      </c>
      <c r="T608" s="170">
        <f t="shared" si="1243"/>
        <v>0</v>
      </c>
      <c r="U608" s="170">
        <f t="shared" si="1243"/>
        <v>0</v>
      </c>
      <c r="V608" s="170">
        <f t="shared" si="1243"/>
        <v>0</v>
      </c>
      <c r="W608" s="170">
        <f t="shared" si="1243"/>
        <v>0</v>
      </c>
      <c r="X608" s="170">
        <f t="shared" si="1243"/>
        <v>0</v>
      </c>
      <c r="Y608" s="170">
        <f t="shared" si="1243"/>
        <v>0</v>
      </c>
      <c r="Z608" s="170">
        <f t="shared" si="1243"/>
        <v>0</v>
      </c>
      <c r="AA608" s="170">
        <f t="shared" si="1243"/>
        <v>0</v>
      </c>
      <c r="AB608" s="170">
        <f t="shared" si="1243"/>
        <v>0</v>
      </c>
      <c r="AC608" s="170">
        <f t="shared" si="1243"/>
        <v>0</v>
      </c>
      <c r="AD608" s="170">
        <f t="shared" si="1243"/>
        <v>0</v>
      </c>
      <c r="AE608" s="170">
        <f t="shared" si="1243"/>
        <v>0</v>
      </c>
      <c r="AF608" s="170">
        <f t="shared" si="1243"/>
        <v>0</v>
      </c>
      <c r="AG608" s="170">
        <f t="shared" si="1243"/>
        <v>0</v>
      </c>
      <c r="AH608" s="170">
        <f t="shared" si="1243"/>
        <v>0</v>
      </c>
      <c r="AI608" s="170">
        <f t="shared" si="1243"/>
        <v>0</v>
      </c>
      <c r="AJ608" s="170">
        <f t="shared" si="1243"/>
        <v>0</v>
      </c>
      <c r="AK608" s="170">
        <f t="shared" si="1243"/>
        <v>0</v>
      </c>
      <c r="AL608" s="170">
        <f t="shared" si="1243"/>
        <v>0</v>
      </c>
      <c r="AM608" s="170">
        <f t="shared" si="1243"/>
        <v>0</v>
      </c>
      <c r="AN608" s="170">
        <f t="shared" si="1243"/>
        <v>0</v>
      </c>
      <c r="AO608" s="170">
        <f t="shared" si="1243"/>
        <v>0</v>
      </c>
      <c r="AP608" s="170">
        <f t="shared" si="1243"/>
        <v>0</v>
      </c>
    </row>
    <row r="609" spans="1:42" s="101" customFormat="1" x14ac:dyDescent="0.2">
      <c r="A609" s="183" t="s">
        <v>99</v>
      </c>
      <c r="B609" s="135">
        <f>SUM(B606:B608)</f>
        <v>23404892.098486755</v>
      </c>
      <c r="C609" s="135">
        <f>SUM(C606:C608)</f>
        <v>22636849.025263868</v>
      </c>
      <c r="D609" s="135">
        <f t="shared" ref="D609:AP609" si="1244">SUM(D606:D608)</f>
        <v>21788650.508455615</v>
      </c>
      <c r="E609" s="135">
        <f t="shared" si="1244"/>
        <v>20854127.514452774</v>
      </c>
      <c r="F609" s="135">
        <f t="shared" si="1244"/>
        <v>19826635.02062666</v>
      </c>
      <c r="G609" s="135">
        <f t="shared" si="1244"/>
        <v>18699015.17678545</v>
      </c>
      <c r="H609" s="135">
        <f t="shared" si="1244"/>
        <v>17463557.612762697</v>
      </c>
      <c r="I609" s="135">
        <f t="shared" si="1244"/>
        <v>16111956.670987936</v>
      </c>
      <c r="J609" s="135">
        <f t="shared" si="1244"/>
        <v>14635265.325750655</v>
      </c>
      <c r="K609" s="135">
        <f t="shared" si="1244"/>
        <v>13023845.532402121</v>
      </c>
      <c r="L609" s="135">
        <f t="shared" si="1244"/>
        <v>11267314.729841581</v>
      </c>
      <c r="M609" s="135">
        <f t="shared" si="1244"/>
        <v>9354488.1981932446</v>
      </c>
      <c r="N609" s="135">
        <f t="shared" si="1244"/>
        <v>7273316.9504788592</v>
      </c>
      <c r="O609" s="135">
        <f t="shared" si="1244"/>
        <v>5046380.7222618014</v>
      </c>
      <c r="P609" s="135">
        <f t="shared" si="1244"/>
        <v>2626892.0290683652</v>
      </c>
      <c r="Q609" s="135">
        <f t="shared" si="1244"/>
        <v>4.9360096454620361E-8</v>
      </c>
      <c r="R609" s="135">
        <f t="shared" si="1244"/>
        <v>4.9360096454620361E-8</v>
      </c>
      <c r="S609" s="135">
        <f t="shared" si="1244"/>
        <v>4.9360096454620361E-8</v>
      </c>
      <c r="T609" s="135">
        <f t="shared" si="1244"/>
        <v>4.9360096454620361E-8</v>
      </c>
      <c r="U609" s="135">
        <f t="shared" si="1244"/>
        <v>4.9360096454620361E-8</v>
      </c>
      <c r="V609" s="135">
        <f t="shared" si="1244"/>
        <v>4.9360096454620361E-8</v>
      </c>
      <c r="W609" s="135">
        <f t="shared" si="1244"/>
        <v>4.9360096454620361E-8</v>
      </c>
      <c r="X609" s="135">
        <f t="shared" si="1244"/>
        <v>4.9360096454620361E-8</v>
      </c>
      <c r="Y609" s="135">
        <f t="shared" si="1244"/>
        <v>4.9360096454620361E-8</v>
      </c>
      <c r="Z609" s="135">
        <f t="shared" si="1244"/>
        <v>4.9360096454620361E-8</v>
      </c>
      <c r="AA609" s="135">
        <f t="shared" si="1244"/>
        <v>4.9360096454620361E-8</v>
      </c>
      <c r="AB609" s="135">
        <f t="shared" si="1244"/>
        <v>4.9360096454620361E-8</v>
      </c>
      <c r="AC609" s="135">
        <f t="shared" si="1244"/>
        <v>4.9360096454620361E-8</v>
      </c>
      <c r="AD609" s="135">
        <f t="shared" si="1244"/>
        <v>4.9360096454620361E-8</v>
      </c>
      <c r="AE609" s="135">
        <f t="shared" si="1244"/>
        <v>4.9360096454620361E-8</v>
      </c>
      <c r="AF609" s="135">
        <f t="shared" si="1244"/>
        <v>4.9360096454620361E-8</v>
      </c>
      <c r="AG609" s="135">
        <f t="shared" si="1244"/>
        <v>4.9360096454620361E-8</v>
      </c>
      <c r="AH609" s="135">
        <f t="shared" si="1244"/>
        <v>4.9360096454620361E-8</v>
      </c>
      <c r="AI609" s="135">
        <f t="shared" si="1244"/>
        <v>4.9360096454620361E-8</v>
      </c>
      <c r="AJ609" s="135">
        <f t="shared" si="1244"/>
        <v>4.9360096454620361E-8</v>
      </c>
      <c r="AK609" s="135">
        <f t="shared" si="1244"/>
        <v>4.9360096454620361E-8</v>
      </c>
      <c r="AL609" s="135">
        <f t="shared" si="1244"/>
        <v>4.9360096454620361E-8</v>
      </c>
      <c r="AM609" s="135">
        <f t="shared" si="1244"/>
        <v>4.9360096454620361E-8</v>
      </c>
      <c r="AN609" s="135">
        <f t="shared" si="1244"/>
        <v>4.9360096454620361E-8</v>
      </c>
      <c r="AO609" s="135">
        <f t="shared" si="1244"/>
        <v>4.9360096454620361E-8</v>
      </c>
      <c r="AP609" s="135">
        <f t="shared" si="1244"/>
        <v>4.9360096454620361E-8</v>
      </c>
    </row>
    <row r="610" spans="1:42" s="101" customFormat="1" ht="15" customHeight="1" x14ac:dyDescent="0.2">
      <c r="A610" s="167"/>
      <c r="C610" s="169"/>
      <c r="D610" s="169"/>
    </row>
    <row r="611" spans="1:42" s="101" customFormat="1" x14ac:dyDescent="0.2">
      <c r="A611" s="183" t="s">
        <v>100</v>
      </c>
      <c r="B611" s="266">
        <f>SUM(C611:AP611)</f>
        <v>23404892.098486707</v>
      </c>
      <c r="C611" s="169">
        <f t="shared" ref="C611:AP611" si="1245">IF(LPFDebtStructure="Mortgage Style",C653,C633)</f>
        <v>768043.0732228877</v>
      </c>
      <c r="D611" s="169">
        <f t="shared" si="1245"/>
        <v>848198.51680825348</v>
      </c>
      <c r="E611" s="169">
        <f t="shared" si="1245"/>
        <v>934522.99400283978</v>
      </c>
      <c r="F611" s="169">
        <f t="shared" si="1245"/>
        <v>1027492.4938261134</v>
      </c>
      <c r="G611" s="169">
        <f t="shared" si="1245"/>
        <v>1127619.8438412109</v>
      </c>
      <c r="H611" s="169">
        <f t="shared" si="1245"/>
        <v>1235457.5640227525</v>
      </c>
      <c r="I611" s="169">
        <f t="shared" si="1245"/>
        <v>1351600.9417747613</v>
      </c>
      <c r="J611" s="169">
        <f t="shared" si="1245"/>
        <v>1476691.3452372812</v>
      </c>
      <c r="K611" s="169">
        <f t="shared" si="1245"/>
        <v>1611419.7933485333</v>
      </c>
      <c r="L611" s="169">
        <f t="shared" si="1245"/>
        <v>1756530.8025605399</v>
      </c>
      <c r="M611" s="169">
        <f t="shared" si="1245"/>
        <v>1912826.5316483369</v>
      </c>
      <c r="N611" s="169">
        <f t="shared" si="1245"/>
        <v>2081171.2477143854</v>
      </c>
      <c r="O611" s="169">
        <f t="shared" si="1245"/>
        <v>2226936.2282170579</v>
      </c>
      <c r="P611" s="169">
        <f t="shared" si="1245"/>
        <v>2419488.6931934361</v>
      </c>
      <c r="Q611" s="169">
        <f t="shared" si="1245"/>
        <v>2626892.0290683159</v>
      </c>
      <c r="R611" s="169">
        <f t="shared" si="1245"/>
        <v>0</v>
      </c>
      <c r="S611" s="169">
        <f t="shared" si="1245"/>
        <v>0</v>
      </c>
      <c r="T611" s="169">
        <f t="shared" si="1245"/>
        <v>0</v>
      </c>
      <c r="U611" s="169">
        <f t="shared" si="1245"/>
        <v>0</v>
      </c>
      <c r="V611" s="169">
        <f t="shared" si="1245"/>
        <v>0</v>
      </c>
      <c r="W611" s="169">
        <f t="shared" si="1245"/>
        <v>0</v>
      </c>
      <c r="X611" s="169">
        <f t="shared" si="1245"/>
        <v>0</v>
      </c>
      <c r="Y611" s="169">
        <f t="shared" si="1245"/>
        <v>0</v>
      </c>
      <c r="Z611" s="169">
        <f t="shared" si="1245"/>
        <v>0</v>
      </c>
      <c r="AA611" s="169">
        <f t="shared" si="1245"/>
        <v>0</v>
      </c>
      <c r="AB611" s="169">
        <f t="shared" si="1245"/>
        <v>0</v>
      </c>
      <c r="AC611" s="169">
        <f t="shared" si="1245"/>
        <v>0</v>
      </c>
      <c r="AD611" s="169">
        <f t="shared" si="1245"/>
        <v>0</v>
      </c>
      <c r="AE611" s="169">
        <f t="shared" si="1245"/>
        <v>0</v>
      </c>
      <c r="AF611" s="169">
        <f t="shared" si="1245"/>
        <v>0</v>
      </c>
      <c r="AG611" s="169">
        <f t="shared" si="1245"/>
        <v>0</v>
      </c>
      <c r="AH611" s="169">
        <f t="shared" si="1245"/>
        <v>0</v>
      </c>
      <c r="AI611" s="169">
        <f t="shared" si="1245"/>
        <v>0</v>
      </c>
      <c r="AJ611" s="169">
        <f t="shared" si="1245"/>
        <v>0</v>
      </c>
      <c r="AK611" s="169">
        <f t="shared" si="1245"/>
        <v>0</v>
      </c>
      <c r="AL611" s="169">
        <f t="shared" si="1245"/>
        <v>0</v>
      </c>
      <c r="AM611" s="169">
        <f t="shared" si="1245"/>
        <v>0</v>
      </c>
      <c r="AN611" s="169">
        <f t="shared" si="1245"/>
        <v>0</v>
      </c>
      <c r="AO611" s="169">
        <f t="shared" si="1245"/>
        <v>0</v>
      </c>
      <c r="AP611" s="169">
        <f t="shared" si="1245"/>
        <v>0</v>
      </c>
    </row>
    <row r="612" spans="1:42" s="101" customFormat="1" x14ac:dyDescent="0.2">
      <c r="A612" s="183" t="s">
        <v>101</v>
      </c>
      <c r="B612" s="266">
        <f>SUM(C612:AP612)</f>
        <v>17361022.001475926</v>
      </c>
      <c r="C612" s="170">
        <f t="shared" ref="C612:AP612" si="1246">IF(LPFDebtStructure="Mortgage Style",C654,C634)</f>
        <v>1813879.1376327234</v>
      </c>
      <c r="D612" s="170">
        <f t="shared" si="1246"/>
        <v>1754355.7994579498</v>
      </c>
      <c r="E612" s="170">
        <f t="shared" si="1246"/>
        <v>1688620.4144053103</v>
      </c>
      <c r="F612" s="170">
        <f t="shared" si="1246"/>
        <v>1616194.8823700899</v>
      </c>
      <c r="G612" s="170">
        <f t="shared" si="1246"/>
        <v>1536564.2140985662</v>
      </c>
      <c r="H612" s="170">
        <f t="shared" si="1246"/>
        <v>1449173.6762008723</v>
      </c>
      <c r="I612" s="170">
        <f t="shared" si="1246"/>
        <v>1353425.714989109</v>
      </c>
      <c r="J612" s="170">
        <f t="shared" si="1246"/>
        <v>1248676.6420015651</v>
      </c>
      <c r="K612" s="170">
        <f t="shared" si="1246"/>
        <v>1134233.0627456757</v>
      </c>
      <c r="L612" s="170">
        <f t="shared" si="1246"/>
        <v>1009348.0287611643</v>
      </c>
      <c r="M612" s="170">
        <f t="shared" si="1246"/>
        <v>873216.89156272251</v>
      </c>
      <c r="N612" s="170">
        <f t="shared" si="1246"/>
        <v>724972.83535997651</v>
      </c>
      <c r="O612" s="170">
        <f t="shared" si="1246"/>
        <v>563682.06366211164</v>
      </c>
      <c r="P612" s="170">
        <f t="shared" si="1246"/>
        <v>391094.50597528962</v>
      </c>
      <c r="Q612" s="170">
        <f t="shared" si="1246"/>
        <v>203584.1322527983</v>
      </c>
      <c r="R612" s="170">
        <f t="shared" si="1246"/>
        <v>0</v>
      </c>
      <c r="S612" s="170">
        <f t="shared" si="1246"/>
        <v>0</v>
      </c>
      <c r="T612" s="170">
        <f t="shared" si="1246"/>
        <v>0</v>
      </c>
      <c r="U612" s="170">
        <f t="shared" si="1246"/>
        <v>0</v>
      </c>
      <c r="V612" s="170">
        <f t="shared" si="1246"/>
        <v>0</v>
      </c>
      <c r="W612" s="170">
        <f t="shared" si="1246"/>
        <v>0</v>
      </c>
      <c r="X612" s="170">
        <f t="shared" si="1246"/>
        <v>0</v>
      </c>
      <c r="Y612" s="170">
        <f t="shared" si="1246"/>
        <v>0</v>
      </c>
      <c r="Z612" s="170">
        <f t="shared" si="1246"/>
        <v>0</v>
      </c>
      <c r="AA612" s="170">
        <f t="shared" si="1246"/>
        <v>0</v>
      </c>
      <c r="AB612" s="170">
        <f t="shared" si="1246"/>
        <v>0</v>
      </c>
      <c r="AC612" s="170">
        <f t="shared" si="1246"/>
        <v>0</v>
      </c>
      <c r="AD612" s="170">
        <f t="shared" si="1246"/>
        <v>0</v>
      </c>
      <c r="AE612" s="170">
        <f t="shared" si="1246"/>
        <v>0</v>
      </c>
      <c r="AF612" s="170">
        <f t="shared" si="1246"/>
        <v>0</v>
      </c>
      <c r="AG612" s="170">
        <f t="shared" si="1246"/>
        <v>0</v>
      </c>
      <c r="AH612" s="170">
        <f t="shared" si="1246"/>
        <v>0</v>
      </c>
      <c r="AI612" s="170">
        <f t="shared" si="1246"/>
        <v>0</v>
      </c>
      <c r="AJ612" s="170">
        <f t="shared" si="1246"/>
        <v>0</v>
      </c>
      <c r="AK612" s="170">
        <f t="shared" si="1246"/>
        <v>0</v>
      </c>
      <c r="AL612" s="170">
        <f t="shared" si="1246"/>
        <v>0</v>
      </c>
      <c r="AM612" s="170">
        <f t="shared" si="1246"/>
        <v>0</v>
      </c>
      <c r="AN612" s="170">
        <f t="shared" si="1246"/>
        <v>0</v>
      </c>
      <c r="AO612" s="170">
        <f t="shared" si="1246"/>
        <v>0</v>
      </c>
      <c r="AP612" s="170">
        <f t="shared" si="1246"/>
        <v>0</v>
      </c>
    </row>
    <row r="613" spans="1:42" s="101" customFormat="1" x14ac:dyDescent="0.2">
      <c r="A613" s="183" t="s">
        <v>102</v>
      </c>
      <c r="B613" s="266">
        <f>SUM(C613:AP613)</f>
        <v>40765914.099962629</v>
      </c>
      <c r="C613" s="169">
        <f>SUM(C611:C612)</f>
        <v>2581922.2108556111</v>
      </c>
      <c r="D613" s="169">
        <f t="shared" ref="D613:AP613" si="1247">SUM(D611:D612)</f>
        <v>2602554.3162662033</v>
      </c>
      <c r="E613" s="169">
        <f t="shared" si="1247"/>
        <v>2623143.4084081501</v>
      </c>
      <c r="F613" s="169">
        <f t="shared" si="1247"/>
        <v>2643687.3761962033</v>
      </c>
      <c r="G613" s="169">
        <f t="shared" si="1247"/>
        <v>2664184.0579397772</v>
      </c>
      <c r="H613" s="169">
        <f t="shared" si="1247"/>
        <v>2684631.2402236247</v>
      </c>
      <c r="I613" s="169">
        <f t="shared" si="1247"/>
        <v>2705026.6567638703</v>
      </c>
      <c r="J613" s="169">
        <f t="shared" si="1247"/>
        <v>2725367.9872388463</v>
      </c>
      <c r="K613" s="169">
        <f t="shared" si="1247"/>
        <v>2745652.856094209</v>
      </c>
      <c r="L613" s="169">
        <f t="shared" si="1247"/>
        <v>2765878.8313217042</v>
      </c>
      <c r="M613" s="169">
        <f t="shared" si="1247"/>
        <v>2786043.4232110595</v>
      </c>
      <c r="N613" s="169">
        <f t="shared" si="1247"/>
        <v>2806144.083074362</v>
      </c>
      <c r="O613" s="169">
        <f t="shared" si="1247"/>
        <v>2790618.2918791696</v>
      </c>
      <c r="P613" s="169">
        <f t="shared" si="1247"/>
        <v>2810583.1991687259</v>
      </c>
      <c r="Q613" s="169">
        <f t="shared" si="1247"/>
        <v>2830476.1613211143</v>
      </c>
      <c r="R613" s="169">
        <f t="shared" si="1247"/>
        <v>0</v>
      </c>
      <c r="S613" s="169">
        <f t="shared" si="1247"/>
        <v>0</v>
      </c>
      <c r="T613" s="169">
        <f t="shared" si="1247"/>
        <v>0</v>
      </c>
      <c r="U613" s="169">
        <f t="shared" si="1247"/>
        <v>0</v>
      </c>
      <c r="V613" s="169">
        <f t="shared" si="1247"/>
        <v>0</v>
      </c>
      <c r="W613" s="169">
        <f t="shared" si="1247"/>
        <v>0</v>
      </c>
      <c r="X613" s="169">
        <f t="shared" si="1247"/>
        <v>0</v>
      </c>
      <c r="Y613" s="169">
        <f t="shared" si="1247"/>
        <v>0</v>
      </c>
      <c r="Z613" s="169">
        <f t="shared" si="1247"/>
        <v>0</v>
      </c>
      <c r="AA613" s="169">
        <f t="shared" si="1247"/>
        <v>0</v>
      </c>
      <c r="AB613" s="169">
        <f t="shared" si="1247"/>
        <v>0</v>
      </c>
      <c r="AC613" s="169">
        <f t="shared" si="1247"/>
        <v>0</v>
      </c>
      <c r="AD613" s="169">
        <f t="shared" si="1247"/>
        <v>0</v>
      </c>
      <c r="AE613" s="169">
        <f t="shared" si="1247"/>
        <v>0</v>
      </c>
      <c r="AF613" s="169">
        <f t="shared" si="1247"/>
        <v>0</v>
      </c>
      <c r="AG613" s="169">
        <f t="shared" si="1247"/>
        <v>0</v>
      </c>
      <c r="AH613" s="169">
        <f t="shared" si="1247"/>
        <v>0</v>
      </c>
      <c r="AI613" s="169">
        <f t="shared" si="1247"/>
        <v>0</v>
      </c>
      <c r="AJ613" s="169">
        <f t="shared" si="1247"/>
        <v>0</v>
      </c>
      <c r="AK613" s="169">
        <f t="shared" si="1247"/>
        <v>0</v>
      </c>
      <c r="AL613" s="169">
        <f t="shared" si="1247"/>
        <v>0</v>
      </c>
      <c r="AM613" s="169">
        <f t="shared" si="1247"/>
        <v>0</v>
      </c>
      <c r="AN613" s="169">
        <f t="shared" si="1247"/>
        <v>0</v>
      </c>
      <c r="AO613" s="169">
        <f t="shared" si="1247"/>
        <v>0</v>
      </c>
      <c r="AP613" s="169">
        <f t="shared" si="1247"/>
        <v>0</v>
      </c>
    </row>
    <row r="614" spans="1:42" s="101" customFormat="1" x14ac:dyDescent="0.2">
      <c r="A614" s="25"/>
      <c r="C614" s="169"/>
      <c r="D614" s="169"/>
    </row>
    <row r="615" spans="1:42" s="101" customFormat="1" x14ac:dyDescent="0.2">
      <c r="A615" s="178" t="s">
        <v>418</v>
      </c>
    </row>
    <row r="616" spans="1:42" s="101" customFormat="1" x14ac:dyDescent="0.2">
      <c r="A616" s="167" t="s">
        <v>251</v>
      </c>
    </row>
    <row r="617" spans="1:42" s="101" customFormat="1" x14ac:dyDescent="0.2">
      <c r="A617" s="183" t="s">
        <v>252</v>
      </c>
      <c r="C617" s="218">
        <f t="shared" ref="C617:AP617" si="1248">IF(AND(C$2&lt;=LPFDebtTerm,C$2&lt;=AnalysisPeriod),LPFDebtRate,0)</f>
        <v>7.7499999999999999E-2</v>
      </c>
      <c r="D617" s="126">
        <f t="shared" si="1248"/>
        <v>7.7499999999999999E-2</v>
      </c>
      <c r="E617" s="126">
        <f t="shared" si="1248"/>
        <v>7.7499999999999999E-2</v>
      </c>
      <c r="F617" s="126">
        <f t="shared" si="1248"/>
        <v>7.7499999999999999E-2</v>
      </c>
      <c r="G617" s="126">
        <f t="shared" si="1248"/>
        <v>7.7499999999999999E-2</v>
      </c>
      <c r="H617" s="126">
        <f t="shared" si="1248"/>
        <v>7.7499999999999999E-2</v>
      </c>
      <c r="I617" s="126">
        <f t="shared" si="1248"/>
        <v>7.7499999999999999E-2</v>
      </c>
      <c r="J617" s="126">
        <f t="shared" si="1248"/>
        <v>7.7499999999999999E-2</v>
      </c>
      <c r="K617" s="126">
        <f t="shared" si="1248"/>
        <v>7.7499999999999999E-2</v>
      </c>
      <c r="L617" s="126">
        <f t="shared" si="1248"/>
        <v>7.7499999999999999E-2</v>
      </c>
      <c r="M617" s="126">
        <f t="shared" si="1248"/>
        <v>7.7499999999999999E-2</v>
      </c>
      <c r="N617" s="126">
        <f t="shared" si="1248"/>
        <v>7.7499999999999999E-2</v>
      </c>
      <c r="O617" s="126">
        <f t="shared" si="1248"/>
        <v>7.7499999999999999E-2</v>
      </c>
      <c r="P617" s="126">
        <f t="shared" si="1248"/>
        <v>7.7499999999999999E-2</v>
      </c>
      <c r="Q617" s="126">
        <f t="shared" si="1248"/>
        <v>7.7499999999999999E-2</v>
      </c>
      <c r="R617" s="126">
        <f t="shared" si="1248"/>
        <v>0</v>
      </c>
      <c r="S617" s="126">
        <f t="shared" si="1248"/>
        <v>0</v>
      </c>
      <c r="T617" s="126">
        <f t="shared" si="1248"/>
        <v>0</v>
      </c>
      <c r="U617" s="126">
        <f t="shared" si="1248"/>
        <v>0</v>
      </c>
      <c r="V617" s="126">
        <f t="shared" si="1248"/>
        <v>0</v>
      </c>
      <c r="W617" s="126">
        <f t="shared" si="1248"/>
        <v>0</v>
      </c>
      <c r="X617" s="126">
        <f t="shared" si="1248"/>
        <v>0</v>
      </c>
      <c r="Y617" s="126">
        <f t="shared" si="1248"/>
        <v>0</v>
      </c>
      <c r="Z617" s="126">
        <f t="shared" si="1248"/>
        <v>0</v>
      </c>
      <c r="AA617" s="126">
        <f t="shared" si="1248"/>
        <v>0</v>
      </c>
      <c r="AB617" s="126">
        <f t="shared" si="1248"/>
        <v>0</v>
      </c>
      <c r="AC617" s="126">
        <f t="shared" si="1248"/>
        <v>0</v>
      </c>
      <c r="AD617" s="126">
        <f t="shared" si="1248"/>
        <v>0</v>
      </c>
      <c r="AE617" s="126">
        <f t="shared" si="1248"/>
        <v>0</v>
      </c>
      <c r="AF617" s="126">
        <f t="shared" si="1248"/>
        <v>0</v>
      </c>
      <c r="AG617" s="126">
        <f t="shared" si="1248"/>
        <v>0</v>
      </c>
      <c r="AH617" s="126">
        <f t="shared" si="1248"/>
        <v>0</v>
      </c>
      <c r="AI617" s="126">
        <f t="shared" si="1248"/>
        <v>0</v>
      </c>
      <c r="AJ617" s="126">
        <f t="shared" si="1248"/>
        <v>0</v>
      </c>
      <c r="AK617" s="126">
        <f t="shared" si="1248"/>
        <v>0</v>
      </c>
      <c r="AL617" s="126">
        <f t="shared" si="1248"/>
        <v>0</v>
      </c>
      <c r="AM617" s="126">
        <f t="shared" si="1248"/>
        <v>0</v>
      </c>
      <c r="AN617" s="126">
        <f t="shared" si="1248"/>
        <v>0</v>
      </c>
      <c r="AO617" s="126">
        <f t="shared" si="1248"/>
        <v>0</v>
      </c>
      <c r="AP617" s="126">
        <f t="shared" si="1248"/>
        <v>0</v>
      </c>
    </row>
    <row r="618" spans="1:42" s="101" customFormat="1" x14ac:dyDescent="0.2">
      <c r="A618" s="183" t="s">
        <v>253</v>
      </c>
      <c r="C618" s="219">
        <f>IF(AND(C$2&lt;=LPFDebtTerm,C$2&lt;=AnalysisPeriod),1/(1+C617),0)</f>
        <v>0.92807424593967525</v>
      </c>
      <c r="D618" s="220">
        <f t="shared" ref="D618:AP618" si="1249">IF(AND(D$2&lt;=LPFDebtTerm,D$2&lt;=AnalysisPeriod),C618/(1+D617),0)</f>
        <v>0.86132180597649688</v>
      </c>
      <c r="E618" s="220">
        <f t="shared" si="1249"/>
        <v>0.79937058559303664</v>
      </c>
      <c r="F618" s="220">
        <f t="shared" si="1249"/>
        <v>0.74187525345061411</v>
      </c>
      <c r="G618" s="220">
        <f t="shared" si="1249"/>
        <v>0.6885153164274842</v>
      </c>
      <c r="H618" s="220">
        <f t="shared" si="1249"/>
        <v>0.63899333311135431</v>
      </c>
      <c r="I618" s="220">
        <f t="shared" si="1249"/>
        <v>0.59303325578779986</v>
      </c>
      <c r="J618" s="220">
        <f t="shared" si="1249"/>
        <v>0.55037889168241294</v>
      </c>
      <c r="K618" s="220">
        <f t="shared" si="1249"/>
        <v>0.5107924748792696</v>
      </c>
      <c r="L618" s="220">
        <f t="shared" si="1249"/>
        <v>0.47405334095523866</v>
      </c>
      <c r="M618" s="220">
        <f t="shared" si="1249"/>
        <v>0.4399566969422169</v>
      </c>
      <c r="N618" s="220">
        <f t="shared" si="1249"/>
        <v>0.40831247976075818</v>
      </c>
      <c r="O618" s="220">
        <f t="shared" si="1249"/>
        <v>0.37894429676172459</v>
      </c>
      <c r="P618" s="220">
        <f t="shared" si="1249"/>
        <v>0.35168844247027808</v>
      </c>
      <c r="Q618" s="220">
        <f t="shared" si="1249"/>
        <v>0.32639298605130218</v>
      </c>
      <c r="R618" s="220">
        <f t="shared" si="1249"/>
        <v>0</v>
      </c>
      <c r="S618" s="220">
        <f t="shared" si="1249"/>
        <v>0</v>
      </c>
      <c r="T618" s="220">
        <f t="shared" si="1249"/>
        <v>0</v>
      </c>
      <c r="U618" s="220">
        <f t="shared" si="1249"/>
        <v>0</v>
      </c>
      <c r="V618" s="220">
        <f t="shared" si="1249"/>
        <v>0</v>
      </c>
      <c r="W618" s="220">
        <f t="shared" si="1249"/>
        <v>0</v>
      </c>
      <c r="X618" s="220">
        <f t="shared" si="1249"/>
        <v>0</v>
      </c>
      <c r="Y618" s="220">
        <f t="shared" si="1249"/>
        <v>0</v>
      </c>
      <c r="Z618" s="220">
        <f t="shared" si="1249"/>
        <v>0</v>
      </c>
      <c r="AA618" s="220">
        <f t="shared" si="1249"/>
        <v>0</v>
      </c>
      <c r="AB618" s="220">
        <f t="shared" si="1249"/>
        <v>0</v>
      </c>
      <c r="AC618" s="220">
        <f t="shared" si="1249"/>
        <v>0</v>
      </c>
      <c r="AD618" s="220">
        <f t="shared" si="1249"/>
        <v>0</v>
      </c>
      <c r="AE618" s="220">
        <f t="shared" si="1249"/>
        <v>0</v>
      </c>
      <c r="AF618" s="220">
        <f t="shared" si="1249"/>
        <v>0</v>
      </c>
      <c r="AG618" s="220">
        <f t="shared" si="1249"/>
        <v>0</v>
      </c>
      <c r="AH618" s="220">
        <f t="shared" si="1249"/>
        <v>0</v>
      </c>
      <c r="AI618" s="220">
        <f t="shared" si="1249"/>
        <v>0</v>
      </c>
      <c r="AJ618" s="220">
        <f t="shared" si="1249"/>
        <v>0</v>
      </c>
      <c r="AK618" s="220">
        <f t="shared" si="1249"/>
        <v>0</v>
      </c>
      <c r="AL618" s="220">
        <f t="shared" si="1249"/>
        <v>0</v>
      </c>
      <c r="AM618" s="220">
        <f t="shared" si="1249"/>
        <v>0</v>
      </c>
      <c r="AN618" s="220">
        <f t="shared" si="1249"/>
        <v>0</v>
      </c>
      <c r="AO618" s="220">
        <f t="shared" si="1249"/>
        <v>0</v>
      </c>
      <c r="AP618" s="220">
        <f t="shared" si="1249"/>
        <v>0</v>
      </c>
    </row>
    <row r="619" spans="1:42" s="101" customFormat="1" x14ac:dyDescent="0.2">
      <c r="A619" s="183" t="s">
        <v>106</v>
      </c>
      <c r="C619" s="219"/>
      <c r="D619" s="220"/>
      <c r="E619" s="220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G619" s="220"/>
      <c r="AH619" s="220"/>
      <c r="AI619" s="220"/>
      <c r="AJ619" s="220"/>
      <c r="AK619" s="220"/>
      <c r="AL619" s="220"/>
      <c r="AM619" s="220"/>
      <c r="AN619" s="220"/>
      <c r="AO619" s="220"/>
      <c r="AP619" s="220"/>
    </row>
    <row r="620" spans="1:42" s="101" customFormat="1" x14ac:dyDescent="0.2">
      <c r="A620" s="196" t="s">
        <v>112</v>
      </c>
      <c r="B620" s="221">
        <f>SUM(C620:AP620)</f>
        <v>58859092.100082047</v>
      </c>
      <c r="C620" s="169">
        <f t="shared" ref="C620:AP620" si="1250">IF(AND(C$2&lt;=LPFDebtTerm,C$2&lt;=AnalysisPeriod),C43,0)</f>
        <v>3731001.0132801849</v>
      </c>
      <c r="D620" s="169">
        <f t="shared" si="1250"/>
        <v>3758854.3555844845</v>
      </c>
      <c r="E620" s="169">
        <f t="shared" si="1250"/>
        <v>3786649.6299761124</v>
      </c>
      <c r="F620" s="169">
        <f t="shared" si="1250"/>
        <v>3814383.9864899842</v>
      </c>
      <c r="G620" s="169">
        <f t="shared" si="1250"/>
        <v>3842054.506843809</v>
      </c>
      <c r="H620" s="169">
        <f t="shared" si="1250"/>
        <v>3869658.2029270036</v>
      </c>
      <c r="I620" s="169">
        <f t="shared" si="1250"/>
        <v>3897192.0152563346</v>
      </c>
      <c r="J620" s="169">
        <f t="shared" si="1250"/>
        <v>3924652.8113975525</v>
      </c>
      <c r="K620" s="169">
        <f t="shared" si="1250"/>
        <v>3952037.3843522924</v>
      </c>
      <c r="L620" s="169">
        <f t="shared" si="1250"/>
        <v>3979342.4509094106</v>
      </c>
      <c r="M620" s="169">
        <f t="shared" si="1250"/>
        <v>4006564.6499600406</v>
      </c>
      <c r="N620" s="169">
        <f t="shared" si="1250"/>
        <v>4033700.5407754984</v>
      </c>
      <c r="O620" s="169">
        <f t="shared" si="1250"/>
        <v>4060746.6012472692</v>
      </c>
      <c r="P620" s="169">
        <f t="shared" si="1250"/>
        <v>4087699.22608817</v>
      </c>
      <c r="Q620" s="169">
        <f t="shared" si="1250"/>
        <v>4114554.7249938948</v>
      </c>
      <c r="R620" s="169">
        <f t="shared" si="1250"/>
        <v>0</v>
      </c>
      <c r="S620" s="169">
        <f t="shared" si="1250"/>
        <v>0</v>
      </c>
      <c r="T620" s="169">
        <f t="shared" si="1250"/>
        <v>0</v>
      </c>
      <c r="U620" s="169">
        <f t="shared" si="1250"/>
        <v>0</v>
      </c>
      <c r="V620" s="169">
        <f t="shared" si="1250"/>
        <v>0</v>
      </c>
      <c r="W620" s="169">
        <f t="shared" si="1250"/>
        <v>0</v>
      </c>
      <c r="X620" s="169">
        <f t="shared" si="1250"/>
        <v>0</v>
      </c>
      <c r="Y620" s="169">
        <f t="shared" si="1250"/>
        <v>0</v>
      </c>
      <c r="Z620" s="169">
        <f t="shared" si="1250"/>
        <v>0</v>
      </c>
      <c r="AA620" s="169">
        <f t="shared" si="1250"/>
        <v>0</v>
      </c>
      <c r="AB620" s="169">
        <f t="shared" si="1250"/>
        <v>0</v>
      </c>
      <c r="AC620" s="169">
        <f t="shared" si="1250"/>
        <v>0</v>
      </c>
      <c r="AD620" s="169">
        <f t="shared" si="1250"/>
        <v>0</v>
      </c>
      <c r="AE620" s="169">
        <f t="shared" si="1250"/>
        <v>0</v>
      </c>
      <c r="AF620" s="169">
        <f t="shared" si="1250"/>
        <v>0</v>
      </c>
      <c r="AG620" s="169">
        <f t="shared" si="1250"/>
        <v>0</v>
      </c>
      <c r="AH620" s="169">
        <f t="shared" si="1250"/>
        <v>0</v>
      </c>
      <c r="AI620" s="169">
        <f t="shared" si="1250"/>
        <v>0</v>
      </c>
      <c r="AJ620" s="169">
        <f t="shared" si="1250"/>
        <v>0</v>
      </c>
      <c r="AK620" s="169">
        <f t="shared" si="1250"/>
        <v>0</v>
      </c>
      <c r="AL620" s="169">
        <f t="shared" si="1250"/>
        <v>0</v>
      </c>
      <c r="AM620" s="169">
        <f t="shared" si="1250"/>
        <v>0</v>
      </c>
      <c r="AN620" s="169">
        <f t="shared" si="1250"/>
        <v>0</v>
      </c>
      <c r="AO620" s="169">
        <f t="shared" si="1250"/>
        <v>0</v>
      </c>
      <c r="AP620" s="169">
        <f t="shared" si="1250"/>
        <v>0</v>
      </c>
    </row>
    <row r="621" spans="1:42" s="101" customFormat="1" x14ac:dyDescent="0.2">
      <c r="A621" s="236" t="s">
        <v>387</v>
      </c>
      <c r="B621" s="332">
        <f>SUM(C621:AP621)</f>
        <v>-3825108.0651324848</v>
      </c>
      <c r="C621" s="186">
        <f t="shared" ref="C621:AP621" si="1251">IF(AND(C$2&lt;=LPFDebtTerm,C$2&lt;=AnalysisPeriod),-C679-C711-C743,0)</f>
        <v>-245406.02862510949</v>
      </c>
      <c r="D621" s="124">
        <f t="shared" si="1251"/>
        <v>-245406.02862510949</v>
      </c>
      <c r="E621" s="124">
        <f t="shared" si="1251"/>
        <v>-245406.02862510949</v>
      </c>
      <c r="F621" s="124">
        <f t="shared" si="1251"/>
        <v>-245406.02862510949</v>
      </c>
      <c r="G621" s="124">
        <f t="shared" si="1251"/>
        <v>-245406.02862510949</v>
      </c>
      <c r="H621" s="124">
        <f t="shared" si="1251"/>
        <v>-245406.02862510949</v>
      </c>
      <c r="I621" s="124">
        <f t="shared" si="1251"/>
        <v>-245406.02862510949</v>
      </c>
      <c r="J621" s="124">
        <f t="shared" si="1251"/>
        <v>-245406.02862510949</v>
      </c>
      <c r="K621" s="124">
        <f t="shared" si="1251"/>
        <v>-245406.02862510949</v>
      </c>
      <c r="L621" s="124">
        <f t="shared" si="1251"/>
        <v>-245406.02862510949</v>
      </c>
      <c r="M621" s="124">
        <f t="shared" si="1251"/>
        <v>-245406.02862510949</v>
      </c>
      <c r="N621" s="124">
        <f t="shared" si="1251"/>
        <v>-245406.02862510949</v>
      </c>
      <c r="O621" s="124">
        <f t="shared" si="1251"/>
        <v>-293411.90721039008</v>
      </c>
      <c r="P621" s="124">
        <f t="shared" si="1251"/>
        <v>-293411.90721039008</v>
      </c>
      <c r="Q621" s="124">
        <f t="shared" si="1251"/>
        <v>-293411.90721039008</v>
      </c>
      <c r="R621" s="124">
        <f t="shared" si="1251"/>
        <v>0</v>
      </c>
      <c r="S621" s="124">
        <f t="shared" si="1251"/>
        <v>0</v>
      </c>
      <c r="T621" s="124">
        <f t="shared" si="1251"/>
        <v>0</v>
      </c>
      <c r="U621" s="124">
        <f t="shared" si="1251"/>
        <v>0</v>
      </c>
      <c r="V621" s="124">
        <f t="shared" si="1251"/>
        <v>0</v>
      </c>
      <c r="W621" s="124">
        <f t="shared" si="1251"/>
        <v>0</v>
      </c>
      <c r="X621" s="124">
        <f t="shared" si="1251"/>
        <v>0</v>
      </c>
      <c r="Y621" s="124">
        <f t="shared" si="1251"/>
        <v>0</v>
      </c>
      <c r="Z621" s="124">
        <f t="shared" si="1251"/>
        <v>0</v>
      </c>
      <c r="AA621" s="124">
        <f t="shared" si="1251"/>
        <v>0</v>
      </c>
      <c r="AB621" s="124">
        <f t="shared" si="1251"/>
        <v>0</v>
      </c>
      <c r="AC621" s="124">
        <f t="shared" si="1251"/>
        <v>0</v>
      </c>
      <c r="AD621" s="124">
        <f t="shared" si="1251"/>
        <v>0</v>
      </c>
      <c r="AE621" s="124">
        <f t="shared" si="1251"/>
        <v>0</v>
      </c>
      <c r="AF621" s="124">
        <f t="shared" si="1251"/>
        <v>0</v>
      </c>
      <c r="AG621" s="124">
        <f t="shared" si="1251"/>
        <v>0</v>
      </c>
      <c r="AH621" s="124">
        <f t="shared" si="1251"/>
        <v>0</v>
      </c>
      <c r="AI621" s="124">
        <f t="shared" si="1251"/>
        <v>0</v>
      </c>
      <c r="AJ621" s="124">
        <f t="shared" si="1251"/>
        <v>0</v>
      </c>
      <c r="AK621" s="124">
        <f t="shared" si="1251"/>
        <v>0</v>
      </c>
      <c r="AL621" s="124">
        <f t="shared" si="1251"/>
        <v>0</v>
      </c>
      <c r="AM621" s="124">
        <f t="shared" si="1251"/>
        <v>0</v>
      </c>
      <c r="AN621" s="124">
        <f t="shared" si="1251"/>
        <v>0</v>
      </c>
      <c r="AO621" s="124">
        <f t="shared" si="1251"/>
        <v>0</v>
      </c>
      <c r="AP621" s="124">
        <f t="shared" si="1251"/>
        <v>0</v>
      </c>
    </row>
    <row r="622" spans="1:42" s="101" customFormat="1" x14ac:dyDescent="0.2">
      <c r="A622" s="196" t="s">
        <v>106</v>
      </c>
      <c r="B622" s="221">
        <f>SUM(C622:AP622)</f>
        <v>55033984.034949556</v>
      </c>
      <c r="C622" s="204">
        <f t="shared" ref="C622:AP622" si="1252">IF(LPFDebtSwitch="No",0,SUM(C620:C621))</f>
        <v>3485594.9846550752</v>
      </c>
      <c r="D622" s="230">
        <f t="shared" si="1252"/>
        <v>3513448.3269593748</v>
      </c>
      <c r="E622" s="230">
        <f t="shared" si="1252"/>
        <v>3541243.6013510027</v>
      </c>
      <c r="F622" s="230">
        <f t="shared" si="1252"/>
        <v>3568977.9578648745</v>
      </c>
      <c r="G622" s="230">
        <f t="shared" si="1252"/>
        <v>3596648.4782186993</v>
      </c>
      <c r="H622" s="230">
        <f t="shared" si="1252"/>
        <v>3624252.1743018939</v>
      </c>
      <c r="I622" s="230">
        <f t="shared" si="1252"/>
        <v>3651785.9866312249</v>
      </c>
      <c r="J622" s="230">
        <f t="shared" si="1252"/>
        <v>3679246.7827724428</v>
      </c>
      <c r="K622" s="230">
        <f t="shared" si="1252"/>
        <v>3706631.3557271827</v>
      </c>
      <c r="L622" s="230">
        <f t="shared" si="1252"/>
        <v>3733936.4222843009</v>
      </c>
      <c r="M622" s="230">
        <f t="shared" si="1252"/>
        <v>3761158.6213349309</v>
      </c>
      <c r="N622" s="230">
        <f t="shared" si="1252"/>
        <v>3788294.5121503887</v>
      </c>
      <c r="O622" s="230">
        <f t="shared" si="1252"/>
        <v>3767334.6940368791</v>
      </c>
      <c r="P622" s="230">
        <f t="shared" si="1252"/>
        <v>3794287.3188777799</v>
      </c>
      <c r="Q622" s="230">
        <f t="shared" si="1252"/>
        <v>3821142.8177835047</v>
      </c>
      <c r="R622" s="230">
        <f t="shared" si="1252"/>
        <v>0</v>
      </c>
      <c r="S622" s="230">
        <f t="shared" si="1252"/>
        <v>0</v>
      </c>
      <c r="T622" s="230">
        <f t="shared" si="1252"/>
        <v>0</v>
      </c>
      <c r="U622" s="230">
        <f t="shared" si="1252"/>
        <v>0</v>
      </c>
      <c r="V622" s="230">
        <f t="shared" si="1252"/>
        <v>0</v>
      </c>
      <c r="W622" s="230">
        <f t="shared" si="1252"/>
        <v>0</v>
      </c>
      <c r="X622" s="230">
        <f t="shared" si="1252"/>
        <v>0</v>
      </c>
      <c r="Y622" s="230">
        <f t="shared" si="1252"/>
        <v>0</v>
      </c>
      <c r="Z622" s="230">
        <f t="shared" si="1252"/>
        <v>0</v>
      </c>
      <c r="AA622" s="230">
        <f t="shared" si="1252"/>
        <v>0</v>
      </c>
      <c r="AB622" s="230">
        <f t="shared" si="1252"/>
        <v>0</v>
      </c>
      <c r="AC622" s="230">
        <f t="shared" si="1252"/>
        <v>0</v>
      </c>
      <c r="AD622" s="230">
        <f t="shared" si="1252"/>
        <v>0</v>
      </c>
      <c r="AE622" s="230">
        <f t="shared" si="1252"/>
        <v>0</v>
      </c>
      <c r="AF622" s="230">
        <f t="shared" si="1252"/>
        <v>0</v>
      </c>
      <c r="AG622" s="230">
        <f t="shared" si="1252"/>
        <v>0</v>
      </c>
      <c r="AH622" s="230">
        <f t="shared" si="1252"/>
        <v>0</v>
      </c>
      <c r="AI622" s="230">
        <f t="shared" si="1252"/>
        <v>0</v>
      </c>
      <c r="AJ622" s="230">
        <f t="shared" si="1252"/>
        <v>0</v>
      </c>
      <c r="AK622" s="230">
        <f t="shared" si="1252"/>
        <v>0</v>
      </c>
      <c r="AL622" s="230">
        <f t="shared" si="1252"/>
        <v>0</v>
      </c>
      <c r="AM622" s="230">
        <f t="shared" si="1252"/>
        <v>0</v>
      </c>
      <c r="AN622" s="230">
        <f t="shared" si="1252"/>
        <v>0</v>
      </c>
      <c r="AO622" s="230">
        <f t="shared" si="1252"/>
        <v>0</v>
      </c>
      <c r="AP622" s="230">
        <f t="shared" si="1252"/>
        <v>0</v>
      </c>
    </row>
    <row r="623" spans="1:42" s="101" customFormat="1" x14ac:dyDescent="0.2">
      <c r="A623" s="183" t="s">
        <v>254</v>
      </c>
      <c r="B623" s="221">
        <f>SUM(C623:AP623)</f>
        <v>31596604.332957119</v>
      </c>
      <c r="C623" s="135">
        <f t="shared" ref="C623:AP623" si="1253">C618*C622</f>
        <v>3234890.9370348728</v>
      </c>
      <c r="D623" s="135">
        <f t="shared" si="1253"/>
        <v>3026209.6581817502</v>
      </c>
      <c r="E623" s="135">
        <f t="shared" si="1253"/>
        <v>2830765.9713395452</v>
      </c>
      <c r="F623" s="135">
        <f t="shared" si="1253"/>
        <v>2647736.427050659</v>
      </c>
      <c r="G623" s="135">
        <f t="shared" si="1253"/>
        <v>2476347.5650591771</v>
      </c>
      <c r="H623" s="135">
        <f t="shared" si="1253"/>
        <v>2315872.9768932401</v>
      </c>
      <c r="I623" s="135">
        <f t="shared" si="1253"/>
        <v>2165630.5330921784</v>
      </c>
      <c r="J623" s="135">
        <f t="shared" si="1253"/>
        <v>2024979.7665283806</v>
      </c>
      <c r="K623" s="135">
        <f t="shared" si="1253"/>
        <v>1893319.40365699</v>
      </c>
      <c r="L623" s="135">
        <f t="shared" si="1253"/>
        <v>1770085.0358983236</v>
      </c>
      <c r="M623" s="135">
        <f t="shared" si="1253"/>
        <v>1654746.9237182585</v>
      </c>
      <c r="N623" s="135">
        <f t="shared" si="1253"/>
        <v>1546807.9263201968</v>
      </c>
      <c r="O623" s="135">
        <f t="shared" si="1253"/>
        <v>1427609.9962978519</v>
      </c>
      <c r="P623" s="135">
        <f t="shared" si="1253"/>
        <v>1334406.9974608538</v>
      </c>
      <c r="Q623" s="135">
        <f t="shared" si="1253"/>
        <v>1247194.2144248451</v>
      </c>
      <c r="R623" s="135">
        <f t="shared" si="1253"/>
        <v>0</v>
      </c>
      <c r="S623" s="135">
        <f t="shared" si="1253"/>
        <v>0</v>
      </c>
      <c r="T623" s="135">
        <f t="shared" si="1253"/>
        <v>0</v>
      </c>
      <c r="U623" s="135">
        <f t="shared" si="1253"/>
        <v>0</v>
      </c>
      <c r="V623" s="135">
        <f t="shared" si="1253"/>
        <v>0</v>
      </c>
      <c r="W623" s="135">
        <f t="shared" si="1253"/>
        <v>0</v>
      </c>
      <c r="X623" s="135">
        <f t="shared" si="1253"/>
        <v>0</v>
      </c>
      <c r="Y623" s="135">
        <f t="shared" si="1253"/>
        <v>0</v>
      </c>
      <c r="Z623" s="135">
        <f t="shared" si="1253"/>
        <v>0</v>
      </c>
      <c r="AA623" s="135">
        <f t="shared" si="1253"/>
        <v>0</v>
      </c>
      <c r="AB623" s="135">
        <f t="shared" si="1253"/>
        <v>0</v>
      </c>
      <c r="AC623" s="135">
        <f t="shared" si="1253"/>
        <v>0</v>
      </c>
      <c r="AD623" s="135">
        <f t="shared" si="1253"/>
        <v>0</v>
      </c>
      <c r="AE623" s="135">
        <f t="shared" si="1253"/>
        <v>0</v>
      </c>
      <c r="AF623" s="135">
        <f t="shared" si="1253"/>
        <v>0</v>
      </c>
      <c r="AG623" s="135">
        <f t="shared" si="1253"/>
        <v>0</v>
      </c>
      <c r="AH623" s="135">
        <f t="shared" si="1253"/>
        <v>0</v>
      </c>
      <c r="AI623" s="135">
        <f t="shared" si="1253"/>
        <v>0</v>
      </c>
      <c r="AJ623" s="135">
        <f t="shared" si="1253"/>
        <v>0</v>
      </c>
      <c r="AK623" s="135">
        <f t="shared" si="1253"/>
        <v>0</v>
      </c>
      <c r="AL623" s="135">
        <f t="shared" si="1253"/>
        <v>0</v>
      </c>
      <c r="AM623" s="135">
        <f t="shared" si="1253"/>
        <v>0</v>
      </c>
      <c r="AN623" s="135">
        <f t="shared" si="1253"/>
        <v>0</v>
      </c>
      <c r="AO623" s="135">
        <f t="shared" si="1253"/>
        <v>0</v>
      </c>
      <c r="AP623" s="135">
        <f t="shared" si="1253"/>
        <v>0</v>
      </c>
    </row>
    <row r="624" spans="1:42" s="101" customFormat="1" x14ac:dyDescent="0.2">
      <c r="A624" s="183" t="s">
        <v>105</v>
      </c>
      <c r="C624" s="222">
        <f t="shared" ref="C624:AP624" si="1254">IF(AND(C$2&lt;=LPFDebtTerm,C$2&lt;=AnalysisPeriod),LPFDSCR,0)</f>
        <v>1.35</v>
      </c>
      <c r="D624" s="222">
        <f t="shared" si="1254"/>
        <v>1.35</v>
      </c>
      <c r="E624" s="222">
        <f t="shared" si="1254"/>
        <v>1.35</v>
      </c>
      <c r="F624" s="222">
        <f t="shared" si="1254"/>
        <v>1.35</v>
      </c>
      <c r="G624" s="222">
        <f t="shared" si="1254"/>
        <v>1.35</v>
      </c>
      <c r="H624" s="222">
        <f t="shared" si="1254"/>
        <v>1.35</v>
      </c>
      <c r="I624" s="222">
        <f t="shared" si="1254"/>
        <v>1.35</v>
      </c>
      <c r="J624" s="222">
        <f t="shared" si="1254"/>
        <v>1.35</v>
      </c>
      <c r="K624" s="222">
        <f t="shared" si="1254"/>
        <v>1.35</v>
      </c>
      <c r="L624" s="222">
        <f t="shared" si="1254"/>
        <v>1.35</v>
      </c>
      <c r="M624" s="222">
        <f t="shared" si="1254"/>
        <v>1.35</v>
      </c>
      <c r="N624" s="222">
        <f t="shared" si="1254"/>
        <v>1.35</v>
      </c>
      <c r="O624" s="222">
        <f t="shared" si="1254"/>
        <v>1.35</v>
      </c>
      <c r="P624" s="222">
        <f t="shared" si="1254"/>
        <v>1.35</v>
      </c>
      <c r="Q624" s="222">
        <f t="shared" si="1254"/>
        <v>1.35</v>
      </c>
      <c r="R624" s="222">
        <f t="shared" si="1254"/>
        <v>0</v>
      </c>
      <c r="S624" s="222">
        <f t="shared" si="1254"/>
        <v>0</v>
      </c>
      <c r="T624" s="222">
        <f t="shared" si="1254"/>
        <v>0</v>
      </c>
      <c r="U624" s="222">
        <f t="shared" si="1254"/>
        <v>0</v>
      </c>
      <c r="V624" s="222">
        <f t="shared" si="1254"/>
        <v>0</v>
      </c>
      <c r="W624" s="222">
        <f t="shared" si="1254"/>
        <v>0</v>
      </c>
      <c r="X624" s="222">
        <f t="shared" si="1254"/>
        <v>0</v>
      </c>
      <c r="Y624" s="222">
        <f t="shared" si="1254"/>
        <v>0</v>
      </c>
      <c r="Z624" s="222">
        <f t="shared" si="1254"/>
        <v>0</v>
      </c>
      <c r="AA624" s="222">
        <f t="shared" si="1254"/>
        <v>0</v>
      </c>
      <c r="AB624" s="222">
        <f t="shared" si="1254"/>
        <v>0</v>
      </c>
      <c r="AC624" s="222">
        <f t="shared" si="1254"/>
        <v>0</v>
      </c>
      <c r="AD624" s="222">
        <f t="shared" si="1254"/>
        <v>0</v>
      </c>
      <c r="AE624" s="222">
        <f t="shared" si="1254"/>
        <v>0</v>
      </c>
      <c r="AF624" s="222">
        <f t="shared" si="1254"/>
        <v>0</v>
      </c>
      <c r="AG624" s="222">
        <f t="shared" si="1254"/>
        <v>0</v>
      </c>
      <c r="AH624" s="222">
        <f t="shared" si="1254"/>
        <v>0</v>
      </c>
      <c r="AI624" s="222">
        <f t="shared" si="1254"/>
        <v>0</v>
      </c>
      <c r="AJ624" s="222">
        <f t="shared" si="1254"/>
        <v>0</v>
      </c>
      <c r="AK624" s="222">
        <f t="shared" si="1254"/>
        <v>0</v>
      </c>
      <c r="AL624" s="222">
        <f t="shared" si="1254"/>
        <v>0</v>
      </c>
      <c r="AM624" s="222">
        <f t="shared" si="1254"/>
        <v>0</v>
      </c>
      <c r="AN624" s="222">
        <f t="shared" si="1254"/>
        <v>0</v>
      </c>
      <c r="AO624" s="222">
        <f t="shared" si="1254"/>
        <v>0</v>
      </c>
      <c r="AP624" s="222">
        <f t="shared" si="1254"/>
        <v>0</v>
      </c>
    </row>
    <row r="625" spans="1:42" s="101" customFormat="1" x14ac:dyDescent="0.2">
      <c r="A625" s="183" t="s">
        <v>255</v>
      </c>
      <c r="B625" s="221">
        <f>SUM(C625:AP625)</f>
        <v>23404892.098486755</v>
      </c>
      <c r="C625" s="135">
        <f t="shared" ref="C625:AP625" si="1255">IF(AND(C$2&lt;=LPFDebtTerm,C$2&lt;=AnalysisPeriod),C623/C624,0)</f>
        <v>2396215.5089147203</v>
      </c>
      <c r="D625" s="135">
        <f t="shared" si="1255"/>
        <v>2241636.7838383336</v>
      </c>
      <c r="E625" s="135">
        <f t="shared" si="1255"/>
        <v>2096863.682473737</v>
      </c>
      <c r="F625" s="135">
        <f t="shared" si="1255"/>
        <v>1961286.2422597473</v>
      </c>
      <c r="G625" s="135">
        <f t="shared" si="1255"/>
        <v>1834331.5296734644</v>
      </c>
      <c r="H625" s="135">
        <f t="shared" si="1255"/>
        <v>1715461.4643653629</v>
      </c>
      <c r="I625" s="135">
        <f t="shared" si="1255"/>
        <v>1604170.7652534654</v>
      </c>
      <c r="J625" s="135">
        <f t="shared" si="1255"/>
        <v>1499985.0122432448</v>
      </c>
      <c r="K625" s="135">
        <f t="shared" si="1255"/>
        <v>1402458.8175236962</v>
      </c>
      <c r="L625" s="135">
        <f t="shared" si="1255"/>
        <v>1311174.1006654247</v>
      </c>
      <c r="M625" s="135">
        <f t="shared" si="1255"/>
        <v>1225738.4620135247</v>
      </c>
      <c r="N625" s="135">
        <f t="shared" si="1255"/>
        <v>1145783.6491260717</v>
      </c>
      <c r="O625" s="135">
        <f t="shared" si="1255"/>
        <v>1057488.8861465568</v>
      </c>
      <c r="P625" s="135">
        <f t="shared" si="1255"/>
        <v>988449.62774878053</v>
      </c>
      <c r="Q625" s="135">
        <f t="shared" si="1255"/>
        <v>923847.56624062592</v>
      </c>
      <c r="R625" s="135">
        <f t="shared" si="1255"/>
        <v>0</v>
      </c>
      <c r="S625" s="135">
        <f t="shared" si="1255"/>
        <v>0</v>
      </c>
      <c r="T625" s="135">
        <f t="shared" si="1255"/>
        <v>0</v>
      </c>
      <c r="U625" s="135">
        <f t="shared" si="1255"/>
        <v>0</v>
      </c>
      <c r="V625" s="135">
        <f t="shared" si="1255"/>
        <v>0</v>
      </c>
      <c r="W625" s="135">
        <f t="shared" si="1255"/>
        <v>0</v>
      </c>
      <c r="X625" s="135">
        <f t="shared" si="1255"/>
        <v>0</v>
      </c>
      <c r="Y625" s="135">
        <f t="shared" si="1255"/>
        <v>0</v>
      </c>
      <c r="Z625" s="135">
        <f t="shared" si="1255"/>
        <v>0</v>
      </c>
      <c r="AA625" s="135">
        <f t="shared" si="1255"/>
        <v>0</v>
      </c>
      <c r="AB625" s="135">
        <f t="shared" si="1255"/>
        <v>0</v>
      </c>
      <c r="AC625" s="135">
        <f t="shared" si="1255"/>
        <v>0</v>
      </c>
      <c r="AD625" s="135">
        <f t="shared" si="1255"/>
        <v>0</v>
      </c>
      <c r="AE625" s="135">
        <f t="shared" si="1255"/>
        <v>0</v>
      </c>
      <c r="AF625" s="135">
        <f t="shared" si="1255"/>
        <v>0</v>
      </c>
      <c r="AG625" s="135">
        <f t="shared" si="1255"/>
        <v>0</v>
      </c>
      <c r="AH625" s="135">
        <f t="shared" si="1255"/>
        <v>0</v>
      </c>
      <c r="AI625" s="135">
        <f t="shared" si="1255"/>
        <v>0</v>
      </c>
      <c r="AJ625" s="135">
        <f t="shared" si="1255"/>
        <v>0</v>
      </c>
      <c r="AK625" s="135">
        <f t="shared" si="1255"/>
        <v>0</v>
      </c>
      <c r="AL625" s="135">
        <f t="shared" si="1255"/>
        <v>0</v>
      </c>
      <c r="AM625" s="135">
        <f t="shared" si="1255"/>
        <v>0</v>
      </c>
      <c r="AN625" s="135">
        <f t="shared" si="1255"/>
        <v>0</v>
      </c>
      <c r="AO625" s="135">
        <f t="shared" si="1255"/>
        <v>0</v>
      </c>
      <c r="AP625" s="135">
        <f t="shared" si="1255"/>
        <v>0</v>
      </c>
    </row>
    <row r="626" spans="1:42" s="101" customFormat="1" x14ac:dyDescent="0.2">
      <c r="A626" s="349"/>
    </row>
    <row r="627" spans="1:42" x14ac:dyDescent="0.2">
      <c r="A627" s="167" t="s">
        <v>98</v>
      </c>
      <c r="C627" s="135"/>
      <c r="D627" s="135"/>
      <c r="E627" s="135"/>
      <c r="F627" s="135"/>
      <c r="G627" s="135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/>
      <c r="AH627" s="135"/>
      <c r="AI627" s="135"/>
      <c r="AJ627" s="135"/>
      <c r="AK627" s="135"/>
      <c r="AL627" s="135"/>
      <c r="AM627" s="135"/>
      <c r="AN627" s="135"/>
      <c r="AO627" s="135"/>
      <c r="AP627" s="135"/>
    </row>
    <row r="628" spans="1:42" x14ac:dyDescent="0.2">
      <c r="A628" s="183" t="s">
        <v>96</v>
      </c>
      <c r="B628" s="135">
        <v>0</v>
      </c>
      <c r="C628" s="135">
        <f>B631</f>
        <v>23404892.098486755</v>
      </c>
      <c r="D628" s="135">
        <f t="shared" ref="D628:J628" si="1256">C631</f>
        <v>22636849.025263868</v>
      </c>
      <c r="E628" s="135">
        <f t="shared" si="1256"/>
        <v>21788650.508455615</v>
      </c>
      <c r="F628" s="135">
        <f t="shared" si="1256"/>
        <v>20854127.514452774</v>
      </c>
      <c r="G628" s="135">
        <f t="shared" si="1256"/>
        <v>19826635.02062666</v>
      </c>
      <c r="H628" s="135">
        <f t="shared" si="1256"/>
        <v>18699015.17678545</v>
      </c>
      <c r="I628" s="135">
        <f t="shared" si="1256"/>
        <v>17463557.612762697</v>
      </c>
      <c r="J628" s="135">
        <f t="shared" si="1256"/>
        <v>16111956.670987936</v>
      </c>
      <c r="K628" s="135">
        <f t="shared" ref="K628:AP628" si="1257">J631</f>
        <v>14635265.325750655</v>
      </c>
      <c r="L628" s="135">
        <f t="shared" si="1257"/>
        <v>13023845.532402121</v>
      </c>
      <c r="M628" s="135">
        <f t="shared" si="1257"/>
        <v>11267314.729841581</v>
      </c>
      <c r="N628" s="135">
        <f t="shared" si="1257"/>
        <v>9354488.1981932446</v>
      </c>
      <c r="O628" s="135">
        <f t="shared" si="1257"/>
        <v>7273316.9504788592</v>
      </c>
      <c r="P628" s="135">
        <f t="shared" si="1257"/>
        <v>5046380.7222618014</v>
      </c>
      <c r="Q628" s="135">
        <f t="shared" si="1257"/>
        <v>2626892.0290683652</v>
      </c>
      <c r="R628" s="135">
        <f t="shared" si="1257"/>
        <v>4.9360096454620361E-8</v>
      </c>
      <c r="S628" s="135">
        <f t="shared" si="1257"/>
        <v>4.9360096454620361E-8</v>
      </c>
      <c r="T628" s="135">
        <f t="shared" si="1257"/>
        <v>4.9360096454620361E-8</v>
      </c>
      <c r="U628" s="135">
        <f t="shared" si="1257"/>
        <v>4.9360096454620361E-8</v>
      </c>
      <c r="V628" s="135">
        <f t="shared" si="1257"/>
        <v>4.9360096454620361E-8</v>
      </c>
      <c r="W628" s="135">
        <f t="shared" si="1257"/>
        <v>4.9360096454620361E-8</v>
      </c>
      <c r="X628" s="135">
        <f t="shared" si="1257"/>
        <v>4.9360096454620361E-8</v>
      </c>
      <c r="Y628" s="135">
        <f t="shared" si="1257"/>
        <v>4.9360096454620361E-8</v>
      </c>
      <c r="Z628" s="135">
        <f t="shared" si="1257"/>
        <v>4.9360096454620361E-8</v>
      </c>
      <c r="AA628" s="135">
        <f t="shared" si="1257"/>
        <v>4.9360096454620361E-8</v>
      </c>
      <c r="AB628" s="135">
        <f t="shared" si="1257"/>
        <v>4.9360096454620361E-8</v>
      </c>
      <c r="AC628" s="135">
        <f t="shared" si="1257"/>
        <v>4.9360096454620361E-8</v>
      </c>
      <c r="AD628" s="135">
        <f t="shared" si="1257"/>
        <v>4.9360096454620361E-8</v>
      </c>
      <c r="AE628" s="135">
        <f t="shared" si="1257"/>
        <v>4.9360096454620361E-8</v>
      </c>
      <c r="AF628" s="135">
        <f t="shared" si="1257"/>
        <v>4.9360096454620361E-8</v>
      </c>
      <c r="AG628" s="135">
        <f t="shared" si="1257"/>
        <v>4.9360096454620361E-8</v>
      </c>
      <c r="AH628" s="135">
        <f t="shared" si="1257"/>
        <v>4.9360096454620361E-8</v>
      </c>
      <c r="AI628" s="135">
        <f t="shared" si="1257"/>
        <v>4.9360096454620361E-8</v>
      </c>
      <c r="AJ628" s="135">
        <f t="shared" si="1257"/>
        <v>4.9360096454620361E-8</v>
      </c>
      <c r="AK628" s="135">
        <f t="shared" si="1257"/>
        <v>4.9360096454620361E-8</v>
      </c>
      <c r="AL628" s="135">
        <f t="shared" si="1257"/>
        <v>4.9360096454620361E-8</v>
      </c>
      <c r="AM628" s="135">
        <f t="shared" si="1257"/>
        <v>4.9360096454620361E-8</v>
      </c>
      <c r="AN628" s="135">
        <f t="shared" si="1257"/>
        <v>4.9360096454620361E-8</v>
      </c>
      <c r="AO628" s="135">
        <f t="shared" si="1257"/>
        <v>4.9360096454620361E-8</v>
      </c>
      <c r="AP628" s="135">
        <f t="shared" si="1257"/>
        <v>4.9360096454620361E-8</v>
      </c>
    </row>
    <row r="629" spans="1:42" x14ac:dyDescent="0.2">
      <c r="A629" s="183" t="s">
        <v>97</v>
      </c>
      <c r="B629" s="135">
        <f>B625</f>
        <v>23404892.098486755</v>
      </c>
      <c r="C629" s="135">
        <v>0</v>
      </c>
      <c r="D629" s="135">
        <v>0</v>
      </c>
      <c r="E629" s="135">
        <v>0</v>
      </c>
      <c r="F629" s="135">
        <v>0</v>
      </c>
      <c r="G629" s="135">
        <v>0</v>
      </c>
      <c r="H629" s="135">
        <v>0</v>
      </c>
      <c r="I629" s="135">
        <v>0</v>
      </c>
      <c r="J629" s="135">
        <v>0</v>
      </c>
      <c r="K629" s="135">
        <v>0</v>
      </c>
      <c r="L629" s="135">
        <v>0</v>
      </c>
      <c r="M629" s="135">
        <v>0</v>
      </c>
      <c r="N629" s="135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35">
        <v>0</v>
      </c>
      <c r="V629" s="135">
        <v>0</v>
      </c>
      <c r="W629" s="135">
        <v>0</v>
      </c>
      <c r="X629" s="135">
        <v>0</v>
      </c>
      <c r="Y629" s="135">
        <v>0</v>
      </c>
      <c r="Z629" s="135">
        <v>0</v>
      </c>
      <c r="AA629" s="135">
        <v>0</v>
      </c>
      <c r="AB629" s="135">
        <v>0</v>
      </c>
      <c r="AC629" s="135">
        <v>0</v>
      </c>
      <c r="AD629" s="135">
        <v>0</v>
      </c>
      <c r="AE629" s="135">
        <v>0</v>
      </c>
      <c r="AF629" s="135">
        <v>0</v>
      </c>
      <c r="AG629" s="135">
        <v>0</v>
      </c>
      <c r="AH629" s="135">
        <v>0</v>
      </c>
      <c r="AI629" s="135">
        <v>0</v>
      </c>
      <c r="AJ629" s="135">
        <v>0</v>
      </c>
      <c r="AK629" s="135">
        <v>0</v>
      </c>
      <c r="AL629" s="135">
        <v>0</v>
      </c>
      <c r="AM629" s="135">
        <v>0</v>
      </c>
      <c r="AN629" s="135">
        <v>0</v>
      </c>
      <c r="AO629" s="135">
        <v>0</v>
      </c>
      <c r="AP629" s="135">
        <v>0</v>
      </c>
    </row>
    <row r="630" spans="1:42" x14ac:dyDescent="0.2">
      <c r="A630" s="183" t="s">
        <v>98</v>
      </c>
      <c r="B630" s="170">
        <v>0</v>
      </c>
      <c r="C630" s="170">
        <f>-C633</f>
        <v>-768043.0732228877</v>
      </c>
      <c r="D630" s="170">
        <f t="shared" ref="D630:J630" si="1258">-D633</f>
        <v>-848198.51680825348</v>
      </c>
      <c r="E630" s="170">
        <f t="shared" si="1258"/>
        <v>-934522.99400283978</v>
      </c>
      <c r="F630" s="170">
        <f t="shared" si="1258"/>
        <v>-1027492.4938261134</v>
      </c>
      <c r="G630" s="170">
        <f t="shared" si="1258"/>
        <v>-1127619.8438412109</v>
      </c>
      <c r="H630" s="170">
        <f t="shared" si="1258"/>
        <v>-1235457.5640227525</v>
      </c>
      <c r="I630" s="170">
        <f t="shared" si="1258"/>
        <v>-1351600.9417747613</v>
      </c>
      <c r="J630" s="170">
        <f t="shared" si="1258"/>
        <v>-1476691.3452372812</v>
      </c>
      <c r="K630" s="170">
        <f t="shared" ref="K630:AP630" si="1259">-K633</f>
        <v>-1611419.7933485333</v>
      </c>
      <c r="L630" s="170">
        <f t="shared" si="1259"/>
        <v>-1756530.8025605399</v>
      </c>
      <c r="M630" s="170">
        <f t="shared" si="1259"/>
        <v>-1912826.5316483369</v>
      </c>
      <c r="N630" s="170">
        <f t="shared" si="1259"/>
        <v>-2081171.2477143854</v>
      </c>
      <c r="O630" s="170">
        <f t="shared" si="1259"/>
        <v>-2226936.2282170579</v>
      </c>
      <c r="P630" s="170">
        <f t="shared" si="1259"/>
        <v>-2419488.6931934361</v>
      </c>
      <c r="Q630" s="170">
        <f t="shared" si="1259"/>
        <v>-2626892.0290683159</v>
      </c>
      <c r="R630" s="170">
        <f t="shared" si="1259"/>
        <v>0</v>
      </c>
      <c r="S630" s="170">
        <f t="shared" si="1259"/>
        <v>0</v>
      </c>
      <c r="T630" s="170">
        <f t="shared" si="1259"/>
        <v>0</v>
      </c>
      <c r="U630" s="170">
        <f t="shared" si="1259"/>
        <v>0</v>
      </c>
      <c r="V630" s="170">
        <f t="shared" si="1259"/>
        <v>0</v>
      </c>
      <c r="W630" s="170">
        <f t="shared" si="1259"/>
        <v>0</v>
      </c>
      <c r="X630" s="170">
        <f t="shared" si="1259"/>
        <v>0</v>
      </c>
      <c r="Y630" s="170">
        <f t="shared" si="1259"/>
        <v>0</v>
      </c>
      <c r="Z630" s="170">
        <f t="shared" si="1259"/>
        <v>0</v>
      </c>
      <c r="AA630" s="170">
        <f t="shared" si="1259"/>
        <v>0</v>
      </c>
      <c r="AB630" s="170">
        <f t="shared" si="1259"/>
        <v>0</v>
      </c>
      <c r="AC630" s="170">
        <f t="shared" si="1259"/>
        <v>0</v>
      </c>
      <c r="AD630" s="170">
        <f t="shared" si="1259"/>
        <v>0</v>
      </c>
      <c r="AE630" s="170">
        <f t="shared" si="1259"/>
        <v>0</v>
      </c>
      <c r="AF630" s="170">
        <f t="shared" si="1259"/>
        <v>0</v>
      </c>
      <c r="AG630" s="170">
        <f t="shared" si="1259"/>
        <v>0</v>
      </c>
      <c r="AH630" s="170">
        <f t="shared" si="1259"/>
        <v>0</v>
      </c>
      <c r="AI630" s="170">
        <f t="shared" si="1259"/>
        <v>0</v>
      </c>
      <c r="AJ630" s="170">
        <f t="shared" si="1259"/>
        <v>0</v>
      </c>
      <c r="AK630" s="170">
        <f t="shared" si="1259"/>
        <v>0</v>
      </c>
      <c r="AL630" s="170">
        <f t="shared" si="1259"/>
        <v>0</v>
      </c>
      <c r="AM630" s="170">
        <f t="shared" si="1259"/>
        <v>0</v>
      </c>
      <c r="AN630" s="170">
        <f t="shared" si="1259"/>
        <v>0</v>
      </c>
      <c r="AO630" s="170">
        <f t="shared" si="1259"/>
        <v>0</v>
      </c>
      <c r="AP630" s="170">
        <f t="shared" si="1259"/>
        <v>0</v>
      </c>
    </row>
    <row r="631" spans="1:42" x14ac:dyDescent="0.2">
      <c r="A631" s="183" t="s">
        <v>99</v>
      </c>
      <c r="B631" s="135">
        <f>SUM(B628:B630)</f>
        <v>23404892.098486755</v>
      </c>
      <c r="C631" s="135">
        <f>SUM(C628:C630)</f>
        <v>22636849.025263868</v>
      </c>
      <c r="D631" s="135">
        <f t="shared" ref="D631:J631" si="1260">SUM(D628:D630)</f>
        <v>21788650.508455615</v>
      </c>
      <c r="E631" s="135">
        <f t="shared" si="1260"/>
        <v>20854127.514452774</v>
      </c>
      <c r="F631" s="135">
        <f t="shared" si="1260"/>
        <v>19826635.02062666</v>
      </c>
      <c r="G631" s="135">
        <f t="shared" si="1260"/>
        <v>18699015.17678545</v>
      </c>
      <c r="H631" s="135">
        <f t="shared" si="1260"/>
        <v>17463557.612762697</v>
      </c>
      <c r="I631" s="135">
        <f t="shared" si="1260"/>
        <v>16111956.670987936</v>
      </c>
      <c r="J631" s="135">
        <f t="shared" si="1260"/>
        <v>14635265.325750655</v>
      </c>
      <c r="K631" s="135">
        <f t="shared" ref="K631" si="1261">SUM(K628:K630)</f>
        <v>13023845.532402121</v>
      </c>
      <c r="L631" s="135">
        <f t="shared" ref="L631" si="1262">SUM(L628:L630)</f>
        <v>11267314.729841581</v>
      </c>
      <c r="M631" s="135">
        <f t="shared" ref="M631" si="1263">SUM(M628:M630)</f>
        <v>9354488.1981932446</v>
      </c>
      <c r="N631" s="135">
        <f t="shared" ref="N631" si="1264">SUM(N628:N630)</f>
        <v>7273316.9504788592</v>
      </c>
      <c r="O631" s="135">
        <f t="shared" ref="O631" si="1265">SUM(O628:O630)</f>
        <v>5046380.7222618014</v>
      </c>
      <c r="P631" s="135">
        <f t="shared" ref="P631:Q631" si="1266">SUM(P628:P630)</f>
        <v>2626892.0290683652</v>
      </c>
      <c r="Q631" s="135">
        <f t="shared" si="1266"/>
        <v>4.9360096454620361E-8</v>
      </c>
      <c r="R631" s="135">
        <f t="shared" ref="R631" si="1267">SUM(R628:R630)</f>
        <v>4.9360096454620361E-8</v>
      </c>
      <c r="S631" s="135">
        <f t="shared" ref="S631" si="1268">SUM(S628:S630)</f>
        <v>4.9360096454620361E-8</v>
      </c>
      <c r="T631" s="135">
        <f t="shared" ref="T631" si="1269">SUM(T628:T630)</f>
        <v>4.9360096454620361E-8</v>
      </c>
      <c r="U631" s="135">
        <f t="shared" ref="U631" si="1270">SUM(U628:U630)</f>
        <v>4.9360096454620361E-8</v>
      </c>
      <c r="V631" s="135">
        <f t="shared" ref="V631" si="1271">SUM(V628:V630)</f>
        <v>4.9360096454620361E-8</v>
      </c>
      <c r="W631" s="135">
        <f t="shared" ref="W631:X631" si="1272">SUM(W628:W630)</f>
        <v>4.9360096454620361E-8</v>
      </c>
      <c r="X631" s="135">
        <f t="shared" si="1272"/>
        <v>4.9360096454620361E-8</v>
      </c>
      <c r="Y631" s="135">
        <f t="shared" ref="Y631" si="1273">SUM(Y628:Y630)</f>
        <v>4.9360096454620361E-8</v>
      </c>
      <c r="Z631" s="135">
        <f t="shared" ref="Z631" si="1274">SUM(Z628:Z630)</f>
        <v>4.9360096454620361E-8</v>
      </c>
      <c r="AA631" s="135">
        <f t="shared" ref="AA631" si="1275">SUM(AA628:AA630)</f>
        <v>4.9360096454620361E-8</v>
      </c>
      <c r="AB631" s="135">
        <f t="shared" ref="AB631" si="1276">SUM(AB628:AB630)</f>
        <v>4.9360096454620361E-8</v>
      </c>
      <c r="AC631" s="135">
        <f t="shared" ref="AC631" si="1277">SUM(AC628:AC630)</f>
        <v>4.9360096454620361E-8</v>
      </c>
      <c r="AD631" s="135">
        <f t="shared" ref="AD631:AE631" si="1278">SUM(AD628:AD630)</f>
        <v>4.9360096454620361E-8</v>
      </c>
      <c r="AE631" s="135">
        <f t="shared" si="1278"/>
        <v>4.9360096454620361E-8</v>
      </c>
      <c r="AF631" s="135">
        <f t="shared" ref="AF631" si="1279">SUM(AF628:AF630)</f>
        <v>4.9360096454620361E-8</v>
      </c>
      <c r="AG631" s="135">
        <f t="shared" ref="AG631" si="1280">SUM(AG628:AG630)</f>
        <v>4.9360096454620361E-8</v>
      </c>
      <c r="AH631" s="135">
        <f t="shared" ref="AH631" si="1281">SUM(AH628:AH630)</f>
        <v>4.9360096454620361E-8</v>
      </c>
      <c r="AI631" s="135">
        <f t="shared" ref="AI631" si="1282">SUM(AI628:AI630)</f>
        <v>4.9360096454620361E-8</v>
      </c>
      <c r="AJ631" s="135">
        <f t="shared" ref="AJ631" si="1283">SUM(AJ628:AJ630)</f>
        <v>4.9360096454620361E-8</v>
      </c>
      <c r="AK631" s="135">
        <f t="shared" ref="AK631:AL631" si="1284">SUM(AK628:AK630)</f>
        <v>4.9360096454620361E-8</v>
      </c>
      <c r="AL631" s="135">
        <f t="shared" si="1284"/>
        <v>4.9360096454620361E-8</v>
      </c>
      <c r="AM631" s="135">
        <f t="shared" ref="AM631" si="1285">SUM(AM628:AM630)</f>
        <v>4.9360096454620361E-8</v>
      </c>
      <c r="AN631" s="135">
        <f t="shared" ref="AN631" si="1286">SUM(AN628:AN630)</f>
        <v>4.9360096454620361E-8</v>
      </c>
      <c r="AO631" s="135">
        <f t="shared" ref="AO631" si="1287">SUM(AO628:AO630)</f>
        <v>4.9360096454620361E-8</v>
      </c>
      <c r="AP631" s="135">
        <f t="shared" ref="AP631" si="1288">SUM(AP628:AP630)</f>
        <v>4.9360096454620361E-8</v>
      </c>
    </row>
    <row r="632" spans="1:42" x14ac:dyDescent="0.2">
      <c r="A632" s="167"/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</row>
    <row r="633" spans="1:42" x14ac:dyDescent="0.2">
      <c r="A633" s="183" t="s">
        <v>100</v>
      </c>
      <c r="B633" s="179">
        <f>SUM(C633:AP633)</f>
        <v>23404892.098486707</v>
      </c>
      <c r="C633" s="135">
        <f>C635-C634</f>
        <v>768043.0732228877</v>
      </c>
      <c r="D633" s="135">
        <f t="shared" ref="D633:J633" si="1289">D635-D634</f>
        <v>848198.51680825348</v>
      </c>
      <c r="E633" s="135">
        <f t="shared" si="1289"/>
        <v>934522.99400283978</v>
      </c>
      <c r="F633" s="135">
        <f t="shared" si="1289"/>
        <v>1027492.4938261134</v>
      </c>
      <c r="G633" s="135">
        <f t="shared" si="1289"/>
        <v>1127619.8438412109</v>
      </c>
      <c r="H633" s="135">
        <f t="shared" si="1289"/>
        <v>1235457.5640227525</v>
      </c>
      <c r="I633" s="135">
        <f t="shared" si="1289"/>
        <v>1351600.9417747613</v>
      </c>
      <c r="J633" s="135">
        <f t="shared" si="1289"/>
        <v>1476691.3452372812</v>
      </c>
      <c r="K633" s="135">
        <f t="shared" ref="K633" si="1290">K635-K634</f>
        <v>1611419.7933485333</v>
      </c>
      <c r="L633" s="135">
        <f t="shared" ref="L633" si="1291">L635-L634</f>
        <v>1756530.8025605399</v>
      </c>
      <c r="M633" s="135">
        <f t="shared" ref="M633" si="1292">M635-M634</f>
        <v>1912826.5316483369</v>
      </c>
      <c r="N633" s="135">
        <f t="shared" ref="N633" si="1293">N635-N634</f>
        <v>2081171.2477143854</v>
      </c>
      <c r="O633" s="135">
        <f t="shared" ref="O633" si="1294">O635-O634</f>
        <v>2226936.2282170579</v>
      </c>
      <c r="P633" s="135">
        <f t="shared" ref="P633:Q633" si="1295">P635-P634</f>
        <v>2419488.6931934361</v>
      </c>
      <c r="Q633" s="135">
        <f t="shared" si="1295"/>
        <v>2626892.0290683159</v>
      </c>
      <c r="R633" s="135">
        <f t="shared" ref="R633" si="1296">R635-R634</f>
        <v>0</v>
      </c>
      <c r="S633" s="135">
        <f t="shared" ref="S633" si="1297">S635-S634</f>
        <v>0</v>
      </c>
      <c r="T633" s="135">
        <f t="shared" ref="T633" si="1298">T635-T634</f>
        <v>0</v>
      </c>
      <c r="U633" s="135">
        <f t="shared" ref="U633" si="1299">U635-U634</f>
        <v>0</v>
      </c>
      <c r="V633" s="135">
        <f t="shared" ref="V633" si="1300">V635-V634</f>
        <v>0</v>
      </c>
      <c r="W633" s="135">
        <f t="shared" ref="W633:X633" si="1301">W635-W634</f>
        <v>0</v>
      </c>
      <c r="X633" s="135">
        <f t="shared" si="1301"/>
        <v>0</v>
      </c>
      <c r="Y633" s="135">
        <f t="shared" ref="Y633" si="1302">Y635-Y634</f>
        <v>0</v>
      </c>
      <c r="Z633" s="135">
        <f t="shared" ref="Z633" si="1303">Z635-Z634</f>
        <v>0</v>
      </c>
      <c r="AA633" s="135">
        <f t="shared" ref="AA633" si="1304">AA635-AA634</f>
        <v>0</v>
      </c>
      <c r="AB633" s="135">
        <f t="shared" ref="AB633" si="1305">AB635-AB634</f>
        <v>0</v>
      </c>
      <c r="AC633" s="135">
        <f t="shared" ref="AC633" si="1306">AC635-AC634</f>
        <v>0</v>
      </c>
      <c r="AD633" s="135">
        <f t="shared" ref="AD633:AE633" si="1307">AD635-AD634</f>
        <v>0</v>
      </c>
      <c r="AE633" s="135">
        <f t="shared" si="1307"/>
        <v>0</v>
      </c>
      <c r="AF633" s="135">
        <f t="shared" ref="AF633" si="1308">AF635-AF634</f>
        <v>0</v>
      </c>
      <c r="AG633" s="135">
        <f t="shared" ref="AG633" si="1309">AG635-AG634</f>
        <v>0</v>
      </c>
      <c r="AH633" s="135">
        <f t="shared" ref="AH633" si="1310">AH635-AH634</f>
        <v>0</v>
      </c>
      <c r="AI633" s="135">
        <f t="shared" ref="AI633" si="1311">AI635-AI634</f>
        <v>0</v>
      </c>
      <c r="AJ633" s="135">
        <f t="shared" ref="AJ633" si="1312">AJ635-AJ634</f>
        <v>0</v>
      </c>
      <c r="AK633" s="135">
        <f t="shared" ref="AK633:AL633" si="1313">AK635-AK634</f>
        <v>0</v>
      </c>
      <c r="AL633" s="135">
        <f t="shared" si="1313"/>
        <v>0</v>
      </c>
      <c r="AM633" s="135">
        <f t="shared" ref="AM633" si="1314">AM635-AM634</f>
        <v>0</v>
      </c>
      <c r="AN633" s="135">
        <f t="shared" ref="AN633" si="1315">AN635-AN634</f>
        <v>0</v>
      </c>
      <c r="AO633" s="135">
        <f t="shared" ref="AO633" si="1316">AO635-AO634</f>
        <v>0</v>
      </c>
      <c r="AP633" s="135">
        <f t="shared" ref="AP633" si="1317">AP635-AP634</f>
        <v>0</v>
      </c>
    </row>
    <row r="634" spans="1:42" x14ac:dyDescent="0.2">
      <c r="A634" s="183" t="s">
        <v>101</v>
      </c>
      <c r="B634" s="179">
        <f>SUM(C634:AP634)</f>
        <v>17361022.001475926</v>
      </c>
      <c r="C634" s="170">
        <f t="shared" ref="C634:AP634" si="1318">IF(AND(C$2&lt;=LPFDebtTerm,C$2&lt;=AnalysisPeriod),B631*C617,0)</f>
        <v>1813879.1376327234</v>
      </c>
      <c r="D634" s="170">
        <f t="shared" si="1318"/>
        <v>1754355.7994579498</v>
      </c>
      <c r="E634" s="170">
        <f t="shared" si="1318"/>
        <v>1688620.4144053103</v>
      </c>
      <c r="F634" s="170">
        <f t="shared" si="1318"/>
        <v>1616194.8823700899</v>
      </c>
      <c r="G634" s="170">
        <f t="shared" si="1318"/>
        <v>1536564.2140985662</v>
      </c>
      <c r="H634" s="170">
        <f t="shared" si="1318"/>
        <v>1449173.6762008723</v>
      </c>
      <c r="I634" s="170">
        <f t="shared" si="1318"/>
        <v>1353425.714989109</v>
      </c>
      <c r="J634" s="170">
        <f t="shared" si="1318"/>
        <v>1248676.6420015651</v>
      </c>
      <c r="K634" s="170">
        <f t="shared" si="1318"/>
        <v>1134233.0627456757</v>
      </c>
      <c r="L634" s="170">
        <f t="shared" si="1318"/>
        <v>1009348.0287611643</v>
      </c>
      <c r="M634" s="170">
        <f t="shared" si="1318"/>
        <v>873216.89156272251</v>
      </c>
      <c r="N634" s="170">
        <f t="shared" si="1318"/>
        <v>724972.83535997651</v>
      </c>
      <c r="O634" s="170">
        <f t="shared" si="1318"/>
        <v>563682.06366211164</v>
      </c>
      <c r="P634" s="170">
        <f t="shared" si="1318"/>
        <v>391094.50597528962</v>
      </c>
      <c r="Q634" s="170">
        <f t="shared" si="1318"/>
        <v>203584.1322527983</v>
      </c>
      <c r="R634" s="170">
        <f t="shared" si="1318"/>
        <v>0</v>
      </c>
      <c r="S634" s="170">
        <f t="shared" si="1318"/>
        <v>0</v>
      </c>
      <c r="T634" s="170">
        <f t="shared" si="1318"/>
        <v>0</v>
      </c>
      <c r="U634" s="170">
        <f t="shared" si="1318"/>
        <v>0</v>
      </c>
      <c r="V634" s="170">
        <f t="shared" si="1318"/>
        <v>0</v>
      </c>
      <c r="W634" s="170">
        <f t="shared" si="1318"/>
        <v>0</v>
      </c>
      <c r="X634" s="170">
        <f t="shared" si="1318"/>
        <v>0</v>
      </c>
      <c r="Y634" s="170">
        <f t="shared" si="1318"/>
        <v>0</v>
      </c>
      <c r="Z634" s="170">
        <f t="shared" si="1318"/>
        <v>0</v>
      </c>
      <c r="AA634" s="170">
        <f t="shared" si="1318"/>
        <v>0</v>
      </c>
      <c r="AB634" s="170">
        <f t="shared" si="1318"/>
        <v>0</v>
      </c>
      <c r="AC634" s="170">
        <f t="shared" si="1318"/>
        <v>0</v>
      </c>
      <c r="AD634" s="170">
        <f t="shared" si="1318"/>
        <v>0</v>
      </c>
      <c r="AE634" s="170">
        <f t="shared" si="1318"/>
        <v>0</v>
      </c>
      <c r="AF634" s="170">
        <f t="shared" si="1318"/>
        <v>0</v>
      </c>
      <c r="AG634" s="170">
        <f t="shared" si="1318"/>
        <v>0</v>
      </c>
      <c r="AH634" s="170">
        <f t="shared" si="1318"/>
        <v>0</v>
      </c>
      <c r="AI634" s="170">
        <f t="shared" si="1318"/>
        <v>0</v>
      </c>
      <c r="AJ634" s="170">
        <f t="shared" si="1318"/>
        <v>0</v>
      </c>
      <c r="AK634" s="170">
        <f t="shared" si="1318"/>
        <v>0</v>
      </c>
      <c r="AL634" s="170">
        <f t="shared" si="1318"/>
        <v>0</v>
      </c>
      <c r="AM634" s="170">
        <f t="shared" si="1318"/>
        <v>0</v>
      </c>
      <c r="AN634" s="170">
        <f t="shared" si="1318"/>
        <v>0</v>
      </c>
      <c r="AO634" s="170">
        <f t="shared" si="1318"/>
        <v>0</v>
      </c>
      <c r="AP634" s="170">
        <f t="shared" si="1318"/>
        <v>0</v>
      </c>
    </row>
    <row r="635" spans="1:42" x14ac:dyDescent="0.2">
      <c r="A635" s="183" t="s">
        <v>102</v>
      </c>
      <c r="B635" s="179">
        <f>SUM(C635:AP635)</f>
        <v>40765914.099962629</v>
      </c>
      <c r="C635" s="135">
        <f>IF(C624&gt;0,C622/C624,0)</f>
        <v>2581922.2108556111</v>
      </c>
      <c r="D635" s="135">
        <f>IF(D624&gt;0,D622/D624,0)</f>
        <v>2602554.3162662033</v>
      </c>
      <c r="E635" s="135">
        <f t="shared" ref="E635:AP635" si="1319">IF(E624&gt;0,E622/E624,0)</f>
        <v>2623143.4084081501</v>
      </c>
      <c r="F635" s="135">
        <f t="shared" si="1319"/>
        <v>2643687.3761962033</v>
      </c>
      <c r="G635" s="135">
        <f t="shared" si="1319"/>
        <v>2664184.0579397772</v>
      </c>
      <c r="H635" s="135">
        <f t="shared" si="1319"/>
        <v>2684631.2402236247</v>
      </c>
      <c r="I635" s="135">
        <f t="shared" si="1319"/>
        <v>2705026.6567638703</v>
      </c>
      <c r="J635" s="135">
        <f t="shared" si="1319"/>
        <v>2725367.9872388463</v>
      </c>
      <c r="K635" s="135">
        <f t="shared" si="1319"/>
        <v>2745652.856094209</v>
      </c>
      <c r="L635" s="135">
        <f t="shared" si="1319"/>
        <v>2765878.8313217042</v>
      </c>
      <c r="M635" s="135">
        <f t="shared" si="1319"/>
        <v>2786043.4232110595</v>
      </c>
      <c r="N635" s="135">
        <f t="shared" si="1319"/>
        <v>2806144.083074362</v>
      </c>
      <c r="O635" s="135">
        <f t="shared" si="1319"/>
        <v>2790618.2918791696</v>
      </c>
      <c r="P635" s="135">
        <f t="shared" si="1319"/>
        <v>2810583.1991687259</v>
      </c>
      <c r="Q635" s="135">
        <f t="shared" si="1319"/>
        <v>2830476.1613211143</v>
      </c>
      <c r="R635" s="135">
        <f t="shared" si="1319"/>
        <v>0</v>
      </c>
      <c r="S635" s="135">
        <f t="shared" si="1319"/>
        <v>0</v>
      </c>
      <c r="T635" s="135">
        <f t="shared" si="1319"/>
        <v>0</v>
      </c>
      <c r="U635" s="135">
        <f t="shared" si="1319"/>
        <v>0</v>
      </c>
      <c r="V635" s="135">
        <f t="shared" si="1319"/>
        <v>0</v>
      </c>
      <c r="W635" s="135">
        <f t="shared" si="1319"/>
        <v>0</v>
      </c>
      <c r="X635" s="135">
        <f t="shared" si="1319"/>
        <v>0</v>
      </c>
      <c r="Y635" s="135">
        <f t="shared" si="1319"/>
        <v>0</v>
      </c>
      <c r="Z635" s="135">
        <f t="shared" si="1319"/>
        <v>0</v>
      </c>
      <c r="AA635" s="135">
        <f t="shared" si="1319"/>
        <v>0</v>
      </c>
      <c r="AB635" s="135">
        <f t="shared" si="1319"/>
        <v>0</v>
      </c>
      <c r="AC635" s="135">
        <f t="shared" si="1319"/>
        <v>0</v>
      </c>
      <c r="AD635" s="135">
        <f t="shared" si="1319"/>
        <v>0</v>
      </c>
      <c r="AE635" s="135">
        <f t="shared" si="1319"/>
        <v>0</v>
      </c>
      <c r="AF635" s="135">
        <f t="shared" si="1319"/>
        <v>0</v>
      </c>
      <c r="AG635" s="135">
        <f t="shared" si="1319"/>
        <v>0</v>
      </c>
      <c r="AH635" s="135">
        <f t="shared" si="1319"/>
        <v>0</v>
      </c>
      <c r="AI635" s="135">
        <f t="shared" si="1319"/>
        <v>0</v>
      </c>
      <c r="AJ635" s="135">
        <f t="shared" si="1319"/>
        <v>0</v>
      </c>
      <c r="AK635" s="135">
        <f t="shared" si="1319"/>
        <v>0</v>
      </c>
      <c r="AL635" s="135">
        <f t="shared" si="1319"/>
        <v>0</v>
      </c>
      <c r="AM635" s="135">
        <f t="shared" si="1319"/>
        <v>0</v>
      </c>
      <c r="AN635" s="135">
        <f t="shared" si="1319"/>
        <v>0</v>
      </c>
      <c r="AO635" s="135">
        <f t="shared" si="1319"/>
        <v>0</v>
      </c>
      <c r="AP635" s="135">
        <f t="shared" si="1319"/>
        <v>0</v>
      </c>
    </row>
    <row r="636" spans="1:42" x14ac:dyDescent="0.2">
      <c r="A636" s="183"/>
      <c r="B636" s="169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</row>
    <row r="637" spans="1:42" x14ac:dyDescent="0.2">
      <c r="A637" s="167" t="s">
        <v>105</v>
      </c>
    </row>
    <row r="638" spans="1:42" x14ac:dyDescent="0.2">
      <c r="A638" s="183" t="s">
        <v>106</v>
      </c>
      <c r="B638" s="179">
        <f>SUM(C638:AP638)</f>
        <v>55033984.034949556</v>
      </c>
      <c r="C638" s="135">
        <f t="shared" ref="C638:AP638" si="1320">IF(C$2&lt;=LPFDebtTerm,C43-C679-C711-C743,0)</f>
        <v>3485594.9846550752</v>
      </c>
      <c r="D638" s="135">
        <f t="shared" si="1320"/>
        <v>3513448.3269593748</v>
      </c>
      <c r="E638" s="135">
        <f t="shared" si="1320"/>
        <v>3541243.6013510027</v>
      </c>
      <c r="F638" s="135">
        <f t="shared" si="1320"/>
        <v>3568977.9578648745</v>
      </c>
      <c r="G638" s="135">
        <f t="shared" si="1320"/>
        <v>3596648.4782186993</v>
      </c>
      <c r="H638" s="135">
        <f t="shared" si="1320"/>
        <v>3624252.1743018939</v>
      </c>
      <c r="I638" s="135">
        <f t="shared" si="1320"/>
        <v>3651785.9866312249</v>
      </c>
      <c r="J638" s="135">
        <f t="shared" si="1320"/>
        <v>3679246.7827724428</v>
      </c>
      <c r="K638" s="135">
        <f t="shared" si="1320"/>
        <v>3706631.3557271827</v>
      </c>
      <c r="L638" s="135">
        <f t="shared" si="1320"/>
        <v>3733936.4222843009</v>
      </c>
      <c r="M638" s="135">
        <f t="shared" si="1320"/>
        <v>3761158.6213349309</v>
      </c>
      <c r="N638" s="135">
        <f t="shared" si="1320"/>
        <v>3788294.5121503887</v>
      </c>
      <c r="O638" s="135">
        <f t="shared" si="1320"/>
        <v>3767334.6940368791</v>
      </c>
      <c r="P638" s="135">
        <f t="shared" si="1320"/>
        <v>3794287.3188777799</v>
      </c>
      <c r="Q638" s="135">
        <f t="shared" si="1320"/>
        <v>3821142.8177835047</v>
      </c>
      <c r="R638" s="135">
        <f t="shared" si="1320"/>
        <v>0</v>
      </c>
      <c r="S638" s="135">
        <f t="shared" si="1320"/>
        <v>0</v>
      </c>
      <c r="T638" s="135">
        <f t="shared" si="1320"/>
        <v>0</v>
      </c>
      <c r="U638" s="135">
        <f t="shared" si="1320"/>
        <v>0</v>
      </c>
      <c r="V638" s="135">
        <f t="shared" si="1320"/>
        <v>0</v>
      </c>
      <c r="W638" s="135">
        <f t="shared" si="1320"/>
        <v>0</v>
      </c>
      <c r="X638" s="135">
        <f t="shared" si="1320"/>
        <v>0</v>
      </c>
      <c r="Y638" s="135">
        <f t="shared" si="1320"/>
        <v>0</v>
      </c>
      <c r="Z638" s="135">
        <f t="shared" si="1320"/>
        <v>0</v>
      </c>
      <c r="AA638" s="135">
        <f t="shared" si="1320"/>
        <v>0</v>
      </c>
      <c r="AB638" s="135">
        <f t="shared" si="1320"/>
        <v>0</v>
      </c>
      <c r="AC638" s="135">
        <f t="shared" si="1320"/>
        <v>0</v>
      </c>
      <c r="AD638" s="135">
        <f t="shared" si="1320"/>
        <v>0</v>
      </c>
      <c r="AE638" s="135">
        <f t="shared" si="1320"/>
        <v>0</v>
      </c>
      <c r="AF638" s="135">
        <f t="shared" si="1320"/>
        <v>0</v>
      </c>
      <c r="AG638" s="135">
        <f t="shared" si="1320"/>
        <v>0</v>
      </c>
      <c r="AH638" s="135">
        <f t="shared" si="1320"/>
        <v>0</v>
      </c>
      <c r="AI638" s="135">
        <f t="shared" si="1320"/>
        <v>0</v>
      </c>
      <c r="AJ638" s="135">
        <f t="shared" si="1320"/>
        <v>0</v>
      </c>
      <c r="AK638" s="135">
        <f t="shared" si="1320"/>
        <v>0</v>
      </c>
      <c r="AL638" s="135">
        <f t="shared" si="1320"/>
        <v>0</v>
      </c>
      <c r="AM638" s="135">
        <f t="shared" si="1320"/>
        <v>0</v>
      </c>
      <c r="AN638" s="135">
        <f t="shared" si="1320"/>
        <v>0</v>
      </c>
      <c r="AO638" s="135">
        <f t="shared" si="1320"/>
        <v>0</v>
      </c>
      <c r="AP638" s="135">
        <f t="shared" si="1320"/>
        <v>0</v>
      </c>
    </row>
    <row r="639" spans="1:42" x14ac:dyDescent="0.2">
      <c r="A639" s="183" t="s">
        <v>107</v>
      </c>
      <c r="B639" s="179">
        <f>SUM(C639:AP639)</f>
        <v>40765914.099962629</v>
      </c>
      <c r="C639" s="135">
        <f t="shared" ref="C639:AP639" si="1321">C635</f>
        <v>2581922.2108556111</v>
      </c>
      <c r="D639" s="135">
        <f t="shared" si="1321"/>
        <v>2602554.3162662033</v>
      </c>
      <c r="E639" s="135">
        <f t="shared" si="1321"/>
        <v>2623143.4084081501</v>
      </c>
      <c r="F639" s="135">
        <f t="shared" si="1321"/>
        <v>2643687.3761962033</v>
      </c>
      <c r="G639" s="135">
        <f t="shared" si="1321"/>
        <v>2664184.0579397772</v>
      </c>
      <c r="H639" s="135">
        <f t="shared" si="1321"/>
        <v>2684631.2402236247</v>
      </c>
      <c r="I639" s="135">
        <f t="shared" si="1321"/>
        <v>2705026.6567638703</v>
      </c>
      <c r="J639" s="135">
        <f t="shared" si="1321"/>
        <v>2725367.9872388463</v>
      </c>
      <c r="K639" s="135">
        <f t="shared" si="1321"/>
        <v>2745652.856094209</v>
      </c>
      <c r="L639" s="135">
        <f t="shared" si="1321"/>
        <v>2765878.8313217042</v>
      </c>
      <c r="M639" s="135">
        <f t="shared" si="1321"/>
        <v>2786043.4232110595</v>
      </c>
      <c r="N639" s="135">
        <f t="shared" si="1321"/>
        <v>2806144.083074362</v>
      </c>
      <c r="O639" s="135">
        <f t="shared" si="1321"/>
        <v>2790618.2918791696</v>
      </c>
      <c r="P639" s="135">
        <f t="shared" si="1321"/>
        <v>2810583.1991687259</v>
      </c>
      <c r="Q639" s="135">
        <f t="shared" si="1321"/>
        <v>2830476.1613211143</v>
      </c>
      <c r="R639" s="135">
        <f t="shared" si="1321"/>
        <v>0</v>
      </c>
      <c r="S639" s="135">
        <f t="shared" si="1321"/>
        <v>0</v>
      </c>
      <c r="T639" s="135">
        <f t="shared" si="1321"/>
        <v>0</v>
      </c>
      <c r="U639" s="135">
        <f t="shared" si="1321"/>
        <v>0</v>
      </c>
      <c r="V639" s="135">
        <f t="shared" si="1321"/>
        <v>0</v>
      </c>
      <c r="W639" s="135">
        <f t="shared" si="1321"/>
        <v>0</v>
      </c>
      <c r="X639" s="135">
        <f t="shared" si="1321"/>
        <v>0</v>
      </c>
      <c r="Y639" s="135">
        <f t="shared" si="1321"/>
        <v>0</v>
      </c>
      <c r="Z639" s="135">
        <f t="shared" si="1321"/>
        <v>0</v>
      </c>
      <c r="AA639" s="135">
        <f t="shared" si="1321"/>
        <v>0</v>
      </c>
      <c r="AB639" s="135">
        <f t="shared" si="1321"/>
        <v>0</v>
      </c>
      <c r="AC639" s="135">
        <f t="shared" si="1321"/>
        <v>0</v>
      </c>
      <c r="AD639" s="135">
        <f t="shared" si="1321"/>
        <v>0</v>
      </c>
      <c r="AE639" s="135">
        <f t="shared" si="1321"/>
        <v>0</v>
      </c>
      <c r="AF639" s="135">
        <f t="shared" si="1321"/>
        <v>0</v>
      </c>
      <c r="AG639" s="135">
        <f t="shared" si="1321"/>
        <v>0</v>
      </c>
      <c r="AH639" s="135">
        <f t="shared" si="1321"/>
        <v>0</v>
      </c>
      <c r="AI639" s="135">
        <f t="shared" si="1321"/>
        <v>0</v>
      </c>
      <c r="AJ639" s="135">
        <f t="shared" si="1321"/>
        <v>0</v>
      </c>
      <c r="AK639" s="135">
        <f t="shared" si="1321"/>
        <v>0</v>
      </c>
      <c r="AL639" s="135">
        <f t="shared" si="1321"/>
        <v>0</v>
      </c>
      <c r="AM639" s="135">
        <f t="shared" si="1321"/>
        <v>0</v>
      </c>
      <c r="AN639" s="135">
        <f t="shared" si="1321"/>
        <v>0</v>
      </c>
      <c r="AO639" s="135">
        <f t="shared" si="1321"/>
        <v>0</v>
      </c>
      <c r="AP639" s="135">
        <f t="shared" si="1321"/>
        <v>0</v>
      </c>
    </row>
    <row r="640" spans="1:42" x14ac:dyDescent="0.2">
      <c r="A640" s="183" t="s">
        <v>105</v>
      </c>
      <c r="C640" s="223">
        <f t="shared" ref="C640:AP640" si="1322">IF(ISERROR(IF(C$2&lt;=LPFDebtTerm,C638/C639,"")),0,IF(C$2&lt;=LPFDebtTerm,C638/C639,""))</f>
        <v>1.35</v>
      </c>
      <c r="D640" s="223">
        <f t="shared" si="1322"/>
        <v>1.35</v>
      </c>
      <c r="E640" s="223">
        <f t="shared" si="1322"/>
        <v>1.35</v>
      </c>
      <c r="F640" s="223">
        <f t="shared" si="1322"/>
        <v>1.35</v>
      </c>
      <c r="G640" s="223">
        <f t="shared" si="1322"/>
        <v>1.35</v>
      </c>
      <c r="H640" s="223">
        <f t="shared" si="1322"/>
        <v>1.35</v>
      </c>
      <c r="I640" s="223">
        <f t="shared" si="1322"/>
        <v>1.35</v>
      </c>
      <c r="J640" s="223">
        <f t="shared" si="1322"/>
        <v>1.35</v>
      </c>
      <c r="K640" s="223">
        <f t="shared" si="1322"/>
        <v>1.35</v>
      </c>
      <c r="L640" s="223">
        <f t="shared" si="1322"/>
        <v>1.35</v>
      </c>
      <c r="M640" s="223">
        <f t="shared" si="1322"/>
        <v>1.35</v>
      </c>
      <c r="N640" s="223">
        <f t="shared" si="1322"/>
        <v>1.35</v>
      </c>
      <c r="O640" s="223">
        <f t="shared" si="1322"/>
        <v>1.35</v>
      </c>
      <c r="P640" s="223">
        <f t="shared" si="1322"/>
        <v>1.35</v>
      </c>
      <c r="Q640" s="223">
        <f t="shared" si="1322"/>
        <v>1.35</v>
      </c>
      <c r="R640" s="223" t="str">
        <f t="shared" si="1322"/>
        <v/>
      </c>
      <c r="S640" s="223" t="str">
        <f t="shared" si="1322"/>
        <v/>
      </c>
      <c r="T640" s="223" t="str">
        <f t="shared" si="1322"/>
        <v/>
      </c>
      <c r="U640" s="223" t="str">
        <f t="shared" si="1322"/>
        <v/>
      </c>
      <c r="V640" s="223" t="str">
        <f t="shared" si="1322"/>
        <v/>
      </c>
      <c r="W640" s="223" t="str">
        <f t="shared" si="1322"/>
        <v/>
      </c>
      <c r="X640" s="223" t="str">
        <f t="shared" si="1322"/>
        <v/>
      </c>
      <c r="Y640" s="223" t="str">
        <f t="shared" si="1322"/>
        <v/>
      </c>
      <c r="Z640" s="223" t="str">
        <f t="shared" si="1322"/>
        <v/>
      </c>
      <c r="AA640" s="223" t="str">
        <f t="shared" si="1322"/>
        <v/>
      </c>
      <c r="AB640" s="223" t="str">
        <f t="shared" si="1322"/>
        <v/>
      </c>
      <c r="AC640" s="223" t="str">
        <f t="shared" si="1322"/>
        <v/>
      </c>
      <c r="AD640" s="223" t="str">
        <f t="shared" si="1322"/>
        <v/>
      </c>
      <c r="AE640" s="223" t="str">
        <f t="shared" si="1322"/>
        <v/>
      </c>
      <c r="AF640" s="223" t="str">
        <f t="shared" si="1322"/>
        <v/>
      </c>
      <c r="AG640" s="223" t="str">
        <f t="shared" si="1322"/>
        <v/>
      </c>
      <c r="AH640" s="223" t="str">
        <f t="shared" si="1322"/>
        <v/>
      </c>
      <c r="AI640" s="223" t="str">
        <f t="shared" si="1322"/>
        <v/>
      </c>
      <c r="AJ640" s="223" t="str">
        <f t="shared" si="1322"/>
        <v/>
      </c>
      <c r="AK640" s="223" t="str">
        <f t="shared" si="1322"/>
        <v/>
      </c>
      <c r="AL640" s="223" t="str">
        <f t="shared" si="1322"/>
        <v/>
      </c>
      <c r="AM640" s="223" t="str">
        <f t="shared" si="1322"/>
        <v/>
      </c>
      <c r="AN640" s="223" t="str">
        <f t="shared" si="1322"/>
        <v/>
      </c>
      <c r="AO640" s="223" t="str">
        <f t="shared" si="1322"/>
        <v/>
      </c>
      <c r="AP640" s="223" t="str">
        <f t="shared" si="1322"/>
        <v/>
      </c>
    </row>
    <row r="641" spans="1:42" x14ac:dyDescent="0.2">
      <c r="A641" s="183" t="s">
        <v>108</v>
      </c>
      <c r="B641" s="182">
        <f>IF(ISERROR(B638/B639),0,B638/B639)</f>
        <v>1.35</v>
      </c>
    </row>
    <row r="642" spans="1:42" x14ac:dyDescent="0.2">
      <c r="A642" s="183" t="s">
        <v>109</v>
      </c>
      <c r="B642" s="182">
        <f>MIN(C640:AP640)</f>
        <v>1.35</v>
      </c>
    </row>
    <row r="643" spans="1:42" x14ac:dyDescent="0.2">
      <c r="A643" s="183"/>
      <c r="B643" s="169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</row>
    <row r="644" spans="1:42" x14ac:dyDescent="0.2">
      <c r="A644" s="178" t="s">
        <v>427</v>
      </c>
    </row>
    <row r="645" spans="1:42" x14ac:dyDescent="0.2">
      <c r="A645" s="349" t="s">
        <v>426</v>
      </c>
      <c r="B645" s="355">
        <f>LPFDebtRate</f>
        <v>7.7499999999999999E-2</v>
      </c>
    </row>
    <row r="646" spans="1:42" x14ac:dyDescent="0.2">
      <c r="A646" s="350"/>
    </row>
    <row r="647" spans="1:42" x14ac:dyDescent="0.2">
      <c r="A647" s="351" t="s">
        <v>98</v>
      </c>
    </row>
    <row r="648" spans="1:42" x14ac:dyDescent="0.2">
      <c r="A648" s="348" t="s">
        <v>96</v>
      </c>
      <c r="B648" s="135">
        <v>0</v>
      </c>
      <c r="C648" s="135">
        <f>B651</f>
        <v>22124932.5</v>
      </c>
      <c r="D648" s="135">
        <f t="shared" ref="D648:AP648" si="1323">C651</f>
        <v>21294091.587958731</v>
      </c>
      <c r="E648" s="135">
        <f t="shared" si="1323"/>
        <v>20398860.505234264</v>
      </c>
      <c r="F648" s="135">
        <f t="shared" si="1323"/>
        <v>19434249.013598651</v>
      </c>
      <c r="G648" s="135">
        <f t="shared" si="1323"/>
        <v>18394880.131361276</v>
      </c>
      <c r="H648" s="135">
        <f t="shared" si="1323"/>
        <v>17274960.160750505</v>
      </c>
      <c r="I648" s="135">
        <f t="shared" si="1323"/>
        <v>16068246.392417399</v>
      </c>
      <c r="J648" s="135">
        <f t="shared" si="1323"/>
        <v>14768012.307038479</v>
      </c>
      <c r="K648" s="135">
        <f t="shared" si="1323"/>
        <v>13367010.08004269</v>
      </c>
      <c r="L648" s="135">
        <f t="shared" si="1323"/>
        <v>11857430.180454729</v>
      </c>
      <c r="M648" s="135">
        <f t="shared" si="1323"/>
        <v>10230857.838648701</v>
      </c>
      <c r="N648" s="135">
        <f t="shared" si="1323"/>
        <v>8478226.1403527055</v>
      </c>
      <c r="O648" s="135">
        <f t="shared" si="1323"/>
        <v>6589765.4854387697</v>
      </c>
      <c r="P648" s="135">
        <f t="shared" si="1323"/>
        <v>4554949.1297690049</v>
      </c>
      <c r="Q648" s="135">
        <f t="shared" si="1323"/>
        <v>2362434.5065348325</v>
      </c>
      <c r="R648" s="135">
        <f t="shared" si="1323"/>
        <v>1.2107193470001221E-8</v>
      </c>
      <c r="S648" s="135">
        <f t="shared" si="1323"/>
        <v>1.2107193470001221E-8</v>
      </c>
      <c r="T648" s="135">
        <f t="shared" si="1323"/>
        <v>1.2107193470001221E-8</v>
      </c>
      <c r="U648" s="135">
        <f t="shared" si="1323"/>
        <v>1.2107193470001221E-8</v>
      </c>
      <c r="V648" s="135">
        <f t="shared" si="1323"/>
        <v>1.2107193470001221E-8</v>
      </c>
      <c r="W648" s="135">
        <f t="shared" si="1323"/>
        <v>1.2107193470001221E-8</v>
      </c>
      <c r="X648" s="135">
        <f t="shared" si="1323"/>
        <v>1.2107193470001221E-8</v>
      </c>
      <c r="Y648" s="135">
        <f t="shared" si="1323"/>
        <v>1.2107193470001221E-8</v>
      </c>
      <c r="Z648" s="135">
        <f t="shared" si="1323"/>
        <v>1.2107193470001221E-8</v>
      </c>
      <c r="AA648" s="135">
        <f t="shared" si="1323"/>
        <v>1.2107193470001221E-8</v>
      </c>
      <c r="AB648" s="135">
        <f t="shared" si="1323"/>
        <v>1.2107193470001221E-8</v>
      </c>
      <c r="AC648" s="135">
        <f t="shared" si="1323"/>
        <v>1.2107193470001221E-8</v>
      </c>
      <c r="AD648" s="135">
        <f t="shared" si="1323"/>
        <v>1.2107193470001221E-8</v>
      </c>
      <c r="AE648" s="135">
        <f t="shared" si="1323"/>
        <v>1.2107193470001221E-8</v>
      </c>
      <c r="AF648" s="135">
        <f t="shared" si="1323"/>
        <v>1.2107193470001221E-8</v>
      </c>
      <c r="AG648" s="135">
        <f t="shared" si="1323"/>
        <v>1.2107193470001221E-8</v>
      </c>
      <c r="AH648" s="135">
        <f t="shared" si="1323"/>
        <v>1.2107193470001221E-8</v>
      </c>
      <c r="AI648" s="135">
        <f t="shared" si="1323"/>
        <v>1.2107193470001221E-8</v>
      </c>
      <c r="AJ648" s="135">
        <f t="shared" si="1323"/>
        <v>1.2107193470001221E-8</v>
      </c>
      <c r="AK648" s="135">
        <f t="shared" si="1323"/>
        <v>1.2107193470001221E-8</v>
      </c>
      <c r="AL648" s="135">
        <f t="shared" si="1323"/>
        <v>1.2107193470001221E-8</v>
      </c>
      <c r="AM648" s="135">
        <f t="shared" si="1323"/>
        <v>1.2107193470001221E-8</v>
      </c>
      <c r="AN648" s="135">
        <f t="shared" si="1323"/>
        <v>1.2107193470001221E-8</v>
      </c>
      <c r="AO648" s="135">
        <f t="shared" si="1323"/>
        <v>1.2107193470001221E-8</v>
      </c>
      <c r="AP648" s="135">
        <f t="shared" si="1323"/>
        <v>1.2107193470001221E-8</v>
      </c>
    </row>
    <row r="649" spans="1:42" x14ac:dyDescent="0.2">
      <c r="A649" s="348" t="s">
        <v>424</v>
      </c>
      <c r="B649" s="135">
        <f>IF(LPFDebtSwitch="Yes",LPFMortgageAmount,0)</f>
        <v>22124932.5</v>
      </c>
      <c r="C649" s="135">
        <v>0</v>
      </c>
      <c r="D649" s="135">
        <v>0</v>
      </c>
      <c r="E649" s="135">
        <v>0</v>
      </c>
      <c r="F649" s="135">
        <v>0</v>
      </c>
      <c r="G649" s="135">
        <v>0</v>
      </c>
      <c r="H649" s="135">
        <v>0</v>
      </c>
      <c r="I649" s="135">
        <v>0</v>
      </c>
      <c r="J649" s="135">
        <v>0</v>
      </c>
      <c r="K649" s="135">
        <v>0</v>
      </c>
      <c r="L649" s="135">
        <v>0</v>
      </c>
      <c r="M649" s="135">
        <v>0</v>
      </c>
      <c r="N649" s="135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35">
        <v>0</v>
      </c>
      <c r="V649" s="135">
        <v>0</v>
      </c>
      <c r="W649" s="135">
        <v>0</v>
      </c>
      <c r="X649" s="135">
        <v>0</v>
      </c>
      <c r="Y649" s="135">
        <v>0</v>
      </c>
      <c r="Z649" s="135">
        <v>0</v>
      </c>
      <c r="AA649" s="135">
        <v>0</v>
      </c>
      <c r="AB649" s="135">
        <v>0</v>
      </c>
      <c r="AC649" s="135">
        <v>0</v>
      </c>
      <c r="AD649" s="135">
        <v>0</v>
      </c>
      <c r="AE649" s="135">
        <v>0</v>
      </c>
      <c r="AF649" s="135">
        <v>0</v>
      </c>
      <c r="AG649" s="135">
        <v>0</v>
      </c>
      <c r="AH649" s="135">
        <v>0</v>
      </c>
      <c r="AI649" s="135">
        <v>0</v>
      </c>
      <c r="AJ649" s="135">
        <v>0</v>
      </c>
      <c r="AK649" s="135">
        <v>0</v>
      </c>
      <c r="AL649" s="135">
        <v>0</v>
      </c>
      <c r="AM649" s="135">
        <v>0</v>
      </c>
      <c r="AN649" s="135">
        <v>0</v>
      </c>
      <c r="AO649" s="135">
        <v>0</v>
      </c>
      <c r="AP649" s="135">
        <v>0</v>
      </c>
    </row>
    <row r="650" spans="1:42" x14ac:dyDescent="0.2">
      <c r="A650" s="348" t="s">
        <v>425</v>
      </c>
      <c r="B650" s="170">
        <v>0</v>
      </c>
      <c r="C650" s="170">
        <f>-C653</f>
        <v>-830840.91204126994</v>
      </c>
      <c r="D650" s="170">
        <f t="shared" ref="D650:AP650" si="1324">-D653</f>
        <v>-895231.08272446832</v>
      </c>
      <c r="E650" s="170">
        <f t="shared" si="1324"/>
        <v>-964611.49163561454</v>
      </c>
      <c r="F650" s="170">
        <f t="shared" si="1324"/>
        <v>-1039368.8822373745</v>
      </c>
      <c r="G650" s="170">
        <f t="shared" si="1324"/>
        <v>-1119919.9706107711</v>
      </c>
      <c r="H650" s="170">
        <f t="shared" si="1324"/>
        <v>-1206713.7683331058</v>
      </c>
      <c r="I650" s="170">
        <f t="shared" si="1324"/>
        <v>-1300234.0853789216</v>
      </c>
      <c r="J650" s="170">
        <f t="shared" si="1324"/>
        <v>-1401002.2269957878</v>
      </c>
      <c r="K650" s="170">
        <f t="shared" si="1324"/>
        <v>-1509579.8995879614</v>
      </c>
      <c r="L650" s="170">
        <f t="shared" si="1324"/>
        <v>-1626572.3418060285</v>
      </c>
      <c r="M650" s="170">
        <f t="shared" si="1324"/>
        <v>-1752631.6982959956</v>
      </c>
      <c r="N650" s="170">
        <f t="shared" si="1324"/>
        <v>-1888460.6549139353</v>
      </c>
      <c r="O650" s="170">
        <f t="shared" si="1324"/>
        <v>-2034816.3556697653</v>
      </c>
      <c r="P650" s="170">
        <f t="shared" si="1324"/>
        <v>-2192514.6232341724</v>
      </c>
      <c r="Q650" s="170">
        <f t="shared" si="1324"/>
        <v>-2362434.5065348204</v>
      </c>
      <c r="R650" s="170">
        <f t="shared" si="1324"/>
        <v>0</v>
      </c>
      <c r="S650" s="170">
        <f t="shared" si="1324"/>
        <v>0</v>
      </c>
      <c r="T650" s="170">
        <f t="shared" si="1324"/>
        <v>0</v>
      </c>
      <c r="U650" s="170">
        <f t="shared" si="1324"/>
        <v>0</v>
      </c>
      <c r="V650" s="170">
        <f t="shared" si="1324"/>
        <v>0</v>
      </c>
      <c r="W650" s="170">
        <f t="shared" si="1324"/>
        <v>0</v>
      </c>
      <c r="X650" s="170">
        <f t="shared" si="1324"/>
        <v>0</v>
      </c>
      <c r="Y650" s="170">
        <f t="shared" si="1324"/>
        <v>0</v>
      </c>
      <c r="Z650" s="170">
        <f t="shared" si="1324"/>
        <v>0</v>
      </c>
      <c r="AA650" s="170">
        <f t="shared" si="1324"/>
        <v>0</v>
      </c>
      <c r="AB650" s="170">
        <f t="shared" si="1324"/>
        <v>0</v>
      </c>
      <c r="AC650" s="170">
        <f t="shared" si="1324"/>
        <v>0</v>
      </c>
      <c r="AD650" s="170">
        <f t="shared" si="1324"/>
        <v>0</v>
      </c>
      <c r="AE650" s="170">
        <f t="shared" si="1324"/>
        <v>0</v>
      </c>
      <c r="AF650" s="170">
        <f t="shared" si="1324"/>
        <v>0</v>
      </c>
      <c r="AG650" s="170">
        <f t="shared" si="1324"/>
        <v>0</v>
      </c>
      <c r="AH650" s="170">
        <f t="shared" si="1324"/>
        <v>0</v>
      </c>
      <c r="AI650" s="170">
        <f t="shared" si="1324"/>
        <v>0</v>
      </c>
      <c r="AJ650" s="170">
        <f t="shared" si="1324"/>
        <v>0</v>
      </c>
      <c r="AK650" s="170">
        <f t="shared" si="1324"/>
        <v>0</v>
      </c>
      <c r="AL650" s="170">
        <f t="shared" si="1324"/>
        <v>0</v>
      </c>
      <c r="AM650" s="170">
        <f t="shared" si="1324"/>
        <v>0</v>
      </c>
      <c r="AN650" s="170">
        <f t="shared" si="1324"/>
        <v>0</v>
      </c>
      <c r="AO650" s="170">
        <f t="shared" si="1324"/>
        <v>0</v>
      </c>
      <c r="AP650" s="170">
        <f t="shared" si="1324"/>
        <v>0</v>
      </c>
    </row>
    <row r="651" spans="1:42" x14ac:dyDescent="0.2">
      <c r="A651" s="348" t="s">
        <v>99</v>
      </c>
      <c r="B651" s="135">
        <f>SUM(B648:B650)</f>
        <v>22124932.5</v>
      </c>
      <c r="C651" s="135">
        <f>SUM(C648:C650)</f>
        <v>21294091.587958731</v>
      </c>
      <c r="D651" s="135">
        <f t="shared" ref="D651:AP651" si="1325">SUM(D648:D650)</f>
        <v>20398860.505234264</v>
      </c>
      <c r="E651" s="135">
        <f t="shared" si="1325"/>
        <v>19434249.013598651</v>
      </c>
      <c r="F651" s="135">
        <f t="shared" si="1325"/>
        <v>18394880.131361276</v>
      </c>
      <c r="G651" s="135">
        <f t="shared" si="1325"/>
        <v>17274960.160750505</v>
      </c>
      <c r="H651" s="135">
        <f t="shared" si="1325"/>
        <v>16068246.392417399</v>
      </c>
      <c r="I651" s="135">
        <f t="shared" si="1325"/>
        <v>14768012.307038479</v>
      </c>
      <c r="J651" s="135">
        <f t="shared" si="1325"/>
        <v>13367010.08004269</v>
      </c>
      <c r="K651" s="135">
        <f t="shared" si="1325"/>
        <v>11857430.180454729</v>
      </c>
      <c r="L651" s="135">
        <f t="shared" si="1325"/>
        <v>10230857.838648701</v>
      </c>
      <c r="M651" s="135">
        <f t="shared" si="1325"/>
        <v>8478226.1403527055</v>
      </c>
      <c r="N651" s="135">
        <f t="shared" si="1325"/>
        <v>6589765.4854387697</v>
      </c>
      <c r="O651" s="135">
        <f t="shared" si="1325"/>
        <v>4554949.1297690049</v>
      </c>
      <c r="P651" s="135">
        <f t="shared" si="1325"/>
        <v>2362434.5065348325</v>
      </c>
      <c r="Q651" s="135">
        <f t="shared" si="1325"/>
        <v>1.2107193470001221E-8</v>
      </c>
      <c r="R651" s="135">
        <f t="shared" si="1325"/>
        <v>1.2107193470001221E-8</v>
      </c>
      <c r="S651" s="135">
        <f t="shared" si="1325"/>
        <v>1.2107193470001221E-8</v>
      </c>
      <c r="T651" s="135">
        <f t="shared" si="1325"/>
        <v>1.2107193470001221E-8</v>
      </c>
      <c r="U651" s="135">
        <f t="shared" si="1325"/>
        <v>1.2107193470001221E-8</v>
      </c>
      <c r="V651" s="135">
        <f t="shared" si="1325"/>
        <v>1.2107193470001221E-8</v>
      </c>
      <c r="W651" s="135">
        <f t="shared" si="1325"/>
        <v>1.2107193470001221E-8</v>
      </c>
      <c r="X651" s="135">
        <f t="shared" si="1325"/>
        <v>1.2107193470001221E-8</v>
      </c>
      <c r="Y651" s="135">
        <f t="shared" si="1325"/>
        <v>1.2107193470001221E-8</v>
      </c>
      <c r="Z651" s="135">
        <f t="shared" si="1325"/>
        <v>1.2107193470001221E-8</v>
      </c>
      <c r="AA651" s="135">
        <f t="shared" si="1325"/>
        <v>1.2107193470001221E-8</v>
      </c>
      <c r="AB651" s="135">
        <f t="shared" si="1325"/>
        <v>1.2107193470001221E-8</v>
      </c>
      <c r="AC651" s="135">
        <f t="shared" si="1325"/>
        <v>1.2107193470001221E-8</v>
      </c>
      <c r="AD651" s="135">
        <f t="shared" si="1325"/>
        <v>1.2107193470001221E-8</v>
      </c>
      <c r="AE651" s="135">
        <f t="shared" si="1325"/>
        <v>1.2107193470001221E-8</v>
      </c>
      <c r="AF651" s="135">
        <f t="shared" si="1325"/>
        <v>1.2107193470001221E-8</v>
      </c>
      <c r="AG651" s="135">
        <f t="shared" si="1325"/>
        <v>1.2107193470001221E-8</v>
      </c>
      <c r="AH651" s="135">
        <f t="shared" si="1325"/>
        <v>1.2107193470001221E-8</v>
      </c>
      <c r="AI651" s="135">
        <f t="shared" si="1325"/>
        <v>1.2107193470001221E-8</v>
      </c>
      <c r="AJ651" s="135">
        <f t="shared" si="1325"/>
        <v>1.2107193470001221E-8</v>
      </c>
      <c r="AK651" s="135">
        <f t="shared" si="1325"/>
        <v>1.2107193470001221E-8</v>
      </c>
      <c r="AL651" s="135">
        <f t="shared" si="1325"/>
        <v>1.2107193470001221E-8</v>
      </c>
      <c r="AM651" s="135">
        <f t="shared" si="1325"/>
        <v>1.2107193470001221E-8</v>
      </c>
      <c r="AN651" s="135">
        <f t="shared" si="1325"/>
        <v>1.2107193470001221E-8</v>
      </c>
      <c r="AO651" s="135">
        <f t="shared" si="1325"/>
        <v>1.2107193470001221E-8</v>
      </c>
      <c r="AP651" s="135">
        <f t="shared" si="1325"/>
        <v>1.2107193470001221E-8</v>
      </c>
    </row>
    <row r="652" spans="1:42" x14ac:dyDescent="0.2">
      <c r="A652" s="347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</row>
    <row r="653" spans="1:42" x14ac:dyDescent="0.2">
      <c r="A653" s="348" t="s">
        <v>100</v>
      </c>
      <c r="B653" s="233">
        <f>SUM(C653:AP653)</f>
        <v>22124932.499999993</v>
      </c>
      <c r="C653" s="135">
        <f>C655-C654</f>
        <v>830840.91204126994</v>
      </c>
      <c r="D653" s="135">
        <f t="shared" ref="D653:AP653" si="1326">D655-D654</f>
        <v>895231.08272446832</v>
      </c>
      <c r="E653" s="135">
        <f t="shared" si="1326"/>
        <v>964611.49163561454</v>
      </c>
      <c r="F653" s="135">
        <f t="shared" si="1326"/>
        <v>1039368.8822373745</v>
      </c>
      <c r="G653" s="135">
        <f t="shared" si="1326"/>
        <v>1119919.9706107711</v>
      </c>
      <c r="H653" s="135">
        <f t="shared" si="1326"/>
        <v>1206713.7683331058</v>
      </c>
      <c r="I653" s="135">
        <f t="shared" si="1326"/>
        <v>1300234.0853789216</v>
      </c>
      <c r="J653" s="135">
        <f t="shared" si="1326"/>
        <v>1401002.2269957878</v>
      </c>
      <c r="K653" s="135">
        <f t="shared" si="1326"/>
        <v>1509579.8995879614</v>
      </c>
      <c r="L653" s="135">
        <f t="shared" si="1326"/>
        <v>1626572.3418060285</v>
      </c>
      <c r="M653" s="135">
        <f t="shared" si="1326"/>
        <v>1752631.6982959956</v>
      </c>
      <c r="N653" s="135">
        <f t="shared" si="1326"/>
        <v>1888460.6549139353</v>
      </c>
      <c r="O653" s="135">
        <f t="shared" si="1326"/>
        <v>2034816.3556697653</v>
      </c>
      <c r="P653" s="135">
        <f t="shared" si="1326"/>
        <v>2192514.6232341724</v>
      </c>
      <c r="Q653" s="135">
        <f t="shared" si="1326"/>
        <v>2362434.5065348204</v>
      </c>
      <c r="R653" s="135">
        <f t="shared" si="1326"/>
        <v>0</v>
      </c>
      <c r="S653" s="135">
        <f t="shared" si="1326"/>
        <v>0</v>
      </c>
      <c r="T653" s="135">
        <f t="shared" si="1326"/>
        <v>0</v>
      </c>
      <c r="U653" s="135">
        <f t="shared" si="1326"/>
        <v>0</v>
      </c>
      <c r="V653" s="135">
        <f t="shared" si="1326"/>
        <v>0</v>
      </c>
      <c r="W653" s="135">
        <f t="shared" si="1326"/>
        <v>0</v>
      </c>
      <c r="X653" s="135">
        <f t="shared" si="1326"/>
        <v>0</v>
      </c>
      <c r="Y653" s="135">
        <f t="shared" si="1326"/>
        <v>0</v>
      </c>
      <c r="Z653" s="135">
        <f t="shared" si="1326"/>
        <v>0</v>
      </c>
      <c r="AA653" s="135">
        <f t="shared" si="1326"/>
        <v>0</v>
      </c>
      <c r="AB653" s="135">
        <f t="shared" si="1326"/>
        <v>0</v>
      </c>
      <c r="AC653" s="135">
        <f t="shared" si="1326"/>
        <v>0</v>
      </c>
      <c r="AD653" s="135">
        <f t="shared" si="1326"/>
        <v>0</v>
      </c>
      <c r="AE653" s="135">
        <f t="shared" si="1326"/>
        <v>0</v>
      </c>
      <c r="AF653" s="135">
        <f t="shared" si="1326"/>
        <v>0</v>
      </c>
      <c r="AG653" s="135">
        <f t="shared" si="1326"/>
        <v>0</v>
      </c>
      <c r="AH653" s="135">
        <f t="shared" si="1326"/>
        <v>0</v>
      </c>
      <c r="AI653" s="135">
        <f t="shared" si="1326"/>
        <v>0</v>
      </c>
      <c r="AJ653" s="135">
        <f t="shared" si="1326"/>
        <v>0</v>
      </c>
      <c r="AK653" s="135">
        <f t="shared" si="1326"/>
        <v>0</v>
      </c>
      <c r="AL653" s="135">
        <f t="shared" si="1326"/>
        <v>0</v>
      </c>
      <c r="AM653" s="135">
        <f t="shared" si="1326"/>
        <v>0</v>
      </c>
      <c r="AN653" s="135">
        <f t="shared" si="1326"/>
        <v>0</v>
      </c>
      <c r="AO653" s="135">
        <f t="shared" si="1326"/>
        <v>0</v>
      </c>
      <c r="AP653" s="135">
        <f t="shared" si="1326"/>
        <v>0</v>
      </c>
    </row>
    <row r="654" spans="1:42" x14ac:dyDescent="0.2">
      <c r="A654" s="348" t="s">
        <v>101</v>
      </c>
      <c r="B654" s="233">
        <f>SUM(C654:AP654)</f>
        <v>16057915.211869059</v>
      </c>
      <c r="C654" s="170">
        <f t="shared" ref="C654:AP654" si="1327">IF(C$2&lt;=LPFDebtTerm,B651*$B$645,0)</f>
        <v>1714682.26875</v>
      </c>
      <c r="D654" s="170">
        <f t="shared" si="1327"/>
        <v>1650292.0980668017</v>
      </c>
      <c r="E654" s="170">
        <f t="shared" si="1327"/>
        <v>1580911.6891556554</v>
      </c>
      <c r="F654" s="170">
        <f t="shared" si="1327"/>
        <v>1506154.2985538954</v>
      </c>
      <c r="G654" s="170">
        <f t="shared" si="1327"/>
        <v>1425603.2101804989</v>
      </c>
      <c r="H654" s="170">
        <f t="shared" si="1327"/>
        <v>1338809.4124581642</v>
      </c>
      <c r="I654" s="170">
        <f t="shared" si="1327"/>
        <v>1245289.0954123484</v>
      </c>
      <c r="J654" s="170">
        <f t="shared" si="1327"/>
        <v>1144520.9537954822</v>
      </c>
      <c r="K654" s="170">
        <f t="shared" si="1327"/>
        <v>1035943.2812033085</v>
      </c>
      <c r="L654" s="170">
        <f t="shared" si="1327"/>
        <v>918950.83898524148</v>
      </c>
      <c r="M654" s="170">
        <f t="shared" si="1327"/>
        <v>792891.48249527428</v>
      </c>
      <c r="N654" s="170">
        <f t="shared" si="1327"/>
        <v>657062.52587733464</v>
      </c>
      <c r="O654" s="170">
        <f t="shared" si="1327"/>
        <v>510706.82512150466</v>
      </c>
      <c r="P654" s="170">
        <f t="shared" si="1327"/>
        <v>353008.55755709787</v>
      </c>
      <c r="Q654" s="170">
        <f t="shared" si="1327"/>
        <v>183088.67425644951</v>
      </c>
      <c r="R654" s="170">
        <f t="shared" si="1327"/>
        <v>0</v>
      </c>
      <c r="S654" s="170">
        <f t="shared" si="1327"/>
        <v>0</v>
      </c>
      <c r="T654" s="170">
        <f t="shared" si="1327"/>
        <v>0</v>
      </c>
      <c r="U654" s="170">
        <f t="shared" si="1327"/>
        <v>0</v>
      </c>
      <c r="V654" s="170">
        <f t="shared" si="1327"/>
        <v>0</v>
      </c>
      <c r="W654" s="170">
        <f t="shared" si="1327"/>
        <v>0</v>
      </c>
      <c r="X654" s="170">
        <f t="shared" si="1327"/>
        <v>0</v>
      </c>
      <c r="Y654" s="170">
        <f t="shared" si="1327"/>
        <v>0</v>
      </c>
      <c r="Z654" s="170">
        <f t="shared" si="1327"/>
        <v>0</v>
      </c>
      <c r="AA654" s="170">
        <f t="shared" si="1327"/>
        <v>0</v>
      </c>
      <c r="AB654" s="170">
        <f t="shared" si="1327"/>
        <v>0</v>
      </c>
      <c r="AC654" s="170">
        <f t="shared" si="1327"/>
        <v>0</v>
      </c>
      <c r="AD654" s="170">
        <f t="shared" si="1327"/>
        <v>0</v>
      </c>
      <c r="AE654" s="170">
        <f t="shared" si="1327"/>
        <v>0</v>
      </c>
      <c r="AF654" s="170">
        <f t="shared" si="1327"/>
        <v>0</v>
      </c>
      <c r="AG654" s="170">
        <f t="shared" si="1327"/>
        <v>0</v>
      </c>
      <c r="AH654" s="170">
        <f t="shared" si="1327"/>
        <v>0</v>
      </c>
      <c r="AI654" s="170">
        <f t="shared" si="1327"/>
        <v>0</v>
      </c>
      <c r="AJ654" s="170">
        <f t="shared" si="1327"/>
        <v>0</v>
      </c>
      <c r="AK654" s="170">
        <f t="shared" si="1327"/>
        <v>0</v>
      </c>
      <c r="AL654" s="170">
        <f t="shared" si="1327"/>
        <v>0</v>
      </c>
      <c r="AM654" s="170">
        <f t="shared" si="1327"/>
        <v>0</v>
      </c>
      <c r="AN654" s="170">
        <f t="shared" si="1327"/>
        <v>0</v>
      </c>
      <c r="AO654" s="170">
        <f t="shared" si="1327"/>
        <v>0</v>
      </c>
      <c r="AP654" s="170">
        <f t="shared" si="1327"/>
        <v>0</v>
      </c>
    </row>
    <row r="655" spans="1:42" x14ac:dyDescent="0.2">
      <c r="A655" s="348" t="s">
        <v>205</v>
      </c>
      <c r="B655" s="233">
        <f>SUM(C655:AP655)</f>
        <v>38182847.711869046</v>
      </c>
      <c r="C655" s="135">
        <f t="shared" ref="C655:AP655" si="1328">IF(C$2&lt;=LPFDebtTerm,-PMT($B$645,LPFDebtTerm,$B$649),0)</f>
        <v>2545523.18079127</v>
      </c>
      <c r="D655" s="135">
        <f t="shared" si="1328"/>
        <v>2545523.18079127</v>
      </c>
      <c r="E655" s="135">
        <f t="shared" si="1328"/>
        <v>2545523.18079127</v>
      </c>
      <c r="F655" s="135">
        <f t="shared" si="1328"/>
        <v>2545523.18079127</v>
      </c>
      <c r="G655" s="135">
        <f t="shared" si="1328"/>
        <v>2545523.18079127</v>
      </c>
      <c r="H655" s="135">
        <f t="shared" si="1328"/>
        <v>2545523.18079127</v>
      </c>
      <c r="I655" s="135">
        <f t="shared" si="1328"/>
        <v>2545523.18079127</v>
      </c>
      <c r="J655" s="135">
        <f t="shared" si="1328"/>
        <v>2545523.18079127</v>
      </c>
      <c r="K655" s="135">
        <f t="shared" si="1328"/>
        <v>2545523.18079127</v>
      </c>
      <c r="L655" s="135">
        <f t="shared" si="1328"/>
        <v>2545523.18079127</v>
      </c>
      <c r="M655" s="135">
        <f t="shared" si="1328"/>
        <v>2545523.18079127</v>
      </c>
      <c r="N655" s="135">
        <f t="shared" si="1328"/>
        <v>2545523.18079127</v>
      </c>
      <c r="O655" s="135">
        <f t="shared" si="1328"/>
        <v>2545523.18079127</v>
      </c>
      <c r="P655" s="135">
        <f t="shared" si="1328"/>
        <v>2545523.18079127</v>
      </c>
      <c r="Q655" s="135">
        <f t="shared" si="1328"/>
        <v>2545523.18079127</v>
      </c>
      <c r="R655" s="135">
        <f t="shared" si="1328"/>
        <v>0</v>
      </c>
      <c r="S655" s="135">
        <f t="shared" si="1328"/>
        <v>0</v>
      </c>
      <c r="T655" s="135">
        <f t="shared" si="1328"/>
        <v>0</v>
      </c>
      <c r="U655" s="135">
        <f t="shared" si="1328"/>
        <v>0</v>
      </c>
      <c r="V655" s="135">
        <f t="shared" si="1328"/>
        <v>0</v>
      </c>
      <c r="W655" s="135">
        <f t="shared" si="1328"/>
        <v>0</v>
      </c>
      <c r="X655" s="135">
        <f t="shared" si="1328"/>
        <v>0</v>
      </c>
      <c r="Y655" s="135">
        <f t="shared" si="1328"/>
        <v>0</v>
      </c>
      <c r="Z655" s="135">
        <f t="shared" si="1328"/>
        <v>0</v>
      </c>
      <c r="AA655" s="135">
        <f t="shared" si="1328"/>
        <v>0</v>
      </c>
      <c r="AB655" s="135">
        <f t="shared" si="1328"/>
        <v>0</v>
      </c>
      <c r="AC655" s="135">
        <f t="shared" si="1328"/>
        <v>0</v>
      </c>
      <c r="AD655" s="135">
        <f t="shared" si="1328"/>
        <v>0</v>
      </c>
      <c r="AE655" s="135">
        <f t="shared" si="1328"/>
        <v>0</v>
      </c>
      <c r="AF655" s="135">
        <f t="shared" si="1328"/>
        <v>0</v>
      </c>
      <c r="AG655" s="135">
        <f t="shared" si="1328"/>
        <v>0</v>
      </c>
      <c r="AH655" s="135">
        <f t="shared" si="1328"/>
        <v>0</v>
      </c>
      <c r="AI655" s="135">
        <f t="shared" si="1328"/>
        <v>0</v>
      </c>
      <c r="AJ655" s="135">
        <f t="shared" si="1328"/>
        <v>0</v>
      </c>
      <c r="AK655" s="135">
        <f t="shared" si="1328"/>
        <v>0</v>
      </c>
      <c r="AL655" s="135">
        <f t="shared" si="1328"/>
        <v>0</v>
      </c>
      <c r="AM655" s="135">
        <f t="shared" si="1328"/>
        <v>0</v>
      </c>
      <c r="AN655" s="135">
        <f t="shared" si="1328"/>
        <v>0</v>
      </c>
      <c r="AO655" s="135">
        <f t="shared" si="1328"/>
        <v>0</v>
      </c>
      <c r="AP655" s="135">
        <f t="shared" si="1328"/>
        <v>0</v>
      </c>
    </row>
    <row r="656" spans="1:42" x14ac:dyDescent="0.2">
      <c r="A656" s="351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</row>
    <row r="657" spans="1:42" x14ac:dyDescent="0.2">
      <c r="A657" s="350" t="s">
        <v>105</v>
      </c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</row>
    <row r="658" spans="1:42" x14ac:dyDescent="0.2">
      <c r="A658" s="183" t="s">
        <v>106</v>
      </c>
      <c r="B658" s="179">
        <f>SUM(C658:AP658)</f>
        <v>55033984.034949556</v>
      </c>
      <c r="C658" s="135">
        <f>C638</f>
        <v>3485594.9846550752</v>
      </c>
      <c r="D658" s="135">
        <f t="shared" ref="D658:AP658" si="1329">D638</f>
        <v>3513448.3269593748</v>
      </c>
      <c r="E658" s="135">
        <f t="shared" si="1329"/>
        <v>3541243.6013510027</v>
      </c>
      <c r="F658" s="135">
        <f t="shared" si="1329"/>
        <v>3568977.9578648745</v>
      </c>
      <c r="G658" s="135">
        <f t="shared" si="1329"/>
        <v>3596648.4782186993</v>
      </c>
      <c r="H658" s="135">
        <f t="shared" si="1329"/>
        <v>3624252.1743018939</v>
      </c>
      <c r="I658" s="135">
        <f t="shared" si="1329"/>
        <v>3651785.9866312249</v>
      </c>
      <c r="J658" s="135">
        <f t="shared" si="1329"/>
        <v>3679246.7827724428</v>
      </c>
      <c r="K658" s="135">
        <f t="shared" si="1329"/>
        <v>3706631.3557271827</v>
      </c>
      <c r="L658" s="135">
        <f t="shared" si="1329"/>
        <v>3733936.4222843009</v>
      </c>
      <c r="M658" s="135">
        <f t="shared" si="1329"/>
        <v>3761158.6213349309</v>
      </c>
      <c r="N658" s="135">
        <f t="shared" si="1329"/>
        <v>3788294.5121503887</v>
      </c>
      <c r="O658" s="135">
        <f t="shared" si="1329"/>
        <v>3767334.6940368791</v>
      </c>
      <c r="P658" s="135">
        <f t="shared" si="1329"/>
        <v>3794287.3188777799</v>
      </c>
      <c r="Q658" s="135">
        <f t="shared" si="1329"/>
        <v>3821142.8177835047</v>
      </c>
      <c r="R658" s="135">
        <f t="shared" si="1329"/>
        <v>0</v>
      </c>
      <c r="S658" s="135">
        <f t="shared" si="1329"/>
        <v>0</v>
      </c>
      <c r="T658" s="135">
        <f t="shared" si="1329"/>
        <v>0</v>
      </c>
      <c r="U658" s="135">
        <f t="shared" si="1329"/>
        <v>0</v>
      </c>
      <c r="V658" s="135">
        <f t="shared" si="1329"/>
        <v>0</v>
      </c>
      <c r="W658" s="135">
        <f t="shared" si="1329"/>
        <v>0</v>
      </c>
      <c r="X658" s="135">
        <f t="shared" si="1329"/>
        <v>0</v>
      </c>
      <c r="Y658" s="135">
        <f t="shared" si="1329"/>
        <v>0</v>
      </c>
      <c r="Z658" s="135">
        <f t="shared" si="1329"/>
        <v>0</v>
      </c>
      <c r="AA658" s="135">
        <f t="shared" si="1329"/>
        <v>0</v>
      </c>
      <c r="AB658" s="135">
        <f t="shared" si="1329"/>
        <v>0</v>
      </c>
      <c r="AC658" s="135">
        <f t="shared" si="1329"/>
        <v>0</v>
      </c>
      <c r="AD658" s="135">
        <f t="shared" si="1329"/>
        <v>0</v>
      </c>
      <c r="AE658" s="135">
        <f t="shared" si="1329"/>
        <v>0</v>
      </c>
      <c r="AF658" s="135">
        <f t="shared" si="1329"/>
        <v>0</v>
      </c>
      <c r="AG658" s="135">
        <f t="shared" si="1329"/>
        <v>0</v>
      </c>
      <c r="AH658" s="135">
        <f t="shared" si="1329"/>
        <v>0</v>
      </c>
      <c r="AI658" s="135">
        <f t="shared" si="1329"/>
        <v>0</v>
      </c>
      <c r="AJ658" s="135">
        <f t="shared" si="1329"/>
        <v>0</v>
      </c>
      <c r="AK658" s="135">
        <f t="shared" si="1329"/>
        <v>0</v>
      </c>
      <c r="AL658" s="135">
        <f t="shared" si="1329"/>
        <v>0</v>
      </c>
      <c r="AM658" s="135">
        <f t="shared" si="1329"/>
        <v>0</v>
      </c>
      <c r="AN658" s="135">
        <f t="shared" si="1329"/>
        <v>0</v>
      </c>
      <c r="AO658" s="135">
        <f t="shared" si="1329"/>
        <v>0</v>
      </c>
      <c r="AP658" s="135">
        <f t="shared" si="1329"/>
        <v>0</v>
      </c>
    </row>
    <row r="659" spans="1:42" x14ac:dyDescent="0.2">
      <c r="A659" s="183" t="s">
        <v>107</v>
      </c>
      <c r="B659" s="179">
        <f>SUM(C659:AP659)</f>
        <v>38182847.711869046</v>
      </c>
      <c r="C659" s="135">
        <f t="shared" ref="C659:AP659" si="1330">C655</f>
        <v>2545523.18079127</v>
      </c>
      <c r="D659" s="135">
        <f t="shared" si="1330"/>
        <v>2545523.18079127</v>
      </c>
      <c r="E659" s="135">
        <f t="shared" si="1330"/>
        <v>2545523.18079127</v>
      </c>
      <c r="F659" s="135">
        <f t="shared" si="1330"/>
        <v>2545523.18079127</v>
      </c>
      <c r="G659" s="135">
        <f t="shared" si="1330"/>
        <v>2545523.18079127</v>
      </c>
      <c r="H659" s="135">
        <f t="shared" si="1330"/>
        <v>2545523.18079127</v>
      </c>
      <c r="I659" s="135">
        <f t="shared" si="1330"/>
        <v>2545523.18079127</v>
      </c>
      <c r="J659" s="135">
        <f t="shared" si="1330"/>
        <v>2545523.18079127</v>
      </c>
      <c r="K659" s="135">
        <f t="shared" si="1330"/>
        <v>2545523.18079127</v>
      </c>
      <c r="L659" s="135">
        <f t="shared" si="1330"/>
        <v>2545523.18079127</v>
      </c>
      <c r="M659" s="135">
        <f t="shared" si="1330"/>
        <v>2545523.18079127</v>
      </c>
      <c r="N659" s="135">
        <f t="shared" si="1330"/>
        <v>2545523.18079127</v>
      </c>
      <c r="O659" s="135">
        <f t="shared" si="1330"/>
        <v>2545523.18079127</v>
      </c>
      <c r="P659" s="135">
        <f t="shared" si="1330"/>
        <v>2545523.18079127</v>
      </c>
      <c r="Q659" s="135">
        <f t="shared" si="1330"/>
        <v>2545523.18079127</v>
      </c>
      <c r="R659" s="135">
        <f t="shared" si="1330"/>
        <v>0</v>
      </c>
      <c r="S659" s="135">
        <f t="shared" si="1330"/>
        <v>0</v>
      </c>
      <c r="T659" s="135">
        <f t="shared" si="1330"/>
        <v>0</v>
      </c>
      <c r="U659" s="135">
        <f t="shared" si="1330"/>
        <v>0</v>
      </c>
      <c r="V659" s="135">
        <f t="shared" si="1330"/>
        <v>0</v>
      </c>
      <c r="W659" s="135">
        <f t="shared" si="1330"/>
        <v>0</v>
      </c>
      <c r="X659" s="135">
        <f t="shared" si="1330"/>
        <v>0</v>
      </c>
      <c r="Y659" s="135">
        <f t="shared" si="1330"/>
        <v>0</v>
      </c>
      <c r="Z659" s="135">
        <f t="shared" si="1330"/>
        <v>0</v>
      </c>
      <c r="AA659" s="135">
        <f t="shared" si="1330"/>
        <v>0</v>
      </c>
      <c r="AB659" s="135">
        <f t="shared" si="1330"/>
        <v>0</v>
      </c>
      <c r="AC659" s="135">
        <f t="shared" si="1330"/>
        <v>0</v>
      </c>
      <c r="AD659" s="135">
        <f t="shared" si="1330"/>
        <v>0</v>
      </c>
      <c r="AE659" s="135">
        <f t="shared" si="1330"/>
        <v>0</v>
      </c>
      <c r="AF659" s="135">
        <f t="shared" si="1330"/>
        <v>0</v>
      </c>
      <c r="AG659" s="135">
        <f t="shared" si="1330"/>
        <v>0</v>
      </c>
      <c r="AH659" s="135">
        <f t="shared" si="1330"/>
        <v>0</v>
      </c>
      <c r="AI659" s="135">
        <f t="shared" si="1330"/>
        <v>0</v>
      </c>
      <c r="AJ659" s="135">
        <f t="shared" si="1330"/>
        <v>0</v>
      </c>
      <c r="AK659" s="135">
        <f t="shared" si="1330"/>
        <v>0</v>
      </c>
      <c r="AL659" s="135">
        <f t="shared" si="1330"/>
        <v>0</v>
      </c>
      <c r="AM659" s="135">
        <f t="shared" si="1330"/>
        <v>0</v>
      </c>
      <c r="AN659" s="135">
        <f t="shared" si="1330"/>
        <v>0</v>
      </c>
      <c r="AO659" s="135">
        <f t="shared" si="1330"/>
        <v>0</v>
      </c>
      <c r="AP659" s="135">
        <f t="shared" si="1330"/>
        <v>0</v>
      </c>
    </row>
    <row r="660" spans="1:42" x14ac:dyDescent="0.2">
      <c r="A660" s="352" t="s">
        <v>105</v>
      </c>
      <c r="C660" s="223">
        <f t="shared" ref="C660:AP660" si="1331">IF(AND(C2&lt;=LPFDebtTerm,LPFDebtSwitch="Yes"),C658/C659,"")</f>
        <v>1.3693039650778533</v>
      </c>
      <c r="D660" s="223">
        <f t="shared" si="1331"/>
        <v>1.380246054513331</v>
      </c>
      <c r="E660" s="223">
        <f t="shared" si="1331"/>
        <v>1.3911653321696389</v>
      </c>
      <c r="F660" s="223">
        <f t="shared" si="1331"/>
        <v>1.4020606784478253</v>
      </c>
      <c r="G660" s="223">
        <f t="shared" si="1331"/>
        <v>1.4129309469107603</v>
      </c>
      <c r="H660" s="223">
        <f t="shared" si="1331"/>
        <v>1.423774963689509</v>
      </c>
      <c r="I660" s="223">
        <f t="shared" si="1331"/>
        <v>1.4345915268766383</v>
      </c>
      <c r="J660" s="223">
        <f t="shared" si="1331"/>
        <v>1.4453794059061593</v>
      </c>
      <c r="K660" s="223">
        <f t="shared" si="1331"/>
        <v>1.4561373409198282</v>
      </c>
      <c r="L660" s="223">
        <f t="shared" si="1331"/>
        <v>1.4668640421194732</v>
      </c>
      <c r="M660" s="223">
        <f t="shared" si="1331"/>
        <v>1.4775581891050718</v>
      </c>
      <c r="N660" s="223">
        <f t="shared" si="1331"/>
        <v>1.4882184301982297</v>
      </c>
      <c r="O660" s="223">
        <f t="shared" si="1331"/>
        <v>1.4799844379597487</v>
      </c>
      <c r="P660" s="223">
        <f t="shared" si="1331"/>
        <v>1.490572683647035</v>
      </c>
      <c r="Q660" s="223">
        <f t="shared" si="1331"/>
        <v>1.5011227737457535</v>
      </c>
      <c r="R660" s="223" t="str">
        <f t="shared" si="1331"/>
        <v/>
      </c>
      <c r="S660" s="223" t="str">
        <f t="shared" si="1331"/>
        <v/>
      </c>
      <c r="T660" s="223" t="str">
        <f t="shared" si="1331"/>
        <v/>
      </c>
      <c r="U660" s="223" t="str">
        <f t="shared" si="1331"/>
        <v/>
      </c>
      <c r="V660" s="223" t="str">
        <f t="shared" si="1331"/>
        <v/>
      </c>
      <c r="W660" s="223" t="str">
        <f t="shared" si="1331"/>
        <v/>
      </c>
      <c r="X660" s="223" t="str">
        <f t="shared" si="1331"/>
        <v/>
      </c>
      <c r="Y660" s="223" t="str">
        <f t="shared" si="1331"/>
        <v/>
      </c>
      <c r="Z660" s="223" t="str">
        <f t="shared" si="1331"/>
        <v/>
      </c>
      <c r="AA660" s="223" t="str">
        <f t="shared" si="1331"/>
        <v/>
      </c>
      <c r="AB660" s="223" t="str">
        <f t="shared" si="1331"/>
        <v/>
      </c>
      <c r="AC660" s="223" t="str">
        <f t="shared" si="1331"/>
        <v/>
      </c>
      <c r="AD660" s="223" t="str">
        <f t="shared" si="1331"/>
        <v/>
      </c>
      <c r="AE660" s="223" t="str">
        <f t="shared" si="1331"/>
        <v/>
      </c>
      <c r="AF660" s="223" t="str">
        <f t="shared" si="1331"/>
        <v/>
      </c>
      <c r="AG660" s="223" t="str">
        <f t="shared" si="1331"/>
        <v/>
      </c>
      <c r="AH660" s="223" t="str">
        <f t="shared" si="1331"/>
        <v/>
      </c>
      <c r="AI660" s="223" t="str">
        <f t="shared" si="1331"/>
        <v/>
      </c>
      <c r="AJ660" s="223" t="str">
        <f t="shared" si="1331"/>
        <v/>
      </c>
      <c r="AK660" s="223" t="str">
        <f t="shared" si="1331"/>
        <v/>
      </c>
      <c r="AL660" s="223" t="str">
        <f t="shared" si="1331"/>
        <v/>
      </c>
      <c r="AM660" s="223" t="str">
        <f t="shared" si="1331"/>
        <v/>
      </c>
      <c r="AN660" s="223" t="str">
        <f t="shared" si="1331"/>
        <v/>
      </c>
      <c r="AO660" s="223" t="str">
        <f t="shared" si="1331"/>
        <v/>
      </c>
      <c r="AP660" s="223" t="str">
        <f t="shared" si="1331"/>
        <v/>
      </c>
    </row>
    <row r="661" spans="1:42" x14ac:dyDescent="0.2">
      <c r="A661" s="183" t="s">
        <v>108</v>
      </c>
      <c r="B661" s="182">
        <f>IF(ISERROR(B658/B659),0,B658/B659)</f>
        <v>1.4413273847524573</v>
      </c>
    </row>
    <row r="662" spans="1:42" x14ac:dyDescent="0.2">
      <c r="A662" s="183" t="s">
        <v>109</v>
      </c>
      <c r="B662" s="182">
        <f>MIN(C660:AP660)</f>
        <v>1.3693039650778533</v>
      </c>
    </row>
    <row r="664" spans="1:42" x14ac:dyDescent="0.2">
      <c r="A664" s="162" t="s">
        <v>178</v>
      </c>
      <c r="B664" s="135"/>
      <c r="C664" s="135"/>
      <c r="D664" s="135"/>
      <c r="E664" s="135"/>
      <c r="F664" s="135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</row>
    <row r="665" spans="1:42" x14ac:dyDescent="0.2">
      <c r="A665" s="165" t="s">
        <v>84</v>
      </c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</row>
    <row r="666" spans="1:42" x14ac:dyDescent="0.2">
      <c r="A666" s="20" t="s">
        <v>96</v>
      </c>
      <c r="B666" s="135">
        <v>0</v>
      </c>
      <c r="C666" s="135">
        <f>B669</f>
        <v>1290961.1054278056</v>
      </c>
      <c r="D666" s="135">
        <f t="shared" ref="D666:AP666" si="1332">C669</f>
        <v>1301277.1581331016</v>
      </c>
      <c r="E666" s="135">
        <f t="shared" si="1332"/>
        <v>1311571.704204075</v>
      </c>
      <c r="F666" s="135">
        <f t="shared" si="1332"/>
        <v>1321843.6880981016</v>
      </c>
      <c r="G666" s="135">
        <f t="shared" si="1332"/>
        <v>1332092.0289698886</v>
      </c>
      <c r="H666" s="135">
        <f t="shared" si="1332"/>
        <v>1342315.6201118124</v>
      </c>
      <c r="I666" s="135">
        <f t="shared" si="1332"/>
        <v>1352513.3283819351</v>
      </c>
      <c r="J666" s="135">
        <f t="shared" si="1332"/>
        <v>1362683.9936194231</v>
      </c>
      <c r="K666" s="135">
        <f t="shared" si="1332"/>
        <v>1372826.4280471045</v>
      </c>
      <c r="L666" s="135">
        <f t="shared" si="1332"/>
        <v>1382939.4156608521</v>
      </c>
      <c r="M666" s="135">
        <f t="shared" si="1332"/>
        <v>1393021.7116055298</v>
      </c>
      <c r="N666" s="135">
        <f t="shared" si="1332"/>
        <v>1403072.041537181</v>
      </c>
      <c r="O666" s="135">
        <f t="shared" si="1332"/>
        <v>1395309.1459395848</v>
      </c>
      <c r="P666" s="135">
        <f t="shared" si="1332"/>
        <v>1405291.5995843629</v>
      </c>
      <c r="Q666" s="135">
        <f t="shared" si="1332"/>
        <v>1415238.0806605571</v>
      </c>
      <c r="R666" s="135">
        <f t="shared" si="1332"/>
        <v>0</v>
      </c>
      <c r="S666" s="135">
        <f t="shared" si="1332"/>
        <v>0</v>
      </c>
      <c r="T666" s="135">
        <f t="shared" si="1332"/>
        <v>0</v>
      </c>
      <c r="U666" s="135">
        <f t="shared" si="1332"/>
        <v>0</v>
      </c>
      <c r="V666" s="135">
        <f t="shared" si="1332"/>
        <v>0</v>
      </c>
      <c r="W666" s="135">
        <f t="shared" si="1332"/>
        <v>0</v>
      </c>
      <c r="X666" s="135">
        <f t="shared" si="1332"/>
        <v>0</v>
      </c>
      <c r="Y666" s="135">
        <f t="shared" si="1332"/>
        <v>0</v>
      </c>
      <c r="Z666" s="135">
        <f t="shared" si="1332"/>
        <v>0</v>
      </c>
      <c r="AA666" s="135">
        <f t="shared" si="1332"/>
        <v>0</v>
      </c>
      <c r="AB666" s="135">
        <f t="shared" si="1332"/>
        <v>0</v>
      </c>
      <c r="AC666" s="135">
        <f t="shared" si="1332"/>
        <v>0</v>
      </c>
      <c r="AD666" s="135">
        <f t="shared" si="1332"/>
        <v>0</v>
      </c>
      <c r="AE666" s="135">
        <f t="shared" si="1332"/>
        <v>0</v>
      </c>
      <c r="AF666" s="135">
        <f t="shared" si="1332"/>
        <v>0</v>
      </c>
      <c r="AG666" s="135">
        <f t="shared" si="1332"/>
        <v>0</v>
      </c>
      <c r="AH666" s="135">
        <f t="shared" si="1332"/>
        <v>0</v>
      </c>
      <c r="AI666" s="135">
        <f t="shared" si="1332"/>
        <v>0</v>
      </c>
      <c r="AJ666" s="135">
        <f t="shared" si="1332"/>
        <v>0</v>
      </c>
      <c r="AK666" s="135">
        <f t="shared" si="1332"/>
        <v>0</v>
      </c>
      <c r="AL666" s="135">
        <f t="shared" si="1332"/>
        <v>0</v>
      </c>
      <c r="AM666" s="135">
        <f t="shared" si="1332"/>
        <v>0</v>
      </c>
      <c r="AN666" s="135">
        <f t="shared" si="1332"/>
        <v>0</v>
      </c>
      <c r="AO666" s="135">
        <f t="shared" si="1332"/>
        <v>0</v>
      </c>
      <c r="AP666" s="135">
        <f t="shared" si="1332"/>
        <v>0</v>
      </c>
    </row>
    <row r="667" spans="1:42" x14ac:dyDescent="0.2">
      <c r="A667" s="20" t="s">
        <v>97</v>
      </c>
      <c r="B667" s="135">
        <f t="shared" ref="B667:AP667" si="1333">IF(B2&lt;MIN(LPFDebtTerm,AnalysisPeriod),B669-B666,0)</f>
        <v>1290961.1054278056</v>
      </c>
      <c r="C667" s="135">
        <f t="shared" si="1333"/>
        <v>10316.052705296082</v>
      </c>
      <c r="D667" s="135">
        <f t="shared" si="1333"/>
        <v>10294.546070973389</v>
      </c>
      <c r="E667" s="135">
        <f t="shared" si="1333"/>
        <v>10271.983894026605</v>
      </c>
      <c r="F667" s="135">
        <f t="shared" si="1333"/>
        <v>10248.340871786932</v>
      </c>
      <c r="G667" s="135">
        <f t="shared" si="1333"/>
        <v>10223.591141923796</v>
      </c>
      <c r="H667" s="135">
        <f t="shared" si="1333"/>
        <v>10197.708270122763</v>
      </c>
      <c r="I667" s="135">
        <f t="shared" si="1333"/>
        <v>10170.665237487992</v>
      </c>
      <c r="J667" s="135">
        <f t="shared" si="1333"/>
        <v>10142.434427681379</v>
      </c>
      <c r="K667" s="135">
        <f t="shared" si="1333"/>
        <v>10112.987613747595</v>
      </c>
      <c r="L667" s="135">
        <f t="shared" si="1333"/>
        <v>10082.295944677666</v>
      </c>
      <c r="M667" s="135">
        <f t="shared" si="1333"/>
        <v>10050.329931651242</v>
      </c>
      <c r="N667" s="135">
        <f t="shared" si="1333"/>
        <v>-7762.8955975961871</v>
      </c>
      <c r="O667" s="135">
        <f t="shared" si="1333"/>
        <v>9982.4536447781138</v>
      </c>
      <c r="P667" s="135">
        <f t="shared" si="1333"/>
        <v>9946.4810761942063</v>
      </c>
      <c r="Q667" s="135">
        <f t="shared" si="1333"/>
        <v>0</v>
      </c>
      <c r="R667" s="135">
        <f t="shared" si="1333"/>
        <v>0</v>
      </c>
      <c r="S667" s="135">
        <f t="shared" si="1333"/>
        <v>0</v>
      </c>
      <c r="T667" s="135">
        <f t="shared" si="1333"/>
        <v>0</v>
      </c>
      <c r="U667" s="135">
        <f t="shared" si="1333"/>
        <v>0</v>
      </c>
      <c r="V667" s="135">
        <f t="shared" si="1333"/>
        <v>0</v>
      </c>
      <c r="W667" s="135">
        <f t="shared" si="1333"/>
        <v>0</v>
      </c>
      <c r="X667" s="135">
        <f t="shared" si="1333"/>
        <v>0</v>
      </c>
      <c r="Y667" s="135">
        <f t="shared" si="1333"/>
        <v>0</v>
      </c>
      <c r="Z667" s="135">
        <f t="shared" si="1333"/>
        <v>0</v>
      </c>
      <c r="AA667" s="135">
        <f t="shared" si="1333"/>
        <v>0</v>
      </c>
      <c r="AB667" s="135">
        <f t="shared" si="1333"/>
        <v>0</v>
      </c>
      <c r="AC667" s="135">
        <f t="shared" si="1333"/>
        <v>0</v>
      </c>
      <c r="AD667" s="135">
        <f t="shared" si="1333"/>
        <v>0</v>
      </c>
      <c r="AE667" s="135">
        <f t="shared" si="1333"/>
        <v>0</v>
      </c>
      <c r="AF667" s="135">
        <f t="shared" si="1333"/>
        <v>0</v>
      </c>
      <c r="AG667" s="135">
        <f t="shared" si="1333"/>
        <v>0</v>
      </c>
      <c r="AH667" s="135">
        <f t="shared" si="1333"/>
        <v>0</v>
      </c>
      <c r="AI667" s="135">
        <f t="shared" si="1333"/>
        <v>0</v>
      </c>
      <c r="AJ667" s="135">
        <f t="shared" si="1333"/>
        <v>0</v>
      </c>
      <c r="AK667" s="135">
        <f t="shared" si="1333"/>
        <v>0</v>
      </c>
      <c r="AL667" s="135">
        <f t="shared" si="1333"/>
        <v>0</v>
      </c>
      <c r="AM667" s="135">
        <f t="shared" si="1333"/>
        <v>0</v>
      </c>
      <c r="AN667" s="135">
        <f t="shared" si="1333"/>
        <v>0</v>
      </c>
      <c r="AO667" s="135">
        <f t="shared" si="1333"/>
        <v>0</v>
      </c>
      <c r="AP667" s="135">
        <f t="shared" si="1333"/>
        <v>0</v>
      </c>
    </row>
    <row r="668" spans="1:42" x14ac:dyDescent="0.2">
      <c r="A668" s="20" t="s">
        <v>103</v>
      </c>
      <c r="B668" s="170">
        <v>0</v>
      </c>
      <c r="C668" s="170">
        <f t="shared" ref="C668:AP668" si="1334">IF(C$2=LPFDebtTerm,-C666,0)</f>
        <v>0</v>
      </c>
      <c r="D668" s="170">
        <f t="shared" si="1334"/>
        <v>0</v>
      </c>
      <c r="E668" s="170">
        <f t="shared" si="1334"/>
        <v>0</v>
      </c>
      <c r="F668" s="170">
        <f t="shared" si="1334"/>
        <v>0</v>
      </c>
      <c r="G668" s="170">
        <f t="shared" si="1334"/>
        <v>0</v>
      </c>
      <c r="H668" s="170">
        <f t="shared" si="1334"/>
        <v>0</v>
      </c>
      <c r="I668" s="170">
        <f t="shared" si="1334"/>
        <v>0</v>
      </c>
      <c r="J668" s="170">
        <f t="shared" si="1334"/>
        <v>0</v>
      </c>
      <c r="K668" s="170">
        <f t="shared" si="1334"/>
        <v>0</v>
      </c>
      <c r="L668" s="170">
        <f t="shared" si="1334"/>
        <v>0</v>
      </c>
      <c r="M668" s="170">
        <f t="shared" si="1334"/>
        <v>0</v>
      </c>
      <c r="N668" s="170">
        <f t="shared" si="1334"/>
        <v>0</v>
      </c>
      <c r="O668" s="170">
        <f t="shared" si="1334"/>
        <v>0</v>
      </c>
      <c r="P668" s="170">
        <f t="shared" si="1334"/>
        <v>0</v>
      </c>
      <c r="Q668" s="170">
        <f t="shared" si="1334"/>
        <v>-1415238.0806605571</v>
      </c>
      <c r="R668" s="170">
        <f t="shared" si="1334"/>
        <v>0</v>
      </c>
      <c r="S668" s="170">
        <f t="shared" si="1334"/>
        <v>0</v>
      </c>
      <c r="T668" s="170">
        <f t="shared" si="1334"/>
        <v>0</v>
      </c>
      <c r="U668" s="170">
        <f t="shared" si="1334"/>
        <v>0</v>
      </c>
      <c r="V668" s="170">
        <f t="shared" si="1334"/>
        <v>0</v>
      </c>
      <c r="W668" s="170">
        <f t="shared" si="1334"/>
        <v>0</v>
      </c>
      <c r="X668" s="170">
        <f t="shared" si="1334"/>
        <v>0</v>
      </c>
      <c r="Y668" s="170">
        <f t="shared" si="1334"/>
        <v>0</v>
      </c>
      <c r="Z668" s="170">
        <f t="shared" si="1334"/>
        <v>0</v>
      </c>
      <c r="AA668" s="170">
        <f t="shared" si="1334"/>
        <v>0</v>
      </c>
      <c r="AB668" s="170">
        <f t="shared" si="1334"/>
        <v>0</v>
      </c>
      <c r="AC668" s="170">
        <f t="shared" si="1334"/>
        <v>0</v>
      </c>
      <c r="AD668" s="170">
        <f t="shared" si="1334"/>
        <v>0</v>
      </c>
      <c r="AE668" s="170">
        <f t="shared" si="1334"/>
        <v>0</v>
      </c>
      <c r="AF668" s="170">
        <f t="shared" si="1334"/>
        <v>0</v>
      </c>
      <c r="AG668" s="170">
        <f t="shared" si="1334"/>
        <v>0</v>
      </c>
      <c r="AH668" s="170">
        <f t="shared" si="1334"/>
        <v>0</v>
      </c>
      <c r="AI668" s="170">
        <f t="shared" si="1334"/>
        <v>0</v>
      </c>
      <c r="AJ668" s="170">
        <f t="shared" si="1334"/>
        <v>0</v>
      </c>
      <c r="AK668" s="170">
        <f t="shared" si="1334"/>
        <v>0</v>
      </c>
      <c r="AL668" s="170">
        <f t="shared" si="1334"/>
        <v>0</v>
      </c>
      <c r="AM668" s="170">
        <f t="shared" si="1334"/>
        <v>0</v>
      </c>
      <c r="AN668" s="170">
        <f t="shared" si="1334"/>
        <v>0</v>
      </c>
      <c r="AO668" s="170">
        <f t="shared" si="1334"/>
        <v>0</v>
      </c>
      <c r="AP668" s="170">
        <f t="shared" si="1334"/>
        <v>0</v>
      </c>
    </row>
    <row r="669" spans="1:42" s="101" customFormat="1" x14ac:dyDescent="0.2">
      <c r="A669" s="101" t="s">
        <v>99</v>
      </c>
      <c r="B669" s="181">
        <f t="shared" ref="B669:AP669" si="1335">IF(B2&lt;=MIN(LPFDebtTerm,AnalysisPeriod),(LPFDSRASize/12)*C613,0)</f>
        <v>1290961.1054278056</v>
      </c>
      <c r="C669" s="181">
        <f t="shared" si="1335"/>
        <v>1301277.1581331016</v>
      </c>
      <c r="D669" s="181">
        <f t="shared" si="1335"/>
        <v>1311571.704204075</v>
      </c>
      <c r="E669" s="181">
        <f t="shared" si="1335"/>
        <v>1321843.6880981016</v>
      </c>
      <c r="F669" s="181">
        <f t="shared" si="1335"/>
        <v>1332092.0289698886</v>
      </c>
      <c r="G669" s="181">
        <f t="shared" si="1335"/>
        <v>1342315.6201118124</v>
      </c>
      <c r="H669" s="181">
        <f t="shared" si="1335"/>
        <v>1352513.3283819351</v>
      </c>
      <c r="I669" s="181">
        <f t="shared" si="1335"/>
        <v>1362683.9936194231</v>
      </c>
      <c r="J669" s="181">
        <f t="shared" si="1335"/>
        <v>1372826.4280471045</v>
      </c>
      <c r="K669" s="181">
        <f t="shared" si="1335"/>
        <v>1382939.4156608521</v>
      </c>
      <c r="L669" s="181">
        <f t="shared" si="1335"/>
        <v>1393021.7116055298</v>
      </c>
      <c r="M669" s="181">
        <f t="shared" si="1335"/>
        <v>1403072.041537181</v>
      </c>
      <c r="N669" s="181">
        <f t="shared" si="1335"/>
        <v>1395309.1459395848</v>
      </c>
      <c r="O669" s="181">
        <f t="shared" si="1335"/>
        <v>1405291.5995843629</v>
      </c>
      <c r="P669" s="181">
        <f t="shared" si="1335"/>
        <v>1415238.0806605571</v>
      </c>
      <c r="Q669" s="181">
        <f t="shared" si="1335"/>
        <v>0</v>
      </c>
      <c r="R669" s="181">
        <f t="shared" si="1335"/>
        <v>0</v>
      </c>
      <c r="S669" s="181">
        <f t="shared" si="1335"/>
        <v>0</v>
      </c>
      <c r="T669" s="181">
        <f t="shared" si="1335"/>
        <v>0</v>
      </c>
      <c r="U669" s="181">
        <f t="shared" si="1335"/>
        <v>0</v>
      </c>
      <c r="V669" s="181">
        <f t="shared" si="1335"/>
        <v>0</v>
      </c>
      <c r="W669" s="181">
        <f t="shared" si="1335"/>
        <v>0</v>
      </c>
      <c r="X669" s="181">
        <f t="shared" si="1335"/>
        <v>0</v>
      </c>
      <c r="Y669" s="181">
        <f t="shared" si="1335"/>
        <v>0</v>
      </c>
      <c r="Z669" s="181">
        <f t="shared" si="1335"/>
        <v>0</v>
      </c>
      <c r="AA669" s="181">
        <f t="shared" si="1335"/>
        <v>0</v>
      </c>
      <c r="AB669" s="181">
        <f t="shared" si="1335"/>
        <v>0</v>
      </c>
      <c r="AC669" s="181">
        <f t="shared" si="1335"/>
        <v>0</v>
      </c>
      <c r="AD669" s="181">
        <f t="shared" si="1335"/>
        <v>0</v>
      </c>
      <c r="AE669" s="181">
        <f t="shared" si="1335"/>
        <v>0</v>
      </c>
      <c r="AF669" s="181">
        <f t="shared" si="1335"/>
        <v>0</v>
      </c>
      <c r="AG669" s="181">
        <f t="shared" si="1335"/>
        <v>0</v>
      </c>
      <c r="AH669" s="181">
        <f t="shared" si="1335"/>
        <v>0</v>
      </c>
      <c r="AI669" s="181">
        <f t="shared" si="1335"/>
        <v>0</v>
      </c>
      <c r="AJ669" s="181">
        <f t="shared" si="1335"/>
        <v>0</v>
      </c>
      <c r="AK669" s="181">
        <f t="shared" si="1335"/>
        <v>0</v>
      </c>
      <c r="AL669" s="181">
        <f t="shared" si="1335"/>
        <v>0</v>
      </c>
      <c r="AM669" s="181">
        <f t="shared" si="1335"/>
        <v>0</v>
      </c>
      <c r="AN669" s="181">
        <f t="shared" si="1335"/>
        <v>0</v>
      </c>
      <c r="AO669" s="181">
        <f t="shared" si="1335"/>
        <v>0</v>
      </c>
      <c r="AP669" s="181">
        <f t="shared" si="1335"/>
        <v>0</v>
      </c>
    </row>
    <row r="670" spans="1:42" x14ac:dyDescent="0.2">
      <c r="B670" s="135"/>
      <c r="C670" s="135"/>
      <c r="D670" s="135"/>
      <c r="E670" s="135"/>
      <c r="F670" s="135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</row>
    <row r="671" spans="1:42" x14ac:dyDescent="0.2">
      <c r="A671" s="165" t="str">
        <f>'Inputs &amp; Results'!A180</f>
        <v>Working Capital Reserve</v>
      </c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</row>
    <row r="672" spans="1:42" x14ac:dyDescent="0.2">
      <c r="A672" s="20" t="s">
        <v>96</v>
      </c>
      <c r="B672" s="135">
        <v>0</v>
      </c>
      <c r="C672" s="135">
        <f>B675</f>
        <v>387206.93687500001</v>
      </c>
      <c r="D672" s="135">
        <f t="shared" ref="D672:AP672" si="1336">C675</f>
        <v>384431.16756824998</v>
      </c>
      <c r="E672" s="135">
        <f t="shared" si="1336"/>
        <v>381739.62918197032</v>
      </c>
      <c r="F672" s="135">
        <f t="shared" si="1336"/>
        <v>379134.01992367639</v>
      </c>
      <c r="G672" s="135">
        <f t="shared" si="1336"/>
        <v>376616.07351194887</v>
      </c>
      <c r="H672" s="135">
        <f t="shared" si="1336"/>
        <v>374187.55993867398</v>
      </c>
      <c r="I672" s="135">
        <f t="shared" si="1336"/>
        <v>371850.28624794976</v>
      </c>
      <c r="J672" s="135">
        <f t="shared" si="1336"/>
        <v>369606.09733202669</v>
      </c>
      <c r="K672" s="135">
        <f t="shared" si="1336"/>
        <v>367456.87674465985</v>
      </c>
      <c r="L672" s="135">
        <f t="shared" si="1336"/>
        <v>365404.54753225867</v>
      </c>
      <c r="M672" s="135">
        <f t="shared" si="1336"/>
        <v>363451.07308322965</v>
      </c>
      <c r="N672" s="135">
        <f t="shared" si="1336"/>
        <v>361598.45799591293</v>
      </c>
      <c r="O672" s="135">
        <f t="shared" si="1336"/>
        <v>359848.74896552722</v>
      </c>
      <c r="P672" s="135">
        <f t="shared" si="1336"/>
        <v>358204.03569054336</v>
      </c>
      <c r="Q672" s="135">
        <f t="shared" si="1336"/>
        <v>356666.45179891773</v>
      </c>
      <c r="R672" s="135">
        <f t="shared" si="1336"/>
        <v>355238.17579462606</v>
      </c>
      <c r="S672" s="135">
        <f t="shared" si="1336"/>
        <v>353921.4320249476</v>
      </c>
      <c r="T672" s="135">
        <f t="shared" si="1336"/>
        <v>352718.49166896072</v>
      </c>
      <c r="U672" s="135">
        <f t="shared" si="1336"/>
        <v>351631.67374772049</v>
      </c>
      <c r="V672" s="135">
        <f t="shared" si="1336"/>
        <v>350663.34615659888</v>
      </c>
      <c r="W672" s="135">
        <f t="shared" si="1336"/>
        <v>349815.9267202809</v>
      </c>
      <c r="X672" s="135">
        <f t="shared" si="1336"/>
        <v>356257.34536466864</v>
      </c>
      <c r="Y672" s="135">
        <f t="shared" si="1336"/>
        <v>362824.6619374578</v>
      </c>
      <c r="Z672" s="135">
        <f t="shared" si="1336"/>
        <v>369520.45061541384</v>
      </c>
      <c r="AA672" s="135">
        <f t="shared" si="1336"/>
        <v>376347.33996138244</v>
      </c>
      <c r="AB672" s="135">
        <f t="shared" si="1336"/>
        <v>383308.01410033775</v>
      </c>
      <c r="AC672" s="135">
        <f t="shared" si="1336"/>
        <v>390405.21392127697</v>
      </c>
      <c r="AD672" s="135">
        <f t="shared" si="1336"/>
        <v>397641.73830553866</v>
      </c>
      <c r="AE672" s="135">
        <f t="shared" si="1336"/>
        <v>405020.44538212963</v>
      </c>
      <c r="AF672" s="135">
        <f t="shared" si="1336"/>
        <v>412544.253810664</v>
      </c>
      <c r="AG672" s="135">
        <f t="shared" si="1336"/>
        <v>420216.14409252495</v>
      </c>
      <c r="AH672" s="135">
        <f t="shared" si="1336"/>
        <v>428039.15991088084</v>
      </c>
      <c r="AI672" s="135">
        <f t="shared" si="1336"/>
        <v>436016.40950019471</v>
      </c>
      <c r="AJ672" s="135">
        <f t="shared" si="1336"/>
        <v>444151.06704588479</v>
      </c>
      <c r="AK672" s="135">
        <f t="shared" si="1336"/>
        <v>452446.37411480671</v>
      </c>
      <c r="AL672" s="135">
        <f t="shared" si="1336"/>
        <v>460905.64111724397</v>
      </c>
      <c r="AM672" s="135">
        <f t="shared" si="1336"/>
        <v>469532.24880110752</v>
      </c>
      <c r="AN672" s="135">
        <f t="shared" si="1336"/>
        <v>478329.64977906219</v>
      </c>
      <c r="AO672" s="135">
        <f t="shared" si="1336"/>
        <v>487301.37008931278</v>
      </c>
      <c r="AP672" s="135">
        <f t="shared" si="1336"/>
        <v>496451.01079080044</v>
      </c>
    </row>
    <row r="673" spans="1:42" x14ac:dyDescent="0.2">
      <c r="A673" s="20" t="s">
        <v>97</v>
      </c>
      <c r="B673" s="135">
        <f t="shared" ref="B673:AP673" si="1337">IF(B$2&lt;AnalysisPeriod,B675-B672,0)</f>
        <v>387206.93687500001</v>
      </c>
      <c r="C673" s="135">
        <f t="shared" si="1337"/>
        <v>-2775.7693067500368</v>
      </c>
      <c r="D673" s="135">
        <f t="shared" si="1337"/>
        <v>-2691.5383862796589</v>
      </c>
      <c r="E673" s="135">
        <f t="shared" si="1337"/>
        <v>-2605.6092582939309</v>
      </c>
      <c r="F673" s="135">
        <f t="shared" si="1337"/>
        <v>-2517.9464117275202</v>
      </c>
      <c r="G673" s="135">
        <f t="shared" si="1337"/>
        <v>-2428.5135732748895</v>
      </c>
      <c r="H673" s="135">
        <f t="shared" si="1337"/>
        <v>-2337.2736907242215</v>
      </c>
      <c r="I673" s="135">
        <f t="shared" si="1337"/>
        <v>-2244.1889159230632</v>
      </c>
      <c r="J673" s="135">
        <f t="shared" si="1337"/>
        <v>-2149.2205873668427</v>
      </c>
      <c r="K673" s="135">
        <f t="shared" si="1337"/>
        <v>-2052.3292124011787</v>
      </c>
      <c r="L673" s="135">
        <f t="shared" si="1337"/>
        <v>-1953.4744490290177</v>
      </c>
      <c r="M673" s="135">
        <f t="shared" si="1337"/>
        <v>-1852.6150873167207</v>
      </c>
      <c r="N673" s="135">
        <f t="shared" si="1337"/>
        <v>-1749.7090303857112</v>
      </c>
      <c r="O673" s="135">
        <f t="shared" si="1337"/>
        <v>-1644.7132749838638</v>
      </c>
      <c r="P673" s="135">
        <f t="shared" si="1337"/>
        <v>-1537.5838916256325</v>
      </c>
      <c r="Q673" s="135">
        <f t="shared" si="1337"/>
        <v>-1428.2760042916634</v>
      </c>
      <c r="R673" s="135">
        <f t="shared" si="1337"/>
        <v>-1316.7437696784618</v>
      </c>
      <c r="S673" s="135">
        <f t="shared" si="1337"/>
        <v>-1202.9403559868806</v>
      </c>
      <c r="T673" s="135">
        <f t="shared" si="1337"/>
        <v>-1086.817921240232</v>
      </c>
      <c r="U673" s="135">
        <f t="shared" si="1337"/>
        <v>-968.3275911216042</v>
      </c>
      <c r="V673" s="135">
        <f t="shared" si="1337"/>
        <v>-847.41943631798495</v>
      </c>
      <c r="W673" s="135">
        <f t="shared" si="1337"/>
        <v>6441.4186443877406</v>
      </c>
      <c r="X673" s="135">
        <f t="shared" si="1337"/>
        <v>6567.316572789161</v>
      </c>
      <c r="Y673" s="135">
        <f t="shared" si="1337"/>
        <v>6695.7886779560358</v>
      </c>
      <c r="Z673" s="135">
        <f t="shared" si="1337"/>
        <v>6826.8893459686078</v>
      </c>
      <c r="AA673" s="135">
        <f t="shared" si="1337"/>
        <v>6960.6741389553063</v>
      </c>
      <c r="AB673" s="135">
        <f t="shared" si="1337"/>
        <v>7097.1998209392186</v>
      </c>
      <c r="AC673" s="135">
        <f t="shared" si="1337"/>
        <v>7236.524384261691</v>
      </c>
      <c r="AD673" s="135">
        <f t="shared" si="1337"/>
        <v>7378.7070765909739</v>
      </c>
      <c r="AE673" s="135">
        <f t="shared" si="1337"/>
        <v>7523.8084285343648</v>
      </c>
      <c r="AF673" s="135">
        <f t="shared" si="1337"/>
        <v>7671.8902818609495</v>
      </c>
      <c r="AG673" s="135">
        <f t="shared" si="1337"/>
        <v>7823.015818355896</v>
      </c>
      <c r="AH673" s="135">
        <f t="shared" si="1337"/>
        <v>7977.2495893138694</v>
      </c>
      <c r="AI673" s="135">
        <f t="shared" si="1337"/>
        <v>8134.6575456900755</v>
      </c>
      <c r="AJ673" s="135">
        <f t="shared" si="1337"/>
        <v>8295.3070689219167</v>
      </c>
      <c r="AK673" s="135">
        <f t="shared" si="1337"/>
        <v>8459.2670024372637</v>
      </c>
      <c r="AL673" s="135">
        <f t="shared" si="1337"/>
        <v>8626.607683863549</v>
      </c>
      <c r="AM673" s="135">
        <f t="shared" si="1337"/>
        <v>8797.4009779546759</v>
      </c>
      <c r="AN673" s="135">
        <f t="shared" si="1337"/>
        <v>8971.7203102505882</v>
      </c>
      <c r="AO673" s="135">
        <f t="shared" si="1337"/>
        <v>9149.6407014876604</v>
      </c>
      <c r="AP673" s="135">
        <f t="shared" si="1337"/>
        <v>0</v>
      </c>
    </row>
    <row r="674" spans="1:42" x14ac:dyDescent="0.2">
      <c r="A674" s="20" t="s">
        <v>103</v>
      </c>
      <c r="B674" s="170">
        <v>0</v>
      </c>
      <c r="C674" s="170">
        <f t="shared" ref="C674:AP674" si="1338">IF(C$2=AnalysisPeriod,-C672,0)</f>
        <v>0</v>
      </c>
      <c r="D674" s="170">
        <f t="shared" si="1338"/>
        <v>0</v>
      </c>
      <c r="E674" s="170">
        <f t="shared" si="1338"/>
        <v>0</v>
      </c>
      <c r="F674" s="170">
        <f t="shared" si="1338"/>
        <v>0</v>
      </c>
      <c r="G674" s="170">
        <f t="shared" si="1338"/>
        <v>0</v>
      </c>
      <c r="H674" s="170">
        <f t="shared" si="1338"/>
        <v>0</v>
      </c>
      <c r="I674" s="170">
        <f t="shared" si="1338"/>
        <v>0</v>
      </c>
      <c r="J674" s="170">
        <f t="shared" si="1338"/>
        <v>0</v>
      </c>
      <c r="K674" s="170">
        <f t="shared" si="1338"/>
        <v>0</v>
      </c>
      <c r="L674" s="170">
        <f t="shared" si="1338"/>
        <v>0</v>
      </c>
      <c r="M674" s="170">
        <f t="shared" si="1338"/>
        <v>0</v>
      </c>
      <c r="N674" s="170">
        <f t="shared" si="1338"/>
        <v>0</v>
      </c>
      <c r="O674" s="170">
        <f t="shared" si="1338"/>
        <v>0</v>
      </c>
      <c r="P674" s="170">
        <f t="shared" si="1338"/>
        <v>0</v>
      </c>
      <c r="Q674" s="170">
        <f t="shared" si="1338"/>
        <v>0</v>
      </c>
      <c r="R674" s="170">
        <f t="shared" si="1338"/>
        <v>0</v>
      </c>
      <c r="S674" s="170">
        <f t="shared" si="1338"/>
        <v>0</v>
      </c>
      <c r="T674" s="170">
        <f t="shared" si="1338"/>
        <v>0</v>
      </c>
      <c r="U674" s="170">
        <f t="shared" si="1338"/>
        <v>0</v>
      </c>
      <c r="V674" s="170">
        <f t="shared" si="1338"/>
        <v>0</v>
      </c>
      <c r="W674" s="170">
        <f t="shared" si="1338"/>
        <v>0</v>
      </c>
      <c r="X674" s="170">
        <f t="shared" si="1338"/>
        <v>0</v>
      </c>
      <c r="Y674" s="170">
        <f t="shared" si="1338"/>
        <v>0</v>
      </c>
      <c r="Z674" s="170">
        <f t="shared" si="1338"/>
        <v>0</v>
      </c>
      <c r="AA674" s="170">
        <f t="shared" si="1338"/>
        <v>0</v>
      </c>
      <c r="AB674" s="170">
        <f t="shared" si="1338"/>
        <v>0</v>
      </c>
      <c r="AC674" s="170">
        <f t="shared" si="1338"/>
        <v>0</v>
      </c>
      <c r="AD674" s="170">
        <f t="shared" si="1338"/>
        <v>0</v>
      </c>
      <c r="AE674" s="170">
        <f t="shared" si="1338"/>
        <v>0</v>
      </c>
      <c r="AF674" s="170">
        <f t="shared" si="1338"/>
        <v>0</v>
      </c>
      <c r="AG674" s="170">
        <f t="shared" si="1338"/>
        <v>0</v>
      </c>
      <c r="AH674" s="170">
        <f t="shared" si="1338"/>
        <v>0</v>
      </c>
      <c r="AI674" s="170">
        <f t="shared" si="1338"/>
        <v>0</v>
      </c>
      <c r="AJ674" s="170">
        <f t="shared" si="1338"/>
        <v>0</v>
      </c>
      <c r="AK674" s="170">
        <f t="shared" si="1338"/>
        <v>0</v>
      </c>
      <c r="AL674" s="170">
        <f t="shared" si="1338"/>
        <v>0</v>
      </c>
      <c r="AM674" s="170">
        <f t="shared" si="1338"/>
        <v>0</v>
      </c>
      <c r="AN674" s="170">
        <f t="shared" si="1338"/>
        <v>0</v>
      </c>
      <c r="AO674" s="170">
        <f t="shared" si="1338"/>
        <v>0</v>
      </c>
      <c r="AP674" s="170">
        <f t="shared" si="1338"/>
        <v>-496451.01079080044</v>
      </c>
    </row>
    <row r="675" spans="1:42" s="101" customFormat="1" x14ac:dyDescent="0.2">
      <c r="A675" s="101" t="s">
        <v>99</v>
      </c>
      <c r="B675" s="181">
        <f t="shared" ref="B675:AP675" si="1339">C$41*(LPFWC/12)</f>
        <v>387206.93687500001</v>
      </c>
      <c r="C675" s="181">
        <f t="shared" si="1339"/>
        <v>384431.16756824998</v>
      </c>
      <c r="D675" s="181">
        <f t="shared" si="1339"/>
        <v>381739.62918197032</v>
      </c>
      <c r="E675" s="181">
        <f t="shared" si="1339"/>
        <v>379134.01992367639</v>
      </c>
      <c r="F675" s="181">
        <f t="shared" si="1339"/>
        <v>376616.07351194887</v>
      </c>
      <c r="G675" s="181">
        <f t="shared" si="1339"/>
        <v>374187.55993867398</v>
      </c>
      <c r="H675" s="181">
        <f t="shared" si="1339"/>
        <v>371850.28624794976</v>
      </c>
      <c r="I675" s="181">
        <f t="shared" si="1339"/>
        <v>369606.09733202669</v>
      </c>
      <c r="J675" s="181">
        <f t="shared" si="1339"/>
        <v>367456.87674465985</v>
      </c>
      <c r="K675" s="181">
        <f t="shared" si="1339"/>
        <v>365404.54753225867</v>
      </c>
      <c r="L675" s="181">
        <f t="shared" si="1339"/>
        <v>363451.07308322965</v>
      </c>
      <c r="M675" s="181">
        <f t="shared" si="1339"/>
        <v>361598.45799591293</v>
      </c>
      <c r="N675" s="181">
        <f t="shared" si="1339"/>
        <v>359848.74896552722</v>
      </c>
      <c r="O675" s="181">
        <f t="shared" si="1339"/>
        <v>358204.03569054336</v>
      </c>
      <c r="P675" s="181">
        <f t="shared" si="1339"/>
        <v>356666.45179891773</v>
      </c>
      <c r="Q675" s="181">
        <f t="shared" si="1339"/>
        <v>355238.17579462606</v>
      </c>
      <c r="R675" s="181">
        <f t="shared" si="1339"/>
        <v>353921.4320249476</v>
      </c>
      <c r="S675" s="181">
        <f t="shared" si="1339"/>
        <v>352718.49166896072</v>
      </c>
      <c r="T675" s="181">
        <f t="shared" si="1339"/>
        <v>351631.67374772049</v>
      </c>
      <c r="U675" s="181">
        <f t="shared" si="1339"/>
        <v>350663.34615659888</v>
      </c>
      <c r="V675" s="181">
        <f t="shared" si="1339"/>
        <v>349815.9267202809</v>
      </c>
      <c r="W675" s="181">
        <f t="shared" si="1339"/>
        <v>356257.34536466864</v>
      </c>
      <c r="X675" s="181">
        <f t="shared" si="1339"/>
        <v>362824.6619374578</v>
      </c>
      <c r="Y675" s="181">
        <f t="shared" si="1339"/>
        <v>369520.45061541384</v>
      </c>
      <c r="Z675" s="181">
        <f t="shared" si="1339"/>
        <v>376347.33996138244</v>
      </c>
      <c r="AA675" s="181">
        <f t="shared" si="1339"/>
        <v>383308.01410033775</v>
      </c>
      <c r="AB675" s="181">
        <f t="shared" si="1339"/>
        <v>390405.21392127697</v>
      </c>
      <c r="AC675" s="181">
        <f t="shared" si="1339"/>
        <v>397641.73830553866</v>
      </c>
      <c r="AD675" s="181">
        <f t="shared" si="1339"/>
        <v>405020.44538212963</v>
      </c>
      <c r="AE675" s="181">
        <f t="shared" si="1339"/>
        <v>412544.253810664</v>
      </c>
      <c r="AF675" s="181">
        <f t="shared" si="1339"/>
        <v>420216.14409252495</v>
      </c>
      <c r="AG675" s="181">
        <f t="shared" si="1339"/>
        <v>428039.15991088084</v>
      </c>
      <c r="AH675" s="181">
        <f t="shared" si="1339"/>
        <v>436016.40950019471</v>
      </c>
      <c r="AI675" s="181">
        <f t="shared" si="1339"/>
        <v>444151.06704588479</v>
      </c>
      <c r="AJ675" s="181">
        <f t="shared" si="1339"/>
        <v>452446.37411480671</v>
      </c>
      <c r="AK675" s="181">
        <f t="shared" si="1339"/>
        <v>460905.64111724397</v>
      </c>
      <c r="AL675" s="181">
        <f t="shared" si="1339"/>
        <v>469532.24880110752</v>
      </c>
      <c r="AM675" s="181">
        <f t="shared" si="1339"/>
        <v>478329.64977906219</v>
      </c>
      <c r="AN675" s="181">
        <f t="shared" si="1339"/>
        <v>487301.37008931278</v>
      </c>
      <c r="AO675" s="181">
        <f t="shared" si="1339"/>
        <v>496451.01079080044</v>
      </c>
      <c r="AP675" s="181">
        <f t="shared" si="1339"/>
        <v>0</v>
      </c>
    </row>
    <row r="676" spans="1:42" x14ac:dyDescent="0.2">
      <c r="B676" s="135"/>
      <c r="C676" s="135"/>
      <c r="D676" s="135"/>
      <c r="E676" s="135"/>
      <c r="F676" s="135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</row>
    <row r="677" spans="1:42" x14ac:dyDescent="0.2">
      <c r="A677" s="165" t="s">
        <v>296</v>
      </c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</row>
    <row r="678" spans="1:42" x14ac:dyDescent="0.2">
      <c r="A678" s="20" t="s">
        <v>96</v>
      </c>
      <c r="B678" s="135">
        <v>0</v>
      </c>
      <c r="C678" s="135">
        <f>B681</f>
        <v>0</v>
      </c>
      <c r="D678" s="135">
        <f t="shared" ref="D678" si="1340">C681</f>
        <v>245406.02862510949</v>
      </c>
      <c r="E678" s="135">
        <f t="shared" ref="E678" si="1341">D681</f>
        <v>490812.05725021899</v>
      </c>
      <c r="F678" s="135">
        <f t="shared" ref="F678" si="1342">E681</f>
        <v>736218.08587532851</v>
      </c>
      <c r="G678" s="135">
        <f t="shared" ref="G678" si="1343">F681</f>
        <v>981624.11450043798</v>
      </c>
      <c r="H678" s="135">
        <f t="shared" ref="H678" si="1344">G681</f>
        <v>1227030.1431255476</v>
      </c>
      <c r="I678" s="135">
        <f t="shared" ref="I678" si="1345">H681</f>
        <v>1472436.171750657</v>
      </c>
      <c r="J678" s="135">
        <f t="shared" ref="J678" si="1346">I681</f>
        <v>1717842.2003757665</v>
      </c>
      <c r="K678" s="135">
        <f t="shared" ref="K678" si="1347">J681</f>
        <v>1963248.229000876</v>
      </c>
      <c r="L678" s="135">
        <f t="shared" ref="L678" si="1348">K681</f>
        <v>2208654.2576259854</v>
      </c>
      <c r="M678" s="135">
        <f t="shared" ref="M678" si="1349">L681</f>
        <v>2454060.2862510951</v>
      </c>
      <c r="N678" s="135">
        <f t="shared" ref="N678" si="1350">M681</f>
        <v>2699466.3148762048</v>
      </c>
      <c r="O678" s="135">
        <f t="shared" ref="O678" si="1351">N681</f>
        <v>0</v>
      </c>
      <c r="P678" s="135">
        <f t="shared" ref="P678" si="1352">O681</f>
        <v>293411.90721039008</v>
      </c>
      <c r="Q678" s="135">
        <f t="shared" ref="Q678" si="1353">P681</f>
        <v>586823.81442078017</v>
      </c>
      <c r="R678" s="135">
        <f t="shared" ref="R678" si="1354">Q681</f>
        <v>880235.72163117025</v>
      </c>
      <c r="S678" s="135">
        <f t="shared" ref="S678" si="1355">R681</f>
        <v>1173647.6288415603</v>
      </c>
      <c r="T678" s="135">
        <f t="shared" ref="T678" si="1356">S681</f>
        <v>1467059.5360519504</v>
      </c>
      <c r="U678" s="135">
        <f t="shared" ref="U678" si="1357">T681</f>
        <v>1760471.4432623405</v>
      </c>
      <c r="V678" s="135">
        <f t="shared" ref="V678" si="1358">U681</f>
        <v>2053883.3504727306</v>
      </c>
      <c r="W678" s="135">
        <f t="shared" ref="W678" si="1359">V681</f>
        <v>2347295.2576831207</v>
      </c>
      <c r="X678" s="135">
        <f t="shared" ref="X678" si="1360">W681</f>
        <v>2640707.1648935108</v>
      </c>
      <c r="Y678" s="135">
        <f t="shared" ref="Y678" si="1361">X681</f>
        <v>2934119.0721039008</v>
      </c>
      <c r="Z678" s="135">
        <f t="shared" ref="Z678" si="1362">Y681</f>
        <v>3227530.9793142909</v>
      </c>
      <c r="AA678" s="135">
        <f t="shared" ref="AA678" si="1363">Z681</f>
        <v>0</v>
      </c>
      <c r="AB678" s="135">
        <f t="shared" ref="AB678" si="1364">AA681</f>
        <v>350808.60798392771</v>
      </c>
      <c r="AC678" s="135">
        <f t="shared" ref="AC678" si="1365">AB681</f>
        <v>701617.21596785542</v>
      </c>
      <c r="AD678" s="135">
        <f t="shared" ref="AD678" si="1366">AC681</f>
        <v>1052425.8239517831</v>
      </c>
      <c r="AE678" s="135">
        <f t="shared" ref="AE678" si="1367">AD681</f>
        <v>1403234.4319357108</v>
      </c>
      <c r="AF678" s="135">
        <f t="shared" ref="AF678" si="1368">AE681</f>
        <v>1754043.0399196385</v>
      </c>
      <c r="AG678" s="135">
        <f t="shared" ref="AG678" si="1369">AF681</f>
        <v>2104851.6479035662</v>
      </c>
      <c r="AH678" s="135">
        <f t="shared" ref="AH678" si="1370">AG681</f>
        <v>2455660.255887494</v>
      </c>
      <c r="AI678" s="135">
        <f t="shared" ref="AI678" si="1371">AH681</f>
        <v>2806468.8638714217</v>
      </c>
      <c r="AJ678" s="135">
        <f t="shared" ref="AJ678" si="1372">AI681</f>
        <v>3157277.4718553494</v>
      </c>
      <c r="AK678" s="135">
        <f t="shared" ref="AK678" si="1373">AJ681</f>
        <v>3508086.0798392771</v>
      </c>
      <c r="AL678" s="135">
        <f t="shared" ref="AL678" si="1374">AK681</f>
        <v>3858894.6878232048</v>
      </c>
      <c r="AM678" s="135">
        <f t="shared" ref="AM678" si="1375">AL681</f>
        <v>0</v>
      </c>
      <c r="AN678" s="135">
        <f t="shared" ref="AN678" si="1376">AM681</f>
        <v>0</v>
      </c>
      <c r="AO678" s="135">
        <f t="shared" ref="AO678" si="1377">AN681</f>
        <v>0</v>
      </c>
      <c r="AP678" s="135">
        <f t="shared" ref="AP678" si="1378">AO681</f>
        <v>0</v>
      </c>
    </row>
    <row r="679" spans="1:42" x14ac:dyDescent="0.2">
      <c r="A679" s="20" t="s">
        <v>183</v>
      </c>
      <c r="B679" s="135">
        <v>0</v>
      </c>
      <c r="C679" s="135">
        <f>C707</f>
        <v>245406.02862510949</v>
      </c>
      <c r="D679" s="135">
        <f t="shared" ref="D679:K679" si="1379">D707</f>
        <v>245406.02862510949</v>
      </c>
      <c r="E679" s="135">
        <f t="shared" si="1379"/>
        <v>245406.02862510949</v>
      </c>
      <c r="F679" s="135">
        <f t="shared" si="1379"/>
        <v>245406.02862510949</v>
      </c>
      <c r="G679" s="135">
        <f t="shared" si="1379"/>
        <v>245406.02862510949</v>
      </c>
      <c r="H679" s="135">
        <f t="shared" si="1379"/>
        <v>245406.02862510949</v>
      </c>
      <c r="I679" s="135">
        <f t="shared" si="1379"/>
        <v>245406.02862510949</v>
      </c>
      <c r="J679" s="135">
        <f t="shared" si="1379"/>
        <v>245406.02862510949</v>
      </c>
      <c r="K679" s="135">
        <f t="shared" si="1379"/>
        <v>245406.02862510949</v>
      </c>
      <c r="L679" s="135">
        <f t="shared" ref="L679:AP679" si="1380">L707</f>
        <v>245406.02862510949</v>
      </c>
      <c r="M679" s="135">
        <f t="shared" si="1380"/>
        <v>245406.02862510949</v>
      </c>
      <c r="N679" s="135">
        <f t="shared" si="1380"/>
        <v>245406.02862510949</v>
      </c>
      <c r="O679" s="135">
        <f t="shared" si="1380"/>
        <v>293411.90721039008</v>
      </c>
      <c r="P679" s="135">
        <f t="shared" si="1380"/>
        <v>293411.90721039008</v>
      </c>
      <c r="Q679" s="135">
        <f t="shared" si="1380"/>
        <v>293411.90721039008</v>
      </c>
      <c r="R679" s="135">
        <f t="shared" si="1380"/>
        <v>293411.90721039008</v>
      </c>
      <c r="S679" s="135">
        <f t="shared" si="1380"/>
        <v>293411.90721039008</v>
      </c>
      <c r="T679" s="135">
        <f t="shared" si="1380"/>
        <v>293411.90721039008</v>
      </c>
      <c r="U679" s="135">
        <f t="shared" si="1380"/>
        <v>293411.90721039008</v>
      </c>
      <c r="V679" s="135">
        <f t="shared" si="1380"/>
        <v>293411.90721039008</v>
      </c>
      <c r="W679" s="135">
        <f t="shared" si="1380"/>
        <v>293411.90721039008</v>
      </c>
      <c r="X679" s="135">
        <f t="shared" si="1380"/>
        <v>293411.90721039008</v>
      </c>
      <c r="Y679" s="135">
        <f t="shared" si="1380"/>
        <v>293411.90721039008</v>
      </c>
      <c r="Z679" s="135">
        <f t="shared" si="1380"/>
        <v>293411.90721039008</v>
      </c>
      <c r="AA679" s="135">
        <f t="shared" si="1380"/>
        <v>350808.60798392771</v>
      </c>
      <c r="AB679" s="135">
        <f t="shared" si="1380"/>
        <v>350808.60798392771</v>
      </c>
      <c r="AC679" s="135">
        <f t="shared" si="1380"/>
        <v>350808.60798392771</v>
      </c>
      <c r="AD679" s="135">
        <f t="shared" si="1380"/>
        <v>350808.60798392771</v>
      </c>
      <c r="AE679" s="135">
        <f t="shared" si="1380"/>
        <v>350808.60798392771</v>
      </c>
      <c r="AF679" s="135">
        <f t="shared" si="1380"/>
        <v>350808.60798392771</v>
      </c>
      <c r="AG679" s="135">
        <f t="shared" si="1380"/>
        <v>350808.60798392771</v>
      </c>
      <c r="AH679" s="135">
        <f t="shared" si="1380"/>
        <v>350808.60798392771</v>
      </c>
      <c r="AI679" s="135">
        <f t="shared" si="1380"/>
        <v>350808.60798392771</v>
      </c>
      <c r="AJ679" s="135">
        <f t="shared" si="1380"/>
        <v>350808.60798392771</v>
      </c>
      <c r="AK679" s="135">
        <f t="shared" si="1380"/>
        <v>350808.60798392771</v>
      </c>
      <c r="AL679" s="135">
        <f t="shared" si="1380"/>
        <v>350808.60798392771</v>
      </c>
      <c r="AM679" s="135">
        <f t="shared" si="1380"/>
        <v>0</v>
      </c>
      <c r="AN679" s="135">
        <f t="shared" si="1380"/>
        <v>0</v>
      </c>
      <c r="AO679" s="135">
        <f t="shared" si="1380"/>
        <v>0</v>
      </c>
      <c r="AP679" s="135">
        <f t="shared" si="1380"/>
        <v>0</v>
      </c>
    </row>
    <row r="680" spans="1:42" x14ac:dyDescent="0.2">
      <c r="A680" s="20" t="s">
        <v>103</v>
      </c>
      <c r="B680" s="170">
        <v>0</v>
      </c>
      <c r="C680" s="170">
        <f>-C695</f>
        <v>0</v>
      </c>
      <c r="D680" s="170">
        <f t="shared" ref="D680:K680" si="1381">-D695</f>
        <v>0</v>
      </c>
      <c r="E680" s="170">
        <f t="shared" si="1381"/>
        <v>0</v>
      </c>
      <c r="F680" s="170">
        <f t="shared" si="1381"/>
        <v>0</v>
      </c>
      <c r="G680" s="170">
        <f t="shared" si="1381"/>
        <v>0</v>
      </c>
      <c r="H680" s="170">
        <f t="shared" si="1381"/>
        <v>0</v>
      </c>
      <c r="I680" s="170">
        <f t="shared" si="1381"/>
        <v>0</v>
      </c>
      <c r="J680" s="170">
        <f t="shared" si="1381"/>
        <v>0</v>
      </c>
      <c r="K680" s="170">
        <f t="shared" si="1381"/>
        <v>0</v>
      </c>
      <c r="L680" s="170">
        <f t="shared" ref="L680:AP680" si="1382">-L695</f>
        <v>0</v>
      </c>
      <c r="M680" s="170">
        <f t="shared" si="1382"/>
        <v>0</v>
      </c>
      <c r="N680" s="170">
        <f t="shared" si="1382"/>
        <v>-2944872.3435013141</v>
      </c>
      <c r="O680" s="170">
        <f t="shared" si="1382"/>
        <v>0</v>
      </c>
      <c r="P680" s="170">
        <f t="shared" si="1382"/>
        <v>0</v>
      </c>
      <c r="Q680" s="170">
        <f t="shared" si="1382"/>
        <v>0</v>
      </c>
      <c r="R680" s="170">
        <f t="shared" si="1382"/>
        <v>0</v>
      </c>
      <c r="S680" s="170">
        <f t="shared" si="1382"/>
        <v>0</v>
      </c>
      <c r="T680" s="170">
        <f t="shared" si="1382"/>
        <v>0</v>
      </c>
      <c r="U680" s="170">
        <f t="shared" si="1382"/>
        <v>0</v>
      </c>
      <c r="V680" s="170">
        <f t="shared" si="1382"/>
        <v>0</v>
      </c>
      <c r="W680" s="170">
        <f t="shared" si="1382"/>
        <v>0</v>
      </c>
      <c r="X680" s="170">
        <f t="shared" si="1382"/>
        <v>0</v>
      </c>
      <c r="Y680" s="170">
        <f t="shared" si="1382"/>
        <v>0</v>
      </c>
      <c r="Z680" s="170">
        <f t="shared" si="1382"/>
        <v>-3520942.886524681</v>
      </c>
      <c r="AA680" s="170">
        <f t="shared" si="1382"/>
        <v>0</v>
      </c>
      <c r="AB680" s="170">
        <f t="shared" si="1382"/>
        <v>0</v>
      </c>
      <c r="AC680" s="170">
        <f t="shared" si="1382"/>
        <v>0</v>
      </c>
      <c r="AD680" s="170">
        <f t="shared" si="1382"/>
        <v>0</v>
      </c>
      <c r="AE680" s="170">
        <f t="shared" si="1382"/>
        <v>0</v>
      </c>
      <c r="AF680" s="170">
        <f t="shared" si="1382"/>
        <v>0</v>
      </c>
      <c r="AG680" s="170">
        <f t="shared" si="1382"/>
        <v>0</v>
      </c>
      <c r="AH680" s="170">
        <f t="shared" si="1382"/>
        <v>0</v>
      </c>
      <c r="AI680" s="170">
        <f t="shared" si="1382"/>
        <v>0</v>
      </c>
      <c r="AJ680" s="170">
        <f t="shared" si="1382"/>
        <v>0</v>
      </c>
      <c r="AK680" s="170">
        <f t="shared" si="1382"/>
        <v>0</v>
      </c>
      <c r="AL680" s="170">
        <f t="shared" si="1382"/>
        <v>-4209703.2958071325</v>
      </c>
      <c r="AM680" s="170">
        <f t="shared" si="1382"/>
        <v>0</v>
      </c>
      <c r="AN680" s="170">
        <f t="shared" si="1382"/>
        <v>0</v>
      </c>
      <c r="AO680" s="170">
        <f t="shared" si="1382"/>
        <v>0</v>
      </c>
      <c r="AP680" s="170">
        <f t="shared" si="1382"/>
        <v>0</v>
      </c>
    </row>
    <row r="681" spans="1:42" x14ac:dyDescent="0.2">
      <c r="A681" s="20" t="s">
        <v>99</v>
      </c>
      <c r="B681" s="135">
        <f>SUM(B678:B680)</f>
        <v>0</v>
      </c>
      <c r="C681" s="135">
        <f>SUM(C678:C680)</f>
        <v>245406.02862510949</v>
      </c>
      <c r="D681" s="135">
        <f t="shared" ref="D681:AP681" si="1383">SUM(D678:D680)</f>
        <v>490812.05725021899</v>
      </c>
      <c r="E681" s="135">
        <f t="shared" si="1383"/>
        <v>736218.08587532851</v>
      </c>
      <c r="F681" s="135">
        <f t="shared" si="1383"/>
        <v>981624.11450043798</v>
      </c>
      <c r="G681" s="135">
        <f t="shared" si="1383"/>
        <v>1227030.1431255476</v>
      </c>
      <c r="H681" s="135">
        <f t="shared" si="1383"/>
        <v>1472436.171750657</v>
      </c>
      <c r="I681" s="135">
        <f t="shared" si="1383"/>
        <v>1717842.2003757665</v>
      </c>
      <c r="J681" s="135">
        <f t="shared" si="1383"/>
        <v>1963248.229000876</v>
      </c>
      <c r="K681" s="135">
        <f t="shared" si="1383"/>
        <v>2208654.2576259854</v>
      </c>
      <c r="L681" s="135">
        <f t="shared" si="1383"/>
        <v>2454060.2862510951</v>
      </c>
      <c r="M681" s="135">
        <f t="shared" si="1383"/>
        <v>2699466.3148762048</v>
      </c>
      <c r="N681" s="135">
        <f t="shared" si="1383"/>
        <v>0</v>
      </c>
      <c r="O681" s="135">
        <f t="shared" si="1383"/>
        <v>293411.90721039008</v>
      </c>
      <c r="P681" s="135">
        <f t="shared" si="1383"/>
        <v>586823.81442078017</v>
      </c>
      <c r="Q681" s="135">
        <f t="shared" si="1383"/>
        <v>880235.72163117025</v>
      </c>
      <c r="R681" s="135">
        <f t="shared" si="1383"/>
        <v>1173647.6288415603</v>
      </c>
      <c r="S681" s="135">
        <f t="shared" si="1383"/>
        <v>1467059.5360519504</v>
      </c>
      <c r="T681" s="135">
        <f t="shared" si="1383"/>
        <v>1760471.4432623405</v>
      </c>
      <c r="U681" s="135">
        <f t="shared" si="1383"/>
        <v>2053883.3504727306</v>
      </c>
      <c r="V681" s="135">
        <f t="shared" si="1383"/>
        <v>2347295.2576831207</v>
      </c>
      <c r="W681" s="135">
        <f t="shared" si="1383"/>
        <v>2640707.1648935108</v>
      </c>
      <c r="X681" s="135">
        <f t="shared" si="1383"/>
        <v>2934119.0721039008</v>
      </c>
      <c r="Y681" s="135">
        <f t="shared" si="1383"/>
        <v>3227530.9793142909</v>
      </c>
      <c r="Z681" s="135">
        <f t="shared" si="1383"/>
        <v>0</v>
      </c>
      <c r="AA681" s="135">
        <f t="shared" si="1383"/>
        <v>350808.60798392771</v>
      </c>
      <c r="AB681" s="135">
        <f t="shared" si="1383"/>
        <v>701617.21596785542</v>
      </c>
      <c r="AC681" s="135">
        <f t="shared" si="1383"/>
        <v>1052425.8239517831</v>
      </c>
      <c r="AD681" s="135">
        <f t="shared" si="1383"/>
        <v>1403234.4319357108</v>
      </c>
      <c r="AE681" s="135">
        <f t="shared" si="1383"/>
        <v>1754043.0399196385</v>
      </c>
      <c r="AF681" s="135">
        <f t="shared" si="1383"/>
        <v>2104851.6479035662</v>
      </c>
      <c r="AG681" s="135">
        <f t="shared" si="1383"/>
        <v>2455660.255887494</v>
      </c>
      <c r="AH681" s="135">
        <f t="shared" si="1383"/>
        <v>2806468.8638714217</v>
      </c>
      <c r="AI681" s="135">
        <f t="shared" si="1383"/>
        <v>3157277.4718553494</v>
      </c>
      <c r="AJ681" s="135">
        <f t="shared" si="1383"/>
        <v>3508086.0798392771</v>
      </c>
      <c r="AK681" s="135">
        <f t="shared" si="1383"/>
        <v>3858894.6878232048</v>
      </c>
      <c r="AL681" s="135">
        <f t="shared" si="1383"/>
        <v>0</v>
      </c>
      <c r="AM681" s="135">
        <f t="shared" si="1383"/>
        <v>0</v>
      </c>
      <c r="AN681" s="135">
        <f t="shared" si="1383"/>
        <v>0</v>
      </c>
      <c r="AO681" s="135">
        <f t="shared" si="1383"/>
        <v>0</v>
      </c>
      <c r="AP681" s="135">
        <f t="shared" si="1383"/>
        <v>0</v>
      </c>
    </row>
    <row r="682" spans="1:42" x14ac:dyDescent="0.2">
      <c r="B682" s="135"/>
      <c r="C682" s="135"/>
      <c r="D682" s="135"/>
      <c r="E682" s="135"/>
      <c r="F682" s="135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</row>
    <row r="683" spans="1:42" x14ac:dyDescent="0.2">
      <c r="A683" s="20" t="s">
        <v>181</v>
      </c>
      <c r="B683" s="135"/>
      <c r="C683" s="135"/>
      <c r="D683" s="135"/>
      <c r="E683" s="135"/>
      <c r="F683" s="135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</row>
    <row r="684" spans="1:42" x14ac:dyDescent="0.2">
      <c r="A684" s="20" t="s">
        <v>182</v>
      </c>
      <c r="B684" s="135"/>
      <c r="C684" s="135"/>
      <c r="D684" s="135"/>
      <c r="E684" s="135"/>
      <c r="F684" s="135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</row>
    <row r="685" spans="1:42" x14ac:dyDescent="0.2">
      <c r="A685" s="20">
        <v>1</v>
      </c>
      <c r="B685" s="179">
        <f t="shared" ref="B685:B694" si="1384">SUM(C685:AP685)</f>
        <v>2944872.3435013141</v>
      </c>
      <c r="C685" s="169">
        <f t="shared" ref="C685:AP685" si="1385">IF(C$2&gt;AnalysisPeriod,0,IF(C$2=MMFrequency*$A685,MMCost*CapacityDC*1000*(1+Inflation)^B$2,0))</f>
        <v>0</v>
      </c>
      <c r="D685" s="169">
        <f t="shared" si="1385"/>
        <v>0</v>
      </c>
      <c r="E685" s="169">
        <f t="shared" si="1385"/>
        <v>0</v>
      </c>
      <c r="F685" s="169">
        <f t="shared" si="1385"/>
        <v>0</v>
      </c>
      <c r="G685" s="169">
        <f t="shared" si="1385"/>
        <v>0</v>
      </c>
      <c r="H685" s="169">
        <f t="shared" si="1385"/>
        <v>0</v>
      </c>
      <c r="I685" s="169">
        <f t="shared" si="1385"/>
        <v>0</v>
      </c>
      <c r="J685" s="169">
        <f t="shared" si="1385"/>
        <v>0</v>
      </c>
      <c r="K685" s="169">
        <f t="shared" si="1385"/>
        <v>0</v>
      </c>
      <c r="L685" s="169">
        <f t="shared" si="1385"/>
        <v>0</v>
      </c>
      <c r="M685" s="169">
        <f t="shared" si="1385"/>
        <v>0</v>
      </c>
      <c r="N685" s="169">
        <f t="shared" si="1385"/>
        <v>2944872.3435013141</v>
      </c>
      <c r="O685" s="169">
        <f t="shared" si="1385"/>
        <v>0</v>
      </c>
      <c r="P685" s="169">
        <f t="shared" si="1385"/>
        <v>0</v>
      </c>
      <c r="Q685" s="169">
        <f t="shared" si="1385"/>
        <v>0</v>
      </c>
      <c r="R685" s="169">
        <f t="shared" si="1385"/>
        <v>0</v>
      </c>
      <c r="S685" s="169">
        <f t="shared" si="1385"/>
        <v>0</v>
      </c>
      <c r="T685" s="169">
        <f t="shared" si="1385"/>
        <v>0</v>
      </c>
      <c r="U685" s="169">
        <f t="shared" si="1385"/>
        <v>0</v>
      </c>
      <c r="V685" s="169">
        <f t="shared" si="1385"/>
        <v>0</v>
      </c>
      <c r="W685" s="169">
        <f t="shared" si="1385"/>
        <v>0</v>
      </c>
      <c r="X685" s="169">
        <f t="shared" si="1385"/>
        <v>0</v>
      </c>
      <c r="Y685" s="169">
        <f t="shared" si="1385"/>
        <v>0</v>
      </c>
      <c r="Z685" s="169">
        <f t="shared" si="1385"/>
        <v>0</v>
      </c>
      <c r="AA685" s="169">
        <f t="shared" si="1385"/>
        <v>0</v>
      </c>
      <c r="AB685" s="169">
        <f t="shared" si="1385"/>
        <v>0</v>
      </c>
      <c r="AC685" s="169">
        <f t="shared" si="1385"/>
        <v>0</v>
      </c>
      <c r="AD685" s="169">
        <f t="shared" si="1385"/>
        <v>0</v>
      </c>
      <c r="AE685" s="169">
        <f t="shared" si="1385"/>
        <v>0</v>
      </c>
      <c r="AF685" s="169">
        <f t="shared" si="1385"/>
        <v>0</v>
      </c>
      <c r="AG685" s="169">
        <f t="shared" si="1385"/>
        <v>0</v>
      </c>
      <c r="AH685" s="169">
        <f t="shared" si="1385"/>
        <v>0</v>
      </c>
      <c r="AI685" s="169">
        <f t="shared" si="1385"/>
        <v>0</v>
      </c>
      <c r="AJ685" s="169">
        <f t="shared" si="1385"/>
        <v>0</v>
      </c>
      <c r="AK685" s="169">
        <f t="shared" si="1385"/>
        <v>0</v>
      </c>
      <c r="AL685" s="169">
        <f t="shared" si="1385"/>
        <v>0</v>
      </c>
      <c r="AM685" s="169">
        <f t="shared" si="1385"/>
        <v>0</v>
      </c>
      <c r="AN685" s="169">
        <f t="shared" si="1385"/>
        <v>0</v>
      </c>
      <c r="AO685" s="169">
        <f t="shared" si="1385"/>
        <v>0</v>
      </c>
      <c r="AP685" s="169">
        <f t="shared" si="1385"/>
        <v>0</v>
      </c>
    </row>
    <row r="686" spans="1:42" x14ac:dyDescent="0.2">
      <c r="A686" s="20">
        <f>A685+1</f>
        <v>2</v>
      </c>
      <c r="B686" s="179">
        <f t="shared" si="1384"/>
        <v>3520942.886524681</v>
      </c>
      <c r="C686" s="169">
        <f t="shared" ref="C686:AP686" si="1386">IF(C$2&gt;AnalysisPeriod,0,IF(C$2=MMFrequency*$A686,MMCost*CapacityDC*1000*(1+Inflation)^B$2,0))</f>
        <v>0</v>
      </c>
      <c r="D686" s="169">
        <f t="shared" si="1386"/>
        <v>0</v>
      </c>
      <c r="E686" s="169">
        <f t="shared" si="1386"/>
        <v>0</v>
      </c>
      <c r="F686" s="169">
        <f t="shared" si="1386"/>
        <v>0</v>
      </c>
      <c r="G686" s="169">
        <f t="shared" si="1386"/>
        <v>0</v>
      </c>
      <c r="H686" s="169">
        <f t="shared" si="1386"/>
        <v>0</v>
      </c>
      <c r="I686" s="169">
        <f t="shared" si="1386"/>
        <v>0</v>
      </c>
      <c r="J686" s="169">
        <f t="shared" si="1386"/>
        <v>0</v>
      </c>
      <c r="K686" s="169">
        <f t="shared" si="1386"/>
        <v>0</v>
      </c>
      <c r="L686" s="169">
        <f t="shared" si="1386"/>
        <v>0</v>
      </c>
      <c r="M686" s="169">
        <f t="shared" si="1386"/>
        <v>0</v>
      </c>
      <c r="N686" s="169">
        <f t="shared" si="1386"/>
        <v>0</v>
      </c>
      <c r="O686" s="169">
        <f t="shared" si="1386"/>
        <v>0</v>
      </c>
      <c r="P686" s="169">
        <f t="shared" si="1386"/>
        <v>0</v>
      </c>
      <c r="Q686" s="169">
        <f t="shared" si="1386"/>
        <v>0</v>
      </c>
      <c r="R686" s="169">
        <f t="shared" si="1386"/>
        <v>0</v>
      </c>
      <c r="S686" s="169">
        <f t="shared" si="1386"/>
        <v>0</v>
      </c>
      <c r="T686" s="169">
        <f t="shared" si="1386"/>
        <v>0</v>
      </c>
      <c r="U686" s="169">
        <f t="shared" si="1386"/>
        <v>0</v>
      </c>
      <c r="V686" s="169">
        <f t="shared" si="1386"/>
        <v>0</v>
      </c>
      <c r="W686" s="169">
        <f t="shared" si="1386"/>
        <v>0</v>
      </c>
      <c r="X686" s="169">
        <f t="shared" si="1386"/>
        <v>0</v>
      </c>
      <c r="Y686" s="169">
        <f t="shared" si="1386"/>
        <v>0</v>
      </c>
      <c r="Z686" s="169">
        <f t="shared" si="1386"/>
        <v>3520942.886524681</v>
      </c>
      <c r="AA686" s="169">
        <f t="shared" si="1386"/>
        <v>0</v>
      </c>
      <c r="AB686" s="169">
        <f t="shared" si="1386"/>
        <v>0</v>
      </c>
      <c r="AC686" s="169">
        <f t="shared" si="1386"/>
        <v>0</v>
      </c>
      <c r="AD686" s="169">
        <f t="shared" si="1386"/>
        <v>0</v>
      </c>
      <c r="AE686" s="169">
        <f t="shared" si="1386"/>
        <v>0</v>
      </c>
      <c r="AF686" s="169">
        <f t="shared" si="1386"/>
        <v>0</v>
      </c>
      <c r="AG686" s="169">
        <f t="shared" si="1386"/>
        <v>0</v>
      </c>
      <c r="AH686" s="169">
        <f t="shared" si="1386"/>
        <v>0</v>
      </c>
      <c r="AI686" s="169">
        <f t="shared" si="1386"/>
        <v>0</v>
      </c>
      <c r="AJ686" s="169">
        <f t="shared" si="1386"/>
        <v>0</v>
      </c>
      <c r="AK686" s="169">
        <f t="shared" si="1386"/>
        <v>0</v>
      </c>
      <c r="AL686" s="169">
        <f t="shared" si="1386"/>
        <v>0</v>
      </c>
      <c r="AM686" s="169">
        <f t="shared" si="1386"/>
        <v>0</v>
      </c>
      <c r="AN686" s="169">
        <f t="shared" si="1386"/>
        <v>0</v>
      </c>
      <c r="AO686" s="169">
        <f t="shared" si="1386"/>
        <v>0</v>
      </c>
      <c r="AP686" s="169">
        <f t="shared" si="1386"/>
        <v>0</v>
      </c>
    </row>
    <row r="687" spans="1:42" x14ac:dyDescent="0.2">
      <c r="A687" s="20">
        <f t="shared" ref="A687:A694" si="1387">A686+1</f>
        <v>3</v>
      </c>
      <c r="B687" s="179">
        <f t="shared" si="1384"/>
        <v>4209703.2958071325</v>
      </c>
      <c r="C687" s="169">
        <f t="shared" ref="C687:AP687" si="1388">IF(C$2&gt;AnalysisPeriod,0,IF(C$2=MMFrequency*$A687,MMCost*CapacityDC*1000*(1+Inflation)^B$2,0))</f>
        <v>0</v>
      </c>
      <c r="D687" s="169">
        <f t="shared" si="1388"/>
        <v>0</v>
      </c>
      <c r="E687" s="169">
        <f t="shared" si="1388"/>
        <v>0</v>
      </c>
      <c r="F687" s="169">
        <f t="shared" si="1388"/>
        <v>0</v>
      </c>
      <c r="G687" s="169">
        <f t="shared" si="1388"/>
        <v>0</v>
      </c>
      <c r="H687" s="169">
        <f t="shared" si="1388"/>
        <v>0</v>
      </c>
      <c r="I687" s="169">
        <f t="shared" si="1388"/>
        <v>0</v>
      </c>
      <c r="J687" s="169">
        <f t="shared" si="1388"/>
        <v>0</v>
      </c>
      <c r="K687" s="169">
        <f t="shared" si="1388"/>
        <v>0</v>
      </c>
      <c r="L687" s="169">
        <f t="shared" si="1388"/>
        <v>0</v>
      </c>
      <c r="M687" s="169">
        <f t="shared" si="1388"/>
        <v>0</v>
      </c>
      <c r="N687" s="169">
        <f t="shared" si="1388"/>
        <v>0</v>
      </c>
      <c r="O687" s="169">
        <f t="shared" si="1388"/>
        <v>0</v>
      </c>
      <c r="P687" s="169">
        <f t="shared" si="1388"/>
        <v>0</v>
      </c>
      <c r="Q687" s="169">
        <f t="shared" si="1388"/>
        <v>0</v>
      </c>
      <c r="R687" s="169">
        <f t="shared" si="1388"/>
        <v>0</v>
      </c>
      <c r="S687" s="169">
        <f t="shared" si="1388"/>
        <v>0</v>
      </c>
      <c r="T687" s="169">
        <f t="shared" si="1388"/>
        <v>0</v>
      </c>
      <c r="U687" s="169">
        <f t="shared" si="1388"/>
        <v>0</v>
      </c>
      <c r="V687" s="169">
        <f t="shared" si="1388"/>
        <v>0</v>
      </c>
      <c r="W687" s="169">
        <f t="shared" si="1388"/>
        <v>0</v>
      </c>
      <c r="X687" s="169">
        <f t="shared" si="1388"/>
        <v>0</v>
      </c>
      <c r="Y687" s="169">
        <f t="shared" si="1388"/>
        <v>0</v>
      </c>
      <c r="Z687" s="169">
        <f t="shared" si="1388"/>
        <v>0</v>
      </c>
      <c r="AA687" s="169">
        <f t="shared" si="1388"/>
        <v>0</v>
      </c>
      <c r="AB687" s="169">
        <f t="shared" si="1388"/>
        <v>0</v>
      </c>
      <c r="AC687" s="169">
        <f t="shared" si="1388"/>
        <v>0</v>
      </c>
      <c r="AD687" s="169">
        <f t="shared" si="1388"/>
        <v>0</v>
      </c>
      <c r="AE687" s="169">
        <f t="shared" si="1388"/>
        <v>0</v>
      </c>
      <c r="AF687" s="169">
        <f t="shared" si="1388"/>
        <v>0</v>
      </c>
      <c r="AG687" s="169">
        <f t="shared" si="1388"/>
        <v>0</v>
      </c>
      <c r="AH687" s="169">
        <f t="shared" si="1388"/>
        <v>0</v>
      </c>
      <c r="AI687" s="169">
        <f t="shared" si="1388"/>
        <v>0</v>
      </c>
      <c r="AJ687" s="169">
        <f t="shared" si="1388"/>
        <v>0</v>
      </c>
      <c r="AK687" s="169">
        <f t="shared" si="1388"/>
        <v>0</v>
      </c>
      <c r="AL687" s="169">
        <f t="shared" si="1388"/>
        <v>4209703.2958071325</v>
      </c>
      <c r="AM687" s="169">
        <f t="shared" si="1388"/>
        <v>0</v>
      </c>
      <c r="AN687" s="169">
        <f t="shared" si="1388"/>
        <v>0</v>
      </c>
      <c r="AO687" s="169">
        <f t="shared" si="1388"/>
        <v>0</v>
      </c>
      <c r="AP687" s="169">
        <f t="shared" si="1388"/>
        <v>0</v>
      </c>
    </row>
    <row r="688" spans="1:42" x14ac:dyDescent="0.2">
      <c r="A688" s="20">
        <f t="shared" si="1387"/>
        <v>4</v>
      </c>
      <c r="B688" s="179">
        <f t="shared" si="1384"/>
        <v>0</v>
      </c>
      <c r="C688" s="169">
        <f t="shared" ref="C688:AP688" si="1389">IF(C$2&gt;AnalysisPeriod,0,IF(C$2=MMFrequency*$A688,MMCost*CapacityDC*1000*(1+Inflation)^B$2,0))</f>
        <v>0</v>
      </c>
      <c r="D688" s="169">
        <f t="shared" si="1389"/>
        <v>0</v>
      </c>
      <c r="E688" s="169">
        <f t="shared" si="1389"/>
        <v>0</v>
      </c>
      <c r="F688" s="169">
        <f t="shared" si="1389"/>
        <v>0</v>
      </c>
      <c r="G688" s="169">
        <f t="shared" si="1389"/>
        <v>0</v>
      </c>
      <c r="H688" s="169">
        <f t="shared" si="1389"/>
        <v>0</v>
      </c>
      <c r="I688" s="169">
        <f t="shared" si="1389"/>
        <v>0</v>
      </c>
      <c r="J688" s="169">
        <f t="shared" si="1389"/>
        <v>0</v>
      </c>
      <c r="K688" s="169">
        <f t="shared" si="1389"/>
        <v>0</v>
      </c>
      <c r="L688" s="169">
        <f t="shared" si="1389"/>
        <v>0</v>
      </c>
      <c r="M688" s="169">
        <f t="shared" si="1389"/>
        <v>0</v>
      </c>
      <c r="N688" s="169">
        <f t="shared" si="1389"/>
        <v>0</v>
      </c>
      <c r="O688" s="169">
        <f t="shared" si="1389"/>
        <v>0</v>
      </c>
      <c r="P688" s="169">
        <f t="shared" si="1389"/>
        <v>0</v>
      </c>
      <c r="Q688" s="169">
        <f t="shared" si="1389"/>
        <v>0</v>
      </c>
      <c r="R688" s="169">
        <f t="shared" si="1389"/>
        <v>0</v>
      </c>
      <c r="S688" s="169">
        <f t="shared" si="1389"/>
        <v>0</v>
      </c>
      <c r="T688" s="169">
        <f t="shared" si="1389"/>
        <v>0</v>
      </c>
      <c r="U688" s="169">
        <f t="shared" si="1389"/>
        <v>0</v>
      </c>
      <c r="V688" s="169">
        <f t="shared" si="1389"/>
        <v>0</v>
      </c>
      <c r="W688" s="169">
        <f t="shared" si="1389"/>
        <v>0</v>
      </c>
      <c r="X688" s="169">
        <f t="shared" si="1389"/>
        <v>0</v>
      </c>
      <c r="Y688" s="169">
        <f t="shared" si="1389"/>
        <v>0</v>
      </c>
      <c r="Z688" s="169">
        <f t="shared" si="1389"/>
        <v>0</v>
      </c>
      <c r="AA688" s="169">
        <f t="shared" si="1389"/>
        <v>0</v>
      </c>
      <c r="AB688" s="169">
        <f t="shared" si="1389"/>
        <v>0</v>
      </c>
      <c r="AC688" s="169">
        <f t="shared" si="1389"/>
        <v>0</v>
      </c>
      <c r="AD688" s="169">
        <f t="shared" si="1389"/>
        <v>0</v>
      </c>
      <c r="AE688" s="169">
        <f t="shared" si="1389"/>
        <v>0</v>
      </c>
      <c r="AF688" s="169">
        <f t="shared" si="1389"/>
        <v>0</v>
      </c>
      <c r="AG688" s="169">
        <f t="shared" si="1389"/>
        <v>0</v>
      </c>
      <c r="AH688" s="169">
        <f t="shared" si="1389"/>
        <v>0</v>
      </c>
      <c r="AI688" s="169">
        <f t="shared" si="1389"/>
        <v>0</v>
      </c>
      <c r="AJ688" s="169">
        <f t="shared" si="1389"/>
        <v>0</v>
      </c>
      <c r="AK688" s="169">
        <f t="shared" si="1389"/>
        <v>0</v>
      </c>
      <c r="AL688" s="169">
        <f t="shared" si="1389"/>
        <v>0</v>
      </c>
      <c r="AM688" s="169">
        <f t="shared" si="1389"/>
        <v>0</v>
      </c>
      <c r="AN688" s="169">
        <f t="shared" si="1389"/>
        <v>0</v>
      </c>
      <c r="AO688" s="169">
        <f t="shared" si="1389"/>
        <v>0</v>
      </c>
      <c r="AP688" s="169">
        <f t="shared" si="1389"/>
        <v>0</v>
      </c>
    </row>
    <row r="689" spans="1:42" x14ac:dyDescent="0.2">
      <c r="A689" s="20">
        <f t="shared" si="1387"/>
        <v>5</v>
      </c>
      <c r="B689" s="179">
        <f t="shared" si="1384"/>
        <v>0</v>
      </c>
      <c r="C689" s="169">
        <f t="shared" ref="C689:AP689" si="1390">IF(C$2&gt;AnalysisPeriod,0,IF(C$2=MMFrequency*$A689,MMCost*CapacityDC*1000*(1+Inflation)^B$2,0))</f>
        <v>0</v>
      </c>
      <c r="D689" s="169">
        <f t="shared" si="1390"/>
        <v>0</v>
      </c>
      <c r="E689" s="169">
        <f t="shared" si="1390"/>
        <v>0</v>
      </c>
      <c r="F689" s="169">
        <f t="shared" si="1390"/>
        <v>0</v>
      </c>
      <c r="G689" s="169">
        <f t="shared" si="1390"/>
        <v>0</v>
      </c>
      <c r="H689" s="169">
        <f t="shared" si="1390"/>
        <v>0</v>
      </c>
      <c r="I689" s="169">
        <f t="shared" si="1390"/>
        <v>0</v>
      </c>
      <c r="J689" s="169">
        <f t="shared" si="1390"/>
        <v>0</v>
      </c>
      <c r="K689" s="169">
        <f t="shared" si="1390"/>
        <v>0</v>
      </c>
      <c r="L689" s="169">
        <f t="shared" si="1390"/>
        <v>0</v>
      </c>
      <c r="M689" s="169">
        <f t="shared" si="1390"/>
        <v>0</v>
      </c>
      <c r="N689" s="169">
        <f t="shared" si="1390"/>
        <v>0</v>
      </c>
      <c r="O689" s="169">
        <f t="shared" si="1390"/>
        <v>0</v>
      </c>
      <c r="P689" s="169">
        <f t="shared" si="1390"/>
        <v>0</v>
      </c>
      <c r="Q689" s="169">
        <f t="shared" si="1390"/>
        <v>0</v>
      </c>
      <c r="R689" s="169">
        <f t="shared" si="1390"/>
        <v>0</v>
      </c>
      <c r="S689" s="169">
        <f t="shared" si="1390"/>
        <v>0</v>
      </c>
      <c r="T689" s="169">
        <f t="shared" si="1390"/>
        <v>0</v>
      </c>
      <c r="U689" s="169">
        <f t="shared" si="1390"/>
        <v>0</v>
      </c>
      <c r="V689" s="169">
        <f t="shared" si="1390"/>
        <v>0</v>
      </c>
      <c r="W689" s="169">
        <f t="shared" si="1390"/>
        <v>0</v>
      </c>
      <c r="X689" s="169">
        <f t="shared" si="1390"/>
        <v>0</v>
      </c>
      <c r="Y689" s="169">
        <f t="shared" si="1390"/>
        <v>0</v>
      </c>
      <c r="Z689" s="169">
        <f t="shared" si="1390"/>
        <v>0</v>
      </c>
      <c r="AA689" s="169">
        <f t="shared" si="1390"/>
        <v>0</v>
      </c>
      <c r="AB689" s="169">
        <f t="shared" si="1390"/>
        <v>0</v>
      </c>
      <c r="AC689" s="169">
        <f t="shared" si="1390"/>
        <v>0</v>
      </c>
      <c r="AD689" s="169">
        <f t="shared" si="1390"/>
        <v>0</v>
      </c>
      <c r="AE689" s="169">
        <f t="shared" si="1390"/>
        <v>0</v>
      </c>
      <c r="AF689" s="169">
        <f t="shared" si="1390"/>
        <v>0</v>
      </c>
      <c r="AG689" s="169">
        <f t="shared" si="1390"/>
        <v>0</v>
      </c>
      <c r="AH689" s="169">
        <f t="shared" si="1390"/>
        <v>0</v>
      </c>
      <c r="AI689" s="169">
        <f t="shared" si="1390"/>
        <v>0</v>
      </c>
      <c r="AJ689" s="169">
        <f t="shared" si="1390"/>
        <v>0</v>
      </c>
      <c r="AK689" s="169">
        <f t="shared" si="1390"/>
        <v>0</v>
      </c>
      <c r="AL689" s="169">
        <f t="shared" si="1390"/>
        <v>0</v>
      </c>
      <c r="AM689" s="169">
        <f t="shared" si="1390"/>
        <v>0</v>
      </c>
      <c r="AN689" s="169">
        <f t="shared" si="1390"/>
        <v>0</v>
      </c>
      <c r="AO689" s="169">
        <f t="shared" si="1390"/>
        <v>0</v>
      </c>
      <c r="AP689" s="169">
        <f t="shared" si="1390"/>
        <v>0</v>
      </c>
    </row>
    <row r="690" spans="1:42" x14ac:dyDescent="0.2">
      <c r="A690" s="20">
        <f t="shared" si="1387"/>
        <v>6</v>
      </c>
      <c r="B690" s="179">
        <f t="shared" si="1384"/>
        <v>0</v>
      </c>
      <c r="C690" s="169">
        <f t="shared" ref="C690:AP690" si="1391">IF(C$2&gt;AnalysisPeriod,0,IF(C$2=MMFrequency*$A690,MMCost*CapacityDC*1000*(1+Inflation)^B$2,0))</f>
        <v>0</v>
      </c>
      <c r="D690" s="169">
        <f t="shared" si="1391"/>
        <v>0</v>
      </c>
      <c r="E690" s="169">
        <f t="shared" si="1391"/>
        <v>0</v>
      </c>
      <c r="F690" s="169">
        <f t="shared" si="1391"/>
        <v>0</v>
      </c>
      <c r="G690" s="169">
        <f t="shared" si="1391"/>
        <v>0</v>
      </c>
      <c r="H690" s="169">
        <f t="shared" si="1391"/>
        <v>0</v>
      </c>
      <c r="I690" s="169">
        <f t="shared" si="1391"/>
        <v>0</v>
      </c>
      <c r="J690" s="169">
        <f t="shared" si="1391"/>
        <v>0</v>
      </c>
      <c r="K690" s="169">
        <f t="shared" si="1391"/>
        <v>0</v>
      </c>
      <c r="L690" s="169">
        <f t="shared" si="1391"/>
        <v>0</v>
      </c>
      <c r="M690" s="169">
        <f t="shared" si="1391"/>
        <v>0</v>
      </c>
      <c r="N690" s="169">
        <f t="shared" si="1391"/>
        <v>0</v>
      </c>
      <c r="O690" s="169">
        <f t="shared" si="1391"/>
        <v>0</v>
      </c>
      <c r="P690" s="169">
        <f t="shared" si="1391"/>
        <v>0</v>
      </c>
      <c r="Q690" s="169">
        <f t="shared" si="1391"/>
        <v>0</v>
      </c>
      <c r="R690" s="169">
        <f t="shared" si="1391"/>
        <v>0</v>
      </c>
      <c r="S690" s="169">
        <f t="shared" si="1391"/>
        <v>0</v>
      </c>
      <c r="T690" s="169">
        <f t="shared" si="1391"/>
        <v>0</v>
      </c>
      <c r="U690" s="169">
        <f t="shared" si="1391"/>
        <v>0</v>
      </c>
      <c r="V690" s="169">
        <f t="shared" si="1391"/>
        <v>0</v>
      </c>
      <c r="W690" s="169">
        <f t="shared" si="1391"/>
        <v>0</v>
      </c>
      <c r="X690" s="169">
        <f t="shared" si="1391"/>
        <v>0</v>
      </c>
      <c r="Y690" s="169">
        <f t="shared" si="1391"/>
        <v>0</v>
      </c>
      <c r="Z690" s="169">
        <f t="shared" si="1391"/>
        <v>0</v>
      </c>
      <c r="AA690" s="169">
        <f t="shared" si="1391"/>
        <v>0</v>
      </c>
      <c r="AB690" s="169">
        <f t="shared" si="1391"/>
        <v>0</v>
      </c>
      <c r="AC690" s="169">
        <f t="shared" si="1391"/>
        <v>0</v>
      </c>
      <c r="AD690" s="169">
        <f t="shared" si="1391"/>
        <v>0</v>
      </c>
      <c r="AE690" s="169">
        <f t="shared" si="1391"/>
        <v>0</v>
      </c>
      <c r="AF690" s="169">
        <f t="shared" si="1391"/>
        <v>0</v>
      </c>
      <c r="AG690" s="169">
        <f t="shared" si="1391"/>
        <v>0</v>
      </c>
      <c r="AH690" s="169">
        <f t="shared" si="1391"/>
        <v>0</v>
      </c>
      <c r="AI690" s="169">
        <f t="shared" si="1391"/>
        <v>0</v>
      </c>
      <c r="AJ690" s="169">
        <f t="shared" si="1391"/>
        <v>0</v>
      </c>
      <c r="AK690" s="169">
        <f t="shared" si="1391"/>
        <v>0</v>
      </c>
      <c r="AL690" s="169">
        <f t="shared" si="1391"/>
        <v>0</v>
      </c>
      <c r="AM690" s="169">
        <f t="shared" si="1391"/>
        <v>0</v>
      </c>
      <c r="AN690" s="169">
        <f t="shared" si="1391"/>
        <v>0</v>
      </c>
      <c r="AO690" s="169">
        <f t="shared" si="1391"/>
        <v>0</v>
      </c>
      <c r="AP690" s="169">
        <f t="shared" si="1391"/>
        <v>0</v>
      </c>
    </row>
    <row r="691" spans="1:42" x14ac:dyDescent="0.2">
      <c r="A691" s="20">
        <f t="shared" si="1387"/>
        <v>7</v>
      </c>
      <c r="B691" s="179">
        <f t="shared" si="1384"/>
        <v>0</v>
      </c>
      <c r="C691" s="169">
        <f t="shared" ref="C691:AP691" si="1392">IF(C$2&gt;AnalysisPeriod,0,IF(C$2=MMFrequency*$A691,MMCost*CapacityDC*1000*(1+Inflation)^B$2,0))</f>
        <v>0</v>
      </c>
      <c r="D691" s="169">
        <f t="shared" si="1392"/>
        <v>0</v>
      </c>
      <c r="E691" s="169">
        <f t="shared" si="1392"/>
        <v>0</v>
      </c>
      <c r="F691" s="169">
        <f t="shared" si="1392"/>
        <v>0</v>
      </c>
      <c r="G691" s="169">
        <f t="shared" si="1392"/>
        <v>0</v>
      </c>
      <c r="H691" s="169">
        <f t="shared" si="1392"/>
        <v>0</v>
      </c>
      <c r="I691" s="169">
        <f t="shared" si="1392"/>
        <v>0</v>
      </c>
      <c r="J691" s="169">
        <f t="shared" si="1392"/>
        <v>0</v>
      </c>
      <c r="K691" s="169">
        <f t="shared" si="1392"/>
        <v>0</v>
      </c>
      <c r="L691" s="169">
        <f t="shared" si="1392"/>
        <v>0</v>
      </c>
      <c r="M691" s="169">
        <f t="shared" si="1392"/>
        <v>0</v>
      </c>
      <c r="N691" s="169">
        <f t="shared" si="1392"/>
        <v>0</v>
      </c>
      <c r="O691" s="169">
        <f t="shared" si="1392"/>
        <v>0</v>
      </c>
      <c r="P691" s="169">
        <f t="shared" si="1392"/>
        <v>0</v>
      </c>
      <c r="Q691" s="169">
        <f t="shared" si="1392"/>
        <v>0</v>
      </c>
      <c r="R691" s="169">
        <f t="shared" si="1392"/>
        <v>0</v>
      </c>
      <c r="S691" s="169">
        <f t="shared" si="1392"/>
        <v>0</v>
      </c>
      <c r="T691" s="169">
        <f t="shared" si="1392"/>
        <v>0</v>
      </c>
      <c r="U691" s="169">
        <f t="shared" si="1392"/>
        <v>0</v>
      </c>
      <c r="V691" s="169">
        <f t="shared" si="1392"/>
        <v>0</v>
      </c>
      <c r="W691" s="169">
        <f t="shared" si="1392"/>
        <v>0</v>
      </c>
      <c r="X691" s="169">
        <f t="shared" si="1392"/>
        <v>0</v>
      </c>
      <c r="Y691" s="169">
        <f t="shared" si="1392"/>
        <v>0</v>
      </c>
      <c r="Z691" s="169">
        <f t="shared" si="1392"/>
        <v>0</v>
      </c>
      <c r="AA691" s="169">
        <f t="shared" si="1392"/>
        <v>0</v>
      </c>
      <c r="AB691" s="169">
        <f t="shared" si="1392"/>
        <v>0</v>
      </c>
      <c r="AC691" s="169">
        <f t="shared" si="1392"/>
        <v>0</v>
      </c>
      <c r="AD691" s="169">
        <f t="shared" si="1392"/>
        <v>0</v>
      </c>
      <c r="AE691" s="169">
        <f t="shared" si="1392"/>
        <v>0</v>
      </c>
      <c r="AF691" s="169">
        <f t="shared" si="1392"/>
        <v>0</v>
      </c>
      <c r="AG691" s="169">
        <f t="shared" si="1392"/>
        <v>0</v>
      </c>
      <c r="AH691" s="169">
        <f t="shared" si="1392"/>
        <v>0</v>
      </c>
      <c r="AI691" s="169">
        <f t="shared" si="1392"/>
        <v>0</v>
      </c>
      <c r="AJ691" s="169">
        <f t="shared" si="1392"/>
        <v>0</v>
      </c>
      <c r="AK691" s="169">
        <f t="shared" si="1392"/>
        <v>0</v>
      </c>
      <c r="AL691" s="169">
        <f t="shared" si="1392"/>
        <v>0</v>
      </c>
      <c r="AM691" s="169">
        <f t="shared" si="1392"/>
        <v>0</v>
      </c>
      <c r="AN691" s="169">
        <f t="shared" si="1392"/>
        <v>0</v>
      </c>
      <c r="AO691" s="169">
        <f t="shared" si="1392"/>
        <v>0</v>
      </c>
      <c r="AP691" s="169">
        <f t="shared" si="1392"/>
        <v>0</v>
      </c>
    </row>
    <row r="692" spans="1:42" x14ac:dyDescent="0.2">
      <c r="A692" s="20">
        <f t="shared" si="1387"/>
        <v>8</v>
      </c>
      <c r="B692" s="179">
        <f t="shared" si="1384"/>
        <v>0</v>
      </c>
      <c r="C692" s="169">
        <f t="shared" ref="C692:AP692" si="1393">IF(C$2&gt;AnalysisPeriod,0,IF(C$2=MMFrequency*$A692,MMCost*CapacityDC*1000*(1+Inflation)^B$2,0))</f>
        <v>0</v>
      </c>
      <c r="D692" s="169">
        <f t="shared" si="1393"/>
        <v>0</v>
      </c>
      <c r="E692" s="169">
        <f t="shared" si="1393"/>
        <v>0</v>
      </c>
      <c r="F692" s="169">
        <f t="shared" si="1393"/>
        <v>0</v>
      </c>
      <c r="G692" s="169">
        <f t="shared" si="1393"/>
        <v>0</v>
      </c>
      <c r="H692" s="169">
        <f t="shared" si="1393"/>
        <v>0</v>
      </c>
      <c r="I692" s="169">
        <f t="shared" si="1393"/>
        <v>0</v>
      </c>
      <c r="J692" s="169">
        <f t="shared" si="1393"/>
        <v>0</v>
      </c>
      <c r="K692" s="169">
        <f t="shared" si="1393"/>
        <v>0</v>
      </c>
      <c r="L692" s="169">
        <f t="shared" si="1393"/>
        <v>0</v>
      </c>
      <c r="M692" s="169">
        <f t="shared" si="1393"/>
        <v>0</v>
      </c>
      <c r="N692" s="169">
        <f t="shared" si="1393"/>
        <v>0</v>
      </c>
      <c r="O692" s="169">
        <f t="shared" si="1393"/>
        <v>0</v>
      </c>
      <c r="P692" s="169">
        <f t="shared" si="1393"/>
        <v>0</v>
      </c>
      <c r="Q692" s="169">
        <f t="shared" si="1393"/>
        <v>0</v>
      </c>
      <c r="R692" s="169">
        <f t="shared" si="1393"/>
        <v>0</v>
      </c>
      <c r="S692" s="169">
        <f t="shared" si="1393"/>
        <v>0</v>
      </c>
      <c r="T692" s="169">
        <f t="shared" si="1393"/>
        <v>0</v>
      </c>
      <c r="U692" s="169">
        <f t="shared" si="1393"/>
        <v>0</v>
      </c>
      <c r="V692" s="169">
        <f t="shared" si="1393"/>
        <v>0</v>
      </c>
      <c r="W692" s="169">
        <f t="shared" si="1393"/>
        <v>0</v>
      </c>
      <c r="X692" s="169">
        <f t="shared" si="1393"/>
        <v>0</v>
      </c>
      <c r="Y692" s="169">
        <f t="shared" si="1393"/>
        <v>0</v>
      </c>
      <c r="Z692" s="169">
        <f t="shared" si="1393"/>
        <v>0</v>
      </c>
      <c r="AA692" s="169">
        <f t="shared" si="1393"/>
        <v>0</v>
      </c>
      <c r="AB692" s="169">
        <f t="shared" si="1393"/>
        <v>0</v>
      </c>
      <c r="AC692" s="169">
        <f t="shared" si="1393"/>
        <v>0</v>
      </c>
      <c r="AD692" s="169">
        <f t="shared" si="1393"/>
        <v>0</v>
      </c>
      <c r="AE692" s="169">
        <f t="shared" si="1393"/>
        <v>0</v>
      </c>
      <c r="AF692" s="169">
        <f t="shared" si="1393"/>
        <v>0</v>
      </c>
      <c r="AG692" s="169">
        <f t="shared" si="1393"/>
        <v>0</v>
      </c>
      <c r="AH692" s="169">
        <f t="shared" si="1393"/>
        <v>0</v>
      </c>
      <c r="AI692" s="169">
        <f t="shared" si="1393"/>
        <v>0</v>
      </c>
      <c r="AJ692" s="169">
        <f t="shared" si="1393"/>
        <v>0</v>
      </c>
      <c r="AK692" s="169">
        <f t="shared" si="1393"/>
        <v>0</v>
      </c>
      <c r="AL692" s="169">
        <f t="shared" si="1393"/>
        <v>0</v>
      </c>
      <c r="AM692" s="169">
        <f t="shared" si="1393"/>
        <v>0</v>
      </c>
      <c r="AN692" s="169">
        <f t="shared" si="1393"/>
        <v>0</v>
      </c>
      <c r="AO692" s="169">
        <f t="shared" si="1393"/>
        <v>0</v>
      </c>
      <c r="AP692" s="169">
        <f t="shared" si="1393"/>
        <v>0</v>
      </c>
    </row>
    <row r="693" spans="1:42" x14ac:dyDescent="0.2">
      <c r="A693" s="20">
        <f>A692+1</f>
        <v>9</v>
      </c>
      <c r="B693" s="179">
        <f t="shared" si="1384"/>
        <v>0</v>
      </c>
      <c r="C693" s="169">
        <f t="shared" ref="C693:AP693" si="1394">IF(C$2&gt;AnalysisPeriod,0,IF(C$2=MMFrequency*$A693,MMCost*CapacityDC*1000*(1+Inflation)^B$2,0))</f>
        <v>0</v>
      </c>
      <c r="D693" s="169">
        <f t="shared" si="1394"/>
        <v>0</v>
      </c>
      <c r="E693" s="169">
        <f t="shared" si="1394"/>
        <v>0</v>
      </c>
      <c r="F693" s="169">
        <f t="shared" si="1394"/>
        <v>0</v>
      </c>
      <c r="G693" s="169">
        <f t="shared" si="1394"/>
        <v>0</v>
      </c>
      <c r="H693" s="169">
        <f t="shared" si="1394"/>
        <v>0</v>
      </c>
      <c r="I693" s="169">
        <f t="shared" si="1394"/>
        <v>0</v>
      </c>
      <c r="J693" s="169">
        <f t="shared" si="1394"/>
        <v>0</v>
      </c>
      <c r="K693" s="169">
        <f t="shared" si="1394"/>
        <v>0</v>
      </c>
      <c r="L693" s="169">
        <f t="shared" si="1394"/>
        <v>0</v>
      </c>
      <c r="M693" s="169">
        <f t="shared" si="1394"/>
        <v>0</v>
      </c>
      <c r="N693" s="169">
        <f t="shared" si="1394"/>
        <v>0</v>
      </c>
      <c r="O693" s="169">
        <f t="shared" si="1394"/>
        <v>0</v>
      </c>
      <c r="P693" s="169">
        <f t="shared" si="1394"/>
        <v>0</v>
      </c>
      <c r="Q693" s="169">
        <f t="shared" si="1394"/>
        <v>0</v>
      </c>
      <c r="R693" s="169">
        <f t="shared" si="1394"/>
        <v>0</v>
      </c>
      <c r="S693" s="169">
        <f t="shared" si="1394"/>
        <v>0</v>
      </c>
      <c r="T693" s="169">
        <f t="shared" si="1394"/>
        <v>0</v>
      </c>
      <c r="U693" s="169">
        <f t="shared" si="1394"/>
        <v>0</v>
      </c>
      <c r="V693" s="169">
        <f t="shared" si="1394"/>
        <v>0</v>
      </c>
      <c r="W693" s="169">
        <f t="shared" si="1394"/>
        <v>0</v>
      </c>
      <c r="X693" s="169">
        <f t="shared" si="1394"/>
        <v>0</v>
      </c>
      <c r="Y693" s="169">
        <f t="shared" si="1394"/>
        <v>0</v>
      </c>
      <c r="Z693" s="169">
        <f t="shared" si="1394"/>
        <v>0</v>
      </c>
      <c r="AA693" s="169">
        <f t="shared" si="1394"/>
        <v>0</v>
      </c>
      <c r="AB693" s="169">
        <f t="shared" si="1394"/>
        <v>0</v>
      </c>
      <c r="AC693" s="169">
        <f t="shared" si="1394"/>
        <v>0</v>
      </c>
      <c r="AD693" s="169">
        <f t="shared" si="1394"/>
        <v>0</v>
      </c>
      <c r="AE693" s="169">
        <f t="shared" si="1394"/>
        <v>0</v>
      </c>
      <c r="AF693" s="169">
        <f t="shared" si="1394"/>
        <v>0</v>
      </c>
      <c r="AG693" s="169">
        <f t="shared" si="1394"/>
        <v>0</v>
      </c>
      <c r="AH693" s="169">
        <f t="shared" si="1394"/>
        <v>0</v>
      </c>
      <c r="AI693" s="169">
        <f t="shared" si="1394"/>
        <v>0</v>
      </c>
      <c r="AJ693" s="169">
        <f t="shared" si="1394"/>
        <v>0</v>
      </c>
      <c r="AK693" s="169">
        <f t="shared" si="1394"/>
        <v>0</v>
      </c>
      <c r="AL693" s="169">
        <f t="shared" si="1394"/>
        <v>0</v>
      </c>
      <c r="AM693" s="169">
        <f t="shared" si="1394"/>
        <v>0</v>
      </c>
      <c r="AN693" s="169">
        <f t="shared" si="1394"/>
        <v>0</v>
      </c>
      <c r="AO693" s="169">
        <f t="shared" si="1394"/>
        <v>0</v>
      </c>
      <c r="AP693" s="169">
        <f t="shared" si="1394"/>
        <v>0</v>
      </c>
    </row>
    <row r="694" spans="1:42" x14ac:dyDescent="0.2">
      <c r="A694" s="20">
        <f t="shared" si="1387"/>
        <v>10</v>
      </c>
      <c r="B694" s="179">
        <f t="shared" si="1384"/>
        <v>0</v>
      </c>
      <c r="C694" s="170">
        <f t="shared" ref="C694:AP694" si="1395">IF(C$2&gt;AnalysisPeriod,0,IF(C$2=MMFrequency*$A694,MMCost*CapacityDC*1000*(1+Inflation)^B$2,0))</f>
        <v>0</v>
      </c>
      <c r="D694" s="170">
        <f t="shared" si="1395"/>
        <v>0</v>
      </c>
      <c r="E694" s="170">
        <f t="shared" si="1395"/>
        <v>0</v>
      </c>
      <c r="F694" s="170">
        <f t="shared" si="1395"/>
        <v>0</v>
      </c>
      <c r="G694" s="170">
        <f t="shared" si="1395"/>
        <v>0</v>
      </c>
      <c r="H694" s="170">
        <f t="shared" si="1395"/>
        <v>0</v>
      </c>
      <c r="I694" s="170">
        <f t="shared" si="1395"/>
        <v>0</v>
      </c>
      <c r="J694" s="170">
        <f t="shared" si="1395"/>
        <v>0</v>
      </c>
      <c r="K694" s="170">
        <f t="shared" si="1395"/>
        <v>0</v>
      </c>
      <c r="L694" s="170">
        <f t="shared" si="1395"/>
        <v>0</v>
      </c>
      <c r="M694" s="170">
        <f t="shared" si="1395"/>
        <v>0</v>
      </c>
      <c r="N694" s="170">
        <f t="shared" si="1395"/>
        <v>0</v>
      </c>
      <c r="O694" s="170">
        <f t="shared" si="1395"/>
        <v>0</v>
      </c>
      <c r="P694" s="170">
        <f t="shared" si="1395"/>
        <v>0</v>
      </c>
      <c r="Q694" s="170">
        <f t="shared" si="1395"/>
        <v>0</v>
      </c>
      <c r="R694" s="170">
        <f t="shared" si="1395"/>
        <v>0</v>
      </c>
      <c r="S694" s="170">
        <f t="shared" si="1395"/>
        <v>0</v>
      </c>
      <c r="T694" s="170">
        <f t="shared" si="1395"/>
        <v>0</v>
      </c>
      <c r="U694" s="170">
        <f t="shared" si="1395"/>
        <v>0</v>
      </c>
      <c r="V694" s="170">
        <f t="shared" si="1395"/>
        <v>0</v>
      </c>
      <c r="W694" s="170">
        <f t="shared" si="1395"/>
        <v>0</v>
      </c>
      <c r="X694" s="170">
        <f t="shared" si="1395"/>
        <v>0</v>
      </c>
      <c r="Y694" s="170">
        <f t="shared" si="1395"/>
        <v>0</v>
      </c>
      <c r="Z694" s="170">
        <f t="shared" si="1395"/>
        <v>0</v>
      </c>
      <c r="AA694" s="170">
        <f t="shared" si="1395"/>
        <v>0</v>
      </c>
      <c r="AB694" s="170">
        <f t="shared" si="1395"/>
        <v>0</v>
      </c>
      <c r="AC694" s="170">
        <f t="shared" si="1395"/>
        <v>0</v>
      </c>
      <c r="AD694" s="170">
        <f t="shared" si="1395"/>
        <v>0</v>
      </c>
      <c r="AE694" s="170">
        <f t="shared" si="1395"/>
        <v>0</v>
      </c>
      <c r="AF694" s="170">
        <f t="shared" si="1395"/>
        <v>0</v>
      </c>
      <c r="AG694" s="170">
        <f t="shared" si="1395"/>
        <v>0</v>
      </c>
      <c r="AH694" s="170">
        <f t="shared" si="1395"/>
        <v>0</v>
      </c>
      <c r="AI694" s="170">
        <f t="shared" si="1395"/>
        <v>0</v>
      </c>
      <c r="AJ694" s="170">
        <f t="shared" si="1395"/>
        <v>0</v>
      </c>
      <c r="AK694" s="170">
        <f t="shared" si="1395"/>
        <v>0</v>
      </c>
      <c r="AL694" s="170">
        <f t="shared" si="1395"/>
        <v>0</v>
      </c>
      <c r="AM694" s="170">
        <f t="shared" si="1395"/>
        <v>0</v>
      </c>
      <c r="AN694" s="170">
        <f t="shared" si="1395"/>
        <v>0</v>
      </c>
      <c r="AO694" s="170">
        <f t="shared" si="1395"/>
        <v>0</v>
      </c>
      <c r="AP694" s="170">
        <f t="shared" si="1395"/>
        <v>0</v>
      </c>
    </row>
    <row r="695" spans="1:42" x14ac:dyDescent="0.2">
      <c r="A695" s="202" t="s">
        <v>53</v>
      </c>
      <c r="B695" s="169"/>
      <c r="C695" s="135">
        <f>SUM(C685:C694)</f>
        <v>0</v>
      </c>
      <c r="D695" s="135">
        <f t="shared" ref="D695" si="1396">SUM(D685:D694)</f>
        <v>0</v>
      </c>
      <c r="E695" s="135">
        <f t="shared" ref="E695" si="1397">SUM(E685:E694)</f>
        <v>0</v>
      </c>
      <c r="F695" s="135">
        <f t="shared" ref="F695" si="1398">SUM(F685:F694)</f>
        <v>0</v>
      </c>
      <c r="G695" s="135">
        <f t="shared" ref="G695" si="1399">SUM(G685:G694)</f>
        <v>0</v>
      </c>
      <c r="H695" s="135">
        <f t="shared" ref="H695" si="1400">SUM(H685:H694)</f>
        <v>0</v>
      </c>
      <c r="I695" s="135">
        <f t="shared" ref="I695" si="1401">SUM(I685:I694)</f>
        <v>0</v>
      </c>
      <c r="J695" s="135">
        <f t="shared" ref="J695" si="1402">SUM(J685:J694)</f>
        <v>0</v>
      </c>
      <c r="K695" s="135">
        <f t="shared" ref="K695" si="1403">SUM(K685:K694)</f>
        <v>0</v>
      </c>
      <c r="L695" s="135">
        <f t="shared" ref="L695" si="1404">SUM(L685:L694)</f>
        <v>0</v>
      </c>
      <c r="M695" s="135">
        <f t="shared" ref="M695" si="1405">SUM(M685:M694)</f>
        <v>0</v>
      </c>
      <c r="N695" s="135">
        <f t="shared" ref="N695" si="1406">SUM(N685:N694)</f>
        <v>2944872.3435013141</v>
      </c>
      <c r="O695" s="135">
        <f t="shared" ref="O695" si="1407">SUM(O685:O694)</f>
        <v>0</v>
      </c>
      <c r="P695" s="135">
        <f t="shared" ref="P695" si="1408">SUM(P685:P694)</f>
        <v>0</v>
      </c>
      <c r="Q695" s="135">
        <f t="shared" ref="Q695" si="1409">SUM(Q685:Q694)</f>
        <v>0</v>
      </c>
      <c r="R695" s="135">
        <f t="shared" ref="R695" si="1410">SUM(R685:R694)</f>
        <v>0</v>
      </c>
      <c r="S695" s="135">
        <f t="shared" ref="S695" si="1411">SUM(S685:S694)</f>
        <v>0</v>
      </c>
      <c r="T695" s="135">
        <f t="shared" ref="T695" si="1412">SUM(T685:T694)</f>
        <v>0</v>
      </c>
      <c r="U695" s="135">
        <f t="shared" ref="U695" si="1413">SUM(U685:U694)</f>
        <v>0</v>
      </c>
      <c r="V695" s="135">
        <f t="shared" ref="V695" si="1414">SUM(V685:V694)</f>
        <v>0</v>
      </c>
      <c r="W695" s="135">
        <f t="shared" ref="W695" si="1415">SUM(W685:W694)</f>
        <v>0</v>
      </c>
      <c r="X695" s="135">
        <f t="shared" ref="X695" si="1416">SUM(X685:X694)</f>
        <v>0</v>
      </c>
      <c r="Y695" s="135">
        <f t="shared" ref="Y695" si="1417">SUM(Y685:Y694)</f>
        <v>0</v>
      </c>
      <c r="Z695" s="135">
        <f t="shared" ref="Z695" si="1418">SUM(Z685:Z694)</f>
        <v>3520942.886524681</v>
      </c>
      <c r="AA695" s="135">
        <f t="shared" ref="AA695" si="1419">SUM(AA685:AA694)</f>
        <v>0</v>
      </c>
      <c r="AB695" s="135">
        <f t="shared" ref="AB695" si="1420">SUM(AB685:AB694)</f>
        <v>0</v>
      </c>
      <c r="AC695" s="135">
        <f t="shared" ref="AC695" si="1421">SUM(AC685:AC694)</f>
        <v>0</v>
      </c>
      <c r="AD695" s="135">
        <f t="shared" ref="AD695" si="1422">SUM(AD685:AD694)</f>
        <v>0</v>
      </c>
      <c r="AE695" s="135">
        <f t="shared" ref="AE695" si="1423">SUM(AE685:AE694)</f>
        <v>0</v>
      </c>
      <c r="AF695" s="135">
        <f t="shared" ref="AF695" si="1424">SUM(AF685:AF694)</f>
        <v>0</v>
      </c>
      <c r="AG695" s="135">
        <f t="shared" ref="AG695" si="1425">SUM(AG685:AG694)</f>
        <v>0</v>
      </c>
      <c r="AH695" s="135">
        <f t="shared" ref="AH695" si="1426">SUM(AH685:AH694)</f>
        <v>0</v>
      </c>
      <c r="AI695" s="135">
        <f t="shared" ref="AI695" si="1427">SUM(AI685:AI694)</f>
        <v>0</v>
      </c>
      <c r="AJ695" s="135">
        <f t="shared" ref="AJ695" si="1428">SUM(AJ685:AJ694)</f>
        <v>0</v>
      </c>
      <c r="AK695" s="135">
        <f t="shared" ref="AK695" si="1429">SUM(AK685:AK694)</f>
        <v>0</v>
      </c>
      <c r="AL695" s="135">
        <f t="shared" ref="AL695" si="1430">SUM(AL685:AL694)</f>
        <v>4209703.2958071325</v>
      </c>
      <c r="AM695" s="135">
        <f t="shared" ref="AM695" si="1431">SUM(AM685:AM694)</f>
        <v>0</v>
      </c>
      <c r="AN695" s="135">
        <f t="shared" ref="AN695" si="1432">SUM(AN685:AN694)</f>
        <v>0</v>
      </c>
      <c r="AO695" s="135">
        <f t="shared" ref="AO695" si="1433">SUM(AO685:AO694)</f>
        <v>0</v>
      </c>
      <c r="AP695" s="135">
        <f t="shared" ref="AP695" si="1434">SUM(AP685:AP694)</f>
        <v>0</v>
      </c>
    </row>
    <row r="696" spans="1:42" x14ac:dyDescent="0.2">
      <c r="A696" s="20" t="s">
        <v>184</v>
      </c>
      <c r="B696" s="135"/>
      <c r="C696" s="135"/>
      <c r="D696" s="135"/>
      <c r="E696" s="135"/>
      <c r="F696" s="135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</row>
    <row r="697" spans="1:42" x14ac:dyDescent="0.2">
      <c r="A697" s="20">
        <v>1</v>
      </c>
      <c r="B697" s="179">
        <f t="shared" ref="B697:B706" si="1435">SUM(C697:AP697)</f>
        <v>2944872.3435013145</v>
      </c>
      <c r="C697" s="135">
        <f t="shared" ref="C697:AP697" si="1436">IF(C$2&lt;=MMFrequency*$A$685,$B$685/(MMFrequency),0)</f>
        <v>245406.02862510949</v>
      </c>
      <c r="D697" s="135">
        <f t="shared" si="1436"/>
        <v>245406.02862510949</v>
      </c>
      <c r="E697" s="135">
        <f t="shared" si="1436"/>
        <v>245406.02862510949</v>
      </c>
      <c r="F697" s="135">
        <f t="shared" si="1436"/>
        <v>245406.02862510949</v>
      </c>
      <c r="G697" s="135">
        <f t="shared" si="1436"/>
        <v>245406.02862510949</v>
      </c>
      <c r="H697" s="135">
        <f t="shared" si="1436"/>
        <v>245406.02862510949</v>
      </c>
      <c r="I697" s="135">
        <f t="shared" si="1436"/>
        <v>245406.02862510949</v>
      </c>
      <c r="J697" s="135">
        <f t="shared" si="1436"/>
        <v>245406.02862510949</v>
      </c>
      <c r="K697" s="135">
        <f t="shared" si="1436"/>
        <v>245406.02862510949</v>
      </c>
      <c r="L697" s="135">
        <f t="shared" si="1436"/>
        <v>245406.02862510949</v>
      </c>
      <c r="M697" s="135">
        <f t="shared" si="1436"/>
        <v>245406.02862510949</v>
      </c>
      <c r="N697" s="135">
        <f t="shared" si="1436"/>
        <v>245406.02862510949</v>
      </c>
      <c r="O697" s="135">
        <f t="shared" si="1436"/>
        <v>0</v>
      </c>
      <c r="P697" s="135">
        <f t="shared" si="1436"/>
        <v>0</v>
      </c>
      <c r="Q697" s="135">
        <f t="shared" si="1436"/>
        <v>0</v>
      </c>
      <c r="R697" s="135">
        <f t="shared" si="1436"/>
        <v>0</v>
      </c>
      <c r="S697" s="135">
        <f t="shared" si="1436"/>
        <v>0</v>
      </c>
      <c r="T697" s="135">
        <f t="shared" si="1436"/>
        <v>0</v>
      </c>
      <c r="U697" s="135">
        <f t="shared" si="1436"/>
        <v>0</v>
      </c>
      <c r="V697" s="135">
        <f t="shared" si="1436"/>
        <v>0</v>
      </c>
      <c r="W697" s="135">
        <f t="shared" si="1436"/>
        <v>0</v>
      </c>
      <c r="X697" s="135">
        <f t="shared" si="1436"/>
        <v>0</v>
      </c>
      <c r="Y697" s="135">
        <f t="shared" si="1436"/>
        <v>0</v>
      </c>
      <c r="Z697" s="135">
        <f t="shared" si="1436"/>
        <v>0</v>
      </c>
      <c r="AA697" s="135">
        <f t="shared" si="1436"/>
        <v>0</v>
      </c>
      <c r="AB697" s="135">
        <f t="shared" si="1436"/>
        <v>0</v>
      </c>
      <c r="AC697" s="135">
        <f t="shared" si="1436"/>
        <v>0</v>
      </c>
      <c r="AD697" s="135">
        <f t="shared" si="1436"/>
        <v>0</v>
      </c>
      <c r="AE697" s="135">
        <f t="shared" si="1436"/>
        <v>0</v>
      </c>
      <c r="AF697" s="135">
        <f t="shared" si="1436"/>
        <v>0</v>
      </c>
      <c r="AG697" s="135">
        <f t="shared" si="1436"/>
        <v>0</v>
      </c>
      <c r="AH697" s="135">
        <f t="shared" si="1436"/>
        <v>0</v>
      </c>
      <c r="AI697" s="135">
        <f t="shared" si="1436"/>
        <v>0</v>
      </c>
      <c r="AJ697" s="135">
        <f t="shared" si="1436"/>
        <v>0</v>
      </c>
      <c r="AK697" s="135">
        <f t="shared" si="1436"/>
        <v>0</v>
      </c>
      <c r="AL697" s="135">
        <f t="shared" si="1436"/>
        <v>0</v>
      </c>
      <c r="AM697" s="135">
        <f t="shared" si="1436"/>
        <v>0</v>
      </c>
      <c r="AN697" s="135">
        <f t="shared" si="1436"/>
        <v>0</v>
      </c>
      <c r="AO697" s="135">
        <f t="shared" si="1436"/>
        <v>0</v>
      </c>
      <c r="AP697" s="135">
        <f t="shared" si="1436"/>
        <v>0</v>
      </c>
    </row>
    <row r="698" spans="1:42" x14ac:dyDescent="0.2">
      <c r="A698" s="20">
        <f>A697+1</f>
        <v>2</v>
      </c>
      <c r="B698" s="179">
        <f t="shared" si="1435"/>
        <v>3520942.886524681</v>
      </c>
      <c r="C698" s="208">
        <f t="shared" ref="C698:AP698" si="1437">IF(AND(C$2&gt;MMFrequency*$A685,C$2&lt;=MMFrequency*$A686),$B686/(MMFrequency),0)</f>
        <v>0</v>
      </c>
      <c r="D698" s="169">
        <f t="shared" si="1437"/>
        <v>0</v>
      </c>
      <c r="E698" s="169">
        <f t="shared" si="1437"/>
        <v>0</v>
      </c>
      <c r="F698" s="169">
        <f t="shared" si="1437"/>
        <v>0</v>
      </c>
      <c r="G698" s="169">
        <f t="shared" si="1437"/>
        <v>0</v>
      </c>
      <c r="H698" s="169">
        <f t="shared" si="1437"/>
        <v>0</v>
      </c>
      <c r="I698" s="169">
        <f t="shared" si="1437"/>
        <v>0</v>
      </c>
      <c r="J698" s="169">
        <f t="shared" si="1437"/>
        <v>0</v>
      </c>
      <c r="K698" s="169">
        <f t="shared" si="1437"/>
        <v>0</v>
      </c>
      <c r="L698" s="169">
        <f t="shared" si="1437"/>
        <v>0</v>
      </c>
      <c r="M698" s="169">
        <f t="shared" si="1437"/>
        <v>0</v>
      </c>
      <c r="N698" s="169">
        <f t="shared" si="1437"/>
        <v>0</v>
      </c>
      <c r="O698" s="169">
        <f t="shared" si="1437"/>
        <v>293411.90721039008</v>
      </c>
      <c r="P698" s="169">
        <f t="shared" si="1437"/>
        <v>293411.90721039008</v>
      </c>
      <c r="Q698" s="169">
        <f t="shared" si="1437"/>
        <v>293411.90721039008</v>
      </c>
      <c r="R698" s="169">
        <f t="shared" si="1437"/>
        <v>293411.90721039008</v>
      </c>
      <c r="S698" s="169">
        <f t="shared" si="1437"/>
        <v>293411.90721039008</v>
      </c>
      <c r="T698" s="169">
        <f t="shared" si="1437"/>
        <v>293411.90721039008</v>
      </c>
      <c r="U698" s="169">
        <f t="shared" si="1437"/>
        <v>293411.90721039008</v>
      </c>
      <c r="V698" s="169">
        <f t="shared" si="1437"/>
        <v>293411.90721039008</v>
      </c>
      <c r="W698" s="169">
        <f t="shared" si="1437"/>
        <v>293411.90721039008</v>
      </c>
      <c r="X698" s="169">
        <f t="shared" si="1437"/>
        <v>293411.90721039008</v>
      </c>
      <c r="Y698" s="169">
        <f t="shared" si="1437"/>
        <v>293411.90721039008</v>
      </c>
      <c r="Z698" s="169">
        <f t="shared" si="1437"/>
        <v>293411.90721039008</v>
      </c>
      <c r="AA698" s="169">
        <f t="shared" si="1437"/>
        <v>0</v>
      </c>
      <c r="AB698" s="169">
        <f t="shared" si="1437"/>
        <v>0</v>
      </c>
      <c r="AC698" s="169">
        <f t="shared" si="1437"/>
        <v>0</v>
      </c>
      <c r="AD698" s="169">
        <f t="shared" si="1437"/>
        <v>0</v>
      </c>
      <c r="AE698" s="169">
        <f t="shared" si="1437"/>
        <v>0</v>
      </c>
      <c r="AF698" s="169">
        <f t="shared" si="1437"/>
        <v>0</v>
      </c>
      <c r="AG698" s="169">
        <f t="shared" si="1437"/>
        <v>0</v>
      </c>
      <c r="AH698" s="169">
        <f t="shared" si="1437"/>
        <v>0</v>
      </c>
      <c r="AI698" s="169">
        <f t="shared" si="1437"/>
        <v>0</v>
      </c>
      <c r="AJ698" s="169">
        <f t="shared" si="1437"/>
        <v>0</v>
      </c>
      <c r="AK698" s="169">
        <f t="shared" si="1437"/>
        <v>0</v>
      </c>
      <c r="AL698" s="169">
        <f t="shared" si="1437"/>
        <v>0</v>
      </c>
      <c r="AM698" s="169">
        <f t="shared" si="1437"/>
        <v>0</v>
      </c>
      <c r="AN698" s="169">
        <f t="shared" si="1437"/>
        <v>0</v>
      </c>
      <c r="AO698" s="169">
        <f t="shared" si="1437"/>
        <v>0</v>
      </c>
      <c r="AP698" s="169">
        <f t="shared" si="1437"/>
        <v>0</v>
      </c>
    </row>
    <row r="699" spans="1:42" x14ac:dyDescent="0.2">
      <c r="A699" s="20">
        <f t="shared" ref="A699:A704" si="1438">A698+1</f>
        <v>3</v>
      </c>
      <c r="B699" s="179">
        <f t="shared" si="1435"/>
        <v>4209703.2958071325</v>
      </c>
      <c r="C699" s="208">
        <f t="shared" ref="C699:AP699" si="1439">IF(AND(C$2&gt;MMFrequency*$A686,C$2&lt;=MMFrequency*$A687),$B687/(MMFrequency),0)</f>
        <v>0</v>
      </c>
      <c r="D699" s="169">
        <f t="shared" si="1439"/>
        <v>0</v>
      </c>
      <c r="E699" s="169">
        <f t="shared" si="1439"/>
        <v>0</v>
      </c>
      <c r="F699" s="169">
        <f t="shared" si="1439"/>
        <v>0</v>
      </c>
      <c r="G699" s="169">
        <f t="shared" si="1439"/>
        <v>0</v>
      </c>
      <c r="H699" s="169">
        <f t="shared" si="1439"/>
        <v>0</v>
      </c>
      <c r="I699" s="169">
        <f t="shared" si="1439"/>
        <v>0</v>
      </c>
      <c r="J699" s="169">
        <f t="shared" si="1439"/>
        <v>0</v>
      </c>
      <c r="K699" s="169">
        <f t="shared" si="1439"/>
        <v>0</v>
      </c>
      <c r="L699" s="169">
        <f t="shared" si="1439"/>
        <v>0</v>
      </c>
      <c r="M699" s="169">
        <f t="shared" si="1439"/>
        <v>0</v>
      </c>
      <c r="N699" s="169">
        <f t="shared" si="1439"/>
        <v>0</v>
      </c>
      <c r="O699" s="169">
        <f t="shared" si="1439"/>
        <v>0</v>
      </c>
      <c r="P699" s="169">
        <f t="shared" si="1439"/>
        <v>0</v>
      </c>
      <c r="Q699" s="169">
        <f t="shared" si="1439"/>
        <v>0</v>
      </c>
      <c r="R699" s="169">
        <f t="shared" si="1439"/>
        <v>0</v>
      </c>
      <c r="S699" s="169">
        <f t="shared" si="1439"/>
        <v>0</v>
      </c>
      <c r="T699" s="169">
        <f t="shared" si="1439"/>
        <v>0</v>
      </c>
      <c r="U699" s="169">
        <f t="shared" si="1439"/>
        <v>0</v>
      </c>
      <c r="V699" s="169">
        <f t="shared" si="1439"/>
        <v>0</v>
      </c>
      <c r="W699" s="169">
        <f t="shared" si="1439"/>
        <v>0</v>
      </c>
      <c r="X699" s="169">
        <f t="shared" si="1439"/>
        <v>0</v>
      </c>
      <c r="Y699" s="169">
        <f t="shared" si="1439"/>
        <v>0</v>
      </c>
      <c r="Z699" s="169">
        <f t="shared" si="1439"/>
        <v>0</v>
      </c>
      <c r="AA699" s="169">
        <f t="shared" si="1439"/>
        <v>350808.60798392771</v>
      </c>
      <c r="AB699" s="169">
        <f t="shared" si="1439"/>
        <v>350808.60798392771</v>
      </c>
      <c r="AC699" s="169">
        <f t="shared" si="1439"/>
        <v>350808.60798392771</v>
      </c>
      <c r="AD699" s="169">
        <f t="shared" si="1439"/>
        <v>350808.60798392771</v>
      </c>
      <c r="AE699" s="169">
        <f t="shared" si="1439"/>
        <v>350808.60798392771</v>
      </c>
      <c r="AF699" s="169">
        <f t="shared" si="1439"/>
        <v>350808.60798392771</v>
      </c>
      <c r="AG699" s="169">
        <f t="shared" si="1439"/>
        <v>350808.60798392771</v>
      </c>
      <c r="AH699" s="169">
        <f t="shared" si="1439"/>
        <v>350808.60798392771</v>
      </c>
      <c r="AI699" s="169">
        <f t="shared" si="1439"/>
        <v>350808.60798392771</v>
      </c>
      <c r="AJ699" s="169">
        <f t="shared" si="1439"/>
        <v>350808.60798392771</v>
      </c>
      <c r="AK699" s="169">
        <f t="shared" si="1439"/>
        <v>350808.60798392771</v>
      </c>
      <c r="AL699" s="169">
        <f t="shared" si="1439"/>
        <v>350808.60798392771</v>
      </c>
      <c r="AM699" s="169">
        <f t="shared" si="1439"/>
        <v>0</v>
      </c>
      <c r="AN699" s="169">
        <f t="shared" si="1439"/>
        <v>0</v>
      </c>
      <c r="AO699" s="169">
        <f t="shared" si="1439"/>
        <v>0</v>
      </c>
      <c r="AP699" s="169">
        <f t="shared" si="1439"/>
        <v>0</v>
      </c>
    </row>
    <row r="700" spans="1:42" x14ac:dyDescent="0.2">
      <c r="A700" s="20">
        <f t="shared" si="1438"/>
        <v>4</v>
      </c>
      <c r="B700" s="179">
        <f t="shared" si="1435"/>
        <v>0</v>
      </c>
      <c r="C700" s="208">
        <f t="shared" ref="C700:AP700" si="1440">IF(AND(C$2&gt;MMFrequency*$A687,C$2&lt;=MMFrequency*$A688),$B688/(MMFrequency),0)</f>
        <v>0</v>
      </c>
      <c r="D700" s="169">
        <f t="shared" si="1440"/>
        <v>0</v>
      </c>
      <c r="E700" s="169">
        <f t="shared" si="1440"/>
        <v>0</v>
      </c>
      <c r="F700" s="169">
        <f t="shared" si="1440"/>
        <v>0</v>
      </c>
      <c r="G700" s="169">
        <f t="shared" si="1440"/>
        <v>0</v>
      </c>
      <c r="H700" s="169">
        <f t="shared" si="1440"/>
        <v>0</v>
      </c>
      <c r="I700" s="169">
        <f t="shared" si="1440"/>
        <v>0</v>
      </c>
      <c r="J700" s="169">
        <f t="shared" si="1440"/>
        <v>0</v>
      </c>
      <c r="K700" s="169">
        <f t="shared" si="1440"/>
        <v>0</v>
      </c>
      <c r="L700" s="169">
        <f t="shared" si="1440"/>
        <v>0</v>
      </c>
      <c r="M700" s="169">
        <f t="shared" si="1440"/>
        <v>0</v>
      </c>
      <c r="N700" s="169">
        <f t="shared" si="1440"/>
        <v>0</v>
      </c>
      <c r="O700" s="169">
        <f t="shared" si="1440"/>
        <v>0</v>
      </c>
      <c r="P700" s="169">
        <f t="shared" si="1440"/>
        <v>0</v>
      </c>
      <c r="Q700" s="169">
        <f t="shared" si="1440"/>
        <v>0</v>
      </c>
      <c r="R700" s="169">
        <f t="shared" si="1440"/>
        <v>0</v>
      </c>
      <c r="S700" s="169">
        <f t="shared" si="1440"/>
        <v>0</v>
      </c>
      <c r="T700" s="169">
        <f t="shared" si="1440"/>
        <v>0</v>
      </c>
      <c r="U700" s="169">
        <f t="shared" si="1440"/>
        <v>0</v>
      </c>
      <c r="V700" s="169">
        <f t="shared" si="1440"/>
        <v>0</v>
      </c>
      <c r="W700" s="169">
        <f t="shared" si="1440"/>
        <v>0</v>
      </c>
      <c r="X700" s="169">
        <f t="shared" si="1440"/>
        <v>0</v>
      </c>
      <c r="Y700" s="169">
        <f t="shared" si="1440"/>
        <v>0</v>
      </c>
      <c r="Z700" s="169">
        <f t="shared" si="1440"/>
        <v>0</v>
      </c>
      <c r="AA700" s="169">
        <f t="shared" si="1440"/>
        <v>0</v>
      </c>
      <c r="AB700" s="169">
        <f t="shared" si="1440"/>
        <v>0</v>
      </c>
      <c r="AC700" s="169">
        <f t="shared" si="1440"/>
        <v>0</v>
      </c>
      <c r="AD700" s="169">
        <f t="shared" si="1440"/>
        <v>0</v>
      </c>
      <c r="AE700" s="169">
        <f t="shared" si="1440"/>
        <v>0</v>
      </c>
      <c r="AF700" s="169">
        <f t="shared" si="1440"/>
        <v>0</v>
      </c>
      <c r="AG700" s="169">
        <f t="shared" si="1440"/>
        <v>0</v>
      </c>
      <c r="AH700" s="169">
        <f t="shared" si="1440"/>
        <v>0</v>
      </c>
      <c r="AI700" s="169">
        <f t="shared" si="1440"/>
        <v>0</v>
      </c>
      <c r="AJ700" s="169">
        <f t="shared" si="1440"/>
        <v>0</v>
      </c>
      <c r="AK700" s="169">
        <f t="shared" si="1440"/>
        <v>0</v>
      </c>
      <c r="AL700" s="169">
        <f t="shared" si="1440"/>
        <v>0</v>
      </c>
      <c r="AM700" s="169">
        <f t="shared" si="1440"/>
        <v>0</v>
      </c>
      <c r="AN700" s="169">
        <f t="shared" si="1440"/>
        <v>0</v>
      </c>
      <c r="AO700" s="169">
        <f t="shared" si="1440"/>
        <v>0</v>
      </c>
      <c r="AP700" s="169">
        <f t="shared" si="1440"/>
        <v>0</v>
      </c>
    </row>
    <row r="701" spans="1:42" x14ac:dyDescent="0.2">
      <c r="A701" s="20">
        <f t="shared" si="1438"/>
        <v>5</v>
      </c>
      <c r="B701" s="179">
        <f t="shared" si="1435"/>
        <v>0</v>
      </c>
      <c r="C701" s="208">
        <f t="shared" ref="C701:AP701" si="1441">IF(AND(C$2&gt;MMFrequency*$A688,C$2&lt;=MMFrequency*$A689),$B689/(MMFrequency),0)</f>
        <v>0</v>
      </c>
      <c r="D701" s="169">
        <f t="shared" si="1441"/>
        <v>0</v>
      </c>
      <c r="E701" s="169">
        <f t="shared" si="1441"/>
        <v>0</v>
      </c>
      <c r="F701" s="169">
        <f t="shared" si="1441"/>
        <v>0</v>
      </c>
      <c r="G701" s="169">
        <f t="shared" si="1441"/>
        <v>0</v>
      </c>
      <c r="H701" s="169">
        <f t="shared" si="1441"/>
        <v>0</v>
      </c>
      <c r="I701" s="169">
        <f t="shared" si="1441"/>
        <v>0</v>
      </c>
      <c r="J701" s="169">
        <f t="shared" si="1441"/>
        <v>0</v>
      </c>
      <c r="K701" s="169">
        <f t="shared" si="1441"/>
        <v>0</v>
      </c>
      <c r="L701" s="169">
        <f t="shared" si="1441"/>
        <v>0</v>
      </c>
      <c r="M701" s="169">
        <f t="shared" si="1441"/>
        <v>0</v>
      </c>
      <c r="N701" s="169">
        <f t="shared" si="1441"/>
        <v>0</v>
      </c>
      <c r="O701" s="169">
        <f t="shared" si="1441"/>
        <v>0</v>
      </c>
      <c r="P701" s="169">
        <f t="shared" si="1441"/>
        <v>0</v>
      </c>
      <c r="Q701" s="169">
        <f t="shared" si="1441"/>
        <v>0</v>
      </c>
      <c r="R701" s="169">
        <f t="shared" si="1441"/>
        <v>0</v>
      </c>
      <c r="S701" s="169">
        <f t="shared" si="1441"/>
        <v>0</v>
      </c>
      <c r="T701" s="169">
        <f t="shared" si="1441"/>
        <v>0</v>
      </c>
      <c r="U701" s="169">
        <f t="shared" si="1441"/>
        <v>0</v>
      </c>
      <c r="V701" s="169">
        <f t="shared" si="1441"/>
        <v>0</v>
      </c>
      <c r="W701" s="169">
        <f t="shared" si="1441"/>
        <v>0</v>
      </c>
      <c r="X701" s="169">
        <f t="shared" si="1441"/>
        <v>0</v>
      </c>
      <c r="Y701" s="169">
        <f t="shared" si="1441"/>
        <v>0</v>
      </c>
      <c r="Z701" s="169">
        <f t="shared" si="1441"/>
        <v>0</v>
      </c>
      <c r="AA701" s="169">
        <f t="shared" si="1441"/>
        <v>0</v>
      </c>
      <c r="AB701" s="169">
        <f t="shared" si="1441"/>
        <v>0</v>
      </c>
      <c r="AC701" s="169">
        <f t="shared" si="1441"/>
        <v>0</v>
      </c>
      <c r="AD701" s="169">
        <f t="shared" si="1441"/>
        <v>0</v>
      </c>
      <c r="AE701" s="169">
        <f t="shared" si="1441"/>
        <v>0</v>
      </c>
      <c r="AF701" s="169">
        <f t="shared" si="1441"/>
        <v>0</v>
      </c>
      <c r="AG701" s="169">
        <f t="shared" si="1441"/>
        <v>0</v>
      </c>
      <c r="AH701" s="169">
        <f t="shared" si="1441"/>
        <v>0</v>
      </c>
      <c r="AI701" s="169">
        <f t="shared" si="1441"/>
        <v>0</v>
      </c>
      <c r="AJ701" s="169">
        <f t="shared" si="1441"/>
        <v>0</v>
      </c>
      <c r="AK701" s="169">
        <f t="shared" si="1441"/>
        <v>0</v>
      </c>
      <c r="AL701" s="169">
        <f t="shared" si="1441"/>
        <v>0</v>
      </c>
      <c r="AM701" s="169">
        <f t="shared" si="1441"/>
        <v>0</v>
      </c>
      <c r="AN701" s="169">
        <f t="shared" si="1441"/>
        <v>0</v>
      </c>
      <c r="AO701" s="169">
        <f t="shared" si="1441"/>
        <v>0</v>
      </c>
      <c r="AP701" s="169">
        <f t="shared" si="1441"/>
        <v>0</v>
      </c>
    </row>
    <row r="702" spans="1:42" x14ac:dyDescent="0.2">
      <c r="A702" s="20">
        <f t="shared" si="1438"/>
        <v>6</v>
      </c>
      <c r="B702" s="179">
        <f t="shared" si="1435"/>
        <v>0</v>
      </c>
      <c r="C702" s="208">
        <f t="shared" ref="C702:AP702" si="1442">IF(AND(C$2&gt;MMFrequency*$A689,C$2&lt;=MMFrequency*$A690),$B690/(MMFrequency),0)</f>
        <v>0</v>
      </c>
      <c r="D702" s="169">
        <f t="shared" si="1442"/>
        <v>0</v>
      </c>
      <c r="E702" s="169">
        <f t="shared" si="1442"/>
        <v>0</v>
      </c>
      <c r="F702" s="169">
        <f t="shared" si="1442"/>
        <v>0</v>
      </c>
      <c r="G702" s="169">
        <f t="shared" si="1442"/>
        <v>0</v>
      </c>
      <c r="H702" s="169">
        <f t="shared" si="1442"/>
        <v>0</v>
      </c>
      <c r="I702" s="169">
        <f t="shared" si="1442"/>
        <v>0</v>
      </c>
      <c r="J702" s="169">
        <f t="shared" si="1442"/>
        <v>0</v>
      </c>
      <c r="K702" s="169">
        <f t="shared" si="1442"/>
        <v>0</v>
      </c>
      <c r="L702" s="169">
        <f t="shared" si="1442"/>
        <v>0</v>
      </c>
      <c r="M702" s="169">
        <f t="shared" si="1442"/>
        <v>0</v>
      </c>
      <c r="N702" s="169">
        <f t="shared" si="1442"/>
        <v>0</v>
      </c>
      <c r="O702" s="169">
        <f t="shared" si="1442"/>
        <v>0</v>
      </c>
      <c r="P702" s="169">
        <f t="shared" si="1442"/>
        <v>0</v>
      </c>
      <c r="Q702" s="169">
        <f t="shared" si="1442"/>
        <v>0</v>
      </c>
      <c r="R702" s="169">
        <f t="shared" si="1442"/>
        <v>0</v>
      </c>
      <c r="S702" s="169">
        <f t="shared" si="1442"/>
        <v>0</v>
      </c>
      <c r="T702" s="169">
        <f t="shared" si="1442"/>
        <v>0</v>
      </c>
      <c r="U702" s="169">
        <f t="shared" si="1442"/>
        <v>0</v>
      </c>
      <c r="V702" s="169">
        <f t="shared" si="1442"/>
        <v>0</v>
      </c>
      <c r="W702" s="169">
        <f t="shared" si="1442"/>
        <v>0</v>
      </c>
      <c r="X702" s="169">
        <f t="shared" si="1442"/>
        <v>0</v>
      </c>
      <c r="Y702" s="169">
        <f t="shared" si="1442"/>
        <v>0</v>
      </c>
      <c r="Z702" s="169">
        <f t="shared" si="1442"/>
        <v>0</v>
      </c>
      <c r="AA702" s="169">
        <f t="shared" si="1442"/>
        <v>0</v>
      </c>
      <c r="AB702" s="169">
        <f t="shared" si="1442"/>
        <v>0</v>
      </c>
      <c r="AC702" s="169">
        <f t="shared" si="1442"/>
        <v>0</v>
      </c>
      <c r="AD702" s="169">
        <f t="shared" si="1442"/>
        <v>0</v>
      </c>
      <c r="AE702" s="169">
        <f t="shared" si="1442"/>
        <v>0</v>
      </c>
      <c r="AF702" s="169">
        <f t="shared" si="1442"/>
        <v>0</v>
      </c>
      <c r="AG702" s="169">
        <f t="shared" si="1442"/>
        <v>0</v>
      </c>
      <c r="AH702" s="169">
        <f t="shared" si="1442"/>
        <v>0</v>
      </c>
      <c r="AI702" s="169">
        <f t="shared" si="1442"/>
        <v>0</v>
      </c>
      <c r="AJ702" s="169">
        <f t="shared" si="1442"/>
        <v>0</v>
      </c>
      <c r="AK702" s="169">
        <f t="shared" si="1442"/>
        <v>0</v>
      </c>
      <c r="AL702" s="169">
        <f t="shared" si="1442"/>
        <v>0</v>
      </c>
      <c r="AM702" s="169">
        <f t="shared" si="1442"/>
        <v>0</v>
      </c>
      <c r="AN702" s="169">
        <f t="shared" si="1442"/>
        <v>0</v>
      </c>
      <c r="AO702" s="169">
        <f t="shared" si="1442"/>
        <v>0</v>
      </c>
      <c r="AP702" s="169">
        <f t="shared" si="1442"/>
        <v>0</v>
      </c>
    </row>
    <row r="703" spans="1:42" x14ac:dyDescent="0.2">
      <c r="A703" s="20">
        <f t="shared" si="1438"/>
        <v>7</v>
      </c>
      <c r="B703" s="179">
        <f t="shared" si="1435"/>
        <v>0</v>
      </c>
      <c r="C703" s="208">
        <f t="shared" ref="C703:AP703" si="1443">IF(AND(C$2&gt;MMFrequency*$A690,C$2&lt;=MMFrequency*$A691),$B691/(MMFrequency),0)</f>
        <v>0</v>
      </c>
      <c r="D703" s="169">
        <f t="shared" si="1443"/>
        <v>0</v>
      </c>
      <c r="E703" s="169">
        <f t="shared" si="1443"/>
        <v>0</v>
      </c>
      <c r="F703" s="169">
        <f t="shared" si="1443"/>
        <v>0</v>
      </c>
      <c r="G703" s="169">
        <f t="shared" si="1443"/>
        <v>0</v>
      </c>
      <c r="H703" s="169">
        <f t="shared" si="1443"/>
        <v>0</v>
      </c>
      <c r="I703" s="169">
        <f t="shared" si="1443"/>
        <v>0</v>
      </c>
      <c r="J703" s="169">
        <f t="shared" si="1443"/>
        <v>0</v>
      </c>
      <c r="K703" s="169">
        <f t="shared" si="1443"/>
        <v>0</v>
      </c>
      <c r="L703" s="169">
        <f t="shared" si="1443"/>
        <v>0</v>
      </c>
      <c r="M703" s="169">
        <f t="shared" si="1443"/>
        <v>0</v>
      </c>
      <c r="N703" s="169">
        <f t="shared" si="1443"/>
        <v>0</v>
      </c>
      <c r="O703" s="169">
        <f t="shared" si="1443"/>
        <v>0</v>
      </c>
      <c r="P703" s="169">
        <f t="shared" si="1443"/>
        <v>0</v>
      </c>
      <c r="Q703" s="169">
        <f t="shared" si="1443"/>
        <v>0</v>
      </c>
      <c r="R703" s="169">
        <f t="shared" si="1443"/>
        <v>0</v>
      </c>
      <c r="S703" s="169">
        <f t="shared" si="1443"/>
        <v>0</v>
      </c>
      <c r="T703" s="169">
        <f t="shared" si="1443"/>
        <v>0</v>
      </c>
      <c r="U703" s="169">
        <f t="shared" si="1443"/>
        <v>0</v>
      </c>
      <c r="V703" s="169">
        <f t="shared" si="1443"/>
        <v>0</v>
      </c>
      <c r="W703" s="169">
        <f t="shared" si="1443"/>
        <v>0</v>
      </c>
      <c r="X703" s="169">
        <f t="shared" si="1443"/>
        <v>0</v>
      </c>
      <c r="Y703" s="169">
        <f t="shared" si="1443"/>
        <v>0</v>
      </c>
      <c r="Z703" s="169">
        <f t="shared" si="1443"/>
        <v>0</v>
      </c>
      <c r="AA703" s="169">
        <f t="shared" si="1443"/>
        <v>0</v>
      </c>
      <c r="AB703" s="169">
        <f t="shared" si="1443"/>
        <v>0</v>
      </c>
      <c r="AC703" s="169">
        <f t="shared" si="1443"/>
        <v>0</v>
      </c>
      <c r="AD703" s="169">
        <f t="shared" si="1443"/>
        <v>0</v>
      </c>
      <c r="AE703" s="169">
        <f t="shared" si="1443"/>
        <v>0</v>
      </c>
      <c r="AF703" s="169">
        <f t="shared" si="1443"/>
        <v>0</v>
      </c>
      <c r="AG703" s="169">
        <f t="shared" si="1443"/>
        <v>0</v>
      </c>
      <c r="AH703" s="169">
        <f t="shared" si="1443"/>
        <v>0</v>
      </c>
      <c r="AI703" s="169">
        <f t="shared" si="1443"/>
        <v>0</v>
      </c>
      <c r="AJ703" s="169">
        <f t="shared" si="1443"/>
        <v>0</v>
      </c>
      <c r="AK703" s="169">
        <f t="shared" si="1443"/>
        <v>0</v>
      </c>
      <c r="AL703" s="169">
        <f t="shared" si="1443"/>
        <v>0</v>
      </c>
      <c r="AM703" s="169">
        <f t="shared" si="1443"/>
        <v>0</v>
      </c>
      <c r="AN703" s="169">
        <f t="shared" si="1443"/>
        <v>0</v>
      </c>
      <c r="AO703" s="169">
        <f t="shared" si="1443"/>
        <v>0</v>
      </c>
      <c r="AP703" s="169">
        <f t="shared" si="1443"/>
        <v>0</v>
      </c>
    </row>
    <row r="704" spans="1:42" x14ac:dyDescent="0.2">
      <c r="A704" s="20">
        <f t="shared" si="1438"/>
        <v>8</v>
      </c>
      <c r="B704" s="179">
        <f t="shared" si="1435"/>
        <v>0</v>
      </c>
      <c r="C704" s="208">
        <f t="shared" ref="C704:AP704" si="1444">IF(AND(C$2&gt;MMFrequency*$A691,C$2&lt;=MMFrequency*$A692),$B692/(MMFrequency),0)</f>
        <v>0</v>
      </c>
      <c r="D704" s="169">
        <f t="shared" si="1444"/>
        <v>0</v>
      </c>
      <c r="E704" s="169">
        <f t="shared" si="1444"/>
        <v>0</v>
      </c>
      <c r="F704" s="169">
        <f t="shared" si="1444"/>
        <v>0</v>
      </c>
      <c r="G704" s="169">
        <f t="shared" si="1444"/>
        <v>0</v>
      </c>
      <c r="H704" s="169">
        <f t="shared" si="1444"/>
        <v>0</v>
      </c>
      <c r="I704" s="169">
        <f t="shared" si="1444"/>
        <v>0</v>
      </c>
      <c r="J704" s="169">
        <f t="shared" si="1444"/>
        <v>0</v>
      </c>
      <c r="K704" s="169">
        <f t="shared" si="1444"/>
        <v>0</v>
      </c>
      <c r="L704" s="169">
        <f t="shared" si="1444"/>
        <v>0</v>
      </c>
      <c r="M704" s="169">
        <f t="shared" si="1444"/>
        <v>0</v>
      </c>
      <c r="N704" s="169">
        <f t="shared" si="1444"/>
        <v>0</v>
      </c>
      <c r="O704" s="169">
        <f t="shared" si="1444"/>
        <v>0</v>
      </c>
      <c r="P704" s="169">
        <f t="shared" si="1444"/>
        <v>0</v>
      </c>
      <c r="Q704" s="169">
        <f t="shared" si="1444"/>
        <v>0</v>
      </c>
      <c r="R704" s="169">
        <f t="shared" si="1444"/>
        <v>0</v>
      </c>
      <c r="S704" s="169">
        <f t="shared" si="1444"/>
        <v>0</v>
      </c>
      <c r="T704" s="169">
        <f t="shared" si="1444"/>
        <v>0</v>
      </c>
      <c r="U704" s="169">
        <f t="shared" si="1444"/>
        <v>0</v>
      </c>
      <c r="V704" s="169">
        <f t="shared" si="1444"/>
        <v>0</v>
      </c>
      <c r="W704" s="169">
        <f t="shared" si="1444"/>
        <v>0</v>
      </c>
      <c r="X704" s="169">
        <f t="shared" si="1444"/>
        <v>0</v>
      </c>
      <c r="Y704" s="169">
        <f t="shared" si="1444"/>
        <v>0</v>
      </c>
      <c r="Z704" s="169">
        <f t="shared" si="1444"/>
        <v>0</v>
      </c>
      <c r="AA704" s="169">
        <f t="shared" si="1444"/>
        <v>0</v>
      </c>
      <c r="AB704" s="169">
        <f t="shared" si="1444"/>
        <v>0</v>
      </c>
      <c r="AC704" s="169">
        <f t="shared" si="1444"/>
        <v>0</v>
      </c>
      <c r="AD704" s="169">
        <f t="shared" si="1444"/>
        <v>0</v>
      </c>
      <c r="AE704" s="169">
        <f t="shared" si="1444"/>
        <v>0</v>
      </c>
      <c r="AF704" s="169">
        <f t="shared" si="1444"/>
        <v>0</v>
      </c>
      <c r="AG704" s="169">
        <f t="shared" si="1444"/>
        <v>0</v>
      </c>
      <c r="AH704" s="169">
        <f t="shared" si="1444"/>
        <v>0</v>
      </c>
      <c r="AI704" s="169">
        <f t="shared" si="1444"/>
        <v>0</v>
      </c>
      <c r="AJ704" s="169">
        <f t="shared" si="1444"/>
        <v>0</v>
      </c>
      <c r="AK704" s="169">
        <f t="shared" si="1444"/>
        <v>0</v>
      </c>
      <c r="AL704" s="169">
        <f t="shared" si="1444"/>
        <v>0</v>
      </c>
      <c r="AM704" s="169">
        <f t="shared" si="1444"/>
        <v>0</v>
      </c>
      <c r="AN704" s="169">
        <f t="shared" si="1444"/>
        <v>0</v>
      </c>
      <c r="AO704" s="169">
        <f t="shared" si="1444"/>
        <v>0</v>
      </c>
      <c r="AP704" s="169">
        <f t="shared" si="1444"/>
        <v>0</v>
      </c>
    </row>
    <row r="705" spans="1:42" x14ac:dyDescent="0.2">
      <c r="A705" s="20">
        <f>A704+1</f>
        <v>9</v>
      </c>
      <c r="B705" s="179">
        <f t="shared" si="1435"/>
        <v>0</v>
      </c>
      <c r="C705" s="208">
        <f t="shared" ref="C705:AP705" si="1445">IF(AND(C$2&gt;MMFrequency*$A692,C$2&lt;=MMFrequency*$A693),$B693/(MMFrequency),0)</f>
        <v>0</v>
      </c>
      <c r="D705" s="169">
        <f t="shared" si="1445"/>
        <v>0</v>
      </c>
      <c r="E705" s="169">
        <f t="shared" si="1445"/>
        <v>0</v>
      </c>
      <c r="F705" s="169">
        <f t="shared" si="1445"/>
        <v>0</v>
      </c>
      <c r="G705" s="169">
        <f t="shared" si="1445"/>
        <v>0</v>
      </c>
      <c r="H705" s="169">
        <f t="shared" si="1445"/>
        <v>0</v>
      </c>
      <c r="I705" s="169">
        <f t="shared" si="1445"/>
        <v>0</v>
      </c>
      <c r="J705" s="169">
        <f t="shared" si="1445"/>
        <v>0</v>
      </c>
      <c r="K705" s="169">
        <f t="shared" si="1445"/>
        <v>0</v>
      </c>
      <c r="L705" s="169">
        <f t="shared" si="1445"/>
        <v>0</v>
      </c>
      <c r="M705" s="169">
        <f t="shared" si="1445"/>
        <v>0</v>
      </c>
      <c r="N705" s="169">
        <f t="shared" si="1445"/>
        <v>0</v>
      </c>
      <c r="O705" s="169">
        <f t="shared" si="1445"/>
        <v>0</v>
      </c>
      <c r="P705" s="169">
        <f t="shared" si="1445"/>
        <v>0</v>
      </c>
      <c r="Q705" s="169">
        <f t="shared" si="1445"/>
        <v>0</v>
      </c>
      <c r="R705" s="169">
        <f t="shared" si="1445"/>
        <v>0</v>
      </c>
      <c r="S705" s="169">
        <f t="shared" si="1445"/>
        <v>0</v>
      </c>
      <c r="T705" s="169">
        <f t="shared" si="1445"/>
        <v>0</v>
      </c>
      <c r="U705" s="169">
        <f t="shared" si="1445"/>
        <v>0</v>
      </c>
      <c r="V705" s="169">
        <f t="shared" si="1445"/>
        <v>0</v>
      </c>
      <c r="W705" s="169">
        <f t="shared" si="1445"/>
        <v>0</v>
      </c>
      <c r="X705" s="169">
        <f t="shared" si="1445"/>
        <v>0</v>
      </c>
      <c r="Y705" s="169">
        <f t="shared" si="1445"/>
        <v>0</v>
      </c>
      <c r="Z705" s="169">
        <f t="shared" si="1445"/>
        <v>0</v>
      </c>
      <c r="AA705" s="169">
        <f t="shared" si="1445"/>
        <v>0</v>
      </c>
      <c r="AB705" s="169">
        <f t="shared" si="1445"/>
        <v>0</v>
      </c>
      <c r="AC705" s="169">
        <f t="shared" si="1445"/>
        <v>0</v>
      </c>
      <c r="AD705" s="169">
        <f t="shared" si="1445"/>
        <v>0</v>
      </c>
      <c r="AE705" s="169">
        <f t="shared" si="1445"/>
        <v>0</v>
      </c>
      <c r="AF705" s="169">
        <f t="shared" si="1445"/>
        <v>0</v>
      </c>
      <c r="AG705" s="169">
        <f t="shared" si="1445"/>
        <v>0</v>
      </c>
      <c r="AH705" s="169">
        <f t="shared" si="1445"/>
        <v>0</v>
      </c>
      <c r="AI705" s="169">
        <f t="shared" si="1445"/>
        <v>0</v>
      </c>
      <c r="AJ705" s="169">
        <f t="shared" si="1445"/>
        <v>0</v>
      </c>
      <c r="AK705" s="169">
        <f t="shared" si="1445"/>
        <v>0</v>
      </c>
      <c r="AL705" s="169">
        <f t="shared" si="1445"/>
        <v>0</v>
      </c>
      <c r="AM705" s="169">
        <f t="shared" si="1445"/>
        <v>0</v>
      </c>
      <c r="AN705" s="169">
        <f t="shared" si="1445"/>
        <v>0</v>
      </c>
      <c r="AO705" s="169">
        <f t="shared" si="1445"/>
        <v>0</v>
      </c>
      <c r="AP705" s="169">
        <f t="shared" si="1445"/>
        <v>0</v>
      </c>
    </row>
    <row r="706" spans="1:42" x14ac:dyDescent="0.2">
      <c r="A706" s="20">
        <f t="shared" ref="A706" si="1446">A705+1</f>
        <v>10</v>
      </c>
      <c r="B706" s="179">
        <f t="shared" si="1435"/>
        <v>0</v>
      </c>
      <c r="C706" s="204">
        <f t="shared" ref="C706:AP706" si="1447">IF(AND(C$2&gt;MMFrequency*$A693,C$2&lt;=MMFrequency*$A694),$B694/(MMFrequency),0)</f>
        <v>0</v>
      </c>
      <c r="D706" s="170">
        <f t="shared" si="1447"/>
        <v>0</v>
      </c>
      <c r="E706" s="170">
        <f t="shared" si="1447"/>
        <v>0</v>
      </c>
      <c r="F706" s="170">
        <f t="shared" si="1447"/>
        <v>0</v>
      </c>
      <c r="G706" s="170">
        <f t="shared" si="1447"/>
        <v>0</v>
      </c>
      <c r="H706" s="170">
        <f t="shared" si="1447"/>
        <v>0</v>
      </c>
      <c r="I706" s="170">
        <f t="shared" si="1447"/>
        <v>0</v>
      </c>
      <c r="J706" s="170">
        <f t="shared" si="1447"/>
        <v>0</v>
      </c>
      <c r="K706" s="170">
        <f t="shared" si="1447"/>
        <v>0</v>
      </c>
      <c r="L706" s="170">
        <f t="shared" si="1447"/>
        <v>0</v>
      </c>
      <c r="M706" s="170">
        <f t="shared" si="1447"/>
        <v>0</v>
      </c>
      <c r="N706" s="170">
        <f t="shared" si="1447"/>
        <v>0</v>
      </c>
      <c r="O706" s="170">
        <f t="shared" si="1447"/>
        <v>0</v>
      </c>
      <c r="P706" s="170">
        <f t="shared" si="1447"/>
        <v>0</v>
      </c>
      <c r="Q706" s="170">
        <f t="shared" si="1447"/>
        <v>0</v>
      </c>
      <c r="R706" s="170">
        <f t="shared" si="1447"/>
        <v>0</v>
      </c>
      <c r="S706" s="170">
        <f t="shared" si="1447"/>
        <v>0</v>
      </c>
      <c r="T706" s="170">
        <f t="shared" si="1447"/>
        <v>0</v>
      </c>
      <c r="U706" s="170">
        <f t="shared" si="1447"/>
        <v>0</v>
      </c>
      <c r="V706" s="170">
        <f t="shared" si="1447"/>
        <v>0</v>
      </c>
      <c r="W706" s="170">
        <f t="shared" si="1447"/>
        <v>0</v>
      </c>
      <c r="X706" s="170">
        <f t="shared" si="1447"/>
        <v>0</v>
      </c>
      <c r="Y706" s="170">
        <f t="shared" si="1447"/>
        <v>0</v>
      </c>
      <c r="Z706" s="170">
        <f t="shared" si="1447"/>
        <v>0</v>
      </c>
      <c r="AA706" s="170">
        <f t="shared" si="1447"/>
        <v>0</v>
      </c>
      <c r="AB706" s="170">
        <f t="shared" si="1447"/>
        <v>0</v>
      </c>
      <c r="AC706" s="170">
        <f t="shared" si="1447"/>
        <v>0</v>
      </c>
      <c r="AD706" s="170">
        <f t="shared" si="1447"/>
        <v>0</v>
      </c>
      <c r="AE706" s="170">
        <f t="shared" si="1447"/>
        <v>0</v>
      </c>
      <c r="AF706" s="170">
        <f t="shared" si="1447"/>
        <v>0</v>
      </c>
      <c r="AG706" s="170">
        <f t="shared" si="1447"/>
        <v>0</v>
      </c>
      <c r="AH706" s="170">
        <f t="shared" si="1447"/>
        <v>0</v>
      </c>
      <c r="AI706" s="170">
        <f t="shared" si="1447"/>
        <v>0</v>
      </c>
      <c r="AJ706" s="170">
        <f t="shared" si="1447"/>
        <v>0</v>
      </c>
      <c r="AK706" s="170">
        <f t="shared" si="1447"/>
        <v>0</v>
      </c>
      <c r="AL706" s="170">
        <f t="shared" si="1447"/>
        <v>0</v>
      </c>
      <c r="AM706" s="170">
        <f t="shared" si="1447"/>
        <v>0</v>
      </c>
      <c r="AN706" s="170">
        <f t="shared" si="1447"/>
        <v>0</v>
      </c>
      <c r="AO706" s="170">
        <f t="shared" si="1447"/>
        <v>0</v>
      </c>
      <c r="AP706" s="170">
        <f t="shared" si="1447"/>
        <v>0</v>
      </c>
    </row>
    <row r="707" spans="1:42" x14ac:dyDescent="0.2">
      <c r="A707" s="202" t="s">
        <v>53</v>
      </c>
      <c r="B707" s="169"/>
      <c r="C707" s="135">
        <f>SUM(C697:C706)</f>
        <v>245406.02862510949</v>
      </c>
      <c r="D707" s="135">
        <f t="shared" ref="D707:AP707" si="1448">SUM(D697:D706)</f>
        <v>245406.02862510949</v>
      </c>
      <c r="E707" s="135">
        <f t="shared" si="1448"/>
        <v>245406.02862510949</v>
      </c>
      <c r="F707" s="135">
        <f t="shared" si="1448"/>
        <v>245406.02862510949</v>
      </c>
      <c r="G707" s="135">
        <f t="shared" si="1448"/>
        <v>245406.02862510949</v>
      </c>
      <c r="H707" s="135">
        <f t="shared" si="1448"/>
        <v>245406.02862510949</v>
      </c>
      <c r="I707" s="135">
        <f t="shared" si="1448"/>
        <v>245406.02862510949</v>
      </c>
      <c r="J707" s="135">
        <f t="shared" si="1448"/>
        <v>245406.02862510949</v>
      </c>
      <c r="K707" s="135">
        <f t="shared" si="1448"/>
        <v>245406.02862510949</v>
      </c>
      <c r="L707" s="135">
        <f t="shared" si="1448"/>
        <v>245406.02862510949</v>
      </c>
      <c r="M707" s="135">
        <f t="shared" si="1448"/>
        <v>245406.02862510949</v>
      </c>
      <c r="N707" s="135">
        <f t="shared" si="1448"/>
        <v>245406.02862510949</v>
      </c>
      <c r="O707" s="135">
        <f t="shared" si="1448"/>
        <v>293411.90721039008</v>
      </c>
      <c r="P707" s="135">
        <f t="shared" si="1448"/>
        <v>293411.90721039008</v>
      </c>
      <c r="Q707" s="135">
        <f t="shared" si="1448"/>
        <v>293411.90721039008</v>
      </c>
      <c r="R707" s="135">
        <f t="shared" si="1448"/>
        <v>293411.90721039008</v>
      </c>
      <c r="S707" s="135">
        <f t="shared" si="1448"/>
        <v>293411.90721039008</v>
      </c>
      <c r="T707" s="135">
        <f t="shared" si="1448"/>
        <v>293411.90721039008</v>
      </c>
      <c r="U707" s="135">
        <f t="shared" si="1448"/>
        <v>293411.90721039008</v>
      </c>
      <c r="V707" s="135">
        <f t="shared" si="1448"/>
        <v>293411.90721039008</v>
      </c>
      <c r="W707" s="135">
        <f t="shared" si="1448"/>
        <v>293411.90721039008</v>
      </c>
      <c r="X707" s="135">
        <f t="shared" si="1448"/>
        <v>293411.90721039008</v>
      </c>
      <c r="Y707" s="135">
        <f t="shared" si="1448"/>
        <v>293411.90721039008</v>
      </c>
      <c r="Z707" s="135">
        <f t="shared" si="1448"/>
        <v>293411.90721039008</v>
      </c>
      <c r="AA707" s="135">
        <f t="shared" si="1448"/>
        <v>350808.60798392771</v>
      </c>
      <c r="AB707" s="135">
        <f t="shared" si="1448"/>
        <v>350808.60798392771</v>
      </c>
      <c r="AC707" s="135">
        <f t="shared" si="1448"/>
        <v>350808.60798392771</v>
      </c>
      <c r="AD707" s="135">
        <f t="shared" si="1448"/>
        <v>350808.60798392771</v>
      </c>
      <c r="AE707" s="135">
        <f t="shared" si="1448"/>
        <v>350808.60798392771</v>
      </c>
      <c r="AF707" s="135">
        <f t="shared" si="1448"/>
        <v>350808.60798392771</v>
      </c>
      <c r="AG707" s="135">
        <f t="shared" si="1448"/>
        <v>350808.60798392771</v>
      </c>
      <c r="AH707" s="135">
        <f t="shared" si="1448"/>
        <v>350808.60798392771</v>
      </c>
      <c r="AI707" s="135">
        <f t="shared" si="1448"/>
        <v>350808.60798392771</v>
      </c>
      <c r="AJ707" s="135">
        <f t="shared" si="1448"/>
        <v>350808.60798392771</v>
      </c>
      <c r="AK707" s="135">
        <f t="shared" si="1448"/>
        <v>350808.60798392771</v>
      </c>
      <c r="AL707" s="135">
        <f t="shared" si="1448"/>
        <v>350808.60798392771</v>
      </c>
      <c r="AM707" s="135">
        <f t="shared" si="1448"/>
        <v>0</v>
      </c>
      <c r="AN707" s="135">
        <f t="shared" si="1448"/>
        <v>0</v>
      </c>
      <c r="AO707" s="135">
        <f t="shared" si="1448"/>
        <v>0</v>
      </c>
      <c r="AP707" s="135">
        <f t="shared" si="1448"/>
        <v>0</v>
      </c>
    </row>
    <row r="708" spans="1:42" x14ac:dyDescent="0.2">
      <c r="B708" s="169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</row>
    <row r="709" spans="1:42" x14ac:dyDescent="0.2">
      <c r="A709" s="165" t="s">
        <v>297</v>
      </c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</row>
    <row r="710" spans="1:42" x14ac:dyDescent="0.2">
      <c r="A710" s="20" t="s">
        <v>96</v>
      </c>
      <c r="B710" s="135">
        <v>0</v>
      </c>
      <c r="C710" s="135">
        <f>B713</f>
        <v>0</v>
      </c>
      <c r="D710" s="135">
        <f t="shared" ref="D710" si="1449">C713</f>
        <v>0</v>
      </c>
      <c r="E710" s="135">
        <f t="shared" ref="E710" si="1450">D713</f>
        <v>0</v>
      </c>
      <c r="F710" s="135">
        <f t="shared" ref="F710" si="1451">E713</f>
        <v>0</v>
      </c>
      <c r="G710" s="135">
        <f t="shared" ref="G710" si="1452">F713</f>
        <v>0</v>
      </c>
      <c r="H710" s="135">
        <f t="shared" ref="H710" si="1453">G713</f>
        <v>0</v>
      </c>
      <c r="I710" s="135">
        <f t="shared" ref="I710" si="1454">H713</f>
        <v>0</v>
      </c>
      <c r="J710" s="135">
        <f t="shared" ref="J710" si="1455">I713</f>
        <v>0</v>
      </c>
      <c r="K710" s="135">
        <f t="shared" ref="K710" si="1456">J713</f>
        <v>0</v>
      </c>
      <c r="L710" s="135">
        <f t="shared" ref="L710" si="1457">K713</f>
        <v>0</v>
      </c>
      <c r="M710" s="135">
        <f t="shared" ref="M710" si="1458">L713</f>
        <v>0</v>
      </c>
      <c r="N710" s="135">
        <f t="shared" ref="N710" si="1459">M713</f>
        <v>0</v>
      </c>
      <c r="O710" s="135">
        <f t="shared" ref="O710" si="1460">N713</f>
        <v>0</v>
      </c>
      <c r="P710" s="135">
        <f t="shared" ref="P710" si="1461">O713</f>
        <v>0</v>
      </c>
      <c r="Q710" s="135">
        <f t="shared" ref="Q710" si="1462">P713</f>
        <v>0</v>
      </c>
      <c r="R710" s="135">
        <f t="shared" ref="R710" si="1463">Q713</f>
        <v>0</v>
      </c>
      <c r="S710" s="135">
        <f t="shared" ref="S710" si="1464">R713</f>
        <v>0</v>
      </c>
      <c r="T710" s="135">
        <f t="shared" ref="T710" si="1465">S713</f>
        <v>0</v>
      </c>
      <c r="U710" s="135">
        <f t="shared" ref="U710" si="1466">T713</f>
        <v>0</v>
      </c>
      <c r="V710" s="135">
        <f t="shared" ref="V710" si="1467">U713</f>
        <v>0</v>
      </c>
      <c r="W710" s="135">
        <f t="shared" ref="W710" si="1468">V713</f>
        <v>0</v>
      </c>
      <c r="X710" s="135">
        <f t="shared" ref="X710" si="1469">W713</f>
        <v>0</v>
      </c>
      <c r="Y710" s="135">
        <f t="shared" ref="Y710" si="1470">X713</f>
        <v>0</v>
      </c>
      <c r="Z710" s="135">
        <f t="shared" ref="Z710" si="1471">Y713</f>
        <v>0</v>
      </c>
      <c r="AA710" s="135">
        <f t="shared" ref="AA710" si="1472">Z713</f>
        <v>0</v>
      </c>
      <c r="AB710" s="135">
        <f t="shared" ref="AB710" si="1473">AA713</f>
        <v>0</v>
      </c>
      <c r="AC710" s="135">
        <f t="shared" ref="AC710" si="1474">AB713</f>
        <v>0</v>
      </c>
      <c r="AD710" s="135">
        <f t="shared" ref="AD710" si="1475">AC713</f>
        <v>0</v>
      </c>
      <c r="AE710" s="135">
        <f t="shared" ref="AE710" si="1476">AD713</f>
        <v>0</v>
      </c>
      <c r="AF710" s="135">
        <f t="shared" ref="AF710" si="1477">AE713</f>
        <v>0</v>
      </c>
      <c r="AG710" s="135">
        <f t="shared" ref="AG710" si="1478">AF713</f>
        <v>0</v>
      </c>
      <c r="AH710" s="135">
        <f t="shared" ref="AH710" si="1479">AG713</f>
        <v>0</v>
      </c>
      <c r="AI710" s="135">
        <f t="shared" ref="AI710" si="1480">AH713</f>
        <v>0</v>
      </c>
      <c r="AJ710" s="135">
        <f t="shared" ref="AJ710" si="1481">AI713</f>
        <v>0</v>
      </c>
      <c r="AK710" s="135">
        <f t="shared" ref="AK710" si="1482">AJ713</f>
        <v>0</v>
      </c>
      <c r="AL710" s="135">
        <f t="shared" ref="AL710" si="1483">AK713</f>
        <v>0</v>
      </c>
      <c r="AM710" s="135">
        <f t="shared" ref="AM710" si="1484">AL713</f>
        <v>0</v>
      </c>
      <c r="AN710" s="135">
        <f t="shared" ref="AN710" si="1485">AM713</f>
        <v>0</v>
      </c>
      <c r="AO710" s="135">
        <f t="shared" ref="AO710" si="1486">AN713</f>
        <v>0</v>
      </c>
      <c r="AP710" s="135">
        <f t="shared" ref="AP710" si="1487">AO713</f>
        <v>0</v>
      </c>
    </row>
    <row r="711" spans="1:42" x14ac:dyDescent="0.2">
      <c r="A711" s="20" t="s">
        <v>183</v>
      </c>
      <c r="B711" s="135">
        <v>0</v>
      </c>
      <c r="C711" s="135">
        <f>C739</f>
        <v>0</v>
      </c>
      <c r="D711" s="135">
        <f t="shared" ref="D711:AP711" si="1488">D739</f>
        <v>0</v>
      </c>
      <c r="E711" s="135">
        <f t="shared" si="1488"/>
        <v>0</v>
      </c>
      <c r="F711" s="135">
        <f t="shared" si="1488"/>
        <v>0</v>
      </c>
      <c r="G711" s="135">
        <f t="shared" si="1488"/>
        <v>0</v>
      </c>
      <c r="H711" s="135">
        <f t="shared" si="1488"/>
        <v>0</v>
      </c>
      <c r="I711" s="135">
        <f t="shared" si="1488"/>
        <v>0</v>
      </c>
      <c r="J711" s="135">
        <f t="shared" si="1488"/>
        <v>0</v>
      </c>
      <c r="K711" s="135">
        <f t="shared" si="1488"/>
        <v>0</v>
      </c>
      <c r="L711" s="135">
        <f t="shared" si="1488"/>
        <v>0</v>
      </c>
      <c r="M711" s="135">
        <f t="shared" si="1488"/>
        <v>0</v>
      </c>
      <c r="N711" s="135">
        <f t="shared" si="1488"/>
        <v>0</v>
      </c>
      <c r="O711" s="135">
        <f t="shared" si="1488"/>
        <v>0</v>
      </c>
      <c r="P711" s="135">
        <f t="shared" si="1488"/>
        <v>0</v>
      </c>
      <c r="Q711" s="135">
        <f t="shared" si="1488"/>
        <v>0</v>
      </c>
      <c r="R711" s="135">
        <f t="shared" si="1488"/>
        <v>0</v>
      </c>
      <c r="S711" s="135">
        <f t="shared" si="1488"/>
        <v>0</v>
      </c>
      <c r="T711" s="135">
        <f t="shared" si="1488"/>
        <v>0</v>
      </c>
      <c r="U711" s="135">
        <f t="shared" si="1488"/>
        <v>0</v>
      </c>
      <c r="V711" s="135">
        <f t="shared" si="1488"/>
        <v>0</v>
      </c>
      <c r="W711" s="135">
        <f t="shared" si="1488"/>
        <v>0</v>
      </c>
      <c r="X711" s="135">
        <f t="shared" si="1488"/>
        <v>0</v>
      </c>
      <c r="Y711" s="135">
        <f t="shared" si="1488"/>
        <v>0</v>
      </c>
      <c r="Z711" s="135">
        <f t="shared" si="1488"/>
        <v>0</v>
      </c>
      <c r="AA711" s="135">
        <f t="shared" si="1488"/>
        <v>0</v>
      </c>
      <c r="AB711" s="135">
        <f t="shared" si="1488"/>
        <v>0</v>
      </c>
      <c r="AC711" s="135">
        <f t="shared" si="1488"/>
        <v>0</v>
      </c>
      <c r="AD711" s="135">
        <f t="shared" si="1488"/>
        <v>0</v>
      </c>
      <c r="AE711" s="135">
        <f t="shared" si="1488"/>
        <v>0</v>
      </c>
      <c r="AF711" s="135">
        <f t="shared" si="1488"/>
        <v>0</v>
      </c>
      <c r="AG711" s="135">
        <f t="shared" si="1488"/>
        <v>0</v>
      </c>
      <c r="AH711" s="135">
        <f t="shared" si="1488"/>
        <v>0</v>
      </c>
      <c r="AI711" s="135">
        <f t="shared" si="1488"/>
        <v>0</v>
      </c>
      <c r="AJ711" s="135">
        <f t="shared" si="1488"/>
        <v>0</v>
      </c>
      <c r="AK711" s="135">
        <f t="shared" si="1488"/>
        <v>0</v>
      </c>
      <c r="AL711" s="135">
        <f t="shared" si="1488"/>
        <v>0</v>
      </c>
      <c r="AM711" s="135">
        <f t="shared" si="1488"/>
        <v>0</v>
      </c>
      <c r="AN711" s="135">
        <f t="shared" si="1488"/>
        <v>0</v>
      </c>
      <c r="AO711" s="135">
        <f t="shared" si="1488"/>
        <v>0</v>
      </c>
      <c r="AP711" s="135">
        <f t="shared" si="1488"/>
        <v>0</v>
      </c>
    </row>
    <row r="712" spans="1:42" x14ac:dyDescent="0.2">
      <c r="A712" s="20" t="s">
        <v>103</v>
      </c>
      <c r="B712" s="170">
        <v>0</v>
      </c>
      <c r="C712" s="170">
        <f>-C727</f>
        <v>0</v>
      </c>
      <c r="D712" s="170">
        <f t="shared" ref="D712:AP712" si="1489">-D727</f>
        <v>0</v>
      </c>
      <c r="E712" s="170">
        <f t="shared" si="1489"/>
        <v>0</v>
      </c>
      <c r="F712" s="170">
        <f t="shared" si="1489"/>
        <v>0</v>
      </c>
      <c r="G712" s="170">
        <f t="shared" si="1489"/>
        <v>0</v>
      </c>
      <c r="H712" s="170">
        <f t="shared" si="1489"/>
        <v>0</v>
      </c>
      <c r="I712" s="170">
        <f t="shared" si="1489"/>
        <v>0</v>
      </c>
      <c r="J712" s="170">
        <f t="shared" si="1489"/>
        <v>0</v>
      </c>
      <c r="K712" s="170">
        <f t="shared" si="1489"/>
        <v>0</v>
      </c>
      <c r="L712" s="170">
        <f t="shared" si="1489"/>
        <v>0</v>
      </c>
      <c r="M712" s="170">
        <f t="shared" si="1489"/>
        <v>0</v>
      </c>
      <c r="N712" s="170">
        <f t="shared" si="1489"/>
        <v>0</v>
      </c>
      <c r="O712" s="170">
        <f t="shared" si="1489"/>
        <v>0</v>
      </c>
      <c r="P712" s="170">
        <f t="shared" si="1489"/>
        <v>0</v>
      </c>
      <c r="Q712" s="170">
        <f t="shared" si="1489"/>
        <v>0</v>
      </c>
      <c r="R712" s="170">
        <f t="shared" si="1489"/>
        <v>0</v>
      </c>
      <c r="S712" s="170">
        <f t="shared" si="1489"/>
        <v>0</v>
      </c>
      <c r="T712" s="170">
        <f t="shared" si="1489"/>
        <v>0</v>
      </c>
      <c r="U712" s="170">
        <f t="shared" si="1489"/>
        <v>0</v>
      </c>
      <c r="V712" s="170">
        <f t="shared" si="1489"/>
        <v>0</v>
      </c>
      <c r="W712" s="170">
        <f t="shared" si="1489"/>
        <v>0</v>
      </c>
      <c r="X712" s="170">
        <f t="shared" si="1489"/>
        <v>0</v>
      </c>
      <c r="Y712" s="170">
        <f t="shared" si="1489"/>
        <v>0</v>
      </c>
      <c r="Z712" s="170">
        <f t="shared" si="1489"/>
        <v>0</v>
      </c>
      <c r="AA712" s="170">
        <f t="shared" si="1489"/>
        <v>0</v>
      </c>
      <c r="AB712" s="170">
        <f t="shared" si="1489"/>
        <v>0</v>
      </c>
      <c r="AC712" s="170">
        <f t="shared" si="1489"/>
        <v>0</v>
      </c>
      <c r="AD712" s="170">
        <f t="shared" si="1489"/>
        <v>0</v>
      </c>
      <c r="AE712" s="170">
        <f t="shared" si="1489"/>
        <v>0</v>
      </c>
      <c r="AF712" s="170">
        <f t="shared" si="1489"/>
        <v>0</v>
      </c>
      <c r="AG712" s="170">
        <f t="shared" si="1489"/>
        <v>0</v>
      </c>
      <c r="AH712" s="170">
        <f t="shared" si="1489"/>
        <v>0</v>
      </c>
      <c r="AI712" s="170">
        <f t="shared" si="1489"/>
        <v>0</v>
      </c>
      <c r="AJ712" s="170">
        <f t="shared" si="1489"/>
        <v>0</v>
      </c>
      <c r="AK712" s="170">
        <f t="shared" si="1489"/>
        <v>0</v>
      </c>
      <c r="AL712" s="170">
        <f t="shared" si="1489"/>
        <v>0</v>
      </c>
      <c r="AM712" s="170">
        <f t="shared" si="1489"/>
        <v>0</v>
      </c>
      <c r="AN712" s="170">
        <f t="shared" si="1489"/>
        <v>0</v>
      </c>
      <c r="AO712" s="170">
        <f t="shared" si="1489"/>
        <v>0</v>
      </c>
      <c r="AP712" s="170">
        <f t="shared" si="1489"/>
        <v>0</v>
      </c>
    </row>
    <row r="713" spans="1:42" x14ac:dyDescent="0.2">
      <c r="A713" s="20" t="s">
        <v>99</v>
      </c>
      <c r="B713" s="135">
        <f>SUM(B710:B712)</f>
        <v>0</v>
      </c>
      <c r="C713" s="135">
        <f>SUM(C710:C712)</f>
        <v>0</v>
      </c>
      <c r="D713" s="135">
        <f t="shared" ref="D713:AP713" si="1490">SUM(D710:D712)</f>
        <v>0</v>
      </c>
      <c r="E713" s="135">
        <f t="shared" si="1490"/>
        <v>0</v>
      </c>
      <c r="F713" s="135">
        <f t="shared" si="1490"/>
        <v>0</v>
      </c>
      <c r="G713" s="135">
        <f t="shared" si="1490"/>
        <v>0</v>
      </c>
      <c r="H713" s="135">
        <f t="shared" si="1490"/>
        <v>0</v>
      </c>
      <c r="I713" s="135">
        <f t="shared" si="1490"/>
        <v>0</v>
      </c>
      <c r="J713" s="135">
        <f t="shared" si="1490"/>
        <v>0</v>
      </c>
      <c r="K713" s="135">
        <f t="shared" si="1490"/>
        <v>0</v>
      </c>
      <c r="L713" s="135">
        <f t="shared" si="1490"/>
        <v>0</v>
      </c>
      <c r="M713" s="135">
        <f t="shared" si="1490"/>
        <v>0</v>
      </c>
      <c r="N713" s="135">
        <f t="shared" si="1490"/>
        <v>0</v>
      </c>
      <c r="O713" s="135">
        <f t="shared" si="1490"/>
        <v>0</v>
      </c>
      <c r="P713" s="135">
        <f t="shared" si="1490"/>
        <v>0</v>
      </c>
      <c r="Q713" s="135">
        <f t="shared" si="1490"/>
        <v>0</v>
      </c>
      <c r="R713" s="135">
        <f t="shared" si="1490"/>
        <v>0</v>
      </c>
      <c r="S713" s="135">
        <f t="shared" si="1490"/>
        <v>0</v>
      </c>
      <c r="T713" s="135">
        <f t="shared" si="1490"/>
        <v>0</v>
      </c>
      <c r="U713" s="135">
        <f t="shared" si="1490"/>
        <v>0</v>
      </c>
      <c r="V713" s="135">
        <f t="shared" si="1490"/>
        <v>0</v>
      </c>
      <c r="W713" s="135">
        <f t="shared" si="1490"/>
        <v>0</v>
      </c>
      <c r="X713" s="135">
        <f t="shared" si="1490"/>
        <v>0</v>
      </c>
      <c r="Y713" s="135">
        <f t="shared" si="1490"/>
        <v>0</v>
      </c>
      <c r="Z713" s="135">
        <f t="shared" si="1490"/>
        <v>0</v>
      </c>
      <c r="AA713" s="135">
        <f t="shared" si="1490"/>
        <v>0</v>
      </c>
      <c r="AB713" s="135">
        <f t="shared" si="1490"/>
        <v>0</v>
      </c>
      <c r="AC713" s="135">
        <f t="shared" si="1490"/>
        <v>0</v>
      </c>
      <c r="AD713" s="135">
        <f t="shared" si="1490"/>
        <v>0</v>
      </c>
      <c r="AE713" s="135">
        <f t="shared" si="1490"/>
        <v>0</v>
      </c>
      <c r="AF713" s="135">
        <f t="shared" si="1490"/>
        <v>0</v>
      </c>
      <c r="AG713" s="135">
        <f t="shared" si="1490"/>
        <v>0</v>
      </c>
      <c r="AH713" s="135">
        <f t="shared" si="1490"/>
        <v>0</v>
      </c>
      <c r="AI713" s="135">
        <f t="shared" si="1490"/>
        <v>0</v>
      </c>
      <c r="AJ713" s="135">
        <f t="shared" si="1490"/>
        <v>0</v>
      </c>
      <c r="AK713" s="135">
        <f t="shared" si="1490"/>
        <v>0</v>
      </c>
      <c r="AL713" s="135">
        <f t="shared" si="1490"/>
        <v>0</v>
      </c>
      <c r="AM713" s="135">
        <f t="shared" si="1490"/>
        <v>0</v>
      </c>
      <c r="AN713" s="135">
        <f t="shared" si="1490"/>
        <v>0</v>
      </c>
      <c r="AO713" s="135">
        <f t="shared" si="1490"/>
        <v>0</v>
      </c>
      <c r="AP713" s="135">
        <f t="shared" si="1490"/>
        <v>0</v>
      </c>
    </row>
    <row r="714" spans="1:42" x14ac:dyDescent="0.2">
      <c r="B714" s="135"/>
      <c r="C714" s="135"/>
      <c r="D714" s="135"/>
      <c r="E714" s="135"/>
      <c r="F714" s="135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</row>
    <row r="715" spans="1:42" x14ac:dyDescent="0.2">
      <c r="A715" s="20" t="s">
        <v>181</v>
      </c>
      <c r="B715" s="135"/>
      <c r="C715" s="135"/>
      <c r="D715" s="135"/>
      <c r="E715" s="135"/>
      <c r="F715" s="135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</row>
    <row r="716" spans="1:42" x14ac:dyDescent="0.2">
      <c r="A716" s="20" t="s">
        <v>182</v>
      </c>
      <c r="B716" s="135"/>
      <c r="C716" s="135"/>
      <c r="D716" s="135"/>
      <c r="E716" s="135"/>
      <c r="F716" s="135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</row>
    <row r="717" spans="1:42" x14ac:dyDescent="0.2">
      <c r="A717" s="20">
        <v>1</v>
      </c>
      <c r="B717" s="179">
        <f t="shared" ref="B717:B726" si="1491">SUM(C717:AP717)</f>
        <v>0</v>
      </c>
      <c r="C717" s="169">
        <f t="shared" ref="C717:AP717" si="1492">IF(C$2&gt;AnalysisPeriod,0,IF(C$2=MMFrequency2*$A717,MMCost2*CapacityDC*1000*(1+Inflation)^B$2,0))</f>
        <v>0</v>
      </c>
      <c r="D717" s="169">
        <f t="shared" si="1492"/>
        <v>0</v>
      </c>
      <c r="E717" s="169">
        <f t="shared" si="1492"/>
        <v>0</v>
      </c>
      <c r="F717" s="169">
        <f t="shared" si="1492"/>
        <v>0</v>
      </c>
      <c r="G717" s="169">
        <f t="shared" si="1492"/>
        <v>0</v>
      </c>
      <c r="H717" s="169">
        <f t="shared" si="1492"/>
        <v>0</v>
      </c>
      <c r="I717" s="169">
        <f t="shared" si="1492"/>
        <v>0</v>
      </c>
      <c r="J717" s="169">
        <f t="shared" si="1492"/>
        <v>0</v>
      </c>
      <c r="K717" s="169">
        <f t="shared" si="1492"/>
        <v>0</v>
      </c>
      <c r="L717" s="169">
        <f t="shared" si="1492"/>
        <v>0</v>
      </c>
      <c r="M717" s="169">
        <f t="shared" si="1492"/>
        <v>0</v>
      </c>
      <c r="N717" s="169">
        <f t="shared" si="1492"/>
        <v>0</v>
      </c>
      <c r="O717" s="169">
        <f t="shared" si="1492"/>
        <v>0</v>
      </c>
      <c r="P717" s="169">
        <f t="shared" si="1492"/>
        <v>0</v>
      </c>
      <c r="Q717" s="169">
        <f t="shared" si="1492"/>
        <v>0</v>
      </c>
      <c r="R717" s="169">
        <f t="shared" si="1492"/>
        <v>0</v>
      </c>
      <c r="S717" s="169">
        <f t="shared" si="1492"/>
        <v>0</v>
      </c>
      <c r="T717" s="169">
        <f t="shared" si="1492"/>
        <v>0</v>
      </c>
      <c r="U717" s="169">
        <f t="shared" si="1492"/>
        <v>0</v>
      </c>
      <c r="V717" s="169">
        <f t="shared" si="1492"/>
        <v>0</v>
      </c>
      <c r="W717" s="169">
        <f t="shared" si="1492"/>
        <v>0</v>
      </c>
      <c r="X717" s="169">
        <f t="shared" si="1492"/>
        <v>0</v>
      </c>
      <c r="Y717" s="169">
        <f t="shared" si="1492"/>
        <v>0</v>
      </c>
      <c r="Z717" s="169">
        <f t="shared" si="1492"/>
        <v>0</v>
      </c>
      <c r="AA717" s="169">
        <f t="shared" si="1492"/>
        <v>0</v>
      </c>
      <c r="AB717" s="169">
        <f t="shared" si="1492"/>
        <v>0</v>
      </c>
      <c r="AC717" s="169">
        <f t="shared" si="1492"/>
        <v>0</v>
      </c>
      <c r="AD717" s="169">
        <f t="shared" si="1492"/>
        <v>0</v>
      </c>
      <c r="AE717" s="169">
        <f t="shared" si="1492"/>
        <v>0</v>
      </c>
      <c r="AF717" s="169">
        <f t="shared" si="1492"/>
        <v>0</v>
      </c>
      <c r="AG717" s="169">
        <f t="shared" si="1492"/>
        <v>0</v>
      </c>
      <c r="AH717" s="169">
        <f t="shared" si="1492"/>
        <v>0</v>
      </c>
      <c r="AI717" s="169">
        <f t="shared" si="1492"/>
        <v>0</v>
      </c>
      <c r="AJ717" s="169">
        <f t="shared" si="1492"/>
        <v>0</v>
      </c>
      <c r="AK717" s="169">
        <f t="shared" si="1492"/>
        <v>0</v>
      </c>
      <c r="AL717" s="169">
        <f t="shared" si="1492"/>
        <v>0</v>
      </c>
      <c r="AM717" s="169">
        <f t="shared" si="1492"/>
        <v>0</v>
      </c>
      <c r="AN717" s="169">
        <f t="shared" si="1492"/>
        <v>0</v>
      </c>
      <c r="AO717" s="169">
        <f t="shared" si="1492"/>
        <v>0</v>
      </c>
      <c r="AP717" s="169">
        <f t="shared" si="1492"/>
        <v>0</v>
      </c>
    </row>
    <row r="718" spans="1:42" x14ac:dyDescent="0.2">
      <c r="A718" s="20">
        <f>A717+1</f>
        <v>2</v>
      </c>
      <c r="B718" s="179">
        <f t="shared" si="1491"/>
        <v>0</v>
      </c>
      <c r="C718" s="169">
        <f t="shared" ref="C718:AP718" si="1493">IF(C$2&gt;AnalysisPeriod,0,IF(C$2=MMFrequency2*$A718,MMCost2*CapacityDC*1000*(1+Inflation)^B$2,0))</f>
        <v>0</v>
      </c>
      <c r="D718" s="169">
        <f t="shared" si="1493"/>
        <v>0</v>
      </c>
      <c r="E718" s="169">
        <f t="shared" si="1493"/>
        <v>0</v>
      </c>
      <c r="F718" s="169">
        <f t="shared" si="1493"/>
        <v>0</v>
      </c>
      <c r="G718" s="169">
        <f t="shared" si="1493"/>
        <v>0</v>
      </c>
      <c r="H718" s="169">
        <f t="shared" si="1493"/>
        <v>0</v>
      </c>
      <c r="I718" s="169">
        <f t="shared" si="1493"/>
        <v>0</v>
      </c>
      <c r="J718" s="169">
        <f t="shared" si="1493"/>
        <v>0</v>
      </c>
      <c r="K718" s="169">
        <f t="shared" si="1493"/>
        <v>0</v>
      </c>
      <c r="L718" s="169">
        <f t="shared" si="1493"/>
        <v>0</v>
      </c>
      <c r="M718" s="169">
        <f t="shared" si="1493"/>
        <v>0</v>
      </c>
      <c r="N718" s="169">
        <f t="shared" si="1493"/>
        <v>0</v>
      </c>
      <c r="O718" s="169">
        <f t="shared" si="1493"/>
        <v>0</v>
      </c>
      <c r="P718" s="169">
        <f t="shared" si="1493"/>
        <v>0</v>
      </c>
      <c r="Q718" s="169">
        <f t="shared" si="1493"/>
        <v>0</v>
      </c>
      <c r="R718" s="169">
        <f t="shared" si="1493"/>
        <v>0</v>
      </c>
      <c r="S718" s="169">
        <f t="shared" si="1493"/>
        <v>0</v>
      </c>
      <c r="T718" s="169">
        <f t="shared" si="1493"/>
        <v>0</v>
      </c>
      <c r="U718" s="169">
        <f t="shared" si="1493"/>
        <v>0</v>
      </c>
      <c r="V718" s="169">
        <f t="shared" si="1493"/>
        <v>0</v>
      </c>
      <c r="W718" s="169">
        <f t="shared" si="1493"/>
        <v>0</v>
      </c>
      <c r="X718" s="169">
        <f t="shared" si="1493"/>
        <v>0</v>
      </c>
      <c r="Y718" s="169">
        <f t="shared" si="1493"/>
        <v>0</v>
      </c>
      <c r="Z718" s="169">
        <f t="shared" si="1493"/>
        <v>0</v>
      </c>
      <c r="AA718" s="169">
        <f t="shared" si="1493"/>
        <v>0</v>
      </c>
      <c r="AB718" s="169">
        <f t="shared" si="1493"/>
        <v>0</v>
      </c>
      <c r="AC718" s="169">
        <f t="shared" si="1493"/>
        <v>0</v>
      </c>
      <c r="AD718" s="169">
        <f t="shared" si="1493"/>
        <v>0</v>
      </c>
      <c r="AE718" s="169">
        <f t="shared" si="1493"/>
        <v>0</v>
      </c>
      <c r="AF718" s="169">
        <f t="shared" si="1493"/>
        <v>0</v>
      </c>
      <c r="AG718" s="169">
        <f t="shared" si="1493"/>
        <v>0</v>
      </c>
      <c r="AH718" s="169">
        <f t="shared" si="1493"/>
        <v>0</v>
      </c>
      <c r="AI718" s="169">
        <f t="shared" si="1493"/>
        <v>0</v>
      </c>
      <c r="AJ718" s="169">
        <f t="shared" si="1493"/>
        <v>0</v>
      </c>
      <c r="AK718" s="169">
        <f t="shared" si="1493"/>
        <v>0</v>
      </c>
      <c r="AL718" s="169">
        <f t="shared" si="1493"/>
        <v>0</v>
      </c>
      <c r="AM718" s="169">
        <f t="shared" si="1493"/>
        <v>0</v>
      </c>
      <c r="AN718" s="169">
        <f t="shared" si="1493"/>
        <v>0</v>
      </c>
      <c r="AO718" s="169">
        <f t="shared" si="1493"/>
        <v>0</v>
      </c>
      <c r="AP718" s="169">
        <f t="shared" si="1493"/>
        <v>0</v>
      </c>
    </row>
    <row r="719" spans="1:42" x14ac:dyDescent="0.2">
      <c r="A719" s="20">
        <f t="shared" ref="A719:A726" si="1494">A718+1</f>
        <v>3</v>
      </c>
      <c r="B719" s="179">
        <f t="shared" si="1491"/>
        <v>0</v>
      </c>
      <c r="C719" s="169">
        <f t="shared" ref="C719:AP719" si="1495">IF(C$2&gt;AnalysisPeriod,0,IF(C$2=MMFrequency2*$A719,MMCost2*CapacityDC*1000*(1+Inflation)^B$2,0))</f>
        <v>0</v>
      </c>
      <c r="D719" s="169">
        <f t="shared" si="1495"/>
        <v>0</v>
      </c>
      <c r="E719" s="169">
        <f t="shared" si="1495"/>
        <v>0</v>
      </c>
      <c r="F719" s="169">
        <f t="shared" si="1495"/>
        <v>0</v>
      </c>
      <c r="G719" s="169">
        <f t="shared" si="1495"/>
        <v>0</v>
      </c>
      <c r="H719" s="169">
        <f t="shared" si="1495"/>
        <v>0</v>
      </c>
      <c r="I719" s="169">
        <f t="shared" si="1495"/>
        <v>0</v>
      </c>
      <c r="J719" s="169">
        <f t="shared" si="1495"/>
        <v>0</v>
      </c>
      <c r="K719" s="169">
        <f t="shared" si="1495"/>
        <v>0</v>
      </c>
      <c r="L719" s="169">
        <f t="shared" si="1495"/>
        <v>0</v>
      </c>
      <c r="M719" s="169">
        <f t="shared" si="1495"/>
        <v>0</v>
      </c>
      <c r="N719" s="169">
        <f t="shared" si="1495"/>
        <v>0</v>
      </c>
      <c r="O719" s="169">
        <f t="shared" si="1495"/>
        <v>0</v>
      </c>
      <c r="P719" s="169">
        <f t="shared" si="1495"/>
        <v>0</v>
      </c>
      <c r="Q719" s="169">
        <f t="shared" si="1495"/>
        <v>0</v>
      </c>
      <c r="R719" s="169">
        <f t="shared" si="1495"/>
        <v>0</v>
      </c>
      <c r="S719" s="169">
        <f t="shared" si="1495"/>
        <v>0</v>
      </c>
      <c r="T719" s="169">
        <f t="shared" si="1495"/>
        <v>0</v>
      </c>
      <c r="U719" s="169">
        <f t="shared" si="1495"/>
        <v>0</v>
      </c>
      <c r="V719" s="169">
        <f t="shared" si="1495"/>
        <v>0</v>
      </c>
      <c r="W719" s="169">
        <f t="shared" si="1495"/>
        <v>0</v>
      </c>
      <c r="X719" s="169">
        <f t="shared" si="1495"/>
        <v>0</v>
      </c>
      <c r="Y719" s="169">
        <f t="shared" si="1495"/>
        <v>0</v>
      </c>
      <c r="Z719" s="169">
        <f t="shared" si="1495"/>
        <v>0</v>
      </c>
      <c r="AA719" s="169">
        <f t="shared" si="1495"/>
        <v>0</v>
      </c>
      <c r="AB719" s="169">
        <f t="shared" si="1495"/>
        <v>0</v>
      </c>
      <c r="AC719" s="169">
        <f t="shared" si="1495"/>
        <v>0</v>
      </c>
      <c r="AD719" s="169">
        <f t="shared" si="1495"/>
        <v>0</v>
      </c>
      <c r="AE719" s="169">
        <f t="shared" si="1495"/>
        <v>0</v>
      </c>
      <c r="AF719" s="169">
        <f t="shared" si="1495"/>
        <v>0</v>
      </c>
      <c r="AG719" s="169">
        <f t="shared" si="1495"/>
        <v>0</v>
      </c>
      <c r="AH719" s="169">
        <f t="shared" si="1495"/>
        <v>0</v>
      </c>
      <c r="AI719" s="169">
        <f t="shared" si="1495"/>
        <v>0</v>
      </c>
      <c r="AJ719" s="169">
        <f t="shared" si="1495"/>
        <v>0</v>
      </c>
      <c r="AK719" s="169">
        <f t="shared" si="1495"/>
        <v>0</v>
      </c>
      <c r="AL719" s="169">
        <f t="shared" si="1495"/>
        <v>0</v>
      </c>
      <c r="AM719" s="169">
        <f t="shared" si="1495"/>
        <v>0</v>
      </c>
      <c r="AN719" s="169">
        <f t="shared" si="1495"/>
        <v>0</v>
      </c>
      <c r="AO719" s="169">
        <f t="shared" si="1495"/>
        <v>0</v>
      </c>
      <c r="AP719" s="169">
        <f t="shared" si="1495"/>
        <v>0</v>
      </c>
    </row>
    <row r="720" spans="1:42" x14ac:dyDescent="0.2">
      <c r="A720" s="20">
        <f t="shared" si="1494"/>
        <v>4</v>
      </c>
      <c r="B720" s="179">
        <f t="shared" si="1491"/>
        <v>0</v>
      </c>
      <c r="C720" s="169">
        <f t="shared" ref="C720:AP720" si="1496">IF(C$2&gt;AnalysisPeriod,0,IF(C$2=MMFrequency2*$A720,MMCost2*CapacityDC*1000*(1+Inflation)^B$2,0))</f>
        <v>0</v>
      </c>
      <c r="D720" s="169">
        <f t="shared" si="1496"/>
        <v>0</v>
      </c>
      <c r="E720" s="169">
        <f t="shared" si="1496"/>
        <v>0</v>
      </c>
      <c r="F720" s="169">
        <f t="shared" si="1496"/>
        <v>0</v>
      </c>
      <c r="G720" s="169">
        <f t="shared" si="1496"/>
        <v>0</v>
      </c>
      <c r="H720" s="169">
        <f t="shared" si="1496"/>
        <v>0</v>
      </c>
      <c r="I720" s="169">
        <f t="shared" si="1496"/>
        <v>0</v>
      </c>
      <c r="J720" s="169">
        <f t="shared" si="1496"/>
        <v>0</v>
      </c>
      <c r="K720" s="169">
        <f t="shared" si="1496"/>
        <v>0</v>
      </c>
      <c r="L720" s="169">
        <f t="shared" si="1496"/>
        <v>0</v>
      </c>
      <c r="M720" s="169">
        <f t="shared" si="1496"/>
        <v>0</v>
      </c>
      <c r="N720" s="169">
        <f t="shared" si="1496"/>
        <v>0</v>
      </c>
      <c r="O720" s="169">
        <f t="shared" si="1496"/>
        <v>0</v>
      </c>
      <c r="P720" s="169">
        <f t="shared" si="1496"/>
        <v>0</v>
      </c>
      <c r="Q720" s="169">
        <f t="shared" si="1496"/>
        <v>0</v>
      </c>
      <c r="R720" s="169">
        <f t="shared" si="1496"/>
        <v>0</v>
      </c>
      <c r="S720" s="169">
        <f t="shared" si="1496"/>
        <v>0</v>
      </c>
      <c r="T720" s="169">
        <f t="shared" si="1496"/>
        <v>0</v>
      </c>
      <c r="U720" s="169">
        <f t="shared" si="1496"/>
        <v>0</v>
      </c>
      <c r="V720" s="169">
        <f t="shared" si="1496"/>
        <v>0</v>
      </c>
      <c r="W720" s="169">
        <f t="shared" si="1496"/>
        <v>0</v>
      </c>
      <c r="X720" s="169">
        <f t="shared" si="1496"/>
        <v>0</v>
      </c>
      <c r="Y720" s="169">
        <f t="shared" si="1496"/>
        <v>0</v>
      </c>
      <c r="Z720" s="169">
        <f t="shared" si="1496"/>
        <v>0</v>
      </c>
      <c r="AA720" s="169">
        <f t="shared" si="1496"/>
        <v>0</v>
      </c>
      <c r="AB720" s="169">
        <f t="shared" si="1496"/>
        <v>0</v>
      </c>
      <c r="AC720" s="169">
        <f t="shared" si="1496"/>
        <v>0</v>
      </c>
      <c r="AD720" s="169">
        <f t="shared" si="1496"/>
        <v>0</v>
      </c>
      <c r="AE720" s="169">
        <f t="shared" si="1496"/>
        <v>0</v>
      </c>
      <c r="AF720" s="169">
        <f t="shared" si="1496"/>
        <v>0</v>
      </c>
      <c r="AG720" s="169">
        <f t="shared" si="1496"/>
        <v>0</v>
      </c>
      <c r="AH720" s="169">
        <f t="shared" si="1496"/>
        <v>0</v>
      </c>
      <c r="AI720" s="169">
        <f t="shared" si="1496"/>
        <v>0</v>
      </c>
      <c r="AJ720" s="169">
        <f t="shared" si="1496"/>
        <v>0</v>
      </c>
      <c r="AK720" s="169">
        <f t="shared" si="1496"/>
        <v>0</v>
      </c>
      <c r="AL720" s="169">
        <f t="shared" si="1496"/>
        <v>0</v>
      </c>
      <c r="AM720" s="169">
        <f t="shared" si="1496"/>
        <v>0</v>
      </c>
      <c r="AN720" s="169">
        <f t="shared" si="1496"/>
        <v>0</v>
      </c>
      <c r="AO720" s="169">
        <f t="shared" si="1496"/>
        <v>0</v>
      </c>
      <c r="AP720" s="169">
        <f t="shared" si="1496"/>
        <v>0</v>
      </c>
    </row>
    <row r="721" spans="1:42" x14ac:dyDescent="0.2">
      <c r="A721" s="20">
        <f t="shared" si="1494"/>
        <v>5</v>
      </c>
      <c r="B721" s="179">
        <f t="shared" si="1491"/>
        <v>0</v>
      </c>
      <c r="C721" s="169">
        <f t="shared" ref="C721:AP721" si="1497">IF(C$2&gt;AnalysisPeriod,0,IF(C$2=MMFrequency2*$A721,MMCost2*CapacityDC*1000*(1+Inflation)^B$2,0))</f>
        <v>0</v>
      </c>
      <c r="D721" s="169">
        <f t="shared" si="1497"/>
        <v>0</v>
      </c>
      <c r="E721" s="169">
        <f t="shared" si="1497"/>
        <v>0</v>
      </c>
      <c r="F721" s="169">
        <f t="shared" si="1497"/>
        <v>0</v>
      </c>
      <c r="G721" s="169">
        <f t="shared" si="1497"/>
        <v>0</v>
      </c>
      <c r="H721" s="169">
        <f t="shared" si="1497"/>
        <v>0</v>
      </c>
      <c r="I721" s="169">
        <f t="shared" si="1497"/>
        <v>0</v>
      </c>
      <c r="J721" s="169">
        <f t="shared" si="1497"/>
        <v>0</v>
      </c>
      <c r="K721" s="169">
        <f t="shared" si="1497"/>
        <v>0</v>
      </c>
      <c r="L721" s="169">
        <f t="shared" si="1497"/>
        <v>0</v>
      </c>
      <c r="M721" s="169">
        <f t="shared" si="1497"/>
        <v>0</v>
      </c>
      <c r="N721" s="169">
        <f t="shared" si="1497"/>
        <v>0</v>
      </c>
      <c r="O721" s="169">
        <f t="shared" si="1497"/>
        <v>0</v>
      </c>
      <c r="P721" s="169">
        <f t="shared" si="1497"/>
        <v>0</v>
      </c>
      <c r="Q721" s="169">
        <f t="shared" si="1497"/>
        <v>0</v>
      </c>
      <c r="R721" s="169">
        <f t="shared" si="1497"/>
        <v>0</v>
      </c>
      <c r="S721" s="169">
        <f t="shared" si="1497"/>
        <v>0</v>
      </c>
      <c r="T721" s="169">
        <f t="shared" si="1497"/>
        <v>0</v>
      </c>
      <c r="U721" s="169">
        <f t="shared" si="1497"/>
        <v>0</v>
      </c>
      <c r="V721" s="169">
        <f t="shared" si="1497"/>
        <v>0</v>
      </c>
      <c r="W721" s="169">
        <f t="shared" si="1497"/>
        <v>0</v>
      </c>
      <c r="X721" s="169">
        <f t="shared" si="1497"/>
        <v>0</v>
      </c>
      <c r="Y721" s="169">
        <f t="shared" si="1497"/>
        <v>0</v>
      </c>
      <c r="Z721" s="169">
        <f t="shared" si="1497"/>
        <v>0</v>
      </c>
      <c r="AA721" s="169">
        <f t="shared" si="1497"/>
        <v>0</v>
      </c>
      <c r="AB721" s="169">
        <f t="shared" si="1497"/>
        <v>0</v>
      </c>
      <c r="AC721" s="169">
        <f t="shared" si="1497"/>
        <v>0</v>
      </c>
      <c r="AD721" s="169">
        <f t="shared" si="1497"/>
        <v>0</v>
      </c>
      <c r="AE721" s="169">
        <f t="shared" si="1497"/>
        <v>0</v>
      </c>
      <c r="AF721" s="169">
        <f t="shared" si="1497"/>
        <v>0</v>
      </c>
      <c r="AG721" s="169">
        <f t="shared" si="1497"/>
        <v>0</v>
      </c>
      <c r="AH721" s="169">
        <f t="shared" si="1497"/>
        <v>0</v>
      </c>
      <c r="AI721" s="169">
        <f t="shared" si="1497"/>
        <v>0</v>
      </c>
      <c r="AJ721" s="169">
        <f t="shared" si="1497"/>
        <v>0</v>
      </c>
      <c r="AK721" s="169">
        <f t="shared" si="1497"/>
        <v>0</v>
      </c>
      <c r="AL721" s="169">
        <f t="shared" si="1497"/>
        <v>0</v>
      </c>
      <c r="AM721" s="169">
        <f t="shared" si="1497"/>
        <v>0</v>
      </c>
      <c r="AN721" s="169">
        <f t="shared" si="1497"/>
        <v>0</v>
      </c>
      <c r="AO721" s="169">
        <f t="shared" si="1497"/>
        <v>0</v>
      </c>
      <c r="AP721" s="169">
        <f t="shared" si="1497"/>
        <v>0</v>
      </c>
    </row>
    <row r="722" spans="1:42" x14ac:dyDescent="0.2">
      <c r="A722" s="20">
        <f t="shared" si="1494"/>
        <v>6</v>
      </c>
      <c r="B722" s="179">
        <f t="shared" si="1491"/>
        <v>0</v>
      </c>
      <c r="C722" s="169">
        <f t="shared" ref="C722:AP722" si="1498">IF(C$2&gt;AnalysisPeriod,0,IF(C$2=MMFrequency2*$A722,MMCost2*CapacityDC*1000*(1+Inflation)^B$2,0))</f>
        <v>0</v>
      </c>
      <c r="D722" s="169">
        <f t="shared" si="1498"/>
        <v>0</v>
      </c>
      <c r="E722" s="169">
        <f t="shared" si="1498"/>
        <v>0</v>
      </c>
      <c r="F722" s="169">
        <f t="shared" si="1498"/>
        <v>0</v>
      </c>
      <c r="G722" s="169">
        <f t="shared" si="1498"/>
        <v>0</v>
      </c>
      <c r="H722" s="169">
        <f t="shared" si="1498"/>
        <v>0</v>
      </c>
      <c r="I722" s="169">
        <f t="shared" si="1498"/>
        <v>0</v>
      </c>
      <c r="J722" s="169">
        <f t="shared" si="1498"/>
        <v>0</v>
      </c>
      <c r="K722" s="169">
        <f t="shared" si="1498"/>
        <v>0</v>
      </c>
      <c r="L722" s="169">
        <f t="shared" si="1498"/>
        <v>0</v>
      </c>
      <c r="M722" s="169">
        <f t="shared" si="1498"/>
        <v>0</v>
      </c>
      <c r="N722" s="169">
        <f t="shared" si="1498"/>
        <v>0</v>
      </c>
      <c r="O722" s="169">
        <f t="shared" si="1498"/>
        <v>0</v>
      </c>
      <c r="P722" s="169">
        <f t="shared" si="1498"/>
        <v>0</v>
      </c>
      <c r="Q722" s="169">
        <f t="shared" si="1498"/>
        <v>0</v>
      </c>
      <c r="R722" s="169">
        <f t="shared" si="1498"/>
        <v>0</v>
      </c>
      <c r="S722" s="169">
        <f t="shared" si="1498"/>
        <v>0</v>
      </c>
      <c r="T722" s="169">
        <f t="shared" si="1498"/>
        <v>0</v>
      </c>
      <c r="U722" s="169">
        <f t="shared" si="1498"/>
        <v>0</v>
      </c>
      <c r="V722" s="169">
        <f t="shared" si="1498"/>
        <v>0</v>
      </c>
      <c r="W722" s="169">
        <f t="shared" si="1498"/>
        <v>0</v>
      </c>
      <c r="X722" s="169">
        <f t="shared" si="1498"/>
        <v>0</v>
      </c>
      <c r="Y722" s="169">
        <f t="shared" si="1498"/>
        <v>0</v>
      </c>
      <c r="Z722" s="169">
        <f t="shared" si="1498"/>
        <v>0</v>
      </c>
      <c r="AA722" s="169">
        <f t="shared" si="1498"/>
        <v>0</v>
      </c>
      <c r="AB722" s="169">
        <f t="shared" si="1498"/>
        <v>0</v>
      </c>
      <c r="AC722" s="169">
        <f t="shared" si="1498"/>
        <v>0</v>
      </c>
      <c r="AD722" s="169">
        <f t="shared" si="1498"/>
        <v>0</v>
      </c>
      <c r="AE722" s="169">
        <f t="shared" si="1498"/>
        <v>0</v>
      </c>
      <c r="AF722" s="169">
        <f t="shared" si="1498"/>
        <v>0</v>
      </c>
      <c r="AG722" s="169">
        <f t="shared" si="1498"/>
        <v>0</v>
      </c>
      <c r="AH722" s="169">
        <f t="shared" si="1498"/>
        <v>0</v>
      </c>
      <c r="AI722" s="169">
        <f t="shared" si="1498"/>
        <v>0</v>
      </c>
      <c r="AJ722" s="169">
        <f t="shared" si="1498"/>
        <v>0</v>
      </c>
      <c r="AK722" s="169">
        <f t="shared" si="1498"/>
        <v>0</v>
      </c>
      <c r="AL722" s="169">
        <f t="shared" si="1498"/>
        <v>0</v>
      </c>
      <c r="AM722" s="169">
        <f t="shared" si="1498"/>
        <v>0</v>
      </c>
      <c r="AN722" s="169">
        <f t="shared" si="1498"/>
        <v>0</v>
      </c>
      <c r="AO722" s="169">
        <f t="shared" si="1498"/>
        <v>0</v>
      </c>
      <c r="AP722" s="169">
        <f t="shared" si="1498"/>
        <v>0</v>
      </c>
    </row>
    <row r="723" spans="1:42" x14ac:dyDescent="0.2">
      <c r="A723" s="20">
        <f t="shared" si="1494"/>
        <v>7</v>
      </c>
      <c r="B723" s="179">
        <f t="shared" si="1491"/>
        <v>0</v>
      </c>
      <c r="C723" s="169">
        <f t="shared" ref="C723:AP723" si="1499">IF(C$2&gt;AnalysisPeriod,0,IF(C$2=MMFrequency2*$A723,MMCost2*CapacityDC*1000*(1+Inflation)^B$2,0))</f>
        <v>0</v>
      </c>
      <c r="D723" s="169">
        <f t="shared" si="1499"/>
        <v>0</v>
      </c>
      <c r="E723" s="169">
        <f t="shared" si="1499"/>
        <v>0</v>
      </c>
      <c r="F723" s="169">
        <f t="shared" si="1499"/>
        <v>0</v>
      </c>
      <c r="G723" s="169">
        <f t="shared" si="1499"/>
        <v>0</v>
      </c>
      <c r="H723" s="169">
        <f t="shared" si="1499"/>
        <v>0</v>
      </c>
      <c r="I723" s="169">
        <f t="shared" si="1499"/>
        <v>0</v>
      </c>
      <c r="J723" s="169">
        <f t="shared" si="1499"/>
        <v>0</v>
      </c>
      <c r="K723" s="169">
        <f t="shared" si="1499"/>
        <v>0</v>
      </c>
      <c r="L723" s="169">
        <f t="shared" si="1499"/>
        <v>0</v>
      </c>
      <c r="M723" s="169">
        <f t="shared" si="1499"/>
        <v>0</v>
      </c>
      <c r="N723" s="169">
        <f t="shared" si="1499"/>
        <v>0</v>
      </c>
      <c r="O723" s="169">
        <f t="shared" si="1499"/>
        <v>0</v>
      </c>
      <c r="P723" s="169">
        <f t="shared" si="1499"/>
        <v>0</v>
      </c>
      <c r="Q723" s="169">
        <f t="shared" si="1499"/>
        <v>0</v>
      </c>
      <c r="R723" s="169">
        <f t="shared" si="1499"/>
        <v>0</v>
      </c>
      <c r="S723" s="169">
        <f t="shared" si="1499"/>
        <v>0</v>
      </c>
      <c r="T723" s="169">
        <f t="shared" si="1499"/>
        <v>0</v>
      </c>
      <c r="U723" s="169">
        <f t="shared" si="1499"/>
        <v>0</v>
      </c>
      <c r="V723" s="169">
        <f t="shared" si="1499"/>
        <v>0</v>
      </c>
      <c r="W723" s="169">
        <f t="shared" si="1499"/>
        <v>0</v>
      </c>
      <c r="X723" s="169">
        <f t="shared" si="1499"/>
        <v>0</v>
      </c>
      <c r="Y723" s="169">
        <f t="shared" si="1499"/>
        <v>0</v>
      </c>
      <c r="Z723" s="169">
        <f t="shared" si="1499"/>
        <v>0</v>
      </c>
      <c r="AA723" s="169">
        <f t="shared" si="1499"/>
        <v>0</v>
      </c>
      <c r="AB723" s="169">
        <f t="shared" si="1499"/>
        <v>0</v>
      </c>
      <c r="AC723" s="169">
        <f t="shared" si="1499"/>
        <v>0</v>
      </c>
      <c r="AD723" s="169">
        <f t="shared" si="1499"/>
        <v>0</v>
      </c>
      <c r="AE723" s="169">
        <f t="shared" si="1499"/>
        <v>0</v>
      </c>
      <c r="AF723" s="169">
        <f t="shared" si="1499"/>
        <v>0</v>
      </c>
      <c r="AG723" s="169">
        <f t="shared" si="1499"/>
        <v>0</v>
      </c>
      <c r="AH723" s="169">
        <f t="shared" si="1499"/>
        <v>0</v>
      </c>
      <c r="AI723" s="169">
        <f t="shared" si="1499"/>
        <v>0</v>
      </c>
      <c r="AJ723" s="169">
        <f t="shared" si="1499"/>
        <v>0</v>
      </c>
      <c r="AK723" s="169">
        <f t="shared" si="1499"/>
        <v>0</v>
      </c>
      <c r="AL723" s="169">
        <f t="shared" si="1499"/>
        <v>0</v>
      </c>
      <c r="AM723" s="169">
        <f t="shared" si="1499"/>
        <v>0</v>
      </c>
      <c r="AN723" s="169">
        <f t="shared" si="1499"/>
        <v>0</v>
      </c>
      <c r="AO723" s="169">
        <f t="shared" si="1499"/>
        <v>0</v>
      </c>
      <c r="AP723" s="169">
        <f t="shared" si="1499"/>
        <v>0</v>
      </c>
    </row>
    <row r="724" spans="1:42" x14ac:dyDescent="0.2">
      <c r="A724" s="20">
        <f t="shared" si="1494"/>
        <v>8</v>
      </c>
      <c r="B724" s="179">
        <f t="shared" si="1491"/>
        <v>0</v>
      </c>
      <c r="C724" s="169">
        <f t="shared" ref="C724:AP724" si="1500">IF(C$2&gt;AnalysisPeriod,0,IF(C$2=MMFrequency2*$A724,MMCost2*CapacityDC*1000*(1+Inflation)^B$2,0))</f>
        <v>0</v>
      </c>
      <c r="D724" s="169">
        <f t="shared" si="1500"/>
        <v>0</v>
      </c>
      <c r="E724" s="169">
        <f t="shared" si="1500"/>
        <v>0</v>
      </c>
      <c r="F724" s="169">
        <f t="shared" si="1500"/>
        <v>0</v>
      </c>
      <c r="G724" s="169">
        <f t="shared" si="1500"/>
        <v>0</v>
      </c>
      <c r="H724" s="169">
        <f t="shared" si="1500"/>
        <v>0</v>
      </c>
      <c r="I724" s="169">
        <f t="shared" si="1500"/>
        <v>0</v>
      </c>
      <c r="J724" s="169">
        <f t="shared" si="1500"/>
        <v>0</v>
      </c>
      <c r="K724" s="169">
        <f t="shared" si="1500"/>
        <v>0</v>
      </c>
      <c r="L724" s="169">
        <f t="shared" si="1500"/>
        <v>0</v>
      </c>
      <c r="M724" s="169">
        <f t="shared" si="1500"/>
        <v>0</v>
      </c>
      <c r="N724" s="169">
        <f t="shared" si="1500"/>
        <v>0</v>
      </c>
      <c r="O724" s="169">
        <f t="shared" si="1500"/>
        <v>0</v>
      </c>
      <c r="P724" s="169">
        <f t="shared" si="1500"/>
        <v>0</v>
      </c>
      <c r="Q724" s="169">
        <f t="shared" si="1500"/>
        <v>0</v>
      </c>
      <c r="R724" s="169">
        <f t="shared" si="1500"/>
        <v>0</v>
      </c>
      <c r="S724" s="169">
        <f t="shared" si="1500"/>
        <v>0</v>
      </c>
      <c r="T724" s="169">
        <f t="shared" si="1500"/>
        <v>0</v>
      </c>
      <c r="U724" s="169">
        <f t="shared" si="1500"/>
        <v>0</v>
      </c>
      <c r="V724" s="169">
        <f t="shared" si="1500"/>
        <v>0</v>
      </c>
      <c r="W724" s="169">
        <f t="shared" si="1500"/>
        <v>0</v>
      </c>
      <c r="X724" s="169">
        <f t="shared" si="1500"/>
        <v>0</v>
      </c>
      <c r="Y724" s="169">
        <f t="shared" si="1500"/>
        <v>0</v>
      </c>
      <c r="Z724" s="169">
        <f t="shared" si="1500"/>
        <v>0</v>
      </c>
      <c r="AA724" s="169">
        <f t="shared" si="1500"/>
        <v>0</v>
      </c>
      <c r="AB724" s="169">
        <f t="shared" si="1500"/>
        <v>0</v>
      </c>
      <c r="AC724" s="169">
        <f t="shared" si="1500"/>
        <v>0</v>
      </c>
      <c r="AD724" s="169">
        <f t="shared" si="1500"/>
        <v>0</v>
      </c>
      <c r="AE724" s="169">
        <f t="shared" si="1500"/>
        <v>0</v>
      </c>
      <c r="AF724" s="169">
        <f t="shared" si="1500"/>
        <v>0</v>
      </c>
      <c r="AG724" s="169">
        <f t="shared" si="1500"/>
        <v>0</v>
      </c>
      <c r="AH724" s="169">
        <f t="shared" si="1500"/>
        <v>0</v>
      </c>
      <c r="AI724" s="169">
        <f t="shared" si="1500"/>
        <v>0</v>
      </c>
      <c r="AJ724" s="169">
        <f t="shared" si="1500"/>
        <v>0</v>
      </c>
      <c r="AK724" s="169">
        <f t="shared" si="1500"/>
        <v>0</v>
      </c>
      <c r="AL724" s="169">
        <f t="shared" si="1500"/>
        <v>0</v>
      </c>
      <c r="AM724" s="169">
        <f t="shared" si="1500"/>
        <v>0</v>
      </c>
      <c r="AN724" s="169">
        <f t="shared" si="1500"/>
        <v>0</v>
      </c>
      <c r="AO724" s="169">
        <f t="shared" si="1500"/>
        <v>0</v>
      </c>
      <c r="AP724" s="169">
        <f t="shared" si="1500"/>
        <v>0</v>
      </c>
    </row>
    <row r="725" spans="1:42" x14ac:dyDescent="0.2">
      <c r="A725" s="20">
        <f>A724+1</f>
        <v>9</v>
      </c>
      <c r="B725" s="179">
        <f t="shared" si="1491"/>
        <v>0</v>
      </c>
      <c r="C725" s="169">
        <f t="shared" ref="C725:AP725" si="1501">IF(C$2&gt;AnalysisPeriod,0,IF(C$2=MMFrequency2*$A725,MMCost2*CapacityDC*1000*(1+Inflation)^B$2,0))</f>
        <v>0</v>
      </c>
      <c r="D725" s="169">
        <f t="shared" si="1501"/>
        <v>0</v>
      </c>
      <c r="E725" s="169">
        <f t="shared" si="1501"/>
        <v>0</v>
      </c>
      <c r="F725" s="169">
        <f t="shared" si="1501"/>
        <v>0</v>
      </c>
      <c r="G725" s="169">
        <f t="shared" si="1501"/>
        <v>0</v>
      </c>
      <c r="H725" s="169">
        <f t="shared" si="1501"/>
        <v>0</v>
      </c>
      <c r="I725" s="169">
        <f t="shared" si="1501"/>
        <v>0</v>
      </c>
      <c r="J725" s="169">
        <f t="shared" si="1501"/>
        <v>0</v>
      </c>
      <c r="K725" s="169">
        <f t="shared" si="1501"/>
        <v>0</v>
      </c>
      <c r="L725" s="169">
        <f t="shared" si="1501"/>
        <v>0</v>
      </c>
      <c r="M725" s="169">
        <f t="shared" si="1501"/>
        <v>0</v>
      </c>
      <c r="N725" s="169">
        <f t="shared" si="1501"/>
        <v>0</v>
      </c>
      <c r="O725" s="169">
        <f t="shared" si="1501"/>
        <v>0</v>
      </c>
      <c r="P725" s="169">
        <f t="shared" si="1501"/>
        <v>0</v>
      </c>
      <c r="Q725" s="169">
        <f t="shared" si="1501"/>
        <v>0</v>
      </c>
      <c r="R725" s="169">
        <f t="shared" si="1501"/>
        <v>0</v>
      </c>
      <c r="S725" s="169">
        <f t="shared" si="1501"/>
        <v>0</v>
      </c>
      <c r="T725" s="169">
        <f t="shared" si="1501"/>
        <v>0</v>
      </c>
      <c r="U725" s="169">
        <f t="shared" si="1501"/>
        <v>0</v>
      </c>
      <c r="V725" s="169">
        <f t="shared" si="1501"/>
        <v>0</v>
      </c>
      <c r="W725" s="169">
        <f t="shared" si="1501"/>
        <v>0</v>
      </c>
      <c r="X725" s="169">
        <f t="shared" si="1501"/>
        <v>0</v>
      </c>
      <c r="Y725" s="169">
        <f t="shared" si="1501"/>
        <v>0</v>
      </c>
      <c r="Z725" s="169">
        <f t="shared" si="1501"/>
        <v>0</v>
      </c>
      <c r="AA725" s="169">
        <f t="shared" si="1501"/>
        <v>0</v>
      </c>
      <c r="AB725" s="169">
        <f t="shared" si="1501"/>
        <v>0</v>
      </c>
      <c r="AC725" s="169">
        <f t="shared" si="1501"/>
        <v>0</v>
      </c>
      <c r="AD725" s="169">
        <f t="shared" si="1501"/>
        <v>0</v>
      </c>
      <c r="AE725" s="169">
        <f t="shared" si="1501"/>
        <v>0</v>
      </c>
      <c r="AF725" s="169">
        <f t="shared" si="1501"/>
        <v>0</v>
      </c>
      <c r="AG725" s="169">
        <f t="shared" si="1501"/>
        <v>0</v>
      </c>
      <c r="AH725" s="169">
        <f t="shared" si="1501"/>
        <v>0</v>
      </c>
      <c r="AI725" s="169">
        <f t="shared" si="1501"/>
        <v>0</v>
      </c>
      <c r="AJ725" s="169">
        <f t="shared" si="1501"/>
        <v>0</v>
      </c>
      <c r="AK725" s="169">
        <f t="shared" si="1501"/>
        <v>0</v>
      </c>
      <c r="AL725" s="169">
        <f t="shared" si="1501"/>
        <v>0</v>
      </c>
      <c r="AM725" s="169">
        <f t="shared" si="1501"/>
        <v>0</v>
      </c>
      <c r="AN725" s="169">
        <f t="shared" si="1501"/>
        <v>0</v>
      </c>
      <c r="AO725" s="169">
        <f t="shared" si="1501"/>
        <v>0</v>
      </c>
      <c r="AP725" s="169">
        <f t="shared" si="1501"/>
        <v>0</v>
      </c>
    </row>
    <row r="726" spans="1:42" x14ac:dyDescent="0.2">
      <c r="A726" s="20">
        <f t="shared" si="1494"/>
        <v>10</v>
      </c>
      <c r="B726" s="179">
        <f t="shared" si="1491"/>
        <v>0</v>
      </c>
      <c r="C726" s="170">
        <f t="shared" ref="C726:AP726" si="1502">IF(C$2&gt;AnalysisPeriod,0,IF(C$2=MMFrequency2*$A726,MMCost2*CapacityDC*1000*(1+Inflation)^B$2,0))</f>
        <v>0</v>
      </c>
      <c r="D726" s="170">
        <f t="shared" si="1502"/>
        <v>0</v>
      </c>
      <c r="E726" s="170">
        <f t="shared" si="1502"/>
        <v>0</v>
      </c>
      <c r="F726" s="170">
        <f t="shared" si="1502"/>
        <v>0</v>
      </c>
      <c r="G726" s="170">
        <f t="shared" si="1502"/>
        <v>0</v>
      </c>
      <c r="H726" s="170">
        <f t="shared" si="1502"/>
        <v>0</v>
      </c>
      <c r="I726" s="170">
        <f t="shared" si="1502"/>
        <v>0</v>
      </c>
      <c r="J726" s="170">
        <f t="shared" si="1502"/>
        <v>0</v>
      </c>
      <c r="K726" s="170">
        <f t="shared" si="1502"/>
        <v>0</v>
      </c>
      <c r="L726" s="170">
        <f t="shared" si="1502"/>
        <v>0</v>
      </c>
      <c r="M726" s="170">
        <f t="shared" si="1502"/>
        <v>0</v>
      </c>
      <c r="N726" s="170">
        <f t="shared" si="1502"/>
        <v>0</v>
      </c>
      <c r="O726" s="170">
        <f t="shared" si="1502"/>
        <v>0</v>
      </c>
      <c r="P726" s="170">
        <f t="shared" si="1502"/>
        <v>0</v>
      </c>
      <c r="Q726" s="170">
        <f t="shared" si="1502"/>
        <v>0</v>
      </c>
      <c r="R726" s="170">
        <f t="shared" si="1502"/>
        <v>0</v>
      </c>
      <c r="S726" s="170">
        <f t="shared" si="1502"/>
        <v>0</v>
      </c>
      <c r="T726" s="170">
        <f t="shared" si="1502"/>
        <v>0</v>
      </c>
      <c r="U726" s="170">
        <f t="shared" si="1502"/>
        <v>0</v>
      </c>
      <c r="V726" s="170">
        <f t="shared" si="1502"/>
        <v>0</v>
      </c>
      <c r="W726" s="170">
        <f t="shared" si="1502"/>
        <v>0</v>
      </c>
      <c r="X726" s="170">
        <f t="shared" si="1502"/>
        <v>0</v>
      </c>
      <c r="Y726" s="170">
        <f t="shared" si="1502"/>
        <v>0</v>
      </c>
      <c r="Z726" s="170">
        <f t="shared" si="1502"/>
        <v>0</v>
      </c>
      <c r="AA726" s="170">
        <f t="shared" si="1502"/>
        <v>0</v>
      </c>
      <c r="AB726" s="170">
        <f t="shared" si="1502"/>
        <v>0</v>
      </c>
      <c r="AC726" s="170">
        <f t="shared" si="1502"/>
        <v>0</v>
      </c>
      <c r="AD726" s="170">
        <f t="shared" si="1502"/>
        <v>0</v>
      </c>
      <c r="AE726" s="170">
        <f t="shared" si="1502"/>
        <v>0</v>
      </c>
      <c r="AF726" s="170">
        <f t="shared" si="1502"/>
        <v>0</v>
      </c>
      <c r="AG726" s="170">
        <f t="shared" si="1502"/>
        <v>0</v>
      </c>
      <c r="AH726" s="170">
        <f t="shared" si="1502"/>
        <v>0</v>
      </c>
      <c r="AI726" s="170">
        <f t="shared" si="1502"/>
        <v>0</v>
      </c>
      <c r="AJ726" s="170">
        <f t="shared" si="1502"/>
        <v>0</v>
      </c>
      <c r="AK726" s="170">
        <f t="shared" si="1502"/>
        <v>0</v>
      </c>
      <c r="AL726" s="170">
        <f t="shared" si="1502"/>
        <v>0</v>
      </c>
      <c r="AM726" s="170">
        <f t="shared" si="1502"/>
        <v>0</v>
      </c>
      <c r="AN726" s="170">
        <f t="shared" si="1502"/>
        <v>0</v>
      </c>
      <c r="AO726" s="170">
        <f t="shared" si="1502"/>
        <v>0</v>
      </c>
      <c r="AP726" s="170">
        <f t="shared" si="1502"/>
        <v>0</v>
      </c>
    </row>
    <row r="727" spans="1:42" x14ac:dyDescent="0.2">
      <c r="A727" s="202" t="s">
        <v>53</v>
      </c>
      <c r="B727" s="169"/>
      <c r="C727" s="135">
        <f>SUM(C717:C726)</f>
        <v>0</v>
      </c>
      <c r="D727" s="135">
        <f t="shared" ref="D727:AP727" si="1503">SUM(D717:D726)</f>
        <v>0</v>
      </c>
      <c r="E727" s="135">
        <f t="shared" si="1503"/>
        <v>0</v>
      </c>
      <c r="F727" s="135">
        <f t="shared" si="1503"/>
        <v>0</v>
      </c>
      <c r="G727" s="135">
        <f t="shared" si="1503"/>
        <v>0</v>
      </c>
      <c r="H727" s="135">
        <f t="shared" si="1503"/>
        <v>0</v>
      </c>
      <c r="I727" s="135">
        <f t="shared" si="1503"/>
        <v>0</v>
      </c>
      <c r="J727" s="135">
        <f t="shared" si="1503"/>
        <v>0</v>
      </c>
      <c r="K727" s="135">
        <f t="shared" si="1503"/>
        <v>0</v>
      </c>
      <c r="L727" s="135">
        <f t="shared" si="1503"/>
        <v>0</v>
      </c>
      <c r="M727" s="135">
        <f t="shared" si="1503"/>
        <v>0</v>
      </c>
      <c r="N727" s="135">
        <f t="shared" si="1503"/>
        <v>0</v>
      </c>
      <c r="O727" s="135">
        <f t="shared" si="1503"/>
        <v>0</v>
      </c>
      <c r="P727" s="135">
        <f t="shared" si="1503"/>
        <v>0</v>
      </c>
      <c r="Q727" s="135">
        <f t="shared" si="1503"/>
        <v>0</v>
      </c>
      <c r="R727" s="135">
        <f t="shared" si="1503"/>
        <v>0</v>
      </c>
      <c r="S727" s="135">
        <f t="shared" si="1503"/>
        <v>0</v>
      </c>
      <c r="T727" s="135">
        <f t="shared" si="1503"/>
        <v>0</v>
      </c>
      <c r="U727" s="135">
        <f t="shared" si="1503"/>
        <v>0</v>
      </c>
      <c r="V727" s="135">
        <f t="shared" si="1503"/>
        <v>0</v>
      </c>
      <c r="W727" s="135">
        <f t="shared" si="1503"/>
        <v>0</v>
      </c>
      <c r="X727" s="135">
        <f t="shared" si="1503"/>
        <v>0</v>
      </c>
      <c r="Y727" s="135">
        <f t="shared" si="1503"/>
        <v>0</v>
      </c>
      <c r="Z727" s="135">
        <f t="shared" si="1503"/>
        <v>0</v>
      </c>
      <c r="AA727" s="135">
        <f t="shared" si="1503"/>
        <v>0</v>
      </c>
      <c r="AB727" s="135">
        <f t="shared" si="1503"/>
        <v>0</v>
      </c>
      <c r="AC727" s="135">
        <f t="shared" si="1503"/>
        <v>0</v>
      </c>
      <c r="AD727" s="135">
        <f t="shared" si="1503"/>
        <v>0</v>
      </c>
      <c r="AE727" s="135">
        <f t="shared" si="1503"/>
        <v>0</v>
      </c>
      <c r="AF727" s="135">
        <f t="shared" si="1503"/>
        <v>0</v>
      </c>
      <c r="AG727" s="135">
        <f t="shared" si="1503"/>
        <v>0</v>
      </c>
      <c r="AH727" s="135">
        <f t="shared" si="1503"/>
        <v>0</v>
      </c>
      <c r="AI727" s="135">
        <f t="shared" si="1503"/>
        <v>0</v>
      </c>
      <c r="AJ727" s="135">
        <f t="shared" si="1503"/>
        <v>0</v>
      </c>
      <c r="AK727" s="135">
        <f t="shared" si="1503"/>
        <v>0</v>
      </c>
      <c r="AL727" s="135">
        <f t="shared" si="1503"/>
        <v>0</v>
      </c>
      <c r="AM727" s="135">
        <f t="shared" si="1503"/>
        <v>0</v>
      </c>
      <c r="AN727" s="135">
        <f t="shared" si="1503"/>
        <v>0</v>
      </c>
      <c r="AO727" s="135">
        <f t="shared" si="1503"/>
        <v>0</v>
      </c>
      <c r="AP727" s="135">
        <f t="shared" si="1503"/>
        <v>0</v>
      </c>
    </row>
    <row r="728" spans="1:42" x14ac:dyDescent="0.2">
      <c r="A728" s="20" t="s">
        <v>184</v>
      </c>
      <c r="B728" s="135"/>
      <c r="C728" s="135"/>
      <c r="D728" s="135"/>
      <c r="E728" s="135"/>
      <c r="F728" s="135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</row>
    <row r="729" spans="1:42" x14ac:dyDescent="0.2">
      <c r="A729" s="20">
        <v>1</v>
      </c>
      <c r="B729" s="233">
        <f t="shared" ref="B729:B738" si="1504">SUM(C729:AP729)</f>
        <v>0</v>
      </c>
      <c r="C729" s="169">
        <f t="shared" ref="C729:AP729" si="1505">IF(C$2&lt;=MMFrequency2*$A$717,$B$717/(MMFrequency2),0)</f>
        <v>0</v>
      </c>
      <c r="D729" s="169">
        <f t="shared" si="1505"/>
        <v>0</v>
      </c>
      <c r="E729" s="169">
        <f t="shared" si="1505"/>
        <v>0</v>
      </c>
      <c r="F729" s="169">
        <f t="shared" si="1505"/>
        <v>0</v>
      </c>
      <c r="G729" s="169">
        <f t="shared" si="1505"/>
        <v>0</v>
      </c>
      <c r="H729" s="169">
        <f t="shared" si="1505"/>
        <v>0</v>
      </c>
      <c r="I729" s="169">
        <f t="shared" si="1505"/>
        <v>0</v>
      </c>
      <c r="J729" s="169">
        <f t="shared" si="1505"/>
        <v>0</v>
      </c>
      <c r="K729" s="169">
        <f t="shared" si="1505"/>
        <v>0</v>
      </c>
      <c r="L729" s="169">
        <f t="shared" si="1505"/>
        <v>0</v>
      </c>
      <c r="M729" s="169">
        <f t="shared" si="1505"/>
        <v>0</v>
      </c>
      <c r="N729" s="169">
        <f t="shared" si="1505"/>
        <v>0</v>
      </c>
      <c r="O729" s="169">
        <f t="shared" si="1505"/>
        <v>0</v>
      </c>
      <c r="P729" s="169">
        <f t="shared" si="1505"/>
        <v>0</v>
      </c>
      <c r="Q729" s="169">
        <f t="shared" si="1505"/>
        <v>0</v>
      </c>
      <c r="R729" s="169">
        <f t="shared" si="1505"/>
        <v>0</v>
      </c>
      <c r="S729" s="169">
        <f t="shared" si="1505"/>
        <v>0</v>
      </c>
      <c r="T729" s="169">
        <f t="shared" si="1505"/>
        <v>0</v>
      </c>
      <c r="U729" s="169">
        <f t="shared" si="1505"/>
        <v>0</v>
      </c>
      <c r="V729" s="169">
        <f t="shared" si="1505"/>
        <v>0</v>
      </c>
      <c r="W729" s="169">
        <f t="shared" si="1505"/>
        <v>0</v>
      </c>
      <c r="X729" s="169">
        <f t="shared" si="1505"/>
        <v>0</v>
      </c>
      <c r="Y729" s="169">
        <f t="shared" si="1505"/>
        <v>0</v>
      </c>
      <c r="Z729" s="169">
        <f t="shared" si="1505"/>
        <v>0</v>
      </c>
      <c r="AA729" s="169">
        <f t="shared" si="1505"/>
        <v>0</v>
      </c>
      <c r="AB729" s="169">
        <f t="shared" si="1505"/>
        <v>0</v>
      </c>
      <c r="AC729" s="169">
        <f t="shared" si="1505"/>
        <v>0</v>
      </c>
      <c r="AD729" s="169">
        <f t="shared" si="1505"/>
        <v>0</v>
      </c>
      <c r="AE729" s="169">
        <f t="shared" si="1505"/>
        <v>0</v>
      </c>
      <c r="AF729" s="169">
        <f t="shared" si="1505"/>
        <v>0</v>
      </c>
      <c r="AG729" s="169">
        <f t="shared" si="1505"/>
        <v>0</v>
      </c>
      <c r="AH729" s="169">
        <f t="shared" si="1505"/>
        <v>0</v>
      </c>
      <c r="AI729" s="169">
        <f t="shared" si="1505"/>
        <v>0</v>
      </c>
      <c r="AJ729" s="169">
        <f t="shared" si="1505"/>
        <v>0</v>
      </c>
      <c r="AK729" s="169">
        <f t="shared" si="1505"/>
        <v>0</v>
      </c>
      <c r="AL729" s="169">
        <f t="shared" si="1505"/>
        <v>0</v>
      </c>
      <c r="AM729" s="169">
        <f t="shared" si="1505"/>
        <v>0</v>
      </c>
      <c r="AN729" s="169">
        <f t="shared" si="1505"/>
        <v>0</v>
      </c>
      <c r="AO729" s="169">
        <f t="shared" si="1505"/>
        <v>0</v>
      </c>
      <c r="AP729" s="169">
        <f t="shared" si="1505"/>
        <v>0</v>
      </c>
    </row>
    <row r="730" spans="1:42" x14ac:dyDescent="0.2">
      <c r="A730" s="20">
        <f>A729+1</f>
        <v>2</v>
      </c>
      <c r="B730" s="233">
        <f t="shared" si="1504"/>
        <v>0</v>
      </c>
      <c r="C730" s="169">
        <f t="shared" ref="C730:AP730" si="1506">IF(AND(C$2&gt;MMFrequency2*$A717,C$2&lt;=MMFrequency2*$A718),$B718/(MMFrequency2),0)</f>
        <v>0</v>
      </c>
      <c r="D730" s="169">
        <f t="shared" si="1506"/>
        <v>0</v>
      </c>
      <c r="E730" s="169">
        <f t="shared" si="1506"/>
        <v>0</v>
      </c>
      <c r="F730" s="169">
        <f t="shared" si="1506"/>
        <v>0</v>
      </c>
      <c r="G730" s="169">
        <f t="shared" si="1506"/>
        <v>0</v>
      </c>
      <c r="H730" s="169">
        <f t="shared" si="1506"/>
        <v>0</v>
      </c>
      <c r="I730" s="169">
        <f t="shared" si="1506"/>
        <v>0</v>
      </c>
      <c r="J730" s="169">
        <f t="shared" si="1506"/>
        <v>0</v>
      </c>
      <c r="K730" s="169">
        <f t="shared" si="1506"/>
        <v>0</v>
      </c>
      <c r="L730" s="169">
        <f t="shared" si="1506"/>
        <v>0</v>
      </c>
      <c r="M730" s="169">
        <f t="shared" si="1506"/>
        <v>0</v>
      </c>
      <c r="N730" s="169">
        <f t="shared" si="1506"/>
        <v>0</v>
      </c>
      <c r="O730" s="169">
        <f t="shared" si="1506"/>
        <v>0</v>
      </c>
      <c r="P730" s="169">
        <f t="shared" si="1506"/>
        <v>0</v>
      </c>
      <c r="Q730" s="169">
        <f t="shared" si="1506"/>
        <v>0</v>
      </c>
      <c r="R730" s="169">
        <f t="shared" si="1506"/>
        <v>0</v>
      </c>
      <c r="S730" s="169">
        <f t="shared" si="1506"/>
        <v>0</v>
      </c>
      <c r="T730" s="169">
        <f t="shared" si="1506"/>
        <v>0</v>
      </c>
      <c r="U730" s="169">
        <f t="shared" si="1506"/>
        <v>0</v>
      </c>
      <c r="V730" s="169">
        <f t="shared" si="1506"/>
        <v>0</v>
      </c>
      <c r="W730" s="169">
        <f t="shared" si="1506"/>
        <v>0</v>
      </c>
      <c r="X730" s="169">
        <f t="shared" si="1506"/>
        <v>0</v>
      </c>
      <c r="Y730" s="169">
        <f t="shared" si="1506"/>
        <v>0</v>
      </c>
      <c r="Z730" s="169">
        <f t="shared" si="1506"/>
        <v>0</v>
      </c>
      <c r="AA730" s="169">
        <f t="shared" si="1506"/>
        <v>0</v>
      </c>
      <c r="AB730" s="169">
        <f t="shared" si="1506"/>
        <v>0</v>
      </c>
      <c r="AC730" s="169">
        <f t="shared" si="1506"/>
        <v>0</v>
      </c>
      <c r="AD730" s="169">
        <f t="shared" si="1506"/>
        <v>0</v>
      </c>
      <c r="AE730" s="169">
        <f t="shared" si="1506"/>
        <v>0</v>
      </c>
      <c r="AF730" s="169">
        <f t="shared" si="1506"/>
        <v>0</v>
      </c>
      <c r="AG730" s="169">
        <f t="shared" si="1506"/>
        <v>0</v>
      </c>
      <c r="AH730" s="169">
        <f t="shared" si="1506"/>
        <v>0</v>
      </c>
      <c r="AI730" s="169">
        <f t="shared" si="1506"/>
        <v>0</v>
      </c>
      <c r="AJ730" s="169">
        <f t="shared" si="1506"/>
        <v>0</v>
      </c>
      <c r="AK730" s="169">
        <f t="shared" si="1506"/>
        <v>0</v>
      </c>
      <c r="AL730" s="169">
        <f t="shared" si="1506"/>
        <v>0</v>
      </c>
      <c r="AM730" s="169">
        <f t="shared" si="1506"/>
        <v>0</v>
      </c>
      <c r="AN730" s="169">
        <f t="shared" si="1506"/>
        <v>0</v>
      </c>
      <c r="AO730" s="169">
        <f t="shared" si="1506"/>
        <v>0</v>
      </c>
      <c r="AP730" s="169">
        <f t="shared" si="1506"/>
        <v>0</v>
      </c>
    </row>
    <row r="731" spans="1:42" x14ac:dyDescent="0.2">
      <c r="A731" s="20">
        <f t="shared" ref="A731:A736" si="1507">A730+1</f>
        <v>3</v>
      </c>
      <c r="B731" s="233">
        <f t="shared" si="1504"/>
        <v>0</v>
      </c>
      <c r="C731" s="169">
        <f t="shared" ref="C731:AP731" si="1508">IF(AND(C$2&gt;MMFrequency2*$A718,C$2&lt;=MMFrequency2*$A719),$B719/(MMFrequency2),0)</f>
        <v>0</v>
      </c>
      <c r="D731" s="169">
        <f t="shared" si="1508"/>
        <v>0</v>
      </c>
      <c r="E731" s="169">
        <f t="shared" si="1508"/>
        <v>0</v>
      </c>
      <c r="F731" s="169">
        <f t="shared" si="1508"/>
        <v>0</v>
      </c>
      <c r="G731" s="169">
        <f t="shared" si="1508"/>
        <v>0</v>
      </c>
      <c r="H731" s="169">
        <f t="shared" si="1508"/>
        <v>0</v>
      </c>
      <c r="I731" s="169">
        <f t="shared" si="1508"/>
        <v>0</v>
      </c>
      <c r="J731" s="169">
        <f t="shared" si="1508"/>
        <v>0</v>
      </c>
      <c r="K731" s="169">
        <f t="shared" si="1508"/>
        <v>0</v>
      </c>
      <c r="L731" s="169">
        <f t="shared" si="1508"/>
        <v>0</v>
      </c>
      <c r="M731" s="169">
        <f t="shared" si="1508"/>
        <v>0</v>
      </c>
      <c r="N731" s="169">
        <f t="shared" si="1508"/>
        <v>0</v>
      </c>
      <c r="O731" s="169">
        <f t="shared" si="1508"/>
        <v>0</v>
      </c>
      <c r="P731" s="169">
        <f t="shared" si="1508"/>
        <v>0</v>
      </c>
      <c r="Q731" s="169">
        <f t="shared" si="1508"/>
        <v>0</v>
      </c>
      <c r="R731" s="169">
        <f t="shared" si="1508"/>
        <v>0</v>
      </c>
      <c r="S731" s="169">
        <f t="shared" si="1508"/>
        <v>0</v>
      </c>
      <c r="T731" s="169">
        <f t="shared" si="1508"/>
        <v>0</v>
      </c>
      <c r="U731" s="169">
        <f t="shared" si="1508"/>
        <v>0</v>
      </c>
      <c r="V731" s="169">
        <f t="shared" si="1508"/>
        <v>0</v>
      </c>
      <c r="W731" s="169">
        <f t="shared" si="1508"/>
        <v>0</v>
      </c>
      <c r="X731" s="169">
        <f t="shared" si="1508"/>
        <v>0</v>
      </c>
      <c r="Y731" s="169">
        <f t="shared" si="1508"/>
        <v>0</v>
      </c>
      <c r="Z731" s="169">
        <f t="shared" si="1508"/>
        <v>0</v>
      </c>
      <c r="AA731" s="169">
        <f t="shared" si="1508"/>
        <v>0</v>
      </c>
      <c r="AB731" s="169">
        <f t="shared" si="1508"/>
        <v>0</v>
      </c>
      <c r="AC731" s="169">
        <f t="shared" si="1508"/>
        <v>0</v>
      </c>
      <c r="AD731" s="169">
        <f t="shared" si="1508"/>
        <v>0</v>
      </c>
      <c r="AE731" s="169">
        <f t="shared" si="1508"/>
        <v>0</v>
      </c>
      <c r="AF731" s="169">
        <f t="shared" si="1508"/>
        <v>0</v>
      </c>
      <c r="AG731" s="169">
        <f t="shared" si="1508"/>
        <v>0</v>
      </c>
      <c r="AH731" s="169">
        <f t="shared" si="1508"/>
        <v>0</v>
      </c>
      <c r="AI731" s="169">
        <f t="shared" si="1508"/>
        <v>0</v>
      </c>
      <c r="AJ731" s="169">
        <f t="shared" si="1508"/>
        <v>0</v>
      </c>
      <c r="AK731" s="169">
        <f t="shared" si="1508"/>
        <v>0</v>
      </c>
      <c r="AL731" s="169">
        <f t="shared" si="1508"/>
        <v>0</v>
      </c>
      <c r="AM731" s="169">
        <f t="shared" si="1508"/>
        <v>0</v>
      </c>
      <c r="AN731" s="169">
        <f t="shared" si="1508"/>
        <v>0</v>
      </c>
      <c r="AO731" s="169">
        <f t="shared" si="1508"/>
        <v>0</v>
      </c>
      <c r="AP731" s="169">
        <f t="shared" si="1508"/>
        <v>0</v>
      </c>
    </row>
    <row r="732" spans="1:42" x14ac:dyDescent="0.2">
      <c r="A732" s="20">
        <f t="shared" si="1507"/>
        <v>4</v>
      </c>
      <c r="B732" s="233">
        <f t="shared" si="1504"/>
        <v>0</v>
      </c>
      <c r="C732" s="169">
        <f t="shared" ref="C732:AP732" si="1509">IF(AND(C$2&gt;MMFrequency2*$A719,C$2&lt;=MMFrequency2*$A720),$B720/(MMFrequency2),0)</f>
        <v>0</v>
      </c>
      <c r="D732" s="169">
        <f t="shared" si="1509"/>
        <v>0</v>
      </c>
      <c r="E732" s="169">
        <f t="shared" si="1509"/>
        <v>0</v>
      </c>
      <c r="F732" s="169">
        <f t="shared" si="1509"/>
        <v>0</v>
      </c>
      <c r="G732" s="169">
        <f t="shared" si="1509"/>
        <v>0</v>
      </c>
      <c r="H732" s="169">
        <f t="shared" si="1509"/>
        <v>0</v>
      </c>
      <c r="I732" s="169">
        <f t="shared" si="1509"/>
        <v>0</v>
      </c>
      <c r="J732" s="169">
        <f t="shared" si="1509"/>
        <v>0</v>
      </c>
      <c r="K732" s="169">
        <f t="shared" si="1509"/>
        <v>0</v>
      </c>
      <c r="L732" s="169">
        <f t="shared" si="1509"/>
        <v>0</v>
      </c>
      <c r="M732" s="169">
        <f t="shared" si="1509"/>
        <v>0</v>
      </c>
      <c r="N732" s="169">
        <f t="shared" si="1509"/>
        <v>0</v>
      </c>
      <c r="O732" s="169">
        <f t="shared" si="1509"/>
        <v>0</v>
      </c>
      <c r="P732" s="169">
        <f t="shared" si="1509"/>
        <v>0</v>
      </c>
      <c r="Q732" s="169">
        <f t="shared" si="1509"/>
        <v>0</v>
      </c>
      <c r="R732" s="169">
        <f t="shared" si="1509"/>
        <v>0</v>
      </c>
      <c r="S732" s="169">
        <f t="shared" si="1509"/>
        <v>0</v>
      </c>
      <c r="T732" s="169">
        <f t="shared" si="1509"/>
        <v>0</v>
      </c>
      <c r="U732" s="169">
        <f t="shared" si="1509"/>
        <v>0</v>
      </c>
      <c r="V732" s="169">
        <f t="shared" si="1509"/>
        <v>0</v>
      </c>
      <c r="W732" s="169">
        <f t="shared" si="1509"/>
        <v>0</v>
      </c>
      <c r="X732" s="169">
        <f t="shared" si="1509"/>
        <v>0</v>
      </c>
      <c r="Y732" s="169">
        <f t="shared" si="1509"/>
        <v>0</v>
      </c>
      <c r="Z732" s="169">
        <f t="shared" si="1509"/>
        <v>0</v>
      </c>
      <c r="AA732" s="169">
        <f t="shared" si="1509"/>
        <v>0</v>
      </c>
      <c r="AB732" s="169">
        <f t="shared" si="1509"/>
        <v>0</v>
      </c>
      <c r="AC732" s="169">
        <f t="shared" si="1509"/>
        <v>0</v>
      </c>
      <c r="AD732" s="169">
        <f t="shared" si="1509"/>
        <v>0</v>
      </c>
      <c r="AE732" s="169">
        <f t="shared" si="1509"/>
        <v>0</v>
      </c>
      <c r="AF732" s="169">
        <f t="shared" si="1509"/>
        <v>0</v>
      </c>
      <c r="AG732" s="169">
        <f t="shared" si="1509"/>
        <v>0</v>
      </c>
      <c r="AH732" s="169">
        <f t="shared" si="1509"/>
        <v>0</v>
      </c>
      <c r="AI732" s="169">
        <f t="shared" si="1509"/>
        <v>0</v>
      </c>
      <c r="AJ732" s="169">
        <f t="shared" si="1509"/>
        <v>0</v>
      </c>
      <c r="AK732" s="169">
        <f t="shared" si="1509"/>
        <v>0</v>
      </c>
      <c r="AL732" s="169">
        <f t="shared" si="1509"/>
        <v>0</v>
      </c>
      <c r="AM732" s="169">
        <f t="shared" si="1509"/>
        <v>0</v>
      </c>
      <c r="AN732" s="169">
        <f t="shared" si="1509"/>
        <v>0</v>
      </c>
      <c r="AO732" s="169">
        <f t="shared" si="1509"/>
        <v>0</v>
      </c>
      <c r="AP732" s="169">
        <f t="shared" si="1509"/>
        <v>0</v>
      </c>
    </row>
    <row r="733" spans="1:42" x14ac:dyDescent="0.2">
      <c r="A733" s="20">
        <f t="shared" si="1507"/>
        <v>5</v>
      </c>
      <c r="B733" s="233">
        <f t="shared" si="1504"/>
        <v>0</v>
      </c>
      <c r="C733" s="169">
        <f t="shared" ref="C733:AP733" si="1510">IF(AND(C$2&gt;MMFrequency2*$A720,C$2&lt;=MMFrequency2*$A721),$B721/(MMFrequency2),0)</f>
        <v>0</v>
      </c>
      <c r="D733" s="169">
        <f t="shared" si="1510"/>
        <v>0</v>
      </c>
      <c r="E733" s="169">
        <f t="shared" si="1510"/>
        <v>0</v>
      </c>
      <c r="F733" s="169">
        <f t="shared" si="1510"/>
        <v>0</v>
      </c>
      <c r="G733" s="169">
        <f t="shared" si="1510"/>
        <v>0</v>
      </c>
      <c r="H733" s="169">
        <f t="shared" si="1510"/>
        <v>0</v>
      </c>
      <c r="I733" s="169">
        <f t="shared" si="1510"/>
        <v>0</v>
      </c>
      <c r="J733" s="169">
        <f t="shared" si="1510"/>
        <v>0</v>
      </c>
      <c r="K733" s="169">
        <f t="shared" si="1510"/>
        <v>0</v>
      </c>
      <c r="L733" s="169">
        <f t="shared" si="1510"/>
        <v>0</v>
      </c>
      <c r="M733" s="169">
        <f t="shared" si="1510"/>
        <v>0</v>
      </c>
      <c r="N733" s="169">
        <f t="shared" si="1510"/>
        <v>0</v>
      </c>
      <c r="O733" s="169">
        <f t="shared" si="1510"/>
        <v>0</v>
      </c>
      <c r="P733" s="169">
        <f t="shared" si="1510"/>
        <v>0</v>
      </c>
      <c r="Q733" s="169">
        <f t="shared" si="1510"/>
        <v>0</v>
      </c>
      <c r="R733" s="169">
        <f t="shared" si="1510"/>
        <v>0</v>
      </c>
      <c r="S733" s="169">
        <f t="shared" si="1510"/>
        <v>0</v>
      </c>
      <c r="T733" s="169">
        <f t="shared" si="1510"/>
        <v>0</v>
      </c>
      <c r="U733" s="169">
        <f t="shared" si="1510"/>
        <v>0</v>
      </c>
      <c r="V733" s="169">
        <f t="shared" si="1510"/>
        <v>0</v>
      </c>
      <c r="W733" s="169">
        <f t="shared" si="1510"/>
        <v>0</v>
      </c>
      <c r="X733" s="169">
        <f t="shared" si="1510"/>
        <v>0</v>
      </c>
      <c r="Y733" s="169">
        <f t="shared" si="1510"/>
        <v>0</v>
      </c>
      <c r="Z733" s="169">
        <f t="shared" si="1510"/>
        <v>0</v>
      </c>
      <c r="AA733" s="169">
        <f t="shared" si="1510"/>
        <v>0</v>
      </c>
      <c r="AB733" s="169">
        <f t="shared" si="1510"/>
        <v>0</v>
      </c>
      <c r="AC733" s="169">
        <f t="shared" si="1510"/>
        <v>0</v>
      </c>
      <c r="AD733" s="169">
        <f t="shared" si="1510"/>
        <v>0</v>
      </c>
      <c r="AE733" s="169">
        <f t="shared" si="1510"/>
        <v>0</v>
      </c>
      <c r="AF733" s="169">
        <f t="shared" si="1510"/>
        <v>0</v>
      </c>
      <c r="AG733" s="169">
        <f t="shared" si="1510"/>
        <v>0</v>
      </c>
      <c r="AH733" s="169">
        <f t="shared" si="1510"/>
        <v>0</v>
      </c>
      <c r="AI733" s="169">
        <f t="shared" si="1510"/>
        <v>0</v>
      </c>
      <c r="AJ733" s="169">
        <f t="shared" si="1510"/>
        <v>0</v>
      </c>
      <c r="AK733" s="169">
        <f t="shared" si="1510"/>
        <v>0</v>
      </c>
      <c r="AL733" s="169">
        <f t="shared" si="1510"/>
        <v>0</v>
      </c>
      <c r="AM733" s="169">
        <f t="shared" si="1510"/>
        <v>0</v>
      </c>
      <c r="AN733" s="169">
        <f t="shared" si="1510"/>
        <v>0</v>
      </c>
      <c r="AO733" s="169">
        <f t="shared" si="1510"/>
        <v>0</v>
      </c>
      <c r="AP733" s="169">
        <f t="shared" si="1510"/>
        <v>0</v>
      </c>
    </row>
    <row r="734" spans="1:42" x14ac:dyDescent="0.2">
      <c r="A734" s="20">
        <f t="shared" si="1507"/>
        <v>6</v>
      </c>
      <c r="B734" s="233">
        <f t="shared" si="1504"/>
        <v>0</v>
      </c>
      <c r="C734" s="169">
        <f t="shared" ref="C734:AP734" si="1511">IF(AND(C$2&gt;MMFrequency2*$A721,C$2&lt;=MMFrequency2*$A722),$B722/(MMFrequency2),0)</f>
        <v>0</v>
      </c>
      <c r="D734" s="169">
        <f t="shared" si="1511"/>
        <v>0</v>
      </c>
      <c r="E734" s="169">
        <f t="shared" si="1511"/>
        <v>0</v>
      </c>
      <c r="F734" s="169">
        <f t="shared" si="1511"/>
        <v>0</v>
      </c>
      <c r="G734" s="169">
        <f t="shared" si="1511"/>
        <v>0</v>
      </c>
      <c r="H734" s="169">
        <f t="shared" si="1511"/>
        <v>0</v>
      </c>
      <c r="I734" s="169">
        <f t="shared" si="1511"/>
        <v>0</v>
      </c>
      <c r="J734" s="169">
        <f t="shared" si="1511"/>
        <v>0</v>
      </c>
      <c r="K734" s="169">
        <f t="shared" si="1511"/>
        <v>0</v>
      </c>
      <c r="L734" s="169">
        <f t="shared" si="1511"/>
        <v>0</v>
      </c>
      <c r="M734" s="169">
        <f t="shared" si="1511"/>
        <v>0</v>
      </c>
      <c r="N734" s="169">
        <f t="shared" si="1511"/>
        <v>0</v>
      </c>
      <c r="O734" s="169">
        <f t="shared" si="1511"/>
        <v>0</v>
      </c>
      <c r="P734" s="169">
        <f t="shared" si="1511"/>
        <v>0</v>
      </c>
      <c r="Q734" s="169">
        <f t="shared" si="1511"/>
        <v>0</v>
      </c>
      <c r="R734" s="169">
        <f t="shared" si="1511"/>
        <v>0</v>
      </c>
      <c r="S734" s="169">
        <f t="shared" si="1511"/>
        <v>0</v>
      </c>
      <c r="T734" s="169">
        <f t="shared" si="1511"/>
        <v>0</v>
      </c>
      <c r="U734" s="169">
        <f t="shared" si="1511"/>
        <v>0</v>
      </c>
      <c r="V734" s="169">
        <f t="shared" si="1511"/>
        <v>0</v>
      </c>
      <c r="W734" s="169">
        <f t="shared" si="1511"/>
        <v>0</v>
      </c>
      <c r="X734" s="169">
        <f t="shared" si="1511"/>
        <v>0</v>
      </c>
      <c r="Y734" s="169">
        <f t="shared" si="1511"/>
        <v>0</v>
      </c>
      <c r="Z734" s="169">
        <f t="shared" si="1511"/>
        <v>0</v>
      </c>
      <c r="AA734" s="169">
        <f t="shared" si="1511"/>
        <v>0</v>
      </c>
      <c r="AB734" s="169">
        <f t="shared" si="1511"/>
        <v>0</v>
      </c>
      <c r="AC734" s="169">
        <f t="shared" si="1511"/>
        <v>0</v>
      </c>
      <c r="AD734" s="169">
        <f t="shared" si="1511"/>
        <v>0</v>
      </c>
      <c r="AE734" s="169">
        <f t="shared" si="1511"/>
        <v>0</v>
      </c>
      <c r="AF734" s="169">
        <f t="shared" si="1511"/>
        <v>0</v>
      </c>
      <c r="AG734" s="169">
        <f t="shared" si="1511"/>
        <v>0</v>
      </c>
      <c r="AH734" s="169">
        <f t="shared" si="1511"/>
        <v>0</v>
      </c>
      <c r="AI734" s="169">
        <f t="shared" si="1511"/>
        <v>0</v>
      </c>
      <c r="AJ734" s="169">
        <f t="shared" si="1511"/>
        <v>0</v>
      </c>
      <c r="AK734" s="169">
        <f t="shared" si="1511"/>
        <v>0</v>
      </c>
      <c r="AL734" s="169">
        <f t="shared" si="1511"/>
        <v>0</v>
      </c>
      <c r="AM734" s="169">
        <f t="shared" si="1511"/>
        <v>0</v>
      </c>
      <c r="AN734" s="169">
        <f t="shared" si="1511"/>
        <v>0</v>
      </c>
      <c r="AO734" s="169">
        <f t="shared" si="1511"/>
        <v>0</v>
      </c>
      <c r="AP734" s="169">
        <f t="shared" si="1511"/>
        <v>0</v>
      </c>
    </row>
    <row r="735" spans="1:42" x14ac:dyDescent="0.2">
      <c r="A735" s="20">
        <f t="shared" si="1507"/>
        <v>7</v>
      </c>
      <c r="B735" s="233">
        <f t="shared" si="1504"/>
        <v>0</v>
      </c>
      <c r="C735" s="169">
        <f t="shared" ref="C735:AP735" si="1512">IF(AND(C$2&gt;MMFrequency2*$A722,C$2&lt;=MMFrequency2*$A723),$B723/(MMFrequency2),0)</f>
        <v>0</v>
      </c>
      <c r="D735" s="169">
        <f t="shared" si="1512"/>
        <v>0</v>
      </c>
      <c r="E735" s="169">
        <f t="shared" si="1512"/>
        <v>0</v>
      </c>
      <c r="F735" s="169">
        <f t="shared" si="1512"/>
        <v>0</v>
      </c>
      <c r="G735" s="169">
        <f t="shared" si="1512"/>
        <v>0</v>
      </c>
      <c r="H735" s="169">
        <f t="shared" si="1512"/>
        <v>0</v>
      </c>
      <c r="I735" s="169">
        <f t="shared" si="1512"/>
        <v>0</v>
      </c>
      <c r="J735" s="169">
        <f t="shared" si="1512"/>
        <v>0</v>
      </c>
      <c r="K735" s="169">
        <f t="shared" si="1512"/>
        <v>0</v>
      </c>
      <c r="L735" s="169">
        <f t="shared" si="1512"/>
        <v>0</v>
      </c>
      <c r="M735" s="169">
        <f t="shared" si="1512"/>
        <v>0</v>
      </c>
      <c r="N735" s="169">
        <f t="shared" si="1512"/>
        <v>0</v>
      </c>
      <c r="O735" s="169">
        <f t="shared" si="1512"/>
        <v>0</v>
      </c>
      <c r="P735" s="169">
        <f t="shared" si="1512"/>
        <v>0</v>
      </c>
      <c r="Q735" s="169">
        <f t="shared" si="1512"/>
        <v>0</v>
      </c>
      <c r="R735" s="169">
        <f t="shared" si="1512"/>
        <v>0</v>
      </c>
      <c r="S735" s="169">
        <f t="shared" si="1512"/>
        <v>0</v>
      </c>
      <c r="T735" s="169">
        <f t="shared" si="1512"/>
        <v>0</v>
      </c>
      <c r="U735" s="169">
        <f t="shared" si="1512"/>
        <v>0</v>
      </c>
      <c r="V735" s="169">
        <f t="shared" si="1512"/>
        <v>0</v>
      </c>
      <c r="W735" s="169">
        <f t="shared" si="1512"/>
        <v>0</v>
      </c>
      <c r="X735" s="169">
        <f t="shared" si="1512"/>
        <v>0</v>
      </c>
      <c r="Y735" s="169">
        <f t="shared" si="1512"/>
        <v>0</v>
      </c>
      <c r="Z735" s="169">
        <f t="shared" si="1512"/>
        <v>0</v>
      </c>
      <c r="AA735" s="169">
        <f t="shared" si="1512"/>
        <v>0</v>
      </c>
      <c r="AB735" s="169">
        <f t="shared" si="1512"/>
        <v>0</v>
      </c>
      <c r="AC735" s="169">
        <f t="shared" si="1512"/>
        <v>0</v>
      </c>
      <c r="AD735" s="169">
        <f t="shared" si="1512"/>
        <v>0</v>
      </c>
      <c r="AE735" s="169">
        <f t="shared" si="1512"/>
        <v>0</v>
      </c>
      <c r="AF735" s="169">
        <f t="shared" si="1512"/>
        <v>0</v>
      </c>
      <c r="AG735" s="169">
        <f t="shared" si="1512"/>
        <v>0</v>
      </c>
      <c r="AH735" s="169">
        <f t="shared" si="1512"/>
        <v>0</v>
      </c>
      <c r="AI735" s="169">
        <f t="shared" si="1512"/>
        <v>0</v>
      </c>
      <c r="AJ735" s="169">
        <f t="shared" si="1512"/>
        <v>0</v>
      </c>
      <c r="AK735" s="169">
        <f t="shared" si="1512"/>
        <v>0</v>
      </c>
      <c r="AL735" s="169">
        <f t="shared" si="1512"/>
        <v>0</v>
      </c>
      <c r="AM735" s="169">
        <f t="shared" si="1512"/>
        <v>0</v>
      </c>
      <c r="AN735" s="169">
        <f t="shared" si="1512"/>
        <v>0</v>
      </c>
      <c r="AO735" s="169">
        <f t="shared" si="1512"/>
        <v>0</v>
      </c>
      <c r="AP735" s="169">
        <f t="shared" si="1512"/>
        <v>0</v>
      </c>
    </row>
    <row r="736" spans="1:42" x14ac:dyDescent="0.2">
      <c r="A736" s="20">
        <f t="shared" si="1507"/>
        <v>8</v>
      </c>
      <c r="B736" s="233">
        <f t="shared" si="1504"/>
        <v>0</v>
      </c>
      <c r="C736" s="169">
        <f t="shared" ref="C736:AP736" si="1513">IF(AND(C$2&gt;MMFrequency2*$A723,C$2&lt;=MMFrequency2*$A724),$B724/(MMFrequency2),0)</f>
        <v>0</v>
      </c>
      <c r="D736" s="169">
        <f t="shared" si="1513"/>
        <v>0</v>
      </c>
      <c r="E736" s="169">
        <f t="shared" si="1513"/>
        <v>0</v>
      </c>
      <c r="F736" s="169">
        <f t="shared" si="1513"/>
        <v>0</v>
      </c>
      <c r="G736" s="169">
        <f t="shared" si="1513"/>
        <v>0</v>
      </c>
      <c r="H736" s="169">
        <f t="shared" si="1513"/>
        <v>0</v>
      </c>
      <c r="I736" s="169">
        <f t="shared" si="1513"/>
        <v>0</v>
      </c>
      <c r="J736" s="169">
        <f t="shared" si="1513"/>
        <v>0</v>
      </c>
      <c r="K736" s="169">
        <f t="shared" si="1513"/>
        <v>0</v>
      </c>
      <c r="L736" s="169">
        <f t="shared" si="1513"/>
        <v>0</v>
      </c>
      <c r="M736" s="169">
        <f t="shared" si="1513"/>
        <v>0</v>
      </c>
      <c r="N736" s="169">
        <f t="shared" si="1513"/>
        <v>0</v>
      </c>
      <c r="O736" s="169">
        <f t="shared" si="1513"/>
        <v>0</v>
      </c>
      <c r="P736" s="169">
        <f t="shared" si="1513"/>
        <v>0</v>
      </c>
      <c r="Q736" s="169">
        <f t="shared" si="1513"/>
        <v>0</v>
      </c>
      <c r="R736" s="169">
        <f t="shared" si="1513"/>
        <v>0</v>
      </c>
      <c r="S736" s="169">
        <f t="shared" si="1513"/>
        <v>0</v>
      </c>
      <c r="T736" s="169">
        <f t="shared" si="1513"/>
        <v>0</v>
      </c>
      <c r="U736" s="169">
        <f t="shared" si="1513"/>
        <v>0</v>
      </c>
      <c r="V736" s="169">
        <f t="shared" si="1513"/>
        <v>0</v>
      </c>
      <c r="W736" s="169">
        <f t="shared" si="1513"/>
        <v>0</v>
      </c>
      <c r="X736" s="169">
        <f t="shared" si="1513"/>
        <v>0</v>
      </c>
      <c r="Y736" s="169">
        <f t="shared" si="1513"/>
        <v>0</v>
      </c>
      <c r="Z736" s="169">
        <f t="shared" si="1513"/>
        <v>0</v>
      </c>
      <c r="AA736" s="169">
        <f t="shared" si="1513"/>
        <v>0</v>
      </c>
      <c r="AB736" s="169">
        <f t="shared" si="1513"/>
        <v>0</v>
      </c>
      <c r="AC736" s="169">
        <f t="shared" si="1513"/>
        <v>0</v>
      </c>
      <c r="AD736" s="169">
        <f t="shared" si="1513"/>
        <v>0</v>
      </c>
      <c r="AE736" s="169">
        <f t="shared" si="1513"/>
        <v>0</v>
      </c>
      <c r="AF736" s="169">
        <f t="shared" si="1513"/>
        <v>0</v>
      </c>
      <c r="AG736" s="169">
        <f t="shared" si="1513"/>
        <v>0</v>
      </c>
      <c r="AH736" s="169">
        <f t="shared" si="1513"/>
        <v>0</v>
      </c>
      <c r="AI736" s="169">
        <f t="shared" si="1513"/>
        <v>0</v>
      </c>
      <c r="AJ736" s="169">
        <f t="shared" si="1513"/>
        <v>0</v>
      </c>
      <c r="AK736" s="169">
        <f t="shared" si="1513"/>
        <v>0</v>
      </c>
      <c r="AL736" s="169">
        <f t="shared" si="1513"/>
        <v>0</v>
      </c>
      <c r="AM736" s="169">
        <f t="shared" si="1513"/>
        <v>0</v>
      </c>
      <c r="AN736" s="169">
        <f t="shared" si="1513"/>
        <v>0</v>
      </c>
      <c r="AO736" s="169">
        <f t="shared" si="1513"/>
        <v>0</v>
      </c>
      <c r="AP736" s="169">
        <f t="shared" si="1513"/>
        <v>0</v>
      </c>
    </row>
    <row r="737" spans="1:42" x14ac:dyDescent="0.2">
      <c r="A737" s="20">
        <f>A736+1</f>
        <v>9</v>
      </c>
      <c r="B737" s="233">
        <f t="shared" si="1504"/>
        <v>0</v>
      </c>
      <c r="C737" s="169">
        <f t="shared" ref="C737:AP737" si="1514">IF(AND(C$2&gt;MMFrequency2*$A724,C$2&lt;=MMFrequency2*$A725),$B725/(MMFrequency2),0)</f>
        <v>0</v>
      </c>
      <c r="D737" s="169">
        <f t="shared" si="1514"/>
        <v>0</v>
      </c>
      <c r="E737" s="169">
        <f t="shared" si="1514"/>
        <v>0</v>
      </c>
      <c r="F737" s="169">
        <f t="shared" si="1514"/>
        <v>0</v>
      </c>
      <c r="G737" s="169">
        <f t="shared" si="1514"/>
        <v>0</v>
      </c>
      <c r="H737" s="169">
        <f t="shared" si="1514"/>
        <v>0</v>
      </c>
      <c r="I737" s="169">
        <f t="shared" si="1514"/>
        <v>0</v>
      </c>
      <c r="J737" s="169">
        <f t="shared" si="1514"/>
        <v>0</v>
      </c>
      <c r="K737" s="169">
        <f t="shared" si="1514"/>
        <v>0</v>
      </c>
      <c r="L737" s="169">
        <f t="shared" si="1514"/>
        <v>0</v>
      </c>
      <c r="M737" s="169">
        <f t="shared" si="1514"/>
        <v>0</v>
      </c>
      <c r="N737" s="169">
        <f t="shared" si="1514"/>
        <v>0</v>
      </c>
      <c r="O737" s="169">
        <f t="shared" si="1514"/>
        <v>0</v>
      </c>
      <c r="P737" s="169">
        <f t="shared" si="1514"/>
        <v>0</v>
      </c>
      <c r="Q737" s="169">
        <f t="shared" si="1514"/>
        <v>0</v>
      </c>
      <c r="R737" s="169">
        <f t="shared" si="1514"/>
        <v>0</v>
      </c>
      <c r="S737" s="169">
        <f t="shared" si="1514"/>
        <v>0</v>
      </c>
      <c r="T737" s="169">
        <f t="shared" si="1514"/>
        <v>0</v>
      </c>
      <c r="U737" s="169">
        <f t="shared" si="1514"/>
        <v>0</v>
      </c>
      <c r="V737" s="169">
        <f t="shared" si="1514"/>
        <v>0</v>
      </c>
      <c r="W737" s="169">
        <f t="shared" si="1514"/>
        <v>0</v>
      </c>
      <c r="X737" s="169">
        <f t="shared" si="1514"/>
        <v>0</v>
      </c>
      <c r="Y737" s="169">
        <f t="shared" si="1514"/>
        <v>0</v>
      </c>
      <c r="Z737" s="169">
        <f t="shared" si="1514"/>
        <v>0</v>
      </c>
      <c r="AA737" s="169">
        <f t="shared" si="1514"/>
        <v>0</v>
      </c>
      <c r="AB737" s="169">
        <f t="shared" si="1514"/>
        <v>0</v>
      </c>
      <c r="AC737" s="169">
        <f t="shared" si="1514"/>
        <v>0</v>
      </c>
      <c r="AD737" s="169">
        <f t="shared" si="1514"/>
        <v>0</v>
      </c>
      <c r="AE737" s="169">
        <f t="shared" si="1514"/>
        <v>0</v>
      </c>
      <c r="AF737" s="169">
        <f t="shared" si="1514"/>
        <v>0</v>
      </c>
      <c r="AG737" s="169">
        <f t="shared" si="1514"/>
        <v>0</v>
      </c>
      <c r="AH737" s="169">
        <f t="shared" si="1514"/>
        <v>0</v>
      </c>
      <c r="AI737" s="169">
        <f t="shared" si="1514"/>
        <v>0</v>
      </c>
      <c r="AJ737" s="169">
        <f t="shared" si="1514"/>
        <v>0</v>
      </c>
      <c r="AK737" s="169">
        <f t="shared" si="1514"/>
        <v>0</v>
      </c>
      <c r="AL737" s="169">
        <f t="shared" si="1514"/>
        <v>0</v>
      </c>
      <c r="AM737" s="169">
        <f t="shared" si="1514"/>
        <v>0</v>
      </c>
      <c r="AN737" s="169">
        <f t="shared" si="1514"/>
        <v>0</v>
      </c>
      <c r="AO737" s="169">
        <f t="shared" si="1514"/>
        <v>0</v>
      </c>
      <c r="AP737" s="169">
        <f t="shared" si="1514"/>
        <v>0</v>
      </c>
    </row>
    <row r="738" spans="1:42" x14ac:dyDescent="0.2">
      <c r="A738" s="20">
        <f t="shared" ref="A738" si="1515">A737+1</f>
        <v>10</v>
      </c>
      <c r="B738" s="233">
        <f t="shared" si="1504"/>
        <v>0</v>
      </c>
      <c r="C738" s="170">
        <f t="shared" ref="C738:AP738" si="1516">IF(AND(C$2&gt;MMFrequency2*$A725,C$2&lt;=MMFrequency2*$A726),$B726/(MMFrequency2),0)</f>
        <v>0</v>
      </c>
      <c r="D738" s="170">
        <f t="shared" si="1516"/>
        <v>0</v>
      </c>
      <c r="E738" s="170">
        <f t="shared" si="1516"/>
        <v>0</v>
      </c>
      <c r="F738" s="170">
        <f t="shared" si="1516"/>
        <v>0</v>
      </c>
      <c r="G738" s="170">
        <f t="shared" si="1516"/>
        <v>0</v>
      </c>
      <c r="H738" s="170">
        <f t="shared" si="1516"/>
        <v>0</v>
      </c>
      <c r="I738" s="170">
        <f t="shared" si="1516"/>
        <v>0</v>
      </c>
      <c r="J738" s="170">
        <f t="shared" si="1516"/>
        <v>0</v>
      </c>
      <c r="K738" s="170">
        <f t="shared" si="1516"/>
        <v>0</v>
      </c>
      <c r="L738" s="170">
        <f t="shared" si="1516"/>
        <v>0</v>
      </c>
      <c r="M738" s="170">
        <f t="shared" si="1516"/>
        <v>0</v>
      </c>
      <c r="N738" s="170">
        <f t="shared" si="1516"/>
        <v>0</v>
      </c>
      <c r="O738" s="170">
        <f t="shared" si="1516"/>
        <v>0</v>
      </c>
      <c r="P738" s="170">
        <f t="shared" si="1516"/>
        <v>0</v>
      </c>
      <c r="Q738" s="170">
        <f t="shared" si="1516"/>
        <v>0</v>
      </c>
      <c r="R738" s="170">
        <f t="shared" si="1516"/>
        <v>0</v>
      </c>
      <c r="S738" s="170">
        <f t="shared" si="1516"/>
        <v>0</v>
      </c>
      <c r="T738" s="170">
        <f t="shared" si="1516"/>
        <v>0</v>
      </c>
      <c r="U738" s="170">
        <f t="shared" si="1516"/>
        <v>0</v>
      </c>
      <c r="V738" s="170">
        <f t="shared" si="1516"/>
        <v>0</v>
      </c>
      <c r="W738" s="170">
        <f t="shared" si="1516"/>
        <v>0</v>
      </c>
      <c r="X738" s="170">
        <f t="shared" si="1516"/>
        <v>0</v>
      </c>
      <c r="Y738" s="170">
        <f t="shared" si="1516"/>
        <v>0</v>
      </c>
      <c r="Z738" s="170">
        <f t="shared" si="1516"/>
        <v>0</v>
      </c>
      <c r="AA738" s="170">
        <f t="shared" si="1516"/>
        <v>0</v>
      </c>
      <c r="AB738" s="170">
        <f t="shared" si="1516"/>
        <v>0</v>
      </c>
      <c r="AC738" s="170">
        <f t="shared" si="1516"/>
        <v>0</v>
      </c>
      <c r="AD738" s="170">
        <f t="shared" si="1516"/>
        <v>0</v>
      </c>
      <c r="AE738" s="170">
        <f t="shared" si="1516"/>
        <v>0</v>
      </c>
      <c r="AF738" s="170">
        <f t="shared" si="1516"/>
        <v>0</v>
      </c>
      <c r="AG738" s="170">
        <f t="shared" si="1516"/>
        <v>0</v>
      </c>
      <c r="AH738" s="170">
        <f t="shared" si="1516"/>
        <v>0</v>
      </c>
      <c r="AI738" s="170">
        <f t="shared" si="1516"/>
        <v>0</v>
      </c>
      <c r="AJ738" s="170">
        <f t="shared" si="1516"/>
        <v>0</v>
      </c>
      <c r="AK738" s="170">
        <f t="shared" si="1516"/>
        <v>0</v>
      </c>
      <c r="AL738" s="170">
        <f t="shared" si="1516"/>
        <v>0</v>
      </c>
      <c r="AM738" s="170">
        <f t="shared" si="1516"/>
        <v>0</v>
      </c>
      <c r="AN738" s="170">
        <f t="shared" si="1516"/>
        <v>0</v>
      </c>
      <c r="AO738" s="170">
        <f t="shared" si="1516"/>
        <v>0</v>
      </c>
      <c r="AP738" s="170">
        <f t="shared" si="1516"/>
        <v>0</v>
      </c>
    </row>
    <row r="739" spans="1:42" x14ac:dyDescent="0.2">
      <c r="A739" s="202" t="s">
        <v>53</v>
      </c>
      <c r="B739" s="169"/>
      <c r="C739" s="135">
        <f>SUM(C729:C738)</f>
        <v>0</v>
      </c>
      <c r="D739" s="135">
        <f t="shared" ref="D739:AP739" si="1517">SUM(D729:D738)</f>
        <v>0</v>
      </c>
      <c r="E739" s="135">
        <f t="shared" si="1517"/>
        <v>0</v>
      </c>
      <c r="F739" s="135">
        <f t="shared" si="1517"/>
        <v>0</v>
      </c>
      <c r="G739" s="135">
        <f t="shared" si="1517"/>
        <v>0</v>
      </c>
      <c r="H739" s="135">
        <f t="shared" si="1517"/>
        <v>0</v>
      </c>
      <c r="I739" s="135">
        <f t="shared" si="1517"/>
        <v>0</v>
      </c>
      <c r="J739" s="135">
        <f t="shared" si="1517"/>
        <v>0</v>
      </c>
      <c r="K739" s="135">
        <f t="shared" si="1517"/>
        <v>0</v>
      </c>
      <c r="L739" s="135">
        <f t="shared" si="1517"/>
        <v>0</v>
      </c>
      <c r="M739" s="135">
        <f t="shared" si="1517"/>
        <v>0</v>
      </c>
      <c r="N739" s="135">
        <f t="shared" si="1517"/>
        <v>0</v>
      </c>
      <c r="O739" s="135">
        <f t="shared" si="1517"/>
        <v>0</v>
      </c>
      <c r="P739" s="135">
        <f t="shared" si="1517"/>
        <v>0</v>
      </c>
      <c r="Q739" s="135">
        <f t="shared" si="1517"/>
        <v>0</v>
      </c>
      <c r="R739" s="135">
        <f t="shared" si="1517"/>
        <v>0</v>
      </c>
      <c r="S739" s="135">
        <f t="shared" si="1517"/>
        <v>0</v>
      </c>
      <c r="T739" s="135">
        <f t="shared" si="1517"/>
        <v>0</v>
      </c>
      <c r="U739" s="135">
        <f t="shared" si="1517"/>
        <v>0</v>
      </c>
      <c r="V739" s="135">
        <f t="shared" si="1517"/>
        <v>0</v>
      </c>
      <c r="W739" s="135">
        <f t="shared" si="1517"/>
        <v>0</v>
      </c>
      <c r="X739" s="135">
        <f t="shared" si="1517"/>
        <v>0</v>
      </c>
      <c r="Y739" s="135">
        <f t="shared" si="1517"/>
        <v>0</v>
      </c>
      <c r="Z739" s="135">
        <f t="shared" si="1517"/>
        <v>0</v>
      </c>
      <c r="AA739" s="135">
        <f t="shared" si="1517"/>
        <v>0</v>
      </c>
      <c r="AB739" s="135">
        <f t="shared" si="1517"/>
        <v>0</v>
      </c>
      <c r="AC739" s="135">
        <f t="shared" si="1517"/>
        <v>0</v>
      </c>
      <c r="AD739" s="135">
        <f t="shared" si="1517"/>
        <v>0</v>
      </c>
      <c r="AE739" s="135">
        <f t="shared" si="1517"/>
        <v>0</v>
      </c>
      <c r="AF739" s="135">
        <f t="shared" si="1517"/>
        <v>0</v>
      </c>
      <c r="AG739" s="135">
        <f t="shared" si="1517"/>
        <v>0</v>
      </c>
      <c r="AH739" s="135">
        <f t="shared" si="1517"/>
        <v>0</v>
      </c>
      <c r="AI739" s="135">
        <f t="shared" si="1517"/>
        <v>0</v>
      </c>
      <c r="AJ739" s="135">
        <f t="shared" si="1517"/>
        <v>0</v>
      </c>
      <c r="AK739" s="135">
        <f t="shared" si="1517"/>
        <v>0</v>
      </c>
      <c r="AL739" s="135">
        <f t="shared" si="1517"/>
        <v>0</v>
      </c>
      <c r="AM739" s="135">
        <f t="shared" si="1517"/>
        <v>0</v>
      </c>
      <c r="AN739" s="135">
        <f t="shared" si="1517"/>
        <v>0</v>
      </c>
      <c r="AO739" s="135">
        <f t="shared" si="1517"/>
        <v>0</v>
      </c>
      <c r="AP739" s="135">
        <f t="shared" si="1517"/>
        <v>0</v>
      </c>
    </row>
    <row r="740" spans="1:42" x14ac:dyDescent="0.2">
      <c r="B740" s="169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</row>
    <row r="741" spans="1:42" x14ac:dyDescent="0.2">
      <c r="A741" s="165" t="s">
        <v>299</v>
      </c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</row>
    <row r="742" spans="1:42" x14ac:dyDescent="0.2">
      <c r="A742" s="20" t="s">
        <v>96</v>
      </c>
      <c r="B742" s="135">
        <v>0</v>
      </c>
      <c r="C742" s="135">
        <f>B745</f>
        <v>0</v>
      </c>
      <c r="D742" s="135">
        <f t="shared" ref="D742" si="1518">C745</f>
        <v>0</v>
      </c>
      <c r="E742" s="135">
        <f t="shared" ref="E742" si="1519">D745</f>
        <v>0</v>
      </c>
      <c r="F742" s="135">
        <f t="shared" ref="F742" si="1520">E745</f>
        <v>0</v>
      </c>
      <c r="G742" s="135">
        <f t="shared" ref="G742" si="1521">F745</f>
        <v>0</v>
      </c>
      <c r="H742" s="135">
        <f t="shared" ref="H742" si="1522">G745</f>
        <v>0</v>
      </c>
      <c r="I742" s="135">
        <f t="shared" ref="I742" si="1523">H745</f>
        <v>0</v>
      </c>
      <c r="J742" s="135">
        <f t="shared" ref="J742" si="1524">I745</f>
        <v>0</v>
      </c>
      <c r="K742" s="135">
        <f t="shared" ref="K742" si="1525">J745</f>
        <v>0</v>
      </c>
      <c r="L742" s="135">
        <f t="shared" ref="L742" si="1526">K745</f>
        <v>0</v>
      </c>
      <c r="M742" s="135">
        <f t="shared" ref="M742" si="1527">L745</f>
        <v>0</v>
      </c>
      <c r="N742" s="135">
        <f t="shared" ref="N742" si="1528">M745</f>
        <v>0</v>
      </c>
      <c r="O742" s="135">
        <f t="shared" ref="O742" si="1529">N745</f>
        <v>0</v>
      </c>
      <c r="P742" s="135">
        <f t="shared" ref="P742" si="1530">O745</f>
        <v>0</v>
      </c>
      <c r="Q742" s="135">
        <f t="shared" ref="Q742" si="1531">P745</f>
        <v>0</v>
      </c>
      <c r="R742" s="135">
        <f t="shared" ref="R742" si="1532">Q745</f>
        <v>0</v>
      </c>
      <c r="S742" s="135">
        <f t="shared" ref="S742" si="1533">R745</f>
        <v>0</v>
      </c>
      <c r="T742" s="135">
        <f t="shared" ref="T742" si="1534">S745</f>
        <v>0</v>
      </c>
      <c r="U742" s="135">
        <f t="shared" ref="U742" si="1535">T745</f>
        <v>0</v>
      </c>
      <c r="V742" s="135">
        <f t="shared" ref="V742" si="1536">U745</f>
        <v>0</v>
      </c>
      <c r="W742" s="135">
        <f t="shared" ref="W742" si="1537">V745</f>
        <v>0</v>
      </c>
      <c r="X742" s="135">
        <f t="shared" ref="X742" si="1538">W745</f>
        <v>0</v>
      </c>
      <c r="Y742" s="135">
        <f t="shared" ref="Y742" si="1539">X745</f>
        <v>0</v>
      </c>
      <c r="Z742" s="135">
        <f t="shared" ref="Z742" si="1540">Y745</f>
        <v>0</v>
      </c>
      <c r="AA742" s="135">
        <f t="shared" ref="AA742" si="1541">Z745</f>
        <v>0</v>
      </c>
      <c r="AB742" s="135">
        <f t="shared" ref="AB742" si="1542">AA745</f>
        <v>0</v>
      </c>
      <c r="AC742" s="135">
        <f t="shared" ref="AC742" si="1543">AB745</f>
        <v>0</v>
      </c>
      <c r="AD742" s="135">
        <f t="shared" ref="AD742" si="1544">AC745</f>
        <v>0</v>
      </c>
      <c r="AE742" s="135">
        <f t="shared" ref="AE742" si="1545">AD745</f>
        <v>0</v>
      </c>
      <c r="AF742" s="135">
        <f t="shared" ref="AF742" si="1546">AE745</f>
        <v>0</v>
      </c>
      <c r="AG742" s="135">
        <f t="shared" ref="AG742" si="1547">AF745</f>
        <v>0</v>
      </c>
      <c r="AH742" s="135">
        <f t="shared" ref="AH742" si="1548">AG745</f>
        <v>0</v>
      </c>
      <c r="AI742" s="135">
        <f t="shared" ref="AI742" si="1549">AH745</f>
        <v>0</v>
      </c>
      <c r="AJ742" s="135">
        <f t="shared" ref="AJ742" si="1550">AI745</f>
        <v>0</v>
      </c>
      <c r="AK742" s="135">
        <f t="shared" ref="AK742" si="1551">AJ745</f>
        <v>0</v>
      </c>
      <c r="AL742" s="135">
        <f t="shared" ref="AL742" si="1552">AK745</f>
        <v>0</v>
      </c>
      <c r="AM742" s="135">
        <f t="shared" ref="AM742" si="1553">AL745</f>
        <v>0</v>
      </c>
      <c r="AN742" s="135">
        <f t="shared" ref="AN742" si="1554">AM745</f>
        <v>0</v>
      </c>
      <c r="AO742" s="135">
        <f t="shared" ref="AO742" si="1555">AN745</f>
        <v>0</v>
      </c>
      <c r="AP742" s="135">
        <f t="shared" ref="AP742" si="1556">AO745</f>
        <v>0</v>
      </c>
    </row>
    <row r="743" spans="1:42" x14ac:dyDescent="0.2">
      <c r="A743" s="20" t="s">
        <v>183</v>
      </c>
      <c r="B743" s="135">
        <v>0</v>
      </c>
      <c r="C743" s="135">
        <f>C771</f>
        <v>0</v>
      </c>
      <c r="D743" s="135">
        <f t="shared" ref="D743:AP743" si="1557">D771</f>
        <v>0</v>
      </c>
      <c r="E743" s="135">
        <f t="shared" si="1557"/>
        <v>0</v>
      </c>
      <c r="F743" s="135">
        <f t="shared" si="1557"/>
        <v>0</v>
      </c>
      <c r="G743" s="135">
        <f t="shared" si="1557"/>
        <v>0</v>
      </c>
      <c r="H743" s="135">
        <f t="shared" si="1557"/>
        <v>0</v>
      </c>
      <c r="I743" s="135">
        <f t="shared" si="1557"/>
        <v>0</v>
      </c>
      <c r="J743" s="135">
        <f t="shared" si="1557"/>
        <v>0</v>
      </c>
      <c r="K743" s="135">
        <f t="shared" si="1557"/>
        <v>0</v>
      </c>
      <c r="L743" s="135">
        <f t="shared" si="1557"/>
        <v>0</v>
      </c>
      <c r="M743" s="135">
        <f t="shared" si="1557"/>
        <v>0</v>
      </c>
      <c r="N743" s="135">
        <f t="shared" si="1557"/>
        <v>0</v>
      </c>
      <c r="O743" s="135">
        <f t="shared" si="1557"/>
        <v>0</v>
      </c>
      <c r="P743" s="135">
        <f t="shared" si="1557"/>
        <v>0</v>
      </c>
      <c r="Q743" s="135">
        <f t="shared" si="1557"/>
        <v>0</v>
      </c>
      <c r="R743" s="135">
        <f t="shared" si="1557"/>
        <v>0</v>
      </c>
      <c r="S743" s="135">
        <f t="shared" si="1557"/>
        <v>0</v>
      </c>
      <c r="T743" s="135">
        <f t="shared" si="1557"/>
        <v>0</v>
      </c>
      <c r="U743" s="135">
        <f t="shared" si="1557"/>
        <v>0</v>
      </c>
      <c r="V743" s="135">
        <f t="shared" si="1557"/>
        <v>0</v>
      </c>
      <c r="W743" s="135">
        <f t="shared" si="1557"/>
        <v>0</v>
      </c>
      <c r="X743" s="135">
        <f t="shared" si="1557"/>
        <v>0</v>
      </c>
      <c r="Y743" s="135">
        <f t="shared" si="1557"/>
        <v>0</v>
      </c>
      <c r="Z743" s="135">
        <f t="shared" si="1557"/>
        <v>0</v>
      </c>
      <c r="AA743" s="135">
        <f t="shared" si="1557"/>
        <v>0</v>
      </c>
      <c r="AB743" s="135">
        <f t="shared" si="1557"/>
        <v>0</v>
      </c>
      <c r="AC743" s="135">
        <f t="shared" si="1557"/>
        <v>0</v>
      </c>
      <c r="AD743" s="135">
        <f t="shared" si="1557"/>
        <v>0</v>
      </c>
      <c r="AE743" s="135">
        <f t="shared" si="1557"/>
        <v>0</v>
      </c>
      <c r="AF743" s="135">
        <f t="shared" si="1557"/>
        <v>0</v>
      </c>
      <c r="AG743" s="135">
        <f t="shared" si="1557"/>
        <v>0</v>
      </c>
      <c r="AH743" s="135">
        <f t="shared" si="1557"/>
        <v>0</v>
      </c>
      <c r="AI743" s="135">
        <f t="shared" si="1557"/>
        <v>0</v>
      </c>
      <c r="AJ743" s="135">
        <f t="shared" si="1557"/>
        <v>0</v>
      </c>
      <c r="AK743" s="135">
        <f t="shared" si="1557"/>
        <v>0</v>
      </c>
      <c r="AL743" s="135">
        <f t="shared" si="1557"/>
        <v>0</v>
      </c>
      <c r="AM743" s="135">
        <f t="shared" si="1557"/>
        <v>0</v>
      </c>
      <c r="AN743" s="135">
        <f t="shared" si="1557"/>
        <v>0</v>
      </c>
      <c r="AO743" s="135">
        <f t="shared" si="1557"/>
        <v>0</v>
      </c>
      <c r="AP743" s="135">
        <f t="shared" si="1557"/>
        <v>0</v>
      </c>
    </row>
    <row r="744" spans="1:42" x14ac:dyDescent="0.2">
      <c r="A744" s="20" t="s">
        <v>103</v>
      </c>
      <c r="B744" s="170">
        <v>0</v>
      </c>
      <c r="C744" s="170">
        <f>-C759</f>
        <v>0</v>
      </c>
      <c r="D744" s="170">
        <f t="shared" ref="D744:AP744" si="1558">-D759</f>
        <v>0</v>
      </c>
      <c r="E744" s="170">
        <f t="shared" si="1558"/>
        <v>0</v>
      </c>
      <c r="F744" s="170">
        <f t="shared" si="1558"/>
        <v>0</v>
      </c>
      <c r="G744" s="170">
        <f t="shared" si="1558"/>
        <v>0</v>
      </c>
      <c r="H744" s="170">
        <f t="shared" si="1558"/>
        <v>0</v>
      </c>
      <c r="I744" s="170">
        <f t="shared" si="1558"/>
        <v>0</v>
      </c>
      <c r="J744" s="170">
        <f t="shared" si="1558"/>
        <v>0</v>
      </c>
      <c r="K744" s="170">
        <f t="shared" si="1558"/>
        <v>0</v>
      </c>
      <c r="L744" s="170">
        <f t="shared" si="1558"/>
        <v>0</v>
      </c>
      <c r="M744" s="170">
        <f t="shared" si="1558"/>
        <v>0</v>
      </c>
      <c r="N744" s="170">
        <f t="shared" si="1558"/>
        <v>0</v>
      </c>
      <c r="O744" s="170">
        <f t="shared" si="1558"/>
        <v>0</v>
      </c>
      <c r="P744" s="170">
        <f t="shared" si="1558"/>
        <v>0</v>
      </c>
      <c r="Q744" s="170">
        <f t="shared" si="1558"/>
        <v>0</v>
      </c>
      <c r="R744" s="170">
        <f t="shared" si="1558"/>
        <v>0</v>
      </c>
      <c r="S744" s="170">
        <f t="shared" si="1558"/>
        <v>0</v>
      </c>
      <c r="T744" s="170">
        <f t="shared" si="1558"/>
        <v>0</v>
      </c>
      <c r="U744" s="170">
        <f t="shared" si="1558"/>
        <v>0</v>
      </c>
      <c r="V744" s="170">
        <f t="shared" si="1558"/>
        <v>0</v>
      </c>
      <c r="W744" s="170">
        <f t="shared" si="1558"/>
        <v>0</v>
      </c>
      <c r="X744" s="170">
        <f t="shared" si="1558"/>
        <v>0</v>
      </c>
      <c r="Y744" s="170">
        <f t="shared" si="1558"/>
        <v>0</v>
      </c>
      <c r="Z744" s="170">
        <f t="shared" si="1558"/>
        <v>0</v>
      </c>
      <c r="AA744" s="170">
        <f t="shared" si="1558"/>
        <v>0</v>
      </c>
      <c r="AB744" s="170">
        <f t="shared" si="1558"/>
        <v>0</v>
      </c>
      <c r="AC744" s="170">
        <f t="shared" si="1558"/>
        <v>0</v>
      </c>
      <c r="AD744" s="170">
        <f t="shared" si="1558"/>
        <v>0</v>
      </c>
      <c r="AE744" s="170">
        <f t="shared" si="1558"/>
        <v>0</v>
      </c>
      <c r="AF744" s="170">
        <f t="shared" si="1558"/>
        <v>0</v>
      </c>
      <c r="AG744" s="170">
        <f t="shared" si="1558"/>
        <v>0</v>
      </c>
      <c r="AH744" s="170">
        <f t="shared" si="1558"/>
        <v>0</v>
      </c>
      <c r="AI744" s="170">
        <f t="shared" si="1558"/>
        <v>0</v>
      </c>
      <c r="AJ744" s="170">
        <f t="shared" si="1558"/>
        <v>0</v>
      </c>
      <c r="AK744" s="170">
        <f t="shared" si="1558"/>
        <v>0</v>
      </c>
      <c r="AL744" s="170">
        <f t="shared" si="1558"/>
        <v>0</v>
      </c>
      <c r="AM744" s="170">
        <f t="shared" si="1558"/>
        <v>0</v>
      </c>
      <c r="AN744" s="170">
        <f t="shared" si="1558"/>
        <v>0</v>
      </c>
      <c r="AO744" s="170">
        <f t="shared" si="1558"/>
        <v>0</v>
      </c>
      <c r="AP744" s="170">
        <f t="shared" si="1558"/>
        <v>0</v>
      </c>
    </row>
    <row r="745" spans="1:42" x14ac:dyDescent="0.2">
      <c r="A745" s="20" t="s">
        <v>99</v>
      </c>
      <c r="B745" s="135">
        <f>SUM(B742:B744)</f>
        <v>0</v>
      </c>
      <c r="C745" s="135">
        <f>SUM(C742:C744)</f>
        <v>0</v>
      </c>
      <c r="D745" s="135">
        <f t="shared" ref="D745:AP745" si="1559">SUM(D742:D744)</f>
        <v>0</v>
      </c>
      <c r="E745" s="135">
        <f t="shared" si="1559"/>
        <v>0</v>
      </c>
      <c r="F745" s="135">
        <f t="shared" si="1559"/>
        <v>0</v>
      </c>
      <c r="G745" s="135">
        <f t="shared" si="1559"/>
        <v>0</v>
      </c>
      <c r="H745" s="135">
        <f t="shared" si="1559"/>
        <v>0</v>
      </c>
      <c r="I745" s="135">
        <f t="shared" si="1559"/>
        <v>0</v>
      </c>
      <c r="J745" s="135">
        <f t="shared" si="1559"/>
        <v>0</v>
      </c>
      <c r="K745" s="135">
        <f t="shared" si="1559"/>
        <v>0</v>
      </c>
      <c r="L745" s="135">
        <f t="shared" si="1559"/>
        <v>0</v>
      </c>
      <c r="M745" s="135">
        <f t="shared" si="1559"/>
        <v>0</v>
      </c>
      <c r="N745" s="135">
        <f t="shared" si="1559"/>
        <v>0</v>
      </c>
      <c r="O745" s="135">
        <f t="shared" si="1559"/>
        <v>0</v>
      </c>
      <c r="P745" s="135">
        <f t="shared" si="1559"/>
        <v>0</v>
      </c>
      <c r="Q745" s="135">
        <f t="shared" si="1559"/>
        <v>0</v>
      </c>
      <c r="R745" s="135">
        <f t="shared" si="1559"/>
        <v>0</v>
      </c>
      <c r="S745" s="135">
        <f t="shared" si="1559"/>
        <v>0</v>
      </c>
      <c r="T745" s="135">
        <f t="shared" si="1559"/>
        <v>0</v>
      </c>
      <c r="U745" s="135">
        <f t="shared" si="1559"/>
        <v>0</v>
      </c>
      <c r="V745" s="135">
        <f t="shared" si="1559"/>
        <v>0</v>
      </c>
      <c r="W745" s="135">
        <f t="shared" si="1559"/>
        <v>0</v>
      </c>
      <c r="X745" s="135">
        <f t="shared" si="1559"/>
        <v>0</v>
      </c>
      <c r="Y745" s="135">
        <f t="shared" si="1559"/>
        <v>0</v>
      </c>
      <c r="Z745" s="135">
        <f t="shared" si="1559"/>
        <v>0</v>
      </c>
      <c r="AA745" s="135">
        <f t="shared" si="1559"/>
        <v>0</v>
      </c>
      <c r="AB745" s="135">
        <f t="shared" si="1559"/>
        <v>0</v>
      </c>
      <c r="AC745" s="135">
        <f t="shared" si="1559"/>
        <v>0</v>
      </c>
      <c r="AD745" s="135">
        <f t="shared" si="1559"/>
        <v>0</v>
      </c>
      <c r="AE745" s="135">
        <f t="shared" si="1559"/>
        <v>0</v>
      </c>
      <c r="AF745" s="135">
        <f t="shared" si="1559"/>
        <v>0</v>
      </c>
      <c r="AG745" s="135">
        <f t="shared" si="1559"/>
        <v>0</v>
      </c>
      <c r="AH745" s="135">
        <f t="shared" si="1559"/>
        <v>0</v>
      </c>
      <c r="AI745" s="135">
        <f t="shared" si="1559"/>
        <v>0</v>
      </c>
      <c r="AJ745" s="135">
        <f t="shared" si="1559"/>
        <v>0</v>
      </c>
      <c r="AK745" s="135">
        <f t="shared" si="1559"/>
        <v>0</v>
      </c>
      <c r="AL745" s="135">
        <f t="shared" si="1559"/>
        <v>0</v>
      </c>
      <c r="AM745" s="135">
        <f t="shared" si="1559"/>
        <v>0</v>
      </c>
      <c r="AN745" s="135">
        <f t="shared" si="1559"/>
        <v>0</v>
      </c>
      <c r="AO745" s="135">
        <f t="shared" si="1559"/>
        <v>0</v>
      </c>
      <c r="AP745" s="135">
        <f t="shared" si="1559"/>
        <v>0</v>
      </c>
    </row>
    <row r="746" spans="1:42" x14ac:dyDescent="0.2">
      <c r="B746" s="135"/>
      <c r="C746" s="135"/>
      <c r="D746" s="135"/>
      <c r="E746" s="135"/>
      <c r="F746" s="135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</row>
    <row r="747" spans="1:42" x14ac:dyDescent="0.2">
      <c r="A747" s="20" t="s">
        <v>181</v>
      </c>
      <c r="B747" s="135"/>
      <c r="C747" s="135"/>
      <c r="D747" s="135"/>
      <c r="E747" s="135"/>
      <c r="F747" s="135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</row>
    <row r="748" spans="1:42" x14ac:dyDescent="0.2">
      <c r="A748" s="20" t="s">
        <v>182</v>
      </c>
      <c r="B748" s="135"/>
      <c r="C748" s="135"/>
      <c r="D748" s="135"/>
      <c r="E748" s="135"/>
      <c r="F748" s="135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</row>
    <row r="749" spans="1:42" x14ac:dyDescent="0.2">
      <c r="A749" s="20">
        <v>1</v>
      </c>
      <c r="B749" s="233">
        <f t="shared" ref="B749:B758" si="1560">SUM(C749:AP749)</f>
        <v>0</v>
      </c>
      <c r="C749" s="169">
        <f t="shared" ref="C749:AP749" si="1561">IF(C$2&gt;AnalysisPeriod,0,IF(C$2=MMFrequency3*$A749,MMCost3*CapacityDC*1000*(1+Inflation)^B$2,0))</f>
        <v>0</v>
      </c>
      <c r="D749" s="169">
        <f t="shared" si="1561"/>
        <v>0</v>
      </c>
      <c r="E749" s="169">
        <f t="shared" si="1561"/>
        <v>0</v>
      </c>
      <c r="F749" s="169">
        <f t="shared" si="1561"/>
        <v>0</v>
      </c>
      <c r="G749" s="169">
        <f t="shared" si="1561"/>
        <v>0</v>
      </c>
      <c r="H749" s="169">
        <f t="shared" si="1561"/>
        <v>0</v>
      </c>
      <c r="I749" s="169">
        <f t="shared" si="1561"/>
        <v>0</v>
      </c>
      <c r="J749" s="169">
        <f t="shared" si="1561"/>
        <v>0</v>
      </c>
      <c r="K749" s="169">
        <f t="shared" si="1561"/>
        <v>0</v>
      </c>
      <c r="L749" s="169">
        <f t="shared" si="1561"/>
        <v>0</v>
      </c>
      <c r="M749" s="169">
        <f t="shared" si="1561"/>
        <v>0</v>
      </c>
      <c r="N749" s="169">
        <f t="shared" si="1561"/>
        <v>0</v>
      </c>
      <c r="O749" s="169">
        <f t="shared" si="1561"/>
        <v>0</v>
      </c>
      <c r="P749" s="169">
        <f t="shared" si="1561"/>
        <v>0</v>
      </c>
      <c r="Q749" s="169">
        <f t="shared" si="1561"/>
        <v>0</v>
      </c>
      <c r="R749" s="169">
        <f t="shared" si="1561"/>
        <v>0</v>
      </c>
      <c r="S749" s="169">
        <f t="shared" si="1561"/>
        <v>0</v>
      </c>
      <c r="T749" s="169">
        <f t="shared" si="1561"/>
        <v>0</v>
      </c>
      <c r="U749" s="169">
        <f t="shared" si="1561"/>
        <v>0</v>
      </c>
      <c r="V749" s="169">
        <f t="shared" si="1561"/>
        <v>0</v>
      </c>
      <c r="W749" s="169">
        <f t="shared" si="1561"/>
        <v>0</v>
      </c>
      <c r="X749" s="169">
        <f t="shared" si="1561"/>
        <v>0</v>
      </c>
      <c r="Y749" s="169">
        <f t="shared" si="1561"/>
        <v>0</v>
      </c>
      <c r="Z749" s="169">
        <f t="shared" si="1561"/>
        <v>0</v>
      </c>
      <c r="AA749" s="169">
        <f t="shared" si="1561"/>
        <v>0</v>
      </c>
      <c r="AB749" s="169">
        <f t="shared" si="1561"/>
        <v>0</v>
      </c>
      <c r="AC749" s="169">
        <f t="shared" si="1561"/>
        <v>0</v>
      </c>
      <c r="AD749" s="169">
        <f t="shared" si="1561"/>
        <v>0</v>
      </c>
      <c r="AE749" s="169">
        <f t="shared" si="1561"/>
        <v>0</v>
      </c>
      <c r="AF749" s="169">
        <f t="shared" si="1561"/>
        <v>0</v>
      </c>
      <c r="AG749" s="169">
        <f t="shared" si="1561"/>
        <v>0</v>
      </c>
      <c r="AH749" s="169">
        <f t="shared" si="1561"/>
        <v>0</v>
      </c>
      <c r="AI749" s="169">
        <f t="shared" si="1561"/>
        <v>0</v>
      </c>
      <c r="AJ749" s="169">
        <f t="shared" si="1561"/>
        <v>0</v>
      </c>
      <c r="AK749" s="169">
        <f t="shared" si="1561"/>
        <v>0</v>
      </c>
      <c r="AL749" s="169">
        <f t="shared" si="1561"/>
        <v>0</v>
      </c>
      <c r="AM749" s="169">
        <f t="shared" si="1561"/>
        <v>0</v>
      </c>
      <c r="AN749" s="169">
        <f t="shared" si="1561"/>
        <v>0</v>
      </c>
      <c r="AO749" s="169">
        <f t="shared" si="1561"/>
        <v>0</v>
      </c>
      <c r="AP749" s="169">
        <f t="shared" si="1561"/>
        <v>0</v>
      </c>
    </row>
    <row r="750" spans="1:42" x14ac:dyDescent="0.2">
      <c r="A750" s="20">
        <f>A749+1</f>
        <v>2</v>
      </c>
      <c r="B750" s="233">
        <f t="shared" si="1560"/>
        <v>0</v>
      </c>
      <c r="C750" s="169">
        <f t="shared" ref="C750:AP750" si="1562">IF(C$2&gt;AnalysisPeriod,0,IF(C$2=MMFrequency3*$A750,MMCost3*CapacityDC*1000*(1+Inflation)^B$2,0))</f>
        <v>0</v>
      </c>
      <c r="D750" s="169">
        <f t="shared" si="1562"/>
        <v>0</v>
      </c>
      <c r="E750" s="169">
        <f t="shared" si="1562"/>
        <v>0</v>
      </c>
      <c r="F750" s="169">
        <f t="shared" si="1562"/>
        <v>0</v>
      </c>
      <c r="G750" s="169">
        <f t="shared" si="1562"/>
        <v>0</v>
      </c>
      <c r="H750" s="169">
        <f t="shared" si="1562"/>
        <v>0</v>
      </c>
      <c r="I750" s="169">
        <f t="shared" si="1562"/>
        <v>0</v>
      </c>
      <c r="J750" s="169">
        <f t="shared" si="1562"/>
        <v>0</v>
      </c>
      <c r="K750" s="169">
        <f t="shared" si="1562"/>
        <v>0</v>
      </c>
      <c r="L750" s="169">
        <f t="shared" si="1562"/>
        <v>0</v>
      </c>
      <c r="M750" s="169">
        <f t="shared" si="1562"/>
        <v>0</v>
      </c>
      <c r="N750" s="169">
        <f t="shared" si="1562"/>
        <v>0</v>
      </c>
      <c r="O750" s="169">
        <f t="shared" si="1562"/>
        <v>0</v>
      </c>
      <c r="P750" s="169">
        <f t="shared" si="1562"/>
        <v>0</v>
      </c>
      <c r="Q750" s="169">
        <f t="shared" si="1562"/>
        <v>0</v>
      </c>
      <c r="R750" s="169">
        <f t="shared" si="1562"/>
        <v>0</v>
      </c>
      <c r="S750" s="169">
        <f t="shared" si="1562"/>
        <v>0</v>
      </c>
      <c r="T750" s="169">
        <f t="shared" si="1562"/>
        <v>0</v>
      </c>
      <c r="U750" s="169">
        <f t="shared" si="1562"/>
        <v>0</v>
      </c>
      <c r="V750" s="169">
        <f t="shared" si="1562"/>
        <v>0</v>
      </c>
      <c r="W750" s="169">
        <f t="shared" si="1562"/>
        <v>0</v>
      </c>
      <c r="X750" s="169">
        <f t="shared" si="1562"/>
        <v>0</v>
      </c>
      <c r="Y750" s="169">
        <f t="shared" si="1562"/>
        <v>0</v>
      </c>
      <c r="Z750" s="169">
        <f t="shared" si="1562"/>
        <v>0</v>
      </c>
      <c r="AA750" s="169">
        <f t="shared" si="1562"/>
        <v>0</v>
      </c>
      <c r="AB750" s="169">
        <f t="shared" si="1562"/>
        <v>0</v>
      </c>
      <c r="AC750" s="169">
        <f t="shared" si="1562"/>
        <v>0</v>
      </c>
      <c r="AD750" s="169">
        <f t="shared" si="1562"/>
        <v>0</v>
      </c>
      <c r="AE750" s="169">
        <f t="shared" si="1562"/>
        <v>0</v>
      </c>
      <c r="AF750" s="169">
        <f t="shared" si="1562"/>
        <v>0</v>
      </c>
      <c r="AG750" s="169">
        <f t="shared" si="1562"/>
        <v>0</v>
      </c>
      <c r="AH750" s="169">
        <f t="shared" si="1562"/>
        <v>0</v>
      </c>
      <c r="AI750" s="169">
        <f t="shared" si="1562"/>
        <v>0</v>
      </c>
      <c r="AJ750" s="169">
        <f t="shared" si="1562"/>
        <v>0</v>
      </c>
      <c r="AK750" s="169">
        <f t="shared" si="1562"/>
        <v>0</v>
      </c>
      <c r="AL750" s="169">
        <f t="shared" si="1562"/>
        <v>0</v>
      </c>
      <c r="AM750" s="169">
        <f t="shared" si="1562"/>
        <v>0</v>
      </c>
      <c r="AN750" s="169">
        <f t="shared" si="1562"/>
        <v>0</v>
      </c>
      <c r="AO750" s="169">
        <f t="shared" si="1562"/>
        <v>0</v>
      </c>
      <c r="AP750" s="169">
        <f t="shared" si="1562"/>
        <v>0</v>
      </c>
    </row>
    <row r="751" spans="1:42" x14ac:dyDescent="0.2">
      <c r="A751" s="20">
        <f t="shared" ref="A751:A758" si="1563">A750+1</f>
        <v>3</v>
      </c>
      <c r="B751" s="233">
        <f t="shared" si="1560"/>
        <v>0</v>
      </c>
      <c r="C751" s="169">
        <f t="shared" ref="C751:AP751" si="1564">IF(C$2&gt;AnalysisPeriod,0,IF(C$2=MMFrequency3*$A751,MMCost3*CapacityDC*1000*(1+Inflation)^B$2,0))</f>
        <v>0</v>
      </c>
      <c r="D751" s="169">
        <f t="shared" si="1564"/>
        <v>0</v>
      </c>
      <c r="E751" s="169">
        <f t="shared" si="1564"/>
        <v>0</v>
      </c>
      <c r="F751" s="169">
        <f t="shared" si="1564"/>
        <v>0</v>
      </c>
      <c r="G751" s="169">
        <f t="shared" si="1564"/>
        <v>0</v>
      </c>
      <c r="H751" s="169">
        <f t="shared" si="1564"/>
        <v>0</v>
      </c>
      <c r="I751" s="169">
        <f t="shared" si="1564"/>
        <v>0</v>
      </c>
      <c r="J751" s="169">
        <f t="shared" si="1564"/>
        <v>0</v>
      </c>
      <c r="K751" s="169">
        <f t="shared" si="1564"/>
        <v>0</v>
      </c>
      <c r="L751" s="169">
        <f t="shared" si="1564"/>
        <v>0</v>
      </c>
      <c r="M751" s="169">
        <f t="shared" si="1564"/>
        <v>0</v>
      </c>
      <c r="N751" s="169">
        <f t="shared" si="1564"/>
        <v>0</v>
      </c>
      <c r="O751" s="169">
        <f t="shared" si="1564"/>
        <v>0</v>
      </c>
      <c r="P751" s="169">
        <f t="shared" si="1564"/>
        <v>0</v>
      </c>
      <c r="Q751" s="169">
        <f t="shared" si="1564"/>
        <v>0</v>
      </c>
      <c r="R751" s="169">
        <f t="shared" si="1564"/>
        <v>0</v>
      </c>
      <c r="S751" s="169">
        <f t="shared" si="1564"/>
        <v>0</v>
      </c>
      <c r="T751" s="169">
        <f t="shared" si="1564"/>
        <v>0</v>
      </c>
      <c r="U751" s="169">
        <f t="shared" si="1564"/>
        <v>0</v>
      </c>
      <c r="V751" s="169">
        <f t="shared" si="1564"/>
        <v>0</v>
      </c>
      <c r="W751" s="169">
        <f t="shared" si="1564"/>
        <v>0</v>
      </c>
      <c r="X751" s="169">
        <f t="shared" si="1564"/>
        <v>0</v>
      </c>
      <c r="Y751" s="169">
        <f t="shared" si="1564"/>
        <v>0</v>
      </c>
      <c r="Z751" s="169">
        <f t="shared" si="1564"/>
        <v>0</v>
      </c>
      <c r="AA751" s="169">
        <f t="shared" si="1564"/>
        <v>0</v>
      </c>
      <c r="AB751" s="169">
        <f t="shared" si="1564"/>
        <v>0</v>
      </c>
      <c r="AC751" s="169">
        <f t="shared" si="1564"/>
        <v>0</v>
      </c>
      <c r="AD751" s="169">
        <f t="shared" si="1564"/>
        <v>0</v>
      </c>
      <c r="AE751" s="169">
        <f t="shared" si="1564"/>
        <v>0</v>
      </c>
      <c r="AF751" s="169">
        <f t="shared" si="1564"/>
        <v>0</v>
      </c>
      <c r="AG751" s="169">
        <f t="shared" si="1564"/>
        <v>0</v>
      </c>
      <c r="AH751" s="169">
        <f t="shared" si="1564"/>
        <v>0</v>
      </c>
      <c r="AI751" s="169">
        <f t="shared" si="1564"/>
        <v>0</v>
      </c>
      <c r="AJ751" s="169">
        <f t="shared" si="1564"/>
        <v>0</v>
      </c>
      <c r="AK751" s="169">
        <f t="shared" si="1564"/>
        <v>0</v>
      </c>
      <c r="AL751" s="169">
        <f t="shared" si="1564"/>
        <v>0</v>
      </c>
      <c r="AM751" s="169">
        <f t="shared" si="1564"/>
        <v>0</v>
      </c>
      <c r="AN751" s="169">
        <f t="shared" si="1564"/>
        <v>0</v>
      </c>
      <c r="AO751" s="169">
        <f t="shared" si="1564"/>
        <v>0</v>
      </c>
      <c r="AP751" s="169">
        <f t="shared" si="1564"/>
        <v>0</v>
      </c>
    </row>
    <row r="752" spans="1:42" x14ac:dyDescent="0.2">
      <c r="A752" s="20">
        <f t="shared" si="1563"/>
        <v>4</v>
      </c>
      <c r="B752" s="233">
        <f t="shared" si="1560"/>
        <v>0</v>
      </c>
      <c r="C752" s="169">
        <f t="shared" ref="C752:AP752" si="1565">IF(C$2&gt;AnalysisPeriod,0,IF(C$2=MMFrequency3*$A752,MMCost3*CapacityDC*1000*(1+Inflation)^B$2,0))</f>
        <v>0</v>
      </c>
      <c r="D752" s="169">
        <f t="shared" si="1565"/>
        <v>0</v>
      </c>
      <c r="E752" s="169">
        <f t="shared" si="1565"/>
        <v>0</v>
      </c>
      <c r="F752" s="169">
        <f t="shared" si="1565"/>
        <v>0</v>
      </c>
      <c r="G752" s="169">
        <f t="shared" si="1565"/>
        <v>0</v>
      </c>
      <c r="H752" s="169">
        <f t="shared" si="1565"/>
        <v>0</v>
      </c>
      <c r="I752" s="169">
        <f t="shared" si="1565"/>
        <v>0</v>
      </c>
      <c r="J752" s="169">
        <f t="shared" si="1565"/>
        <v>0</v>
      </c>
      <c r="K752" s="169">
        <f t="shared" si="1565"/>
        <v>0</v>
      </c>
      <c r="L752" s="169">
        <f t="shared" si="1565"/>
        <v>0</v>
      </c>
      <c r="M752" s="169">
        <f t="shared" si="1565"/>
        <v>0</v>
      </c>
      <c r="N752" s="169">
        <f t="shared" si="1565"/>
        <v>0</v>
      </c>
      <c r="O752" s="169">
        <f t="shared" si="1565"/>
        <v>0</v>
      </c>
      <c r="P752" s="169">
        <f t="shared" si="1565"/>
        <v>0</v>
      </c>
      <c r="Q752" s="169">
        <f t="shared" si="1565"/>
        <v>0</v>
      </c>
      <c r="R752" s="169">
        <f t="shared" si="1565"/>
        <v>0</v>
      </c>
      <c r="S752" s="169">
        <f t="shared" si="1565"/>
        <v>0</v>
      </c>
      <c r="T752" s="169">
        <f t="shared" si="1565"/>
        <v>0</v>
      </c>
      <c r="U752" s="169">
        <f t="shared" si="1565"/>
        <v>0</v>
      </c>
      <c r="V752" s="169">
        <f t="shared" si="1565"/>
        <v>0</v>
      </c>
      <c r="W752" s="169">
        <f t="shared" si="1565"/>
        <v>0</v>
      </c>
      <c r="X752" s="169">
        <f t="shared" si="1565"/>
        <v>0</v>
      </c>
      <c r="Y752" s="169">
        <f t="shared" si="1565"/>
        <v>0</v>
      </c>
      <c r="Z752" s="169">
        <f t="shared" si="1565"/>
        <v>0</v>
      </c>
      <c r="AA752" s="169">
        <f t="shared" si="1565"/>
        <v>0</v>
      </c>
      <c r="AB752" s="169">
        <f t="shared" si="1565"/>
        <v>0</v>
      </c>
      <c r="AC752" s="169">
        <f t="shared" si="1565"/>
        <v>0</v>
      </c>
      <c r="AD752" s="169">
        <f t="shared" si="1565"/>
        <v>0</v>
      </c>
      <c r="AE752" s="169">
        <f t="shared" si="1565"/>
        <v>0</v>
      </c>
      <c r="AF752" s="169">
        <f t="shared" si="1565"/>
        <v>0</v>
      </c>
      <c r="AG752" s="169">
        <f t="shared" si="1565"/>
        <v>0</v>
      </c>
      <c r="AH752" s="169">
        <f t="shared" si="1565"/>
        <v>0</v>
      </c>
      <c r="AI752" s="169">
        <f t="shared" si="1565"/>
        <v>0</v>
      </c>
      <c r="AJ752" s="169">
        <f t="shared" si="1565"/>
        <v>0</v>
      </c>
      <c r="AK752" s="169">
        <f t="shared" si="1565"/>
        <v>0</v>
      </c>
      <c r="AL752" s="169">
        <f t="shared" si="1565"/>
        <v>0</v>
      </c>
      <c r="AM752" s="169">
        <f t="shared" si="1565"/>
        <v>0</v>
      </c>
      <c r="AN752" s="169">
        <f t="shared" si="1565"/>
        <v>0</v>
      </c>
      <c r="AO752" s="169">
        <f t="shared" si="1565"/>
        <v>0</v>
      </c>
      <c r="AP752" s="169">
        <f t="shared" si="1565"/>
        <v>0</v>
      </c>
    </row>
    <row r="753" spans="1:42" x14ac:dyDescent="0.2">
      <c r="A753" s="20">
        <f t="shared" si="1563"/>
        <v>5</v>
      </c>
      <c r="B753" s="233">
        <f t="shared" si="1560"/>
        <v>0</v>
      </c>
      <c r="C753" s="169">
        <f t="shared" ref="C753:AP753" si="1566">IF(C$2&gt;AnalysisPeriod,0,IF(C$2=MMFrequency3*$A753,MMCost3*CapacityDC*1000*(1+Inflation)^B$2,0))</f>
        <v>0</v>
      </c>
      <c r="D753" s="169">
        <f t="shared" si="1566"/>
        <v>0</v>
      </c>
      <c r="E753" s="169">
        <f t="shared" si="1566"/>
        <v>0</v>
      </c>
      <c r="F753" s="169">
        <f t="shared" si="1566"/>
        <v>0</v>
      </c>
      <c r="G753" s="169">
        <f t="shared" si="1566"/>
        <v>0</v>
      </c>
      <c r="H753" s="169">
        <f t="shared" si="1566"/>
        <v>0</v>
      </c>
      <c r="I753" s="169">
        <f t="shared" si="1566"/>
        <v>0</v>
      </c>
      <c r="J753" s="169">
        <f t="shared" si="1566"/>
        <v>0</v>
      </c>
      <c r="K753" s="169">
        <f t="shared" si="1566"/>
        <v>0</v>
      </c>
      <c r="L753" s="169">
        <f t="shared" si="1566"/>
        <v>0</v>
      </c>
      <c r="M753" s="169">
        <f t="shared" si="1566"/>
        <v>0</v>
      </c>
      <c r="N753" s="169">
        <f t="shared" si="1566"/>
        <v>0</v>
      </c>
      <c r="O753" s="169">
        <f t="shared" si="1566"/>
        <v>0</v>
      </c>
      <c r="P753" s="169">
        <f t="shared" si="1566"/>
        <v>0</v>
      </c>
      <c r="Q753" s="169">
        <f t="shared" si="1566"/>
        <v>0</v>
      </c>
      <c r="R753" s="169">
        <f t="shared" si="1566"/>
        <v>0</v>
      </c>
      <c r="S753" s="169">
        <f t="shared" si="1566"/>
        <v>0</v>
      </c>
      <c r="T753" s="169">
        <f t="shared" si="1566"/>
        <v>0</v>
      </c>
      <c r="U753" s="169">
        <f t="shared" si="1566"/>
        <v>0</v>
      </c>
      <c r="V753" s="169">
        <f t="shared" si="1566"/>
        <v>0</v>
      </c>
      <c r="W753" s="169">
        <f t="shared" si="1566"/>
        <v>0</v>
      </c>
      <c r="X753" s="169">
        <f t="shared" si="1566"/>
        <v>0</v>
      </c>
      <c r="Y753" s="169">
        <f t="shared" si="1566"/>
        <v>0</v>
      </c>
      <c r="Z753" s="169">
        <f t="shared" si="1566"/>
        <v>0</v>
      </c>
      <c r="AA753" s="169">
        <f t="shared" si="1566"/>
        <v>0</v>
      </c>
      <c r="AB753" s="169">
        <f t="shared" si="1566"/>
        <v>0</v>
      </c>
      <c r="AC753" s="169">
        <f t="shared" si="1566"/>
        <v>0</v>
      </c>
      <c r="AD753" s="169">
        <f t="shared" si="1566"/>
        <v>0</v>
      </c>
      <c r="AE753" s="169">
        <f t="shared" si="1566"/>
        <v>0</v>
      </c>
      <c r="AF753" s="169">
        <f t="shared" si="1566"/>
        <v>0</v>
      </c>
      <c r="AG753" s="169">
        <f t="shared" si="1566"/>
        <v>0</v>
      </c>
      <c r="AH753" s="169">
        <f t="shared" si="1566"/>
        <v>0</v>
      </c>
      <c r="AI753" s="169">
        <f t="shared" si="1566"/>
        <v>0</v>
      </c>
      <c r="AJ753" s="169">
        <f t="shared" si="1566"/>
        <v>0</v>
      </c>
      <c r="AK753" s="169">
        <f t="shared" si="1566"/>
        <v>0</v>
      </c>
      <c r="AL753" s="169">
        <f t="shared" si="1566"/>
        <v>0</v>
      </c>
      <c r="AM753" s="169">
        <f t="shared" si="1566"/>
        <v>0</v>
      </c>
      <c r="AN753" s="169">
        <f t="shared" si="1566"/>
        <v>0</v>
      </c>
      <c r="AO753" s="169">
        <f t="shared" si="1566"/>
        <v>0</v>
      </c>
      <c r="AP753" s="169">
        <f t="shared" si="1566"/>
        <v>0</v>
      </c>
    </row>
    <row r="754" spans="1:42" x14ac:dyDescent="0.2">
      <c r="A754" s="20">
        <f t="shared" si="1563"/>
        <v>6</v>
      </c>
      <c r="B754" s="233">
        <f t="shared" si="1560"/>
        <v>0</v>
      </c>
      <c r="C754" s="169">
        <f t="shared" ref="C754:AP754" si="1567">IF(C$2&gt;AnalysisPeriod,0,IF(C$2=MMFrequency3*$A754,MMCost3*CapacityDC*1000*(1+Inflation)^B$2,0))</f>
        <v>0</v>
      </c>
      <c r="D754" s="169">
        <f t="shared" si="1567"/>
        <v>0</v>
      </c>
      <c r="E754" s="169">
        <f t="shared" si="1567"/>
        <v>0</v>
      </c>
      <c r="F754" s="169">
        <f t="shared" si="1567"/>
        <v>0</v>
      </c>
      <c r="G754" s="169">
        <f t="shared" si="1567"/>
        <v>0</v>
      </c>
      <c r="H754" s="169">
        <f t="shared" si="1567"/>
        <v>0</v>
      </c>
      <c r="I754" s="169">
        <f t="shared" si="1567"/>
        <v>0</v>
      </c>
      <c r="J754" s="169">
        <f t="shared" si="1567"/>
        <v>0</v>
      </c>
      <c r="K754" s="169">
        <f t="shared" si="1567"/>
        <v>0</v>
      </c>
      <c r="L754" s="169">
        <f t="shared" si="1567"/>
        <v>0</v>
      </c>
      <c r="M754" s="169">
        <f t="shared" si="1567"/>
        <v>0</v>
      </c>
      <c r="N754" s="169">
        <f t="shared" si="1567"/>
        <v>0</v>
      </c>
      <c r="O754" s="169">
        <f t="shared" si="1567"/>
        <v>0</v>
      </c>
      <c r="P754" s="169">
        <f t="shared" si="1567"/>
        <v>0</v>
      </c>
      <c r="Q754" s="169">
        <f t="shared" si="1567"/>
        <v>0</v>
      </c>
      <c r="R754" s="169">
        <f t="shared" si="1567"/>
        <v>0</v>
      </c>
      <c r="S754" s="169">
        <f t="shared" si="1567"/>
        <v>0</v>
      </c>
      <c r="T754" s="169">
        <f t="shared" si="1567"/>
        <v>0</v>
      </c>
      <c r="U754" s="169">
        <f t="shared" si="1567"/>
        <v>0</v>
      </c>
      <c r="V754" s="169">
        <f t="shared" si="1567"/>
        <v>0</v>
      </c>
      <c r="W754" s="169">
        <f t="shared" si="1567"/>
        <v>0</v>
      </c>
      <c r="X754" s="169">
        <f t="shared" si="1567"/>
        <v>0</v>
      </c>
      <c r="Y754" s="169">
        <f t="shared" si="1567"/>
        <v>0</v>
      </c>
      <c r="Z754" s="169">
        <f t="shared" si="1567"/>
        <v>0</v>
      </c>
      <c r="AA754" s="169">
        <f t="shared" si="1567"/>
        <v>0</v>
      </c>
      <c r="AB754" s="169">
        <f t="shared" si="1567"/>
        <v>0</v>
      </c>
      <c r="AC754" s="169">
        <f t="shared" si="1567"/>
        <v>0</v>
      </c>
      <c r="AD754" s="169">
        <f t="shared" si="1567"/>
        <v>0</v>
      </c>
      <c r="AE754" s="169">
        <f t="shared" si="1567"/>
        <v>0</v>
      </c>
      <c r="AF754" s="169">
        <f t="shared" si="1567"/>
        <v>0</v>
      </c>
      <c r="AG754" s="169">
        <f t="shared" si="1567"/>
        <v>0</v>
      </c>
      <c r="AH754" s="169">
        <f t="shared" si="1567"/>
        <v>0</v>
      </c>
      <c r="AI754" s="169">
        <f t="shared" si="1567"/>
        <v>0</v>
      </c>
      <c r="AJ754" s="169">
        <f t="shared" si="1567"/>
        <v>0</v>
      </c>
      <c r="AK754" s="169">
        <f t="shared" si="1567"/>
        <v>0</v>
      </c>
      <c r="AL754" s="169">
        <f t="shared" si="1567"/>
        <v>0</v>
      </c>
      <c r="AM754" s="169">
        <f t="shared" si="1567"/>
        <v>0</v>
      </c>
      <c r="AN754" s="169">
        <f t="shared" si="1567"/>
        <v>0</v>
      </c>
      <c r="AO754" s="169">
        <f t="shared" si="1567"/>
        <v>0</v>
      </c>
      <c r="AP754" s="169">
        <f t="shared" si="1567"/>
        <v>0</v>
      </c>
    </row>
    <row r="755" spans="1:42" x14ac:dyDescent="0.2">
      <c r="A755" s="20">
        <f t="shared" si="1563"/>
        <v>7</v>
      </c>
      <c r="B755" s="233">
        <f t="shared" si="1560"/>
        <v>0</v>
      </c>
      <c r="C755" s="169">
        <f t="shared" ref="C755:AP755" si="1568">IF(C$2&gt;AnalysisPeriod,0,IF(C$2=MMFrequency3*$A755,MMCost3*CapacityDC*1000*(1+Inflation)^B$2,0))</f>
        <v>0</v>
      </c>
      <c r="D755" s="169">
        <f t="shared" si="1568"/>
        <v>0</v>
      </c>
      <c r="E755" s="169">
        <f t="shared" si="1568"/>
        <v>0</v>
      </c>
      <c r="F755" s="169">
        <f t="shared" si="1568"/>
        <v>0</v>
      </c>
      <c r="G755" s="169">
        <f t="shared" si="1568"/>
        <v>0</v>
      </c>
      <c r="H755" s="169">
        <f t="shared" si="1568"/>
        <v>0</v>
      </c>
      <c r="I755" s="169">
        <f t="shared" si="1568"/>
        <v>0</v>
      </c>
      <c r="J755" s="169">
        <f t="shared" si="1568"/>
        <v>0</v>
      </c>
      <c r="K755" s="169">
        <f t="shared" si="1568"/>
        <v>0</v>
      </c>
      <c r="L755" s="169">
        <f t="shared" si="1568"/>
        <v>0</v>
      </c>
      <c r="M755" s="169">
        <f t="shared" si="1568"/>
        <v>0</v>
      </c>
      <c r="N755" s="169">
        <f t="shared" si="1568"/>
        <v>0</v>
      </c>
      <c r="O755" s="169">
        <f t="shared" si="1568"/>
        <v>0</v>
      </c>
      <c r="P755" s="169">
        <f t="shared" si="1568"/>
        <v>0</v>
      </c>
      <c r="Q755" s="169">
        <f t="shared" si="1568"/>
        <v>0</v>
      </c>
      <c r="R755" s="169">
        <f t="shared" si="1568"/>
        <v>0</v>
      </c>
      <c r="S755" s="169">
        <f t="shared" si="1568"/>
        <v>0</v>
      </c>
      <c r="T755" s="169">
        <f t="shared" si="1568"/>
        <v>0</v>
      </c>
      <c r="U755" s="169">
        <f t="shared" si="1568"/>
        <v>0</v>
      </c>
      <c r="V755" s="169">
        <f t="shared" si="1568"/>
        <v>0</v>
      </c>
      <c r="W755" s="169">
        <f t="shared" si="1568"/>
        <v>0</v>
      </c>
      <c r="X755" s="169">
        <f t="shared" si="1568"/>
        <v>0</v>
      </c>
      <c r="Y755" s="169">
        <f t="shared" si="1568"/>
        <v>0</v>
      </c>
      <c r="Z755" s="169">
        <f t="shared" si="1568"/>
        <v>0</v>
      </c>
      <c r="AA755" s="169">
        <f t="shared" si="1568"/>
        <v>0</v>
      </c>
      <c r="AB755" s="169">
        <f t="shared" si="1568"/>
        <v>0</v>
      </c>
      <c r="AC755" s="169">
        <f t="shared" si="1568"/>
        <v>0</v>
      </c>
      <c r="AD755" s="169">
        <f t="shared" si="1568"/>
        <v>0</v>
      </c>
      <c r="AE755" s="169">
        <f t="shared" si="1568"/>
        <v>0</v>
      </c>
      <c r="AF755" s="169">
        <f t="shared" si="1568"/>
        <v>0</v>
      </c>
      <c r="AG755" s="169">
        <f t="shared" si="1568"/>
        <v>0</v>
      </c>
      <c r="AH755" s="169">
        <f t="shared" si="1568"/>
        <v>0</v>
      </c>
      <c r="AI755" s="169">
        <f t="shared" si="1568"/>
        <v>0</v>
      </c>
      <c r="AJ755" s="169">
        <f t="shared" si="1568"/>
        <v>0</v>
      </c>
      <c r="AK755" s="169">
        <f t="shared" si="1568"/>
        <v>0</v>
      </c>
      <c r="AL755" s="169">
        <f t="shared" si="1568"/>
        <v>0</v>
      </c>
      <c r="AM755" s="169">
        <f t="shared" si="1568"/>
        <v>0</v>
      </c>
      <c r="AN755" s="169">
        <f t="shared" si="1568"/>
        <v>0</v>
      </c>
      <c r="AO755" s="169">
        <f t="shared" si="1568"/>
        <v>0</v>
      </c>
      <c r="AP755" s="169">
        <f t="shared" si="1568"/>
        <v>0</v>
      </c>
    </row>
    <row r="756" spans="1:42" x14ac:dyDescent="0.2">
      <c r="A756" s="20">
        <f t="shared" si="1563"/>
        <v>8</v>
      </c>
      <c r="B756" s="233">
        <f t="shared" si="1560"/>
        <v>0</v>
      </c>
      <c r="C756" s="169">
        <f t="shared" ref="C756:AP756" si="1569">IF(C$2&gt;AnalysisPeriod,0,IF(C$2=MMFrequency3*$A756,MMCost3*CapacityDC*1000*(1+Inflation)^B$2,0))</f>
        <v>0</v>
      </c>
      <c r="D756" s="169">
        <f t="shared" si="1569"/>
        <v>0</v>
      </c>
      <c r="E756" s="169">
        <f t="shared" si="1569"/>
        <v>0</v>
      </c>
      <c r="F756" s="169">
        <f t="shared" si="1569"/>
        <v>0</v>
      </c>
      <c r="G756" s="169">
        <f t="shared" si="1569"/>
        <v>0</v>
      </c>
      <c r="H756" s="169">
        <f t="shared" si="1569"/>
        <v>0</v>
      </c>
      <c r="I756" s="169">
        <f t="shared" si="1569"/>
        <v>0</v>
      </c>
      <c r="J756" s="169">
        <f t="shared" si="1569"/>
        <v>0</v>
      </c>
      <c r="K756" s="169">
        <f t="shared" si="1569"/>
        <v>0</v>
      </c>
      <c r="L756" s="169">
        <f t="shared" si="1569"/>
        <v>0</v>
      </c>
      <c r="M756" s="169">
        <f t="shared" si="1569"/>
        <v>0</v>
      </c>
      <c r="N756" s="169">
        <f t="shared" si="1569"/>
        <v>0</v>
      </c>
      <c r="O756" s="169">
        <f t="shared" si="1569"/>
        <v>0</v>
      </c>
      <c r="P756" s="169">
        <f t="shared" si="1569"/>
        <v>0</v>
      </c>
      <c r="Q756" s="169">
        <f t="shared" si="1569"/>
        <v>0</v>
      </c>
      <c r="R756" s="169">
        <f t="shared" si="1569"/>
        <v>0</v>
      </c>
      <c r="S756" s="169">
        <f t="shared" si="1569"/>
        <v>0</v>
      </c>
      <c r="T756" s="169">
        <f t="shared" si="1569"/>
        <v>0</v>
      </c>
      <c r="U756" s="169">
        <f t="shared" si="1569"/>
        <v>0</v>
      </c>
      <c r="V756" s="169">
        <f t="shared" si="1569"/>
        <v>0</v>
      </c>
      <c r="W756" s="169">
        <f t="shared" si="1569"/>
        <v>0</v>
      </c>
      <c r="X756" s="169">
        <f t="shared" si="1569"/>
        <v>0</v>
      </c>
      <c r="Y756" s="169">
        <f t="shared" si="1569"/>
        <v>0</v>
      </c>
      <c r="Z756" s="169">
        <f t="shared" si="1569"/>
        <v>0</v>
      </c>
      <c r="AA756" s="169">
        <f t="shared" si="1569"/>
        <v>0</v>
      </c>
      <c r="AB756" s="169">
        <f t="shared" si="1569"/>
        <v>0</v>
      </c>
      <c r="AC756" s="169">
        <f t="shared" si="1569"/>
        <v>0</v>
      </c>
      <c r="AD756" s="169">
        <f t="shared" si="1569"/>
        <v>0</v>
      </c>
      <c r="AE756" s="169">
        <f t="shared" si="1569"/>
        <v>0</v>
      </c>
      <c r="AF756" s="169">
        <f t="shared" si="1569"/>
        <v>0</v>
      </c>
      <c r="AG756" s="169">
        <f t="shared" si="1569"/>
        <v>0</v>
      </c>
      <c r="AH756" s="169">
        <f t="shared" si="1569"/>
        <v>0</v>
      </c>
      <c r="AI756" s="169">
        <f t="shared" si="1569"/>
        <v>0</v>
      </c>
      <c r="AJ756" s="169">
        <f t="shared" si="1569"/>
        <v>0</v>
      </c>
      <c r="AK756" s="169">
        <f t="shared" si="1569"/>
        <v>0</v>
      </c>
      <c r="AL756" s="169">
        <f t="shared" si="1569"/>
        <v>0</v>
      </c>
      <c r="AM756" s="169">
        <f t="shared" si="1569"/>
        <v>0</v>
      </c>
      <c r="AN756" s="169">
        <f t="shared" si="1569"/>
        <v>0</v>
      </c>
      <c r="AO756" s="169">
        <f t="shared" si="1569"/>
        <v>0</v>
      </c>
      <c r="AP756" s="169">
        <f t="shared" si="1569"/>
        <v>0</v>
      </c>
    </row>
    <row r="757" spans="1:42" x14ac:dyDescent="0.2">
      <c r="A757" s="20">
        <f>A756+1</f>
        <v>9</v>
      </c>
      <c r="B757" s="233">
        <f t="shared" si="1560"/>
        <v>0</v>
      </c>
      <c r="C757" s="169">
        <f t="shared" ref="C757:AP757" si="1570">IF(C$2&gt;AnalysisPeriod,0,IF(C$2=MMFrequency3*$A757,MMCost3*CapacityDC*1000*(1+Inflation)^B$2,0))</f>
        <v>0</v>
      </c>
      <c r="D757" s="169">
        <f t="shared" si="1570"/>
        <v>0</v>
      </c>
      <c r="E757" s="169">
        <f t="shared" si="1570"/>
        <v>0</v>
      </c>
      <c r="F757" s="169">
        <f t="shared" si="1570"/>
        <v>0</v>
      </c>
      <c r="G757" s="169">
        <f t="shared" si="1570"/>
        <v>0</v>
      </c>
      <c r="H757" s="169">
        <f t="shared" si="1570"/>
        <v>0</v>
      </c>
      <c r="I757" s="169">
        <f t="shared" si="1570"/>
        <v>0</v>
      </c>
      <c r="J757" s="169">
        <f t="shared" si="1570"/>
        <v>0</v>
      </c>
      <c r="K757" s="169">
        <f t="shared" si="1570"/>
        <v>0</v>
      </c>
      <c r="L757" s="169">
        <f t="shared" si="1570"/>
        <v>0</v>
      </c>
      <c r="M757" s="169">
        <f t="shared" si="1570"/>
        <v>0</v>
      </c>
      <c r="N757" s="169">
        <f t="shared" si="1570"/>
        <v>0</v>
      </c>
      <c r="O757" s="169">
        <f t="shared" si="1570"/>
        <v>0</v>
      </c>
      <c r="P757" s="169">
        <f t="shared" si="1570"/>
        <v>0</v>
      </c>
      <c r="Q757" s="169">
        <f t="shared" si="1570"/>
        <v>0</v>
      </c>
      <c r="R757" s="169">
        <f t="shared" si="1570"/>
        <v>0</v>
      </c>
      <c r="S757" s="169">
        <f t="shared" si="1570"/>
        <v>0</v>
      </c>
      <c r="T757" s="169">
        <f t="shared" si="1570"/>
        <v>0</v>
      </c>
      <c r="U757" s="169">
        <f t="shared" si="1570"/>
        <v>0</v>
      </c>
      <c r="V757" s="169">
        <f t="shared" si="1570"/>
        <v>0</v>
      </c>
      <c r="W757" s="169">
        <f t="shared" si="1570"/>
        <v>0</v>
      </c>
      <c r="X757" s="169">
        <f t="shared" si="1570"/>
        <v>0</v>
      </c>
      <c r="Y757" s="169">
        <f t="shared" si="1570"/>
        <v>0</v>
      </c>
      <c r="Z757" s="169">
        <f t="shared" si="1570"/>
        <v>0</v>
      </c>
      <c r="AA757" s="169">
        <f t="shared" si="1570"/>
        <v>0</v>
      </c>
      <c r="AB757" s="169">
        <f t="shared" si="1570"/>
        <v>0</v>
      </c>
      <c r="AC757" s="169">
        <f t="shared" si="1570"/>
        <v>0</v>
      </c>
      <c r="AD757" s="169">
        <f t="shared" si="1570"/>
        <v>0</v>
      </c>
      <c r="AE757" s="169">
        <f t="shared" si="1570"/>
        <v>0</v>
      </c>
      <c r="AF757" s="169">
        <f t="shared" si="1570"/>
        <v>0</v>
      </c>
      <c r="AG757" s="169">
        <f t="shared" si="1570"/>
        <v>0</v>
      </c>
      <c r="AH757" s="169">
        <f t="shared" si="1570"/>
        <v>0</v>
      </c>
      <c r="AI757" s="169">
        <f t="shared" si="1570"/>
        <v>0</v>
      </c>
      <c r="AJ757" s="169">
        <f t="shared" si="1570"/>
        <v>0</v>
      </c>
      <c r="AK757" s="169">
        <f t="shared" si="1570"/>
        <v>0</v>
      </c>
      <c r="AL757" s="169">
        <f t="shared" si="1570"/>
        <v>0</v>
      </c>
      <c r="AM757" s="169">
        <f t="shared" si="1570"/>
        <v>0</v>
      </c>
      <c r="AN757" s="169">
        <f t="shared" si="1570"/>
        <v>0</v>
      </c>
      <c r="AO757" s="169">
        <f t="shared" si="1570"/>
        <v>0</v>
      </c>
      <c r="AP757" s="169">
        <f t="shared" si="1570"/>
        <v>0</v>
      </c>
    </row>
    <row r="758" spans="1:42" x14ac:dyDescent="0.2">
      <c r="A758" s="20">
        <f t="shared" si="1563"/>
        <v>10</v>
      </c>
      <c r="B758" s="233">
        <f t="shared" si="1560"/>
        <v>0</v>
      </c>
      <c r="C758" s="170">
        <f t="shared" ref="C758:AP758" si="1571">IF(C$2&gt;AnalysisPeriod,0,IF(C$2=MMFrequency3*$A758,MMCost3*CapacityDC*1000*(1+Inflation)^B$2,0))</f>
        <v>0</v>
      </c>
      <c r="D758" s="170">
        <f t="shared" si="1571"/>
        <v>0</v>
      </c>
      <c r="E758" s="170">
        <f t="shared" si="1571"/>
        <v>0</v>
      </c>
      <c r="F758" s="170">
        <f t="shared" si="1571"/>
        <v>0</v>
      </c>
      <c r="G758" s="170">
        <f t="shared" si="1571"/>
        <v>0</v>
      </c>
      <c r="H758" s="170">
        <f t="shared" si="1571"/>
        <v>0</v>
      </c>
      <c r="I758" s="170">
        <f t="shared" si="1571"/>
        <v>0</v>
      </c>
      <c r="J758" s="170">
        <f t="shared" si="1571"/>
        <v>0</v>
      </c>
      <c r="K758" s="170">
        <f t="shared" si="1571"/>
        <v>0</v>
      </c>
      <c r="L758" s="170">
        <f t="shared" si="1571"/>
        <v>0</v>
      </c>
      <c r="M758" s="170">
        <f t="shared" si="1571"/>
        <v>0</v>
      </c>
      <c r="N758" s="170">
        <f t="shared" si="1571"/>
        <v>0</v>
      </c>
      <c r="O758" s="170">
        <f t="shared" si="1571"/>
        <v>0</v>
      </c>
      <c r="P758" s="170">
        <f t="shared" si="1571"/>
        <v>0</v>
      </c>
      <c r="Q758" s="170">
        <f t="shared" si="1571"/>
        <v>0</v>
      </c>
      <c r="R758" s="170">
        <f t="shared" si="1571"/>
        <v>0</v>
      </c>
      <c r="S758" s="170">
        <f t="shared" si="1571"/>
        <v>0</v>
      </c>
      <c r="T758" s="170">
        <f t="shared" si="1571"/>
        <v>0</v>
      </c>
      <c r="U758" s="170">
        <f t="shared" si="1571"/>
        <v>0</v>
      </c>
      <c r="V758" s="170">
        <f t="shared" si="1571"/>
        <v>0</v>
      </c>
      <c r="W758" s="170">
        <f t="shared" si="1571"/>
        <v>0</v>
      </c>
      <c r="X758" s="170">
        <f t="shared" si="1571"/>
        <v>0</v>
      </c>
      <c r="Y758" s="170">
        <f t="shared" si="1571"/>
        <v>0</v>
      </c>
      <c r="Z758" s="170">
        <f t="shared" si="1571"/>
        <v>0</v>
      </c>
      <c r="AA758" s="170">
        <f t="shared" si="1571"/>
        <v>0</v>
      </c>
      <c r="AB758" s="170">
        <f t="shared" si="1571"/>
        <v>0</v>
      </c>
      <c r="AC758" s="170">
        <f t="shared" si="1571"/>
        <v>0</v>
      </c>
      <c r="AD758" s="170">
        <f t="shared" si="1571"/>
        <v>0</v>
      </c>
      <c r="AE758" s="170">
        <f t="shared" si="1571"/>
        <v>0</v>
      </c>
      <c r="AF758" s="170">
        <f t="shared" si="1571"/>
        <v>0</v>
      </c>
      <c r="AG758" s="170">
        <f t="shared" si="1571"/>
        <v>0</v>
      </c>
      <c r="AH758" s="170">
        <f t="shared" si="1571"/>
        <v>0</v>
      </c>
      <c r="AI758" s="170">
        <f t="shared" si="1571"/>
        <v>0</v>
      </c>
      <c r="AJ758" s="170">
        <f t="shared" si="1571"/>
        <v>0</v>
      </c>
      <c r="AK758" s="170">
        <f t="shared" si="1571"/>
        <v>0</v>
      </c>
      <c r="AL758" s="170">
        <f t="shared" si="1571"/>
        <v>0</v>
      </c>
      <c r="AM758" s="170">
        <f t="shared" si="1571"/>
        <v>0</v>
      </c>
      <c r="AN758" s="170">
        <f t="shared" si="1571"/>
        <v>0</v>
      </c>
      <c r="AO758" s="170">
        <f t="shared" si="1571"/>
        <v>0</v>
      </c>
      <c r="AP758" s="170">
        <f t="shared" si="1571"/>
        <v>0</v>
      </c>
    </row>
    <row r="759" spans="1:42" x14ac:dyDescent="0.2">
      <c r="A759" s="202" t="s">
        <v>53</v>
      </c>
      <c r="B759" s="169"/>
      <c r="C759" s="135">
        <f>SUM(C749:C758)</f>
        <v>0</v>
      </c>
      <c r="D759" s="135">
        <f t="shared" ref="D759:AP759" si="1572">SUM(D749:D758)</f>
        <v>0</v>
      </c>
      <c r="E759" s="135">
        <f t="shared" si="1572"/>
        <v>0</v>
      </c>
      <c r="F759" s="135">
        <f t="shared" si="1572"/>
        <v>0</v>
      </c>
      <c r="G759" s="135">
        <f t="shared" si="1572"/>
        <v>0</v>
      </c>
      <c r="H759" s="135">
        <f t="shared" si="1572"/>
        <v>0</v>
      </c>
      <c r="I759" s="135">
        <f t="shared" si="1572"/>
        <v>0</v>
      </c>
      <c r="J759" s="135">
        <f t="shared" si="1572"/>
        <v>0</v>
      </c>
      <c r="K759" s="135">
        <f t="shared" si="1572"/>
        <v>0</v>
      </c>
      <c r="L759" s="135">
        <f t="shared" si="1572"/>
        <v>0</v>
      </c>
      <c r="M759" s="135">
        <f t="shared" si="1572"/>
        <v>0</v>
      </c>
      <c r="N759" s="135">
        <f t="shared" si="1572"/>
        <v>0</v>
      </c>
      <c r="O759" s="135">
        <f t="shared" si="1572"/>
        <v>0</v>
      </c>
      <c r="P759" s="135">
        <f t="shared" si="1572"/>
        <v>0</v>
      </c>
      <c r="Q759" s="135">
        <f t="shared" si="1572"/>
        <v>0</v>
      </c>
      <c r="R759" s="135">
        <f t="shared" si="1572"/>
        <v>0</v>
      </c>
      <c r="S759" s="135">
        <f t="shared" si="1572"/>
        <v>0</v>
      </c>
      <c r="T759" s="135">
        <f t="shared" si="1572"/>
        <v>0</v>
      </c>
      <c r="U759" s="135">
        <f t="shared" si="1572"/>
        <v>0</v>
      </c>
      <c r="V759" s="135">
        <f t="shared" si="1572"/>
        <v>0</v>
      </c>
      <c r="W759" s="135">
        <f t="shared" si="1572"/>
        <v>0</v>
      </c>
      <c r="X759" s="135">
        <f t="shared" si="1572"/>
        <v>0</v>
      </c>
      <c r="Y759" s="135">
        <f t="shared" si="1572"/>
        <v>0</v>
      </c>
      <c r="Z759" s="135">
        <f t="shared" si="1572"/>
        <v>0</v>
      </c>
      <c r="AA759" s="135">
        <f t="shared" si="1572"/>
        <v>0</v>
      </c>
      <c r="AB759" s="135">
        <f t="shared" si="1572"/>
        <v>0</v>
      </c>
      <c r="AC759" s="135">
        <f t="shared" si="1572"/>
        <v>0</v>
      </c>
      <c r="AD759" s="135">
        <f t="shared" si="1572"/>
        <v>0</v>
      </c>
      <c r="AE759" s="135">
        <f t="shared" si="1572"/>
        <v>0</v>
      </c>
      <c r="AF759" s="135">
        <f t="shared" si="1572"/>
        <v>0</v>
      </c>
      <c r="AG759" s="135">
        <f t="shared" si="1572"/>
        <v>0</v>
      </c>
      <c r="AH759" s="135">
        <f t="shared" si="1572"/>
        <v>0</v>
      </c>
      <c r="AI759" s="135">
        <f t="shared" si="1572"/>
        <v>0</v>
      </c>
      <c r="AJ759" s="135">
        <f t="shared" si="1572"/>
        <v>0</v>
      </c>
      <c r="AK759" s="135">
        <f t="shared" si="1572"/>
        <v>0</v>
      </c>
      <c r="AL759" s="135">
        <f t="shared" si="1572"/>
        <v>0</v>
      </c>
      <c r="AM759" s="135">
        <f t="shared" si="1572"/>
        <v>0</v>
      </c>
      <c r="AN759" s="135">
        <f t="shared" si="1572"/>
        <v>0</v>
      </c>
      <c r="AO759" s="135">
        <f t="shared" si="1572"/>
        <v>0</v>
      </c>
      <c r="AP759" s="135">
        <f t="shared" si="1572"/>
        <v>0</v>
      </c>
    </row>
    <row r="760" spans="1:42" x14ac:dyDescent="0.2">
      <c r="A760" s="20" t="s">
        <v>184</v>
      </c>
      <c r="B760" s="135"/>
      <c r="C760" s="135"/>
      <c r="D760" s="135"/>
      <c r="E760" s="135"/>
      <c r="F760" s="135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</row>
    <row r="761" spans="1:42" x14ac:dyDescent="0.2">
      <c r="A761" s="20">
        <v>1</v>
      </c>
      <c r="B761" s="233">
        <f t="shared" ref="B761:B770" si="1573">SUM(C761:AP761)</f>
        <v>0</v>
      </c>
      <c r="C761" s="169">
        <f t="shared" ref="C761:AP761" si="1574">IF(C$2&lt;=MMFrequency3*$A$749,$B$749/(MMFrequency3),0)</f>
        <v>0</v>
      </c>
      <c r="D761" s="169">
        <f t="shared" si="1574"/>
        <v>0</v>
      </c>
      <c r="E761" s="169">
        <f t="shared" si="1574"/>
        <v>0</v>
      </c>
      <c r="F761" s="169">
        <f t="shared" si="1574"/>
        <v>0</v>
      </c>
      <c r="G761" s="169">
        <f t="shared" si="1574"/>
        <v>0</v>
      </c>
      <c r="H761" s="169">
        <f t="shared" si="1574"/>
        <v>0</v>
      </c>
      <c r="I761" s="169">
        <f t="shared" si="1574"/>
        <v>0</v>
      </c>
      <c r="J761" s="169">
        <f t="shared" si="1574"/>
        <v>0</v>
      </c>
      <c r="K761" s="169">
        <f t="shared" si="1574"/>
        <v>0</v>
      </c>
      <c r="L761" s="169">
        <f t="shared" si="1574"/>
        <v>0</v>
      </c>
      <c r="M761" s="169">
        <f t="shared" si="1574"/>
        <v>0</v>
      </c>
      <c r="N761" s="169">
        <f t="shared" si="1574"/>
        <v>0</v>
      </c>
      <c r="O761" s="169">
        <f t="shared" si="1574"/>
        <v>0</v>
      </c>
      <c r="P761" s="169">
        <f t="shared" si="1574"/>
        <v>0</v>
      </c>
      <c r="Q761" s="169">
        <f t="shared" si="1574"/>
        <v>0</v>
      </c>
      <c r="R761" s="169">
        <f t="shared" si="1574"/>
        <v>0</v>
      </c>
      <c r="S761" s="169">
        <f t="shared" si="1574"/>
        <v>0</v>
      </c>
      <c r="T761" s="169">
        <f t="shared" si="1574"/>
        <v>0</v>
      </c>
      <c r="U761" s="169">
        <f t="shared" si="1574"/>
        <v>0</v>
      </c>
      <c r="V761" s="169">
        <f t="shared" si="1574"/>
        <v>0</v>
      </c>
      <c r="W761" s="169">
        <f t="shared" si="1574"/>
        <v>0</v>
      </c>
      <c r="X761" s="169">
        <f t="shared" si="1574"/>
        <v>0</v>
      </c>
      <c r="Y761" s="169">
        <f t="shared" si="1574"/>
        <v>0</v>
      </c>
      <c r="Z761" s="169">
        <f t="shared" si="1574"/>
        <v>0</v>
      </c>
      <c r="AA761" s="169">
        <f t="shared" si="1574"/>
        <v>0</v>
      </c>
      <c r="AB761" s="169">
        <f t="shared" si="1574"/>
        <v>0</v>
      </c>
      <c r="AC761" s="169">
        <f t="shared" si="1574"/>
        <v>0</v>
      </c>
      <c r="AD761" s="169">
        <f t="shared" si="1574"/>
        <v>0</v>
      </c>
      <c r="AE761" s="169">
        <f t="shared" si="1574"/>
        <v>0</v>
      </c>
      <c r="AF761" s="169">
        <f t="shared" si="1574"/>
        <v>0</v>
      </c>
      <c r="AG761" s="169">
        <f t="shared" si="1574"/>
        <v>0</v>
      </c>
      <c r="AH761" s="169">
        <f t="shared" si="1574"/>
        <v>0</v>
      </c>
      <c r="AI761" s="169">
        <f t="shared" si="1574"/>
        <v>0</v>
      </c>
      <c r="AJ761" s="169">
        <f t="shared" si="1574"/>
        <v>0</v>
      </c>
      <c r="AK761" s="169">
        <f t="shared" si="1574"/>
        <v>0</v>
      </c>
      <c r="AL761" s="169">
        <f t="shared" si="1574"/>
        <v>0</v>
      </c>
      <c r="AM761" s="169">
        <f t="shared" si="1574"/>
        <v>0</v>
      </c>
      <c r="AN761" s="169">
        <f t="shared" si="1574"/>
        <v>0</v>
      </c>
      <c r="AO761" s="169">
        <f t="shared" si="1574"/>
        <v>0</v>
      </c>
      <c r="AP761" s="169">
        <f t="shared" si="1574"/>
        <v>0</v>
      </c>
    </row>
    <row r="762" spans="1:42" x14ac:dyDescent="0.2">
      <c r="A762" s="20">
        <f>A761+1</f>
        <v>2</v>
      </c>
      <c r="B762" s="233">
        <f t="shared" si="1573"/>
        <v>0</v>
      </c>
      <c r="C762" s="169">
        <f t="shared" ref="C762:AP762" si="1575">IF(AND(C$2&gt;MMFrequency3*$A749,C$2&lt;=MMFrequency3*$A750),$B750/(MMFrequency3),0)</f>
        <v>0</v>
      </c>
      <c r="D762" s="169">
        <f t="shared" si="1575"/>
        <v>0</v>
      </c>
      <c r="E762" s="169">
        <f t="shared" si="1575"/>
        <v>0</v>
      </c>
      <c r="F762" s="169">
        <f t="shared" si="1575"/>
        <v>0</v>
      </c>
      <c r="G762" s="169">
        <f t="shared" si="1575"/>
        <v>0</v>
      </c>
      <c r="H762" s="169">
        <f t="shared" si="1575"/>
        <v>0</v>
      </c>
      <c r="I762" s="169">
        <f t="shared" si="1575"/>
        <v>0</v>
      </c>
      <c r="J762" s="169">
        <f t="shared" si="1575"/>
        <v>0</v>
      </c>
      <c r="K762" s="169">
        <f t="shared" si="1575"/>
        <v>0</v>
      </c>
      <c r="L762" s="169">
        <f t="shared" si="1575"/>
        <v>0</v>
      </c>
      <c r="M762" s="169">
        <f t="shared" si="1575"/>
        <v>0</v>
      </c>
      <c r="N762" s="169">
        <f t="shared" si="1575"/>
        <v>0</v>
      </c>
      <c r="O762" s="169">
        <f t="shared" si="1575"/>
        <v>0</v>
      </c>
      <c r="P762" s="169">
        <f t="shared" si="1575"/>
        <v>0</v>
      </c>
      <c r="Q762" s="169">
        <f t="shared" si="1575"/>
        <v>0</v>
      </c>
      <c r="R762" s="169">
        <f t="shared" si="1575"/>
        <v>0</v>
      </c>
      <c r="S762" s="169">
        <f t="shared" si="1575"/>
        <v>0</v>
      </c>
      <c r="T762" s="169">
        <f t="shared" si="1575"/>
        <v>0</v>
      </c>
      <c r="U762" s="169">
        <f t="shared" si="1575"/>
        <v>0</v>
      </c>
      <c r="V762" s="169">
        <f t="shared" si="1575"/>
        <v>0</v>
      </c>
      <c r="W762" s="169">
        <f t="shared" si="1575"/>
        <v>0</v>
      </c>
      <c r="X762" s="169">
        <f t="shared" si="1575"/>
        <v>0</v>
      </c>
      <c r="Y762" s="169">
        <f t="shared" si="1575"/>
        <v>0</v>
      </c>
      <c r="Z762" s="169">
        <f t="shared" si="1575"/>
        <v>0</v>
      </c>
      <c r="AA762" s="169">
        <f t="shared" si="1575"/>
        <v>0</v>
      </c>
      <c r="AB762" s="169">
        <f t="shared" si="1575"/>
        <v>0</v>
      </c>
      <c r="AC762" s="169">
        <f t="shared" si="1575"/>
        <v>0</v>
      </c>
      <c r="AD762" s="169">
        <f t="shared" si="1575"/>
        <v>0</v>
      </c>
      <c r="AE762" s="169">
        <f t="shared" si="1575"/>
        <v>0</v>
      </c>
      <c r="AF762" s="169">
        <f t="shared" si="1575"/>
        <v>0</v>
      </c>
      <c r="AG762" s="169">
        <f t="shared" si="1575"/>
        <v>0</v>
      </c>
      <c r="AH762" s="169">
        <f t="shared" si="1575"/>
        <v>0</v>
      </c>
      <c r="AI762" s="169">
        <f t="shared" si="1575"/>
        <v>0</v>
      </c>
      <c r="AJ762" s="169">
        <f t="shared" si="1575"/>
        <v>0</v>
      </c>
      <c r="AK762" s="169">
        <f t="shared" si="1575"/>
        <v>0</v>
      </c>
      <c r="AL762" s="169">
        <f t="shared" si="1575"/>
        <v>0</v>
      </c>
      <c r="AM762" s="169">
        <f t="shared" si="1575"/>
        <v>0</v>
      </c>
      <c r="AN762" s="169">
        <f t="shared" si="1575"/>
        <v>0</v>
      </c>
      <c r="AO762" s="169">
        <f t="shared" si="1575"/>
        <v>0</v>
      </c>
      <c r="AP762" s="169">
        <f t="shared" si="1575"/>
        <v>0</v>
      </c>
    </row>
    <row r="763" spans="1:42" x14ac:dyDescent="0.2">
      <c r="A763" s="20">
        <f t="shared" ref="A763:A768" si="1576">A762+1</f>
        <v>3</v>
      </c>
      <c r="B763" s="233">
        <f t="shared" si="1573"/>
        <v>0</v>
      </c>
      <c r="C763" s="169">
        <f t="shared" ref="C763:AP763" si="1577">IF(AND(C$2&gt;MMFrequency3*$A750,C$2&lt;=MMFrequency3*$A751),$B751/(MMFrequency3),0)</f>
        <v>0</v>
      </c>
      <c r="D763" s="169">
        <f t="shared" si="1577"/>
        <v>0</v>
      </c>
      <c r="E763" s="169">
        <f t="shared" si="1577"/>
        <v>0</v>
      </c>
      <c r="F763" s="169">
        <f t="shared" si="1577"/>
        <v>0</v>
      </c>
      <c r="G763" s="169">
        <f t="shared" si="1577"/>
        <v>0</v>
      </c>
      <c r="H763" s="169">
        <f t="shared" si="1577"/>
        <v>0</v>
      </c>
      <c r="I763" s="169">
        <f t="shared" si="1577"/>
        <v>0</v>
      </c>
      <c r="J763" s="169">
        <f t="shared" si="1577"/>
        <v>0</v>
      </c>
      <c r="K763" s="169">
        <f t="shared" si="1577"/>
        <v>0</v>
      </c>
      <c r="L763" s="169">
        <f t="shared" si="1577"/>
        <v>0</v>
      </c>
      <c r="M763" s="169">
        <f t="shared" si="1577"/>
        <v>0</v>
      </c>
      <c r="N763" s="169">
        <f t="shared" si="1577"/>
        <v>0</v>
      </c>
      <c r="O763" s="169">
        <f t="shared" si="1577"/>
        <v>0</v>
      </c>
      <c r="P763" s="169">
        <f t="shared" si="1577"/>
        <v>0</v>
      </c>
      <c r="Q763" s="169">
        <f t="shared" si="1577"/>
        <v>0</v>
      </c>
      <c r="R763" s="169">
        <f t="shared" si="1577"/>
        <v>0</v>
      </c>
      <c r="S763" s="169">
        <f t="shared" si="1577"/>
        <v>0</v>
      </c>
      <c r="T763" s="169">
        <f t="shared" si="1577"/>
        <v>0</v>
      </c>
      <c r="U763" s="169">
        <f t="shared" si="1577"/>
        <v>0</v>
      </c>
      <c r="V763" s="169">
        <f t="shared" si="1577"/>
        <v>0</v>
      </c>
      <c r="W763" s="169">
        <f t="shared" si="1577"/>
        <v>0</v>
      </c>
      <c r="X763" s="169">
        <f t="shared" si="1577"/>
        <v>0</v>
      </c>
      <c r="Y763" s="169">
        <f t="shared" si="1577"/>
        <v>0</v>
      </c>
      <c r="Z763" s="169">
        <f t="shared" si="1577"/>
        <v>0</v>
      </c>
      <c r="AA763" s="169">
        <f t="shared" si="1577"/>
        <v>0</v>
      </c>
      <c r="AB763" s="169">
        <f t="shared" si="1577"/>
        <v>0</v>
      </c>
      <c r="AC763" s="169">
        <f t="shared" si="1577"/>
        <v>0</v>
      </c>
      <c r="AD763" s="169">
        <f t="shared" si="1577"/>
        <v>0</v>
      </c>
      <c r="AE763" s="169">
        <f t="shared" si="1577"/>
        <v>0</v>
      </c>
      <c r="AF763" s="169">
        <f t="shared" si="1577"/>
        <v>0</v>
      </c>
      <c r="AG763" s="169">
        <f t="shared" si="1577"/>
        <v>0</v>
      </c>
      <c r="AH763" s="169">
        <f t="shared" si="1577"/>
        <v>0</v>
      </c>
      <c r="AI763" s="169">
        <f t="shared" si="1577"/>
        <v>0</v>
      </c>
      <c r="AJ763" s="169">
        <f t="shared" si="1577"/>
        <v>0</v>
      </c>
      <c r="AK763" s="169">
        <f t="shared" si="1577"/>
        <v>0</v>
      </c>
      <c r="AL763" s="169">
        <f t="shared" si="1577"/>
        <v>0</v>
      </c>
      <c r="AM763" s="169">
        <f t="shared" si="1577"/>
        <v>0</v>
      </c>
      <c r="AN763" s="169">
        <f t="shared" si="1577"/>
        <v>0</v>
      </c>
      <c r="AO763" s="169">
        <f t="shared" si="1577"/>
        <v>0</v>
      </c>
      <c r="AP763" s="169">
        <f t="shared" si="1577"/>
        <v>0</v>
      </c>
    </row>
    <row r="764" spans="1:42" x14ac:dyDescent="0.2">
      <c r="A764" s="20">
        <f t="shared" si="1576"/>
        <v>4</v>
      </c>
      <c r="B764" s="233">
        <f t="shared" si="1573"/>
        <v>0</v>
      </c>
      <c r="C764" s="169">
        <f t="shared" ref="C764:AP764" si="1578">IF(AND(C$2&gt;MMFrequency3*$A751,C$2&lt;=MMFrequency3*$A752),$B752/(MMFrequency3),0)</f>
        <v>0</v>
      </c>
      <c r="D764" s="169">
        <f t="shared" si="1578"/>
        <v>0</v>
      </c>
      <c r="E764" s="169">
        <f t="shared" si="1578"/>
        <v>0</v>
      </c>
      <c r="F764" s="169">
        <f t="shared" si="1578"/>
        <v>0</v>
      </c>
      <c r="G764" s="169">
        <f t="shared" si="1578"/>
        <v>0</v>
      </c>
      <c r="H764" s="169">
        <f t="shared" si="1578"/>
        <v>0</v>
      </c>
      <c r="I764" s="169">
        <f t="shared" si="1578"/>
        <v>0</v>
      </c>
      <c r="J764" s="169">
        <f t="shared" si="1578"/>
        <v>0</v>
      </c>
      <c r="K764" s="169">
        <f t="shared" si="1578"/>
        <v>0</v>
      </c>
      <c r="L764" s="169">
        <f t="shared" si="1578"/>
        <v>0</v>
      </c>
      <c r="M764" s="169">
        <f t="shared" si="1578"/>
        <v>0</v>
      </c>
      <c r="N764" s="169">
        <f t="shared" si="1578"/>
        <v>0</v>
      </c>
      <c r="O764" s="169">
        <f t="shared" si="1578"/>
        <v>0</v>
      </c>
      <c r="P764" s="169">
        <f t="shared" si="1578"/>
        <v>0</v>
      </c>
      <c r="Q764" s="169">
        <f t="shared" si="1578"/>
        <v>0</v>
      </c>
      <c r="R764" s="169">
        <f t="shared" si="1578"/>
        <v>0</v>
      </c>
      <c r="S764" s="169">
        <f t="shared" si="1578"/>
        <v>0</v>
      </c>
      <c r="T764" s="169">
        <f t="shared" si="1578"/>
        <v>0</v>
      </c>
      <c r="U764" s="169">
        <f t="shared" si="1578"/>
        <v>0</v>
      </c>
      <c r="V764" s="169">
        <f t="shared" si="1578"/>
        <v>0</v>
      </c>
      <c r="W764" s="169">
        <f t="shared" si="1578"/>
        <v>0</v>
      </c>
      <c r="X764" s="169">
        <f t="shared" si="1578"/>
        <v>0</v>
      </c>
      <c r="Y764" s="169">
        <f t="shared" si="1578"/>
        <v>0</v>
      </c>
      <c r="Z764" s="169">
        <f t="shared" si="1578"/>
        <v>0</v>
      </c>
      <c r="AA764" s="169">
        <f t="shared" si="1578"/>
        <v>0</v>
      </c>
      <c r="AB764" s="169">
        <f t="shared" si="1578"/>
        <v>0</v>
      </c>
      <c r="AC764" s="169">
        <f t="shared" si="1578"/>
        <v>0</v>
      </c>
      <c r="AD764" s="169">
        <f t="shared" si="1578"/>
        <v>0</v>
      </c>
      <c r="AE764" s="169">
        <f t="shared" si="1578"/>
        <v>0</v>
      </c>
      <c r="AF764" s="169">
        <f t="shared" si="1578"/>
        <v>0</v>
      </c>
      <c r="AG764" s="169">
        <f t="shared" si="1578"/>
        <v>0</v>
      </c>
      <c r="AH764" s="169">
        <f t="shared" si="1578"/>
        <v>0</v>
      </c>
      <c r="AI764" s="169">
        <f t="shared" si="1578"/>
        <v>0</v>
      </c>
      <c r="AJ764" s="169">
        <f t="shared" si="1578"/>
        <v>0</v>
      </c>
      <c r="AK764" s="169">
        <f t="shared" si="1578"/>
        <v>0</v>
      </c>
      <c r="AL764" s="169">
        <f t="shared" si="1578"/>
        <v>0</v>
      </c>
      <c r="AM764" s="169">
        <f t="shared" si="1578"/>
        <v>0</v>
      </c>
      <c r="AN764" s="169">
        <f t="shared" si="1578"/>
        <v>0</v>
      </c>
      <c r="AO764" s="169">
        <f t="shared" si="1578"/>
        <v>0</v>
      </c>
      <c r="AP764" s="169">
        <f t="shared" si="1578"/>
        <v>0</v>
      </c>
    </row>
    <row r="765" spans="1:42" x14ac:dyDescent="0.2">
      <c r="A765" s="20">
        <f t="shared" si="1576"/>
        <v>5</v>
      </c>
      <c r="B765" s="233">
        <f t="shared" si="1573"/>
        <v>0</v>
      </c>
      <c r="C765" s="169">
        <f t="shared" ref="C765:AP765" si="1579">IF(AND(C$2&gt;MMFrequency3*$A752,C$2&lt;=MMFrequency3*$A753),$B753/(MMFrequency3),0)</f>
        <v>0</v>
      </c>
      <c r="D765" s="169">
        <f t="shared" si="1579"/>
        <v>0</v>
      </c>
      <c r="E765" s="169">
        <f t="shared" si="1579"/>
        <v>0</v>
      </c>
      <c r="F765" s="169">
        <f t="shared" si="1579"/>
        <v>0</v>
      </c>
      <c r="G765" s="169">
        <f t="shared" si="1579"/>
        <v>0</v>
      </c>
      <c r="H765" s="169">
        <f t="shared" si="1579"/>
        <v>0</v>
      </c>
      <c r="I765" s="169">
        <f t="shared" si="1579"/>
        <v>0</v>
      </c>
      <c r="J765" s="169">
        <f t="shared" si="1579"/>
        <v>0</v>
      </c>
      <c r="K765" s="169">
        <f t="shared" si="1579"/>
        <v>0</v>
      </c>
      <c r="L765" s="169">
        <f t="shared" si="1579"/>
        <v>0</v>
      </c>
      <c r="M765" s="169">
        <f t="shared" si="1579"/>
        <v>0</v>
      </c>
      <c r="N765" s="169">
        <f t="shared" si="1579"/>
        <v>0</v>
      </c>
      <c r="O765" s="169">
        <f t="shared" si="1579"/>
        <v>0</v>
      </c>
      <c r="P765" s="169">
        <f t="shared" si="1579"/>
        <v>0</v>
      </c>
      <c r="Q765" s="169">
        <f t="shared" si="1579"/>
        <v>0</v>
      </c>
      <c r="R765" s="169">
        <f t="shared" si="1579"/>
        <v>0</v>
      </c>
      <c r="S765" s="169">
        <f t="shared" si="1579"/>
        <v>0</v>
      </c>
      <c r="T765" s="169">
        <f t="shared" si="1579"/>
        <v>0</v>
      </c>
      <c r="U765" s="169">
        <f t="shared" si="1579"/>
        <v>0</v>
      </c>
      <c r="V765" s="169">
        <f t="shared" si="1579"/>
        <v>0</v>
      </c>
      <c r="W765" s="169">
        <f t="shared" si="1579"/>
        <v>0</v>
      </c>
      <c r="X765" s="169">
        <f t="shared" si="1579"/>
        <v>0</v>
      </c>
      <c r="Y765" s="169">
        <f t="shared" si="1579"/>
        <v>0</v>
      </c>
      <c r="Z765" s="169">
        <f t="shared" si="1579"/>
        <v>0</v>
      </c>
      <c r="AA765" s="169">
        <f t="shared" si="1579"/>
        <v>0</v>
      </c>
      <c r="AB765" s="169">
        <f t="shared" si="1579"/>
        <v>0</v>
      </c>
      <c r="AC765" s="169">
        <f t="shared" si="1579"/>
        <v>0</v>
      </c>
      <c r="AD765" s="169">
        <f t="shared" si="1579"/>
        <v>0</v>
      </c>
      <c r="AE765" s="169">
        <f t="shared" si="1579"/>
        <v>0</v>
      </c>
      <c r="AF765" s="169">
        <f t="shared" si="1579"/>
        <v>0</v>
      </c>
      <c r="AG765" s="169">
        <f t="shared" si="1579"/>
        <v>0</v>
      </c>
      <c r="AH765" s="169">
        <f t="shared" si="1579"/>
        <v>0</v>
      </c>
      <c r="AI765" s="169">
        <f t="shared" si="1579"/>
        <v>0</v>
      </c>
      <c r="AJ765" s="169">
        <f t="shared" si="1579"/>
        <v>0</v>
      </c>
      <c r="AK765" s="169">
        <f t="shared" si="1579"/>
        <v>0</v>
      </c>
      <c r="AL765" s="169">
        <f t="shared" si="1579"/>
        <v>0</v>
      </c>
      <c r="AM765" s="169">
        <f t="shared" si="1579"/>
        <v>0</v>
      </c>
      <c r="AN765" s="169">
        <f t="shared" si="1579"/>
        <v>0</v>
      </c>
      <c r="AO765" s="169">
        <f t="shared" si="1579"/>
        <v>0</v>
      </c>
      <c r="AP765" s="169">
        <f t="shared" si="1579"/>
        <v>0</v>
      </c>
    </row>
    <row r="766" spans="1:42" x14ac:dyDescent="0.2">
      <c r="A766" s="20">
        <f t="shared" si="1576"/>
        <v>6</v>
      </c>
      <c r="B766" s="233">
        <f t="shared" si="1573"/>
        <v>0</v>
      </c>
      <c r="C766" s="169">
        <f t="shared" ref="C766:AP766" si="1580">IF(AND(C$2&gt;MMFrequency3*$A753,C$2&lt;=MMFrequency3*$A754),$B754/(MMFrequency3),0)</f>
        <v>0</v>
      </c>
      <c r="D766" s="169">
        <f t="shared" si="1580"/>
        <v>0</v>
      </c>
      <c r="E766" s="169">
        <f t="shared" si="1580"/>
        <v>0</v>
      </c>
      <c r="F766" s="169">
        <f t="shared" si="1580"/>
        <v>0</v>
      </c>
      <c r="G766" s="169">
        <f t="shared" si="1580"/>
        <v>0</v>
      </c>
      <c r="H766" s="169">
        <f t="shared" si="1580"/>
        <v>0</v>
      </c>
      <c r="I766" s="169">
        <f t="shared" si="1580"/>
        <v>0</v>
      </c>
      <c r="J766" s="169">
        <f t="shared" si="1580"/>
        <v>0</v>
      </c>
      <c r="K766" s="169">
        <f t="shared" si="1580"/>
        <v>0</v>
      </c>
      <c r="L766" s="169">
        <f t="shared" si="1580"/>
        <v>0</v>
      </c>
      <c r="M766" s="169">
        <f t="shared" si="1580"/>
        <v>0</v>
      </c>
      <c r="N766" s="169">
        <f t="shared" si="1580"/>
        <v>0</v>
      </c>
      <c r="O766" s="169">
        <f t="shared" si="1580"/>
        <v>0</v>
      </c>
      <c r="P766" s="169">
        <f t="shared" si="1580"/>
        <v>0</v>
      </c>
      <c r="Q766" s="169">
        <f t="shared" si="1580"/>
        <v>0</v>
      </c>
      <c r="R766" s="169">
        <f t="shared" si="1580"/>
        <v>0</v>
      </c>
      <c r="S766" s="169">
        <f t="shared" si="1580"/>
        <v>0</v>
      </c>
      <c r="T766" s="169">
        <f t="shared" si="1580"/>
        <v>0</v>
      </c>
      <c r="U766" s="169">
        <f t="shared" si="1580"/>
        <v>0</v>
      </c>
      <c r="V766" s="169">
        <f t="shared" si="1580"/>
        <v>0</v>
      </c>
      <c r="W766" s="169">
        <f t="shared" si="1580"/>
        <v>0</v>
      </c>
      <c r="X766" s="169">
        <f t="shared" si="1580"/>
        <v>0</v>
      </c>
      <c r="Y766" s="169">
        <f t="shared" si="1580"/>
        <v>0</v>
      </c>
      <c r="Z766" s="169">
        <f t="shared" si="1580"/>
        <v>0</v>
      </c>
      <c r="AA766" s="169">
        <f t="shared" si="1580"/>
        <v>0</v>
      </c>
      <c r="AB766" s="169">
        <f t="shared" si="1580"/>
        <v>0</v>
      </c>
      <c r="AC766" s="169">
        <f t="shared" si="1580"/>
        <v>0</v>
      </c>
      <c r="AD766" s="169">
        <f t="shared" si="1580"/>
        <v>0</v>
      </c>
      <c r="AE766" s="169">
        <f t="shared" si="1580"/>
        <v>0</v>
      </c>
      <c r="AF766" s="169">
        <f t="shared" si="1580"/>
        <v>0</v>
      </c>
      <c r="AG766" s="169">
        <f t="shared" si="1580"/>
        <v>0</v>
      </c>
      <c r="AH766" s="169">
        <f t="shared" si="1580"/>
        <v>0</v>
      </c>
      <c r="AI766" s="169">
        <f t="shared" si="1580"/>
        <v>0</v>
      </c>
      <c r="AJ766" s="169">
        <f t="shared" si="1580"/>
        <v>0</v>
      </c>
      <c r="AK766" s="169">
        <f t="shared" si="1580"/>
        <v>0</v>
      </c>
      <c r="AL766" s="169">
        <f t="shared" si="1580"/>
        <v>0</v>
      </c>
      <c r="AM766" s="169">
        <f t="shared" si="1580"/>
        <v>0</v>
      </c>
      <c r="AN766" s="169">
        <f t="shared" si="1580"/>
        <v>0</v>
      </c>
      <c r="AO766" s="169">
        <f t="shared" si="1580"/>
        <v>0</v>
      </c>
      <c r="AP766" s="169">
        <f t="shared" si="1580"/>
        <v>0</v>
      </c>
    </row>
    <row r="767" spans="1:42" x14ac:dyDescent="0.2">
      <c r="A767" s="20">
        <f t="shared" si="1576"/>
        <v>7</v>
      </c>
      <c r="B767" s="233">
        <f t="shared" si="1573"/>
        <v>0</v>
      </c>
      <c r="C767" s="169">
        <f t="shared" ref="C767:AP767" si="1581">IF(AND(C$2&gt;MMFrequency3*$A754,C$2&lt;=MMFrequency3*$A755),$B755/(MMFrequency3),0)</f>
        <v>0</v>
      </c>
      <c r="D767" s="169">
        <f t="shared" si="1581"/>
        <v>0</v>
      </c>
      <c r="E767" s="169">
        <f t="shared" si="1581"/>
        <v>0</v>
      </c>
      <c r="F767" s="169">
        <f t="shared" si="1581"/>
        <v>0</v>
      </c>
      <c r="G767" s="169">
        <f t="shared" si="1581"/>
        <v>0</v>
      </c>
      <c r="H767" s="169">
        <f t="shared" si="1581"/>
        <v>0</v>
      </c>
      <c r="I767" s="169">
        <f t="shared" si="1581"/>
        <v>0</v>
      </c>
      <c r="J767" s="169">
        <f t="shared" si="1581"/>
        <v>0</v>
      </c>
      <c r="K767" s="169">
        <f t="shared" si="1581"/>
        <v>0</v>
      </c>
      <c r="L767" s="169">
        <f t="shared" si="1581"/>
        <v>0</v>
      </c>
      <c r="M767" s="169">
        <f t="shared" si="1581"/>
        <v>0</v>
      </c>
      <c r="N767" s="169">
        <f t="shared" si="1581"/>
        <v>0</v>
      </c>
      <c r="O767" s="169">
        <f t="shared" si="1581"/>
        <v>0</v>
      </c>
      <c r="P767" s="169">
        <f t="shared" si="1581"/>
        <v>0</v>
      </c>
      <c r="Q767" s="169">
        <f t="shared" si="1581"/>
        <v>0</v>
      </c>
      <c r="R767" s="169">
        <f t="shared" si="1581"/>
        <v>0</v>
      </c>
      <c r="S767" s="169">
        <f t="shared" si="1581"/>
        <v>0</v>
      </c>
      <c r="T767" s="169">
        <f t="shared" si="1581"/>
        <v>0</v>
      </c>
      <c r="U767" s="169">
        <f t="shared" si="1581"/>
        <v>0</v>
      </c>
      <c r="V767" s="169">
        <f t="shared" si="1581"/>
        <v>0</v>
      </c>
      <c r="W767" s="169">
        <f t="shared" si="1581"/>
        <v>0</v>
      </c>
      <c r="X767" s="169">
        <f t="shared" si="1581"/>
        <v>0</v>
      </c>
      <c r="Y767" s="169">
        <f t="shared" si="1581"/>
        <v>0</v>
      </c>
      <c r="Z767" s="169">
        <f t="shared" si="1581"/>
        <v>0</v>
      </c>
      <c r="AA767" s="169">
        <f t="shared" si="1581"/>
        <v>0</v>
      </c>
      <c r="AB767" s="169">
        <f t="shared" si="1581"/>
        <v>0</v>
      </c>
      <c r="AC767" s="169">
        <f t="shared" si="1581"/>
        <v>0</v>
      </c>
      <c r="AD767" s="169">
        <f t="shared" si="1581"/>
        <v>0</v>
      </c>
      <c r="AE767" s="169">
        <f t="shared" si="1581"/>
        <v>0</v>
      </c>
      <c r="AF767" s="169">
        <f t="shared" si="1581"/>
        <v>0</v>
      </c>
      <c r="AG767" s="169">
        <f t="shared" si="1581"/>
        <v>0</v>
      </c>
      <c r="AH767" s="169">
        <f t="shared" si="1581"/>
        <v>0</v>
      </c>
      <c r="AI767" s="169">
        <f t="shared" si="1581"/>
        <v>0</v>
      </c>
      <c r="AJ767" s="169">
        <f t="shared" si="1581"/>
        <v>0</v>
      </c>
      <c r="AK767" s="169">
        <f t="shared" si="1581"/>
        <v>0</v>
      </c>
      <c r="AL767" s="169">
        <f t="shared" si="1581"/>
        <v>0</v>
      </c>
      <c r="AM767" s="169">
        <f t="shared" si="1581"/>
        <v>0</v>
      </c>
      <c r="AN767" s="169">
        <f t="shared" si="1581"/>
        <v>0</v>
      </c>
      <c r="AO767" s="169">
        <f t="shared" si="1581"/>
        <v>0</v>
      </c>
      <c r="AP767" s="169">
        <f t="shared" si="1581"/>
        <v>0</v>
      </c>
    </row>
    <row r="768" spans="1:42" x14ac:dyDescent="0.2">
      <c r="A768" s="20">
        <f t="shared" si="1576"/>
        <v>8</v>
      </c>
      <c r="B768" s="233">
        <f t="shared" si="1573"/>
        <v>0</v>
      </c>
      <c r="C768" s="169">
        <f t="shared" ref="C768:AP768" si="1582">IF(AND(C$2&gt;MMFrequency3*$A755,C$2&lt;=MMFrequency3*$A756),$B756/(MMFrequency3),0)</f>
        <v>0</v>
      </c>
      <c r="D768" s="169">
        <f t="shared" si="1582"/>
        <v>0</v>
      </c>
      <c r="E768" s="169">
        <f t="shared" si="1582"/>
        <v>0</v>
      </c>
      <c r="F768" s="169">
        <f t="shared" si="1582"/>
        <v>0</v>
      </c>
      <c r="G768" s="169">
        <f t="shared" si="1582"/>
        <v>0</v>
      </c>
      <c r="H768" s="169">
        <f t="shared" si="1582"/>
        <v>0</v>
      </c>
      <c r="I768" s="169">
        <f t="shared" si="1582"/>
        <v>0</v>
      </c>
      <c r="J768" s="169">
        <f t="shared" si="1582"/>
        <v>0</v>
      </c>
      <c r="K768" s="169">
        <f t="shared" si="1582"/>
        <v>0</v>
      </c>
      <c r="L768" s="169">
        <f t="shared" si="1582"/>
        <v>0</v>
      </c>
      <c r="M768" s="169">
        <f t="shared" si="1582"/>
        <v>0</v>
      </c>
      <c r="N768" s="169">
        <f t="shared" si="1582"/>
        <v>0</v>
      </c>
      <c r="O768" s="169">
        <f t="shared" si="1582"/>
        <v>0</v>
      </c>
      <c r="P768" s="169">
        <f t="shared" si="1582"/>
        <v>0</v>
      </c>
      <c r="Q768" s="169">
        <f t="shared" si="1582"/>
        <v>0</v>
      </c>
      <c r="R768" s="169">
        <f t="shared" si="1582"/>
        <v>0</v>
      </c>
      <c r="S768" s="169">
        <f t="shared" si="1582"/>
        <v>0</v>
      </c>
      <c r="T768" s="169">
        <f t="shared" si="1582"/>
        <v>0</v>
      </c>
      <c r="U768" s="169">
        <f t="shared" si="1582"/>
        <v>0</v>
      </c>
      <c r="V768" s="169">
        <f t="shared" si="1582"/>
        <v>0</v>
      </c>
      <c r="W768" s="169">
        <f t="shared" si="1582"/>
        <v>0</v>
      </c>
      <c r="X768" s="169">
        <f t="shared" si="1582"/>
        <v>0</v>
      </c>
      <c r="Y768" s="169">
        <f t="shared" si="1582"/>
        <v>0</v>
      </c>
      <c r="Z768" s="169">
        <f t="shared" si="1582"/>
        <v>0</v>
      </c>
      <c r="AA768" s="169">
        <f t="shared" si="1582"/>
        <v>0</v>
      </c>
      <c r="AB768" s="169">
        <f t="shared" si="1582"/>
        <v>0</v>
      </c>
      <c r="AC768" s="169">
        <f t="shared" si="1582"/>
        <v>0</v>
      </c>
      <c r="AD768" s="169">
        <f t="shared" si="1582"/>
        <v>0</v>
      </c>
      <c r="AE768" s="169">
        <f t="shared" si="1582"/>
        <v>0</v>
      </c>
      <c r="AF768" s="169">
        <f t="shared" si="1582"/>
        <v>0</v>
      </c>
      <c r="AG768" s="169">
        <f t="shared" si="1582"/>
        <v>0</v>
      </c>
      <c r="AH768" s="169">
        <f t="shared" si="1582"/>
        <v>0</v>
      </c>
      <c r="AI768" s="169">
        <f t="shared" si="1582"/>
        <v>0</v>
      </c>
      <c r="AJ768" s="169">
        <f t="shared" si="1582"/>
        <v>0</v>
      </c>
      <c r="AK768" s="169">
        <f t="shared" si="1582"/>
        <v>0</v>
      </c>
      <c r="AL768" s="169">
        <f t="shared" si="1582"/>
        <v>0</v>
      </c>
      <c r="AM768" s="169">
        <f t="shared" si="1582"/>
        <v>0</v>
      </c>
      <c r="AN768" s="169">
        <f t="shared" si="1582"/>
        <v>0</v>
      </c>
      <c r="AO768" s="169">
        <f t="shared" si="1582"/>
        <v>0</v>
      </c>
      <c r="AP768" s="169">
        <f t="shared" si="1582"/>
        <v>0</v>
      </c>
    </row>
    <row r="769" spans="1:42" x14ac:dyDescent="0.2">
      <c r="A769" s="20">
        <f>A768+1</f>
        <v>9</v>
      </c>
      <c r="B769" s="233">
        <f t="shared" si="1573"/>
        <v>0</v>
      </c>
      <c r="C769" s="169">
        <f t="shared" ref="C769:AP769" si="1583">IF(AND(C$2&gt;MMFrequency3*$A756,C$2&lt;=MMFrequency3*$A757),$B757/(MMFrequency3),0)</f>
        <v>0</v>
      </c>
      <c r="D769" s="169">
        <f t="shared" si="1583"/>
        <v>0</v>
      </c>
      <c r="E769" s="169">
        <f t="shared" si="1583"/>
        <v>0</v>
      </c>
      <c r="F769" s="169">
        <f t="shared" si="1583"/>
        <v>0</v>
      </c>
      <c r="G769" s="169">
        <f t="shared" si="1583"/>
        <v>0</v>
      </c>
      <c r="H769" s="169">
        <f t="shared" si="1583"/>
        <v>0</v>
      </c>
      <c r="I769" s="169">
        <f t="shared" si="1583"/>
        <v>0</v>
      </c>
      <c r="J769" s="169">
        <f t="shared" si="1583"/>
        <v>0</v>
      </c>
      <c r="K769" s="169">
        <f t="shared" si="1583"/>
        <v>0</v>
      </c>
      <c r="L769" s="169">
        <f t="shared" si="1583"/>
        <v>0</v>
      </c>
      <c r="M769" s="169">
        <f t="shared" si="1583"/>
        <v>0</v>
      </c>
      <c r="N769" s="169">
        <f t="shared" si="1583"/>
        <v>0</v>
      </c>
      <c r="O769" s="169">
        <f t="shared" si="1583"/>
        <v>0</v>
      </c>
      <c r="P769" s="169">
        <f t="shared" si="1583"/>
        <v>0</v>
      </c>
      <c r="Q769" s="169">
        <f t="shared" si="1583"/>
        <v>0</v>
      </c>
      <c r="R769" s="169">
        <f t="shared" si="1583"/>
        <v>0</v>
      </c>
      <c r="S769" s="169">
        <f t="shared" si="1583"/>
        <v>0</v>
      </c>
      <c r="T769" s="169">
        <f t="shared" si="1583"/>
        <v>0</v>
      </c>
      <c r="U769" s="169">
        <f t="shared" si="1583"/>
        <v>0</v>
      </c>
      <c r="V769" s="169">
        <f t="shared" si="1583"/>
        <v>0</v>
      </c>
      <c r="W769" s="169">
        <f t="shared" si="1583"/>
        <v>0</v>
      </c>
      <c r="X769" s="169">
        <f t="shared" si="1583"/>
        <v>0</v>
      </c>
      <c r="Y769" s="169">
        <f t="shared" si="1583"/>
        <v>0</v>
      </c>
      <c r="Z769" s="169">
        <f t="shared" si="1583"/>
        <v>0</v>
      </c>
      <c r="AA769" s="169">
        <f t="shared" si="1583"/>
        <v>0</v>
      </c>
      <c r="AB769" s="169">
        <f t="shared" si="1583"/>
        <v>0</v>
      </c>
      <c r="AC769" s="169">
        <f t="shared" si="1583"/>
        <v>0</v>
      </c>
      <c r="AD769" s="169">
        <f t="shared" si="1583"/>
        <v>0</v>
      </c>
      <c r="AE769" s="169">
        <f t="shared" si="1583"/>
        <v>0</v>
      </c>
      <c r="AF769" s="169">
        <f t="shared" si="1583"/>
        <v>0</v>
      </c>
      <c r="AG769" s="169">
        <f t="shared" si="1583"/>
        <v>0</v>
      </c>
      <c r="AH769" s="169">
        <f t="shared" si="1583"/>
        <v>0</v>
      </c>
      <c r="AI769" s="169">
        <f t="shared" si="1583"/>
        <v>0</v>
      </c>
      <c r="AJ769" s="169">
        <f t="shared" si="1583"/>
        <v>0</v>
      </c>
      <c r="AK769" s="169">
        <f t="shared" si="1583"/>
        <v>0</v>
      </c>
      <c r="AL769" s="169">
        <f t="shared" si="1583"/>
        <v>0</v>
      </c>
      <c r="AM769" s="169">
        <f t="shared" si="1583"/>
        <v>0</v>
      </c>
      <c r="AN769" s="169">
        <f t="shared" si="1583"/>
        <v>0</v>
      </c>
      <c r="AO769" s="169">
        <f t="shared" si="1583"/>
        <v>0</v>
      </c>
      <c r="AP769" s="169">
        <f t="shared" si="1583"/>
        <v>0</v>
      </c>
    </row>
    <row r="770" spans="1:42" x14ac:dyDescent="0.2">
      <c r="A770" s="20">
        <f t="shared" ref="A770" si="1584">A769+1</f>
        <v>10</v>
      </c>
      <c r="B770" s="233">
        <f t="shared" si="1573"/>
        <v>0</v>
      </c>
      <c r="C770" s="170">
        <f t="shared" ref="C770:AP770" si="1585">IF(AND(C$2&gt;MMFrequency3*$A757,C$2&lt;=MMFrequency3*$A758),$B758/(MMFrequency3),0)</f>
        <v>0</v>
      </c>
      <c r="D770" s="170">
        <f t="shared" si="1585"/>
        <v>0</v>
      </c>
      <c r="E770" s="170">
        <f t="shared" si="1585"/>
        <v>0</v>
      </c>
      <c r="F770" s="170">
        <f t="shared" si="1585"/>
        <v>0</v>
      </c>
      <c r="G770" s="170">
        <f t="shared" si="1585"/>
        <v>0</v>
      </c>
      <c r="H770" s="170">
        <f t="shared" si="1585"/>
        <v>0</v>
      </c>
      <c r="I770" s="170">
        <f t="shared" si="1585"/>
        <v>0</v>
      </c>
      <c r="J770" s="170">
        <f t="shared" si="1585"/>
        <v>0</v>
      </c>
      <c r="K770" s="170">
        <f t="shared" si="1585"/>
        <v>0</v>
      </c>
      <c r="L770" s="170">
        <f t="shared" si="1585"/>
        <v>0</v>
      </c>
      <c r="M770" s="170">
        <f t="shared" si="1585"/>
        <v>0</v>
      </c>
      <c r="N770" s="170">
        <f t="shared" si="1585"/>
        <v>0</v>
      </c>
      <c r="O770" s="170">
        <f t="shared" si="1585"/>
        <v>0</v>
      </c>
      <c r="P770" s="170">
        <f t="shared" si="1585"/>
        <v>0</v>
      </c>
      <c r="Q770" s="170">
        <f t="shared" si="1585"/>
        <v>0</v>
      </c>
      <c r="R770" s="170">
        <f t="shared" si="1585"/>
        <v>0</v>
      </c>
      <c r="S770" s="170">
        <f t="shared" si="1585"/>
        <v>0</v>
      </c>
      <c r="T770" s="170">
        <f t="shared" si="1585"/>
        <v>0</v>
      </c>
      <c r="U770" s="170">
        <f t="shared" si="1585"/>
        <v>0</v>
      </c>
      <c r="V770" s="170">
        <f t="shared" si="1585"/>
        <v>0</v>
      </c>
      <c r="W770" s="170">
        <f t="shared" si="1585"/>
        <v>0</v>
      </c>
      <c r="X770" s="170">
        <f t="shared" si="1585"/>
        <v>0</v>
      </c>
      <c r="Y770" s="170">
        <f t="shared" si="1585"/>
        <v>0</v>
      </c>
      <c r="Z770" s="170">
        <f t="shared" si="1585"/>
        <v>0</v>
      </c>
      <c r="AA770" s="170">
        <f t="shared" si="1585"/>
        <v>0</v>
      </c>
      <c r="AB770" s="170">
        <f t="shared" si="1585"/>
        <v>0</v>
      </c>
      <c r="AC770" s="170">
        <f t="shared" si="1585"/>
        <v>0</v>
      </c>
      <c r="AD770" s="170">
        <f t="shared" si="1585"/>
        <v>0</v>
      </c>
      <c r="AE770" s="170">
        <f t="shared" si="1585"/>
        <v>0</v>
      </c>
      <c r="AF770" s="170">
        <f t="shared" si="1585"/>
        <v>0</v>
      </c>
      <c r="AG770" s="170">
        <f t="shared" si="1585"/>
        <v>0</v>
      </c>
      <c r="AH770" s="170">
        <f t="shared" si="1585"/>
        <v>0</v>
      </c>
      <c r="AI770" s="170">
        <f t="shared" si="1585"/>
        <v>0</v>
      </c>
      <c r="AJ770" s="170">
        <f t="shared" si="1585"/>
        <v>0</v>
      </c>
      <c r="AK770" s="170">
        <f t="shared" si="1585"/>
        <v>0</v>
      </c>
      <c r="AL770" s="170">
        <f t="shared" si="1585"/>
        <v>0</v>
      </c>
      <c r="AM770" s="170">
        <f t="shared" si="1585"/>
        <v>0</v>
      </c>
      <c r="AN770" s="170">
        <f t="shared" si="1585"/>
        <v>0</v>
      </c>
      <c r="AO770" s="170">
        <f t="shared" si="1585"/>
        <v>0</v>
      </c>
      <c r="AP770" s="170">
        <f t="shared" si="1585"/>
        <v>0</v>
      </c>
    </row>
    <row r="771" spans="1:42" x14ac:dyDescent="0.2">
      <c r="A771" s="202" t="s">
        <v>53</v>
      </c>
      <c r="B771" s="169"/>
      <c r="C771" s="135">
        <f>SUM(C761:C770)</f>
        <v>0</v>
      </c>
      <c r="D771" s="135">
        <f t="shared" ref="D771:AP771" si="1586">SUM(D761:D770)</f>
        <v>0</v>
      </c>
      <c r="E771" s="135">
        <f t="shared" si="1586"/>
        <v>0</v>
      </c>
      <c r="F771" s="135">
        <f t="shared" si="1586"/>
        <v>0</v>
      </c>
      <c r="G771" s="135">
        <f t="shared" si="1586"/>
        <v>0</v>
      </c>
      <c r="H771" s="135">
        <f t="shared" si="1586"/>
        <v>0</v>
      </c>
      <c r="I771" s="135">
        <f t="shared" si="1586"/>
        <v>0</v>
      </c>
      <c r="J771" s="135">
        <f t="shared" si="1586"/>
        <v>0</v>
      </c>
      <c r="K771" s="135">
        <f t="shared" si="1586"/>
        <v>0</v>
      </c>
      <c r="L771" s="135">
        <f t="shared" si="1586"/>
        <v>0</v>
      </c>
      <c r="M771" s="135">
        <f t="shared" si="1586"/>
        <v>0</v>
      </c>
      <c r="N771" s="135">
        <f t="shared" si="1586"/>
        <v>0</v>
      </c>
      <c r="O771" s="135">
        <f t="shared" si="1586"/>
        <v>0</v>
      </c>
      <c r="P771" s="135">
        <f t="shared" si="1586"/>
        <v>0</v>
      </c>
      <c r="Q771" s="135">
        <f t="shared" si="1586"/>
        <v>0</v>
      </c>
      <c r="R771" s="135">
        <f t="shared" si="1586"/>
        <v>0</v>
      </c>
      <c r="S771" s="135">
        <f t="shared" si="1586"/>
        <v>0</v>
      </c>
      <c r="T771" s="135">
        <f t="shared" si="1586"/>
        <v>0</v>
      </c>
      <c r="U771" s="135">
        <f t="shared" si="1586"/>
        <v>0</v>
      </c>
      <c r="V771" s="135">
        <f t="shared" si="1586"/>
        <v>0</v>
      </c>
      <c r="W771" s="135">
        <f t="shared" si="1586"/>
        <v>0</v>
      </c>
      <c r="X771" s="135">
        <f t="shared" si="1586"/>
        <v>0</v>
      </c>
      <c r="Y771" s="135">
        <f t="shared" si="1586"/>
        <v>0</v>
      </c>
      <c r="Z771" s="135">
        <f t="shared" si="1586"/>
        <v>0</v>
      </c>
      <c r="AA771" s="135">
        <f t="shared" si="1586"/>
        <v>0</v>
      </c>
      <c r="AB771" s="135">
        <f t="shared" si="1586"/>
        <v>0</v>
      </c>
      <c r="AC771" s="135">
        <f t="shared" si="1586"/>
        <v>0</v>
      </c>
      <c r="AD771" s="135">
        <f t="shared" si="1586"/>
        <v>0</v>
      </c>
      <c r="AE771" s="135">
        <f t="shared" si="1586"/>
        <v>0</v>
      </c>
      <c r="AF771" s="135">
        <f t="shared" si="1586"/>
        <v>0</v>
      </c>
      <c r="AG771" s="135">
        <f t="shared" si="1586"/>
        <v>0</v>
      </c>
      <c r="AH771" s="135">
        <f t="shared" si="1586"/>
        <v>0</v>
      </c>
      <c r="AI771" s="135">
        <f t="shared" si="1586"/>
        <v>0</v>
      </c>
      <c r="AJ771" s="135">
        <f t="shared" si="1586"/>
        <v>0</v>
      </c>
      <c r="AK771" s="135">
        <f t="shared" si="1586"/>
        <v>0</v>
      </c>
      <c r="AL771" s="135">
        <f t="shared" si="1586"/>
        <v>0</v>
      </c>
      <c r="AM771" s="135">
        <f t="shared" si="1586"/>
        <v>0</v>
      </c>
      <c r="AN771" s="135">
        <f t="shared" si="1586"/>
        <v>0</v>
      </c>
      <c r="AO771" s="135">
        <f t="shared" si="1586"/>
        <v>0</v>
      </c>
      <c r="AP771" s="135">
        <f t="shared" si="1586"/>
        <v>0</v>
      </c>
    </row>
    <row r="772" spans="1:42" x14ac:dyDescent="0.2">
      <c r="B772" s="169"/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  <c r="AG772" s="135"/>
      <c r="AH772" s="135"/>
      <c r="AI772" s="135"/>
      <c r="AJ772" s="135"/>
      <c r="AK772" s="135"/>
      <c r="AL772" s="135"/>
      <c r="AM772" s="135"/>
      <c r="AN772" s="135"/>
      <c r="AO772" s="135"/>
      <c r="AP772" s="135"/>
    </row>
    <row r="773" spans="1:42" x14ac:dyDescent="0.2">
      <c r="A773" s="20" t="s">
        <v>185</v>
      </c>
      <c r="B773" s="169"/>
      <c r="C773" s="135"/>
      <c r="D773" s="135"/>
      <c r="E773" s="135"/>
      <c r="F773" s="135"/>
      <c r="G773" s="135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  <c r="AG773" s="135"/>
      <c r="AH773" s="135"/>
      <c r="AI773" s="135"/>
      <c r="AJ773" s="135"/>
      <c r="AK773" s="135"/>
      <c r="AL773" s="135"/>
      <c r="AM773" s="135"/>
      <c r="AN773" s="135"/>
      <c r="AO773" s="135"/>
      <c r="AP773" s="135"/>
    </row>
    <row r="774" spans="1:42" x14ac:dyDescent="0.2">
      <c r="A774" s="167" t="s">
        <v>186</v>
      </c>
      <c r="B774" s="135">
        <f>B669+B675+B681+B713+B745</f>
        <v>1678168.0423028055</v>
      </c>
      <c r="C774" s="135">
        <f t="shared" ref="C774:AP774" si="1587">C669+C675+C681+C713+C745</f>
        <v>1931114.3543264612</v>
      </c>
      <c r="D774" s="135">
        <f t="shared" si="1587"/>
        <v>2184123.3906362643</v>
      </c>
      <c r="E774" s="135">
        <f t="shared" si="1587"/>
        <v>2437195.7938971068</v>
      </c>
      <c r="F774" s="135">
        <f t="shared" si="1587"/>
        <v>2690332.2169822752</v>
      </c>
      <c r="G774" s="135">
        <f t="shared" si="1587"/>
        <v>2943533.3231760338</v>
      </c>
      <c r="H774" s="135">
        <f t="shared" si="1587"/>
        <v>3196799.786380542</v>
      </c>
      <c r="I774" s="135">
        <f t="shared" si="1587"/>
        <v>3450132.2913272162</v>
      </c>
      <c r="J774" s="135">
        <f t="shared" si="1587"/>
        <v>3703531.5337926401</v>
      </c>
      <c r="K774" s="135">
        <f t="shared" si="1587"/>
        <v>3956998.2208190961</v>
      </c>
      <c r="L774" s="135">
        <f t="shared" si="1587"/>
        <v>4210533.0709398547</v>
      </c>
      <c r="M774" s="135">
        <f t="shared" si="1587"/>
        <v>4464136.8144092988</v>
      </c>
      <c r="N774" s="135">
        <f t="shared" si="1587"/>
        <v>1755157.894905112</v>
      </c>
      <c r="O774" s="135">
        <f t="shared" si="1587"/>
        <v>2056907.5424852963</v>
      </c>
      <c r="P774" s="135">
        <f t="shared" si="1587"/>
        <v>2358728.3468802553</v>
      </c>
      <c r="Q774" s="135">
        <f t="shared" si="1587"/>
        <v>1235473.8974257964</v>
      </c>
      <c r="R774" s="135">
        <f t="shared" si="1587"/>
        <v>1527569.0608665079</v>
      </c>
      <c r="S774" s="135">
        <f t="shared" si="1587"/>
        <v>1819778.0277209112</v>
      </c>
      <c r="T774" s="135">
        <f t="shared" si="1587"/>
        <v>2112103.1170100612</v>
      </c>
      <c r="U774" s="135">
        <f t="shared" si="1587"/>
        <v>2404546.6966293296</v>
      </c>
      <c r="V774" s="135">
        <f t="shared" si="1587"/>
        <v>2697111.1844034018</v>
      </c>
      <c r="W774" s="135">
        <f t="shared" si="1587"/>
        <v>2996964.5102581792</v>
      </c>
      <c r="X774" s="135">
        <f t="shared" si="1587"/>
        <v>3296943.7340413588</v>
      </c>
      <c r="Y774" s="135">
        <f t="shared" si="1587"/>
        <v>3597051.4299297049</v>
      </c>
      <c r="Z774" s="135">
        <f t="shared" si="1587"/>
        <v>376347.33996138244</v>
      </c>
      <c r="AA774" s="135">
        <f t="shared" si="1587"/>
        <v>734116.62208426546</v>
      </c>
      <c r="AB774" s="135">
        <f t="shared" si="1587"/>
        <v>1092022.4298891323</v>
      </c>
      <c r="AC774" s="135">
        <f t="shared" si="1587"/>
        <v>1450067.5622573218</v>
      </c>
      <c r="AD774" s="135">
        <f t="shared" si="1587"/>
        <v>1808254.8773178405</v>
      </c>
      <c r="AE774" s="135">
        <f t="shared" si="1587"/>
        <v>2166587.2937303027</v>
      </c>
      <c r="AF774" s="135">
        <f t="shared" si="1587"/>
        <v>2525067.7919960911</v>
      </c>
      <c r="AG774" s="135">
        <f t="shared" si="1587"/>
        <v>2883699.4157983749</v>
      </c>
      <c r="AH774" s="135">
        <f t="shared" si="1587"/>
        <v>3242485.2733716164</v>
      </c>
      <c r="AI774" s="135">
        <f t="shared" si="1587"/>
        <v>3601428.538901234</v>
      </c>
      <c r="AJ774" s="135">
        <f t="shared" si="1587"/>
        <v>3960532.4539540838</v>
      </c>
      <c r="AK774" s="135">
        <f t="shared" si="1587"/>
        <v>4319800.3289404484</v>
      </c>
      <c r="AL774" s="135">
        <f t="shared" si="1587"/>
        <v>469532.24880110752</v>
      </c>
      <c r="AM774" s="135">
        <f t="shared" si="1587"/>
        <v>478329.64977906219</v>
      </c>
      <c r="AN774" s="135">
        <f t="shared" si="1587"/>
        <v>487301.37008931278</v>
      </c>
      <c r="AO774" s="135">
        <f t="shared" si="1587"/>
        <v>496451.01079080044</v>
      </c>
      <c r="AP774" s="135">
        <f t="shared" si="1587"/>
        <v>0</v>
      </c>
    </row>
    <row r="775" spans="1:42" x14ac:dyDescent="0.2">
      <c r="A775" s="167" t="s">
        <v>185</v>
      </c>
      <c r="B775" s="169"/>
      <c r="C775" s="135">
        <f t="shared" ref="C775:AP775" si="1588">IF(C$2&lt;=AnalysisPeriod,B774*InterestOnReserves,0)</f>
        <v>29367.940740299098</v>
      </c>
      <c r="D775" s="135">
        <f t="shared" si="1588"/>
        <v>33794.501200713072</v>
      </c>
      <c r="E775" s="135">
        <f t="shared" si="1588"/>
        <v>38222.159336134631</v>
      </c>
      <c r="F775" s="135">
        <f t="shared" si="1588"/>
        <v>42650.92639319937</v>
      </c>
      <c r="G775" s="135">
        <f t="shared" si="1588"/>
        <v>47080.813797189818</v>
      </c>
      <c r="H775" s="135">
        <f t="shared" si="1588"/>
        <v>51511.8331555806</v>
      </c>
      <c r="I775" s="135">
        <f t="shared" si="1588"/>
        <v>55943.996261659493</v>
      </c>
      <c r="J775" s="135">
        <f t="shared" si="1588"/>
        <v>60377.315098226289</v>
      </c>
      <c r="K775" s="135">
        <f t="shared" si="1588"/>
        <v>64811.801841371205</v>
      </c>
      <c r="L775" s="135">
        <f t="shared" si="1588"/>
        <v>69247.468864334194</v>
      </c>
      <c r="M775" s="135">
        <f t="shared" si="1588"/>
        <v>73684.328741447462</v>
      </c>
      <c r="N775" s="135">
        <f t="shared" si="1588"/>
        <v>78122.394252162732</v>
      </c>
      <c r="O775" s="135">
        <f t="shared" si="1588"/>
        <v>30715.263160839462</v>
      </c>
      <c r="P775" s="135">
        <f t="shared" si="1588"/>
        <v>35995.881993492687</v>
      </c>
      <c r="Q775" s="135">
        <f t="shared" si="1588"/>
        <v>41277.746070404472</v>
      </c>
      <c r="R775" s="135">
        <f t="shared" si="1588"/>
        <v>21620.793204951438</v>
      </c>
      <c r="S775" s="135">
        <f t="shared" si="1588"/>
        <v>26732.458565163892</v>
      </c>
      <c r="T775" s="135">
        <f t="shared" si="1588"/>
        <v>31846.115485115948</v>
      </c>
      <c r="U775" s="135">
        <f t="shared" si="1588"/>
        <v>36961.804547676074</v>
      </c>
      <c r="V775" s="135">
        <f t="shared" si="1588"/>
        <v>42079.567191013273</v>
      </c>
      <c r="W775" s="135">
        <f t="shared" si="1588"/>
        <v>47199.445727059538</v>
      </c>
      <c r="X775" s="135">
        <f t="shared" si="1588"/>
        <v>52446.878929518141</v>
      </c>
      <c r="Y775" s="135">
        <f t="shared" si="1588"/>
        <v>57696.515345723783</v>
      </c>
      <c r="Z775" s="135">
        <f t="shared" si="1588"/>
        <v>62948.400023769842</v>
      </c>
      <c r="AA775" s="135">
        <f t="shared" si="1588"/>
        <v>6586.0784493241936</v>
      </c>
      <c r="AB775" s="135">
        <f t="shared" si="1588"/>
        <v>12847.040886474646</v>
      </c>
      <c r="AC775" s="135">
        <f t="shared" si="1588"/>
        <v>19110.392523059818</v>
      </c>
      <c r="AD775" s="135">
        <f t="shared" si="1588"/>
        <v>25376.182339503135</v>
      </c>
      <c r="AE775" s="135">
        <f t="shared" si="1588"/>
        <v>31644.460353062212</v>
      </c>
      <c r="AF775" s="135">
        <f t="shared" si="1588"/>
        <v>37915.277640280299</v>
      </c>
      <c r="AG775" s="135">
        <f t="shared" si="1588"/>
        <v>44188.686359931598</v>
      </c>
      <c r="AH775" s="135">
        <f t="shared" si="1588"/>
        <v>50464.739776471564</v>
      </c>
      <c r="AI775" s="135">
        <f t="shared" si="1588"/>
        <v>56743.492284003289</v>
      </c>
      <c r="AJ775" s="135">
        <f t="shared" si="1588"/>
        <v>63024.999430771604</v>
      </c>
      <c r="AK775" s="135">
        <f t="shared" si="1588"/>
        <v>69309.317944196475</v>
      </c>
      <c r="AL775" s="135">
        <f t="shared" si="1588"/>
        <v>75596.50575645786</v>
      </c>
      <c r="AM775" s="135">
        <f t="shared" si="1588"/>
        <v>8216.8143540193832</v>
      </c>
      <c r="AN775" s="135">
        <f t="shared" si="1588"/>
        <v>8370.7688711335886</v>
      </c>
      <c r="AO775" s="135">
        <f t="shared" si="1588"/>
        <v>8527.773976562974</v>
      </c>
      <c r="AP775" s="135">
        <f t="shared" si="1588"/>
        <v>8687.8926888390088</v>
      </c>
    </row>
  </sheetData>
  <pageMargins left="0.5" right="0.5" top="0.5" bottom="0.75" header="0.3" footer="0.3"/>
  <pageSetup scale="75" pageOrder="overThenDown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AZ750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8.28515625" style="20" customWidth="1"/>
    <col min="2" max="2" width="14.85546875" style="20" customWidth="1"/>
    <col min="3" max="3" width="12.5703125" style="20" customWidth="1"/>
    <col min="4" max="9" width="11.5703125" style="20" customWidth="1"/>
    <col min="10" max="10" width="12.7109375" style="20" customWidth="1"/>
    <col min="11" max="31" width="11.5703125" style="20" customWidth="1"/>
    <col min="32" max="32" width="11.42578125" style="20" customWidth="1"/>
    <col min="33" max="42" width="11.5703125" style="20" customWidth="1"/>
    <col min="43" max="16384" width="9.140625" style="20"/>
  </cols>
  <sheetData>
    <row r="1" spans="1:42" ht="21" x14ac:dyDescent="0.35">
      <c r="A1" s="159" t="s">
        <v>27</v>
      </c>
    </row>
    <row r="2" spans="1:42" x14ac:dyDescent="0.2">
      <c r="A2" s="20" t="s">
        <v>31</v>
      </c>
      <c r="B2" s="160">
        <v>0</v>
      </c>
      <c r="C2" s="160">
        <f>B2+1</f>
        <v>1</v>
      </c>
      <c r="D2" s="160">
        <f t="shared" ref="D2:AP2" si="0">C2+1</f>
        <v>2</v>
      </c>
      <c r="E2" s="160">
        <f t="shared" si="0"/>
        <v>3</v>
      </c>
      <c r="F2" s="160">
        <f t="shared" si="0"/>
        <v>4</v>
      </c>
      <c r="G2" s="160">
        <f t="shared" si="0"/>
        <v>5</v>
      </c>
      <c r="H2" s="160">
        <f t="shared" si="0"/>
        <v>6</v>
      </c>
      <c r="I2" s="160">
        <f t="shared" si="0"/>
        <v>7</v>
      </c>
      <c r="J2" s="160">
        <f t="shared" si="0"/>
        <v>8</v>
      </c>
      <c r="K2" s="160">
        <f t="shared" si="0"/>
        <v>9</v>
      </c>
      <c r="L2" s="160">
        <f t="shared" si="0"/>
        <v>10</v>
      </c>
      <c r="M2" s="160">
        <f t="shared" si="0"/>
        <v>11</v>
      </c>
      <c r="N2" s="160">
        <f t="shared" si="0"/>
        <v>12</v>
      </c>
      <c r="O2" s="160">
        <f t="shared" si="0"/>
        <v>13</v>
      </c>
      <c r="P2" s="160">
        <f t="shared" si="0"/>
        <v>14</v>
      </c>
      <c r="Q2" s="160">
        <f t="shared" si="0"/>
        <v>15</v>
      </c>
      <c r="R2" s="160">
        <f t="shared" si="0"/>
        <v>16</v>
      </c>
      <c r="S2" s="160">
        <f t="shared" si="0"/>
        <v>17</v>
      </c>
      <c r="T2" s="160">
        <f t="shared" si="0"/>
        <v>18</v>
      </c>
      <c r="U2" s="160">
        <f t="shared" si="0"/>
        <v>19</v>
      </c>
      <c r="V2" s="160">
        <f t="shared" si="0"/>
        <v>20</v>
      </c>
      <c r="W2" s="160">
        <f t="shared" si="0"/>
        <v>21</v>
      </c>
      <c r="X2" s="160">
        <f t="shared" si="0"/>
        <v>22</v>
      </c>
      <c r="Y2" s="160">
        <f t="shared" si="0"/>
        <v>23</v>
      </c>
      <c r="Z2" s="160">
        <f t="shared" si="0"/>
        <v>24</v>
      </c>
      <c r="AA2" s="160">
        <f t="shared" si="0"/>
        <v>25</v>
      </c>
      <c r="AB2" s="160">
        <f t="shared" si="0"/>
        <v>26</v>
      </c>
      <c r="AC2" s="160">
        <f t="shared" si="0"/>
        <v>27</v>
      </c>
      <c r="AD2" s="160">
        <f t="shared" si="0"/>
        <v>28</v>
      </c>
      <c r="AE2" s="160">
        <f t="shared" si="0"/>
        <v>29</v>
      </c>
      <c r="AF2" s="160">
        <f>AE2+1</f>
        <v>30</v>
      </c>
      <c r="AG2" s="160">
        <f t="shared" si="0"/>
        <v>31</v>
      </c>
      <c r="AH2" s="160">
        <f t="shared" si="0"/>
        <v>32</v>
      </c>
      <c r="AI2" s="160">
        <f t="shared" si="0"/>
        <v>33</v>
      </c>
      <c r="AJ2" s="160">
        <f t="shared" si="0"/>
        <v>34</v>
      </c>
      <c r="AK2" s="160">
        <f t="shared" si="0"/>
        <v>35</v>
      </c>
      <c r="AL2" s="160">
        <f t="shared" si="0"/>
        <v>36</v>
      </c>
      <c r="AM2" s="160">
        <f>AL2+1</f>
        <v>37</v>
      </c>
      <c r="AN2" s="160">
        <f t="shared" si="0"/>
        <v>38</v>
      </c>
      <c r="AO2" s="160">
        <f t="shared" si="0"/>
        <v>39</v>
      </c>
      <c r="AP2" s="160">
        <f t="shared" si="0"/>
        <v>40</v>
      </c>
    </row>
    <row r="3" spans="1:42" x14ac:dyDescent="0.2"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</row>
    <row r="4" spans="1:42" x14ac:dyDescent="0.2">
      <c r="A4" s="162" t="s">
        <v>46</v>
      </c>
      <c r="C4" s="101"/>
      <c r="D4" s="101"/>
      <c r="E4" s="101"/>
      <c r="F4" s="101"/>
      <c r="G4" s="101"/>
      <c r="H4" s="101"/>
    </row>
    <row r="5" spans="1:42" x14ac:dyDescent="0.2">
      <c r="A5" s="163" t="s">
        <v>47</v>
      </c>
      <c r="C5" s="135">
        <f>IF(C$2&lt;=AnalysisPeriod,IF('Inputs &amp; Results'!$M$3="Annual Inputs",LOOKUP(C$2,'Inputs &amp; Results'!$L$9:$L$48,'Inputs &amp; Results'!$M$9:$M$48),'Inputs &amp; Results'!$M$5*CapacityAC*8760*(1-'Inputs &amp; Results'!$M$6)^(C$2-1)),0)</f>
        <v>16188480</v>
      </c>
      <c r="D5" s="135">
        <f>IF(D$2&lt;=AnalysisPeriod,IF('Inputs &amp; Results'!$M$3="Annual Inputs",LOOKUP(D$2,'Inputs &amp; Results'!$L$9:$L$48,'Inputs &amp; Results'!$M$9:$M$48),'Inputs &amp; Results'!$M$5*CapacityAC*8760*(1-'Inputs &amp; Results'!$M$6)^(D$2-1)),0)</f>
        <v>16107537.6</v>
      </c>
      <c r="E5" s="135">
        <f>IF(E$2&lt;=AnalysisPeriod,IF('Inputs &amp; Results'!$M$3="Annual Inputs",LOOKUP(E$2,'Inputs &amp; Results'!$L$9:$L$48,'Inputs &amp; Results'!$M$9:$M$48),'Inputs &amp; Results'!$M$5*CapacityAC*8760*(1-'Inputs &amp; Results'!$M$6)^(E$2-1)),0)</f>
        <v>16026999.912</v>
      </c>
      <c r="F5" s="135">
        <f>IF(F$2&lt;=AnalysisPeriod,IF('Inputs &amp; Results'!$M$3="Annual Inputs",LOOKUP(F$2,'Inputs &amp; Results'!$L$9:$L$48,'Inputs &amp; Results'!$M$9:$M$48),'Inputs &amp; Results'!$M$5*CapacityAC*8760*(1-'Inputs &amp; Results'!$M$6)^(F$2-1)),0)</f>
        <v>15946864.91244</v>
      </c>
      <c r="G5" s="135">
        <f>IF(G$2&lt;=AnalysisPeriod,IF('Inputs &amp; Results'!$M$3="Annual Inputs",LOOKUP(G$2,'Inputs &amp; Results'!$L$9:$L$48,'Inputs &amp; Results'!$M$9:$M$48),'Inputs &amp; Results'!$M$5*CapacityAC*8760*(1-'Inputs &amp; Results'!$M$6)^(G$2-1)),0)</f>
        <v>15867130.587877801</v>
      </c>
      <c r="H5" s="135">
        <f>IF(H$2&lt;=AnalysisPeriod,IF('Inputs &amp; Results'!$M$3="Annual Inputs",LOOKUP(H$2,'Inputs &amp; Results'!$L$9:$L$48,'Inputs &amp; Results'!$M$9:$M$48),'Inputs &amp; Results'!$M$5*CapacityAC*8760*(1-'Inputs &amp; Results'!$M$6)^(H$2-1)),0)</f>
        <v>15787794.934938412</v>
      </c>
      <c r="I5" s="135">
        <f>IF(I$2&lt;=AnalysisPeriod,IF('Inputs &amp; Results'!$M$3="Annual Inputs",LOOKUP(I$2,'Inputs &amp; Results'!$L$9:$L$48,'Inputs &amp; Results'!$M$9:$M$48),'Inputs &amp; Results'!$M$5*CapacityAC*8760*(1-'Inputs &amp; Results'!$M$6)^(I$2-1)),0)</f>
        <v>15708855.96026372</v>
      </c>
      <c r="J5" s="135">
        <f>IF(J$2&lt;=AnalysisPeriod,IF('Inputs &amp; Results'!$M$3="Annual Inputs",LOOKUP(J$2,'Inputs &amp; Results'!$L$9:$L$48,'Inputs &amp; Results'!$M$9:$M$48),'Inputs &amp; Results'!$M$5*CapacityAC*8760*(1-'Inputs &amp; Results'!$M$6)^(J$2-1)),0)</f>
        <v>15630311.680462401</v>
      </c>
      <c r="K5" s="135">
        <f>IF(K$2&lt;=AnalysisPeriod,IF('Inputs &amp; Results'!$M$3="Annual Inputs",LOOKUP(K$2,'Inputs &amp; Results'!$L$9:$L$48,'Inputs &amp; Results'!$M$9:$M$48),'Inputs &amp; Results'!$M$5*CapacityAC*8760*(1-'Inputs &amp; Results'!$M$6)^(K$2-1)),0)</f>
        <v>15552160.12206009</v>
      </c>
      <c r="L5" s="135">
        <f>IF(L$2&lt;=AnalysisPeriod,IF('Inputs &amp; Results'!$M$3="Annual Inputs",LOOKUP(L$2,'Inputs &amp; Results'!$L$9:$L$48,'Inputs &amp; Results'!$M$9:$M$48),'Inputs &amp; Results'!$M$5*CapacityAC*8760*(1-'Inputs &amp; Results'!$M$6)^(L$2-1)),0)</f>
        <v>15474399.321449788</v>
      </c>
      <c r="M5" s="135">
        <f>IF(M$2&lt;=AnalysisPeriod,IF('Inputs &amp; Results'!$M$3="Annual Inputs",LOOKUP(M$2,'Inputs &amp; Results'!$L$9:$L$48,'Inputs &amp; Results'!$M$9:$M$48),'Inputs &amp; Results'!$M$5*CapacityAC*8760*(1-'Inputs &amp; Results'!$M$6)^(M$2-1)),0)</f>
        <v>15397027.324842541</v>
      </c>
      <c r="N5" s="135">
        <f>IF(N$2&lt;=AnalysisPeriod,IF('Inputs &amp; Results'!$M$3="Annual Inputs",LOOKUP(N$2,'Inputs &amp; Results'!$L$9:$L$48,'Inputs &amp; Results'!$M$9:$M$48),'Inputs &amp; Results'!$M$5*CapacityAC*8760*(1-'Inputs &amp; Results'!$M$6)^(N$2-1)),0)</f>
        <v>15320042.188218327</v>
      </c>
      <c r="O5" s="135">
        <f>IF(O$2&lt;=AnalysisPeriod,IF('Inputs &amp; Results'!$M$3="Annual Inputs",LOOKUP(O$2,'Inputs &amp; Results'!$L$9:$L$48,'Inputs &amp; Results'!$M$9:$M$48),'Inputs &amp; Results'!$M$5*CapacityAC*8760*(1-'Inputs &amp; Results'!$M$6)^(O$2-1)),0)</f>
        <v>15243441.977277236</v>
      </c>
      <c r="P5" s="135">
        <f>IF(P$2&lt;=AnalysisPeriod,IF('Inputs &amp; Results'!$M$3="Annual Inputs",LOOKUP(P$2,'Inputs &amp; Results'!$L$9:$L$48,'Inputs &amp; Results'!$M$9:$M$48),'Inputs &amp; Results'!$M$5*CapacityAC*8760*(1-'Inputs &amp; Results'!$M$6)^(P$2-1)),0)</f>
        <v>15167224.767390851</v>
      </c>
      <c r="Q5" s="135">
        <f>IF(Q$2&lt;=AnalysisPeriod,IF('Inputs &amp; Results'!$M$3="Annual Inputs",LOOKUP(Q$2,'Inputs &amp; Results'!$L$9:$L$48,'Inputs &amp; Results'!$M$9:$M$48),'Inputs &amp; Results'!$M$5*CapacityAC*8760*(1-'Inputs &amp; Results'!$M$6)^(Q$2-1)),0)</f>
        <v>15091388.643553898</v>
      </c>
      <c r="R5" s="135">
        <f>IF(R$2&lt;=AnalysisPeriod,IF('Inputs &amp; Results'!$M$3="Annual Inputs",LOOKUP(R$2,'Inputs &amp; Results'!$L$9:$L$48,'Inputs &amp; Results'!$M$9:$M$48),'Inputs &amp; Results'!$M$5*CapacityAC*8760*(1-'Inputs &amp; Results'!$M$6)^(R$2-1)),0)</f>
        <v>15015931.700336127</v>
      </c>
      <c r="S5" s="135">
        <f>IF(S$2&lt;=AnalysisPeriod,IF('Inputs &amp; Results'!$M$3="Annual Inputs",LOOKUP(S$2,'Inputs &amp; Results'!$L$9:$L$48,'Inputs &amp; Results'!$M$9:$M$48),'Inputs &amp; Results'!$M$5*CapacityAC*8760*(1-'Inputs &amp; Results'!$M$6)^(S$2-1)),0)</f>
        <v>14940852.041834446</v>
      </c>
      <c r="T5" s="135">
        <f>IF(T$2&lt;=AnalysisPeriod,IF('Inputs &amp; Results'!$M$3="Annual Inputs",LOOKUP(T$2,'Inputs &amp; Results'!$L$9:$L$48,'Inputs &amp; Results'!$M$9:$M$48),'Inputs &amp; Results'!$M$5*CapacityAC*8760*(1-'Inputs &amp; Results'!$M$6)^(T$2-1)),0)</f>
        <v>14866147.781625275</v>
      </c>
      <c r="U5" s="135">
        <f>IF(U$2&lt;=AnalysisPeriod,IF('Inputs &amp; Results'!$M$3="Annual Inputs",LOOKUP(U$2,'Inputs &amp; Results'!$L$9:$L$48,'Inputs &amp; Results'!$M$9:$M$48),'Inputs &amp; Results'!$M$5*CapacityAC*8760*(1-'Inputs &amp; Results'!$M$6)^(U$2-1)),0)</f>
        <v>14791817.042717148</v>
      </c>
      <c r="V5" s="135">
        <f>IF(V$2&lt;=AnalysisPeriod,IF('Inputs &amp; Results'!$M$3="Annual Inputs",LOOKUP(V$2,'Inputs &amp; Results'!$L$9:$L$48,'Inputs &amp; Results'!$M$9:$M$48),'Inputs &amp; Results'!$M$5*CapacityAC*8760*(1-'Inputs &amp; Results'!$M$6)^(V$2-1)),0)</f>
        <v>14717857.957503561</v>
      </c>
      <c r="W5" s="135">
        <f>IF(W$2&lt;=AnalysisPeriod,IF('Inputs &amp; Results'!$M$3="Annual Inputs",LOOKUP(W$2,'Inputs &amp; Results'!$L$9:$L$48,'Inputs &amp; Results'!$M$9:$M$48),'Inputs &amp; Results'!$M$5*CapacityAC*8760*(1-'Inputs &amp; Results'!$M$6)^(W$2-1)),0)</f>
        <v>14644268.667716045</v>
      </c>
      <c r="X5" s="135">
        <f>IF(X$2&lt;=AnalysisPeriod,IF('Inputs &amp; Results'!$M$3="Annual Inputs",LOOKUP(X$2,'Inputs &amp; Results'!$L$9:$L$48,'Inputs &amp; Results'!$M$9:$M$48),'Inputs &amp; Results'!$M$5*CapacityAC*8760*(1-'Inputs &amp; Results'!$M$6)^(X$2-1)),0)</f>
        <v>14571047.324377464</v>
      </c>
      <c r="Y5" s="135">
        <f>IF(Y$2&lt;=AnalysisPeriod,IF('Inputs &amp; Results'!$M$3="Annual Inputs",LOOKUP(Y$2,'Inputs &amp; Results'!$L$9:$L$48,'Inputs &amp; Results'!$M$9:$M$48),'Inputs &amp; Results'!$M$5*CapacityAC*8760*(1-'Inputs &amp; Results'!$M$6)^(Y$2-1)),0)</f>
        <v>14498192.087755578</v>
      </c>
      <c r="Z5" s="135">
        <f>IF(Z$2&lt;=AnalysisPeriod,IF('Inputs &amp; Results'!$M$3="Annual Inputs",LOOKUP(Z$2,'Inputs &amp; Results'!$L$9:$L$48,'Inputs &amp; Results'!$M$9:$M$48),'Inputs &amp; Results'!$M$5*CapacityAC*8760*(1-'Inputs &amp; Results'!$M$6)^(Z$2-1)),0)</f>
        <v>14425701.127316799</v>
      </c>
      <c r="AA5" s="135">
        <f>IF(AA$2&lt;=AnalysisPeriod,IF('Inputs &amp; Results'!$M$3="Annual Inputs",LOOKUP(AA$2,'Inputs &amp; Results'!$L$9:$L$48,'Inputs &amp; Results'!$M$9:$M$48),'Inputs &amp; Results'!$M$5*CapacityAC*8760*(1-'Inputs &amp; Results'!$M$6)^(AA$2-1)),0)</f>
        <v>14353572.621680215</v>
      </c>
      <c r="AB5" s="135">
        <f>IF(AB$2&lt;=AnalysisPeriod,IF('Inputs &amp; Results'!$M$3="Annual Inputs",LOOKUP(AB$2,'Inputs &amp; Results'!$L$9:$L$48,'Inputs &amp; Results'!$M$9:$M$48),'Inputs &amp; Results'!$M$5*CapacityAC*8760*(1-'Inputs &amp; Results'!$M$6)^(AB$2-1)),0)</f>
        <v>14281804.758571815</v>
      </c>
      <c r="AC5" s="135">
        <f>IF(AC$2&lt;=AnalysisPeriod,IF('Inputs &amp; Results'!$M$3="Annual Inputs",LOOKUP(AC$2,'Inputs &amp; Results'!$L$9:$L$48,'Inputs &amp; Results'!$M$9:$M$48),'Inputs &amp; Results'!$M$5*CapacityAC*8760*(1-'Inputs &amp; Results'!$M$6)^(AC$2-1)),0)</f>
        <v>14210395.734778956</v>
      </c>
      <c r="AD5" s="135">
        <f>IF(AD$2&lt;=AnalysisPeriod,IF('Inputs &amp; Results'!$M$3="Annual Inputs",LOOKUP(AD$2,'Inputs &amp; Results'!$L$9:$L$48,'Inputs &amp; Results'!$M$9:$M$48),'Inputs &amp; Results'!$M$5*CapacityAC*8760*(1-'Inputs &amp; Results'!$M$6)^(AD$2-1)),0)</f>
        <v>14139343.75610506</v>
      </c>
      <c r="AE5" s="135">
        <f>IF(AE$2&lt;=AnalysisPeriod,IF('Inputs &amp; Results'!$M$3="Annual Inputs",LOOKUP(AE$2,'Inputs &amp; Results'!$L$9:$L$48,'Inputs &amp; Results'!$M$9:$M$48),'Inputs &amp; Results'!$M$5*CapacityAC*8760*(1-'Inputs &amp; Results'!$M$6)^(AE$2-1)),0)</f>
        <v>14068647.037324537</v>
      </c>
      <c r="AF5" s="135">
        <f>IF(AF$2&lt;=AnalysisPeriod,IF('Inputs &amp; Results'!$M$3="Annual Inputs",LOOKUP(AF$2,'Inputs &amp; Results'!$L$9:$L$48,'Inputs &amp; Results'!$M$9:$M$48),'Inputs &amp; Results'!$M$5*CapacityAC*8760*(1-'Inputs &amp; Results'!$M$6)^(AF$2-1)),0)</f>
        <v>13998303.802137915</v>
      </c>
      <c r="AG5" s="135">
        <f>IF(AG$2&lt;=AnalysisPeriod,IF('Inputs &amp; Results'!$M$3="Annual Inputs",LOOKUP(AG$2,'Inputs &amp; Results'!$L$9:$L$48,'Inputs &amp; Results'!$M$9:$M$48),'Inputs &amp; Results'!$M$5*CapacityAC*8760*(1-'Inputs &amp; Results'!$M$6)^(AG$2-1)),0)</f>
        <v>13928312.283127224</v>
      </c>
      <c r="AH5" s="135">
        <f>IF(AH$2&lt;=AnalysisPeriod,IF('Inputs &amp; Results'!$M$3="Annual Inputs",LOOKUP(AH$2,'Inputs &amp; Results'!$L$9:$L$48,'Inputs &amp; Results'!$M$9:$M$48),'Inputs &amp; Results'!$M$5*CapacityAC*8760*(1-'Inputs &amp; Results'!$M$6)^(AH$2-1)),0)</f>
        <v>13858670.721711587</v>
      </c>
      <c r="AI5" s="135">
        <f>IF(AI$2&lt;=AnalysisPeriod,IF('Inputs &amp; Results'!$M$3="Annual Inputs",LOOKUP(AI$2,'Inputs &amp; Results'!$L$9:$L$48,'Inputs &amp; Results'!$M$9:$M$48),'Inputs &amp; Results'!$M$5*CapacityAC*8760*(1-'Inputs &amp; Results'!$M$6)^(AI$2-1)),0)</f>
        <v>13789377.368103029</v>
      </c>
      <c r="AJ5" s="135">
        <f>IF(AJ$2&lt;=AnalysisPeriod,IF('Inputs &amp; Results'!$M$3="Annual Inputs",LOOKUP(AJ$2,'Inputs &amp; Results'!$L$9:$L$48,'Inputs &amp; Results'!$M$9:$M$48),'Inputs &amp; Results'!$M$5*CapacityAC*8760*(1-'Inputs &amp; Results'!$M$6)^(AJ$2-1)),0)</f>
        <v>13720430.481262514</v>
      </c>
      <c r="AK5" s="135">
        <f>IF(AK$2&lt;=AnalysisPeriod,IF('Inputs &amp; Results'!$M$3="Annual Inputs",LOOKUP(AK$2,'Inputs &amp; Results'!$L$9:$L$48,'Inputs &amp; Results'!$M$9:$M$48),'Inputs &amp; Results'!$M$5*CapacityAC*8760*(1-'Inputs &amp; Results'!$M$6)^(AK$2-1)),0)</f>
        <v>13651828.328856202</v>
      </c>
      <c r="AL5" s="135">
        <f>IF(AL$2&lt;=AnalysisPeriod,IF('Inputs &amp; Results'!$M$3="Annual Inputs",LOOKUP(AL$2,'Inputs &amp; Results'!$L$9:$L$48,'Inputs &amp; Results'!$M$9:$M$48),'Inputs &amp; Results'!$M$5*CapacityAC*8760*(1-'Inputs &amp; Results'!$M$6)^(AL$2-1)),0)</f>
        <v>13583569.187211921</v>
      </c>
      <c r="AM5" s="135">
        <f>IF(AM$2&lt;=AnalysisPeriod,IF('Inputs &amp; Results'!$M$3="Annual Inputs",LOOKUP(AM$2,'Inputs &amp; Results'!$L$9:$L$48,'Inputs &amp; Results'!$M$9:$M$48),'Inputs &amp; Results'!$M$5*CapacityAC*8760*(1-'Inputs &amp; Results'!$M$6)^(AM$2-1)),0)</f>
        <v>13515651.341275861</v>
      </c>
      <c r="AN5" s="135">
        <f>IF(AN$2&lt;=AnalysisPeriod,IF('Inputs &amp; Results'!$M$3="Annual Inputs",LOOKUP(AN$2,'Inputs &amp; Results'!$L$9:$L$48,'Inputs &amp; Results'!$M$9:$M$48),'Inputs &amp; Results'!$M$5*CapacityAC*8760*(1-'Inputs &amp; Results'!$M$6)^(AN$2-1)),0)</f>
        <v>13448073.084569484</v>
      </c>
      <c r="AO5" s="135">
        <f>IF(AO$2&lt;=AnalysisPeriod,IF('Inputs &amp; Results'!$M$3="Annual Inputs",LOOKUP(AO$2,'Inputs &amp; Results'!$L$9:$L$48,'Inputs &amp; Results'!$M$9:$M$48),'Inputs &amp; Results'!$M$5*CapacityAC*8760*(1-'Inputs &amp; Results'!$M$6)^(AO$2-1)),0)</f>
        <v>13380832.719146635</v>
      </c>
      <c r="AP5" s="135">
        <f>IF(AP$2&lt;=AnalysisPeriod,IF('Inputs &amp; Results'!$M$3="Annual Inputs",LOOKUP(AP$2,'Inputs &amp; Results'!$L$9:$L$48,'Inputs &amp; Results'!$M$9:$M$48),'Inputs &amp; Results'!$M$5*CapacityAC*8760*(1-'Inputs &amp; Results'!$M$6)^(AP$2-1)),0)</f>
        <v>13313928.555550903</v>
      </c>
    </row>
    <row r="6" spans="1:42" x14ac:dyDescent="0.2">
      <c r="C6" s="135"/>
      <c r="D6" s="345"/>
      <c r="E6" s="345"/>
      <c r="F6" s="345"/>
      <c r="G6" s="345"/>
      <c r="H6" s="345"/>
      <c r="I6" s="345"/>
      <c r="J6" s="345"/>
      <c r="K6" s="34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</row>
    <row r="7" spans="1:42" x14ac:dyDescent="0.2">
      <c r="A7" s="162" t="s">
        <v>384</v>
      </c>
      <c r="C7" s="164"/>
      <c r="D7" s="164"/>
      <c r="E7" s="164"/>
      <c r="F7" s="164"/>
      <c r="G7" s="164"/>
      <c r="H7" s="164"/>
      <c r="I7" s="164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</row>
    <row r="8" spans="1:42" x14ac:dyDescent="0.2">
      <c r="A8" s="165" t="s">
        <v>75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</row>
    <row r="9" spans="1:42" x14ac:dyDescent="0.2">
      <c r="A9" s="20" t="s">
        <v>76</v>
      </c>
      <c r="C9" s="135"/>
      <c r="D9" s="166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</row>
    <row r="10" spans="1:42" x14ac:dyDescent="0.2">
      <c r="A10" s="167" t="s">
        <v>47</v>
      </c>
      <c r="C10" s="135">
        <f>C5</f>
        <v>16188480</v>
      </c>
      <c r="D10" s="135">
        <f>D5</f>
        <v>16107537.6</v>
      </c>
      <c r="E10" s="135">
        <f>E5</f>
        <v>16026999.912</v>
      </c>
      <c r="F10" s="135">
        <f t="shared" ref="F10:AP10" si="1">F5</f>
        <v>15946864.91244</v>
      </c>
      <c r="G10" s="135">
        <f t="shared" si="1"/>
        <v>15867130.587877801</v>
      </c>
      <c r="H10" s="135">
        <f t="shared" si="1"/>
        <v>15787794.934938412</v>
      </c>
      <c r="I10" s="135">
        <f t="shared" si="1"/>
        <v>15708855.96026372</v>
      </c>
      <c r="J10" s="135">
        <f t="shared" si="1"/>
        <v>15630311.680462401</v>
      </c>
      <c r="K10" s="135">
        <f t="shared" si="1"/>
        <v>15552160.12206009</v>
      </c>
      <c r="L10" s="135">
        <f t="shared" si="1"/>
        <v>15474399.321449788</v>
      </c>
      <c r="M10" s="135">
        <f t="shared" si="1"/>
        <v>15397027.324842541</v>
      </c>
      <c r="N10" s="135">
        <f t="shared" si="1"/>
        <v>15320042.188218327</v>
      </c>
      <c r="O10" s="135">
        <f t="shared" si="1"/>
        <v>15243441.977277236</v>
      </c>
      <c r="P10" s="135">
        <f t="shared" si="1"/>
        <v>15167224.767390851</v>
      </c>
      <c r="Q10" s="135">
        <f t="shared" si="1"/>
        <v>15091388.643553898</v>
      </c>
      <c r="R10" s="135">
        <f t="shared" si="1"/>
        <v>15015931.700336127</v>
      </c>
      <c r="S10" s="135">
        <f t="shared" si="1"/>
        <v>14940852.041834446</v>
      </c>
      <c r="T10" s="135">
        <f t="shared" si="1"/>
        <v>14866147.781625275</v>
      </c>
      <c r="U10" s="135">
        <f t="shared" si="1"/>
        <v>14791817.042717148</v>
      </c>
      <c r="V10" s="135">
        <f t="shared" si="1"/>
        <v>14717857.957503561</v>
      </c>
      <c r="W10" s="135">
        <f t="shared" si="1"/>
        <v>14644268.667716045</v>
      </c>
      <c r="X10" s="135">
        <f t="shared" si="1"/>
        <v>14571047.324377464</v>
      </c>
      <c r="Y10" s="135">
        <f t="shared" si="1"/>
        <v>14498192.087755578</v>
      </c>
      <c r="Z10" s="135">
        <f t="shared" si="1"/>
        <v>14425701.127316799</v>
      </c>
      <c r="AA10" s="135">
        <f t="shared" si="1"/>
        <v>14353572.621680215</v>
      </c>
      <c r="AB10" s="135">
        <f t="shared" si="1"/>
        <v>14281804.758571815</v>
      </c>
      <c r="AC10" s="135">
        <f t="shared" si="1"/>
        <v>14210395.734778956</v>
      </c>
      <c r="AD10" s="135">
        <f t="shared" si="1"/>
        <v>14139343.75610506</v>
      </c>
      <c r="AE10" s="135">
        <f t="shared" si="1"/>
        <v>14068647.037324537</v>
      </c>
      <c r="AF10" s="135">
        <f t="shared" si="1"/>
        <v>13998303.802137915</v>
      </c>
      <c r="AG10" s="135">
        <f t="shared" si="1"/>
        <v>13928312.283127224</v>
      </c>
      <c r="AH10" s="135">
        <f t="shared" si="1"/>
        <v>13858670.721711587</v>
      </c>
      <c r="AI10" s="135">
        <f t="shared" si="1"/>
        <v>13789377.368103029</v>
      </c>
      <c r="AJ10" s="135">
        <f t="shared" si="1"/>
        <v>13720430.481262514</v>
      </c>
      <c r="AK10" s="135">
        <f t="shared" si="1"/>
        <v>13651828.328856202</v>
      </c>
      <c r="AL10" s="135">
        <f t="shared" si="1"/>
        <v>13583569.187211921</v>
      </c>
      <c r="AM10" s="135">
        <f t="shared" si="1"/>
        <v>13515651.341275861</v>
      </c>
      <c r="AN10" s="135">
        <f t="shared" si="1"/>
        <v>13448073.084569484</v>
      </c>
      <c r="AO10" s="135">
        <f t="shared" si="1"/>
        <v>13380832.719146635</v>
      </c>
      <c r="AP10" s="135">
        <f t="shared" si="1"/>
        <v>13313928.555550903</v>
      </c>
    </row>
    <row r="11" spans="1:42" x14ac:dyDescent="0.2">
      <c r="A11" s="167" t="s">
        <v>48</v>
      </c>
      <c r="C11" s="168">
        <f t="shared" ref="C11:AP11" si="2">SLPPAPrice*(1+SLPPAPriceEsc)^B2</f>
        <v>41.682708185943383</v>
      </c>
      <c r="D11" s="168">
        <f t="shared" si="2"/>
        <v>42.099535267802814</v>
      </c>
      <c r="E11" s="168">
        <f t="shared" si="2"/>
        <v>42.520530620480848</v>
      </c>
      <c r="F11" s="168">
        <f t="shared" si="2"/>
        <v>42.94573592668565</v>
      </c>
      <c r="G11" s="168">
        <f t="shared" si="2"/>
        <v>43.375193285952513</v>
      </c>
      <c r="H11" s="168">
        <f t="shared" si="2"/>
        <v>43.808945218812035</v>
      </c>
      <c r="I11" s="168">
        <f t="shared" si="2"/>
        <v>44.247034671000158</v>
      </c>
      <c r="J11" s="168">
        <f t="shared" si="2"/>
        <v>44.689505017710147</v>
      </c>
      <c r="K11" s="168">
        <f t="shared" si="2"/>
        <v>45.136400067887266</v>
      </c>
      <c r="L11" s="168">
        <f t="shared" si="2"/>
        <v>45.587764068566138</v>
      </c>
      <c r="M11" s="168">
        <f t="shared" si="2"/>
        <v>46.043641709251801</v>
      </c>
      <c r="N11" s="168">
        <f t="shared" si="2"/>
        <v>46.504078126344311</v>
      </c>
      <c r="O11" s="168">
        <f t="shared" si="2"/>
        <v>46.969118907607758</v>
      </c>
      <c r="P11" s="168">
        <f t="shared" si="2"/>
        <v>47.438810096683838</v>
      </c>
      <c r="Q11" s="168">
        <f t="shared" si="2"/>
        <v>47.913198197650679</v>
      </c>
      <c r="R11" s="168">
        <f t="shared" si="2"/>
        <v>48.392330179627173</v>
      </c>
      <c r="S11" s="168">
        <f t="shared" si="2"/>
        <v>48.876253481423461</v>
      </c>
      <c r="T11" s="168">
        <f t="shared" si="2"/>
        <v>49.365016016237696</v>
      </c>
      <c r="U11" s="168">
        <f t="shared" si="2"/>
        <v>49.858666176400078</v>
      </c>
      <c r="V11" s="168">
        <f t="shared" si="2"/>
        <v>50.357252838164065</v>
      </c>
      <c r="W11" s="168">
        <f t="shared" si="2"/>
        <v>50.860825366545711</v>
      </c>
      <c r="X11" s="168">
        <f t="shared" si="2"/>
        <v>51.369433620211161</v>
      </c>
      <c r="Y11" s="168">
        <f t="shared" si="2"/>
        <v>51.883127956413283</v>
      </c>
      <c r="Z11" s="168">
        <f t="shared" si="2"/>
        <v>52.401959235977408</v>
      </c>
      <c r="AA11" s="168">
        <f t="shared" si="2"/>
        <v>52.9259788283372</v>
      </c>
      <c r="AB11" s="168">
        <f t="shared" si="2"/>
        <v>53.455238616620576</v>
      </c>
      <c r="AC11" s="168">
        <f t="shared" si="2"/>
        <v>53.989791002786781</v>
      </c>
      <c r="AD11" s="168">
        <f t="shared" si="2"/>
        <v>54.529688912814628</v>
      </c>
      <c r="AE11" s="168">
        <f t="shared" si="2"/>
        <v>55.07498580194278</v>
      </c>
      <c r="AF11" s="168">
        <f t="shared" si="2"/>
        <v>55.62573565996221</v>
      </c>
      <c r="AG11" s="168">
        <f t="shared" si="2"/>
        <v>56.18199301656184</v>
      </c>
      <c r="AH11" s="168">
        <f t="shared" si="2"/>
        <v>56.743812946727445</v>
      </c>
      <c r="AI11" s="168">
        <f t="shared" si="2"/>
        <v>57.311251076194729</v>
      </c>
      <c r="AJ11" s="168">
        <f t="shared" si="2"/>
        <v>57.884363586956681</v>
      </c>
      <c r="AK11" s="168">
        <f t="shared" si="2"/>
        <v>58.463207222826249</v>
      </c>
      <c r="AL11" s="168">
        <f t="shared" si="2"/>
        <v>59.047839295054501</v>
      </c>
      <c r="AM11" s="168">
        <f t="shared" si="2"/>
        <v>59.638317688005053</v>
      </c>
      <c r="AN11" s="168">
        <f t="shared" si="2"/>
        <v>60.234700864885099</v>
      </c>
      <c r="AO11" s="168">
        <f t="shared" si="2"/>
        <v>60.837047873533962</v>
      </c>
      <c r="AP11" s="168">
        <f t="shared" si="2"/>
        <v>61.445418352269279</v>
      </c>
    </row>
    <row r="12" spans="1:42" x14ac:dyDescent="0.2">
      <c r="A12" s="167" t="s">
        <v>74</v>
      </c>
      <c r="C12" s="135">
        <f t="shared" ref="C12:AP12" si="3">C10*C11/100</f>
        <v>6747796.8781398069</v>
      </c>
      <c r="D12" s="135">
        <f t="shared" si="3"/>
        <v>6781198.4726865981</v>
      </c>
      <c r="E12" s="135">
        <f t="shared" si="3"/>
        <v>6814765.4051263984</v>
      </c>
      <c r="F12" s="135">
        <f t="shared" si="3"/>
        <v>6848498.4938817732</v>
      </c>
      <c r="G12" s="135">
        <f t="shared" si="3"/>
        <v>6882398.5614264896</v>
      </c>
      <c r="H12" s="135">
        <f t="shared" si="3"/>
        <v>6916466.4343055496</v>
      </c>
      <c r="I12" s="135">
        <f t="shared" si="3"/>
        <v>6950702.9431553623</v>
      </c>
      <c r="J12" s="135">
        <f t="shared" si="3"/>
        <v>6985108.9227239797</v>
      </c>
      <c r="K12" s="135">
        <f t="shared" si="3"/>
        <v>7019685.2118914668</v>
      </c>
      <c r="L12" s="135">
        <f t="shared" si="3"/>
        <v>7054432.6536903288</v>
      </c>
      <c r="M12" s="135">
        <f t="shared" si="3"/>
        <v>7089352.0953260968</v>
      </c>
      <c r="N12" s="135">
        <f t="shared" si="3"/>
        <v>7124444.3881979594</v>
      </c>
      <c r="O12" s="135">
        <f t="shared" si="3"/>
        <v>7159710.3879195405</v>
      </c>
      <c r="P12" s="135">
        <f t="shared" si="3"/>
        <v>7195150.9543397427</v>
      </c>
      <c r="Q12" s="135">
        <f t="shared" si="3"/>
        <v>7230766.9515637252</v>
      </c>
      <c r="R12" s="135">
        <f t="shared" si="3"/>
        <v>7266559.2479739627</v>
      </c>
      <c r="S12" s="135">
        <f t="shared" si="3"/>
        <v>7302528.7162514366</v>
      </c>
      <c r="T12" s="135">
        <f t="shared" si="3"/>
        <v>7338676.2333968822</v>
      </c>
      <c r="U12" s="135">
        <f t="shared" si="3"/>
        <v>7375002.6807521963</v>
      </c>
      <c r="V12" s="135">
        <f t="shared" si="3"/>
        <v>7411508.9440219179</v>
      </c>
      <c r="W12" s="135">
        <f t="shared" si="3"/>
        <v>7448195.9132948276</v>
      </c>
      <c r="X12" s="135">
        <f t="shared" si="3"/>
        <v>7485064.4830656359</v>
      </c>
      <c r="Y12" s="135">
        <f t="shared" si="3"/>
        <v>7522115.5522568133</v>
      </c>
      <c r="Z12" s="135">
        <f t="shared" si="3"/>
        <v>7559350.0242404817</v>
      </c>
      <c r="AA12" s="135">
        <f t="shared" si="3"/>
        <v>7596768.8068604758</v>
      </c>
      <c r="AB12" s="135">
        <f t="shared" si="3"/>
        <v>7634372.812454436</v>
      </c>
      <c r="AC12" s="135">
        <f t="shared" si="3"/>
        <v>7672162.9578760853</v>
      </c>
      <c r="AD12" s="135">
        <f t="shared" si="3"/>
        <v>7710140.1645175684</v>
      </c>
      <c r="AE12" s="135">
        <f t="shared" si="3"/>
        <v>7748305.3583319318</v>
      </c>
      <c r="AF12" s="135">
        <f t="shared" si="3"/>
        <v>7786659.4698556755</v>
      </c>
      <c r="AG12" s="135">
        <f t="shared" si="3"/>
        <v>7825203.4342314629</v>
      </c>
      <c r="AH12" s="135">
        <f t="shared" si="3"/>
        <v>7863938.1912309052</v>
      </c>
      <c r="AI12" s="135">
        <f t="shared" si="3"/>
        <v>7902864.6852775002</v>
      </c>
      <c r="AJ12" s="135">
        <f t="shared" si="3"/>
        <v>7941983.8654696234</v>
      </c>
      <c r="AK12" s="135">
        <f t="shared" si="3"/>
        <v>7981296.6856036987</v>
      </c>
      <c r="AL12" s="135">
        <f t="shared" si="3"/>
        <v>8020804.1041974369</v>
      </c>
      <c r="AM12" s="135">
        <f t="shared" si="3"/>
        <v>8060507.0845132144</v>
      </c>
      <c r="AN12" s="135">
        <f t="shared" si="3"/>
        <v>8100406.5945815556</v>
      </c>
      <c r="AO12" s="135">
        <f t="shared" si="3"/>
        <v>8140503.6072247354</v>
      </c>
      <c r="AP12" s="135">
        <f t="shared" si="3"/>
        <v>8180799.1000804948</v>
      </c>
    </row>
    <row r="13" spans="1:42" s="101" customFormat="1" x14ac:dyDescent="0.2">
      <c r="A13" s="101" t="s">
        <v>326</v>
      </c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</row>
    <row r="14" spans="1:42" s="101" customFormat="1" x14ac:dyDescent="0.2">
      <c r="A14" s="234" t="str">
        <f>'Inputs &amp; Results'!A65</f>
        <v>Federal</v>
      </c>
      <c r="C14" s="124">
        <f>C619</f>
        <v>0</v>
      </c>
      <c r="D14" s="124">
        <f t="shared" ref="D14:AP14" si="4">D619</f>
        <v>0</v>
      </c>
      <c r="E14" s="124">
        <f t="shared" si="4"/>
        <v>0</v>
      </c>
      <c r="F14" s="124">
        <f t="shared" si="4"/>
        <v>0</v>
      </c>
      <c r="G14" s="124">
        <f t="shared" si="4"/>
        <v>0</v>
      </c>
      <c r="H14" s="124">
        <f t="shared" si="4"/>
        <v>0</v>
      </c>
      <c r="I14" s="124">
        <f t="shared" si="4"/>
        <v>0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0</v>
      </c>
      <c r="U14" s="124">
        <f t="shared" si="4"/>
        <v>0</v>
      </c>
      <c r="V14" s="124">
        <f t="shared" si="4"/>
        <v>0</v>
      </c>
      <c r="W14" s="124">
        <f t="shared" si="4"/>
        <v>0</v>
      </c>
      <c r="X14" s="124">
        <f t="shared" si="4"/>
        <v>0</v>
      </c>
      <c r="Y14" s="124">
        <f t="shared" si="4"/>
        <v>0</v>
      </c>
      <c r="Z14" s="124">
        <f t="shared" si="4"/>
        <v>0</v>
      </c>
      <c r="AA14" s="124">
        <f t="shared" si="4"/>
        <v>0</v>
      </c>
      <c r="AB14" s="124">
        <f t="shared" si="4"/>
        <v>0</v>
      </c>
      <c r="AC14" s="124">
        <f t="shared" si="4"/>
        <v>0</v>
      </c>
      <c r="AD14" s="124">
        <f t="shared" si="4"/>
        <v>0</v>
      </c>
      <c r="AE14" s="124">
        <f t="shared" si="4"/>
        <v>0</v>
      </c>
      <c r="AF14" s="124">
        <f t="shared" si="4"/>
        <v>0</v>
      </c>
      <c r="AG14" s="124">
        <f t="shared" si="4"/>
        <v>0</v>
      </c>
      <c r="AH14" s="124">
        <f t="shared" si="4"/>
        <v>0</v>
      </c>
      <c r="AI14" s="124">
        <f t="shared" si="4"/>
        <v>0</v>
      </c>
      <c r="AJ14" s="124">
        <f t="shared" si="4"/>
        <v>0</v>
      </c>
      <c r="AK14" s="124">
        <f t="shared" si="4"/>
        <v>0</v>
      </c>
      <c r="AL14" s="124">
        <f t="shared" si="4"/>
        <v>0</v>
      </c>
      <c r="AM14" s="124">
        <f t="shared" si="4"/>
        <v>0</v>
      </c>
      <c r="AN14" s="124">
        <f t="shared" si="4"/>
        <v>0</v>
      </c>
      <c r="AO14" s="124">
        <f t="shared" si="4"/>
        <v>0</v>
      </c>
      <c r="AP14" s="124">
        <f t="shared" si="4"/>
        <v>0</v>
      </c>
    </row>
    <row r="15" spans="1:42" s="101" customFormat="1" x14ac:dyDescent="0.2">
      <c r="A15" s="234" t="str">
        <f>'Inputs &amp; Results'!A66</f>
        <v>State</v>
      </c>
      <c r="C15" s="124">
        <f>C623</f>
        <v>0</v>
      </c>
      <c r="D15" s="124">
        <f t="shared" ref="D15:AP15" si="5">D623</f>
        <v>0</v>
      </c>
      <c r="E15" s="124">
        <f t="shared" si="5"/>
        <v>0</v>
      </c>
      <c r="F15" s="124">
        <f t="shared" si="5"/>
        <v>0</v>
      </c>
      <c r="G15" s="124">
        <f t="shared" si="5"/>
        <v>0</v>
      </c>
      <c r="H15" s="124">
        <f t="shared" si="5"/>
        <v>0</v>
      </c>
      <c r="I15" s="124">
        <f t="shared" si="5"/>
        <v>0</v>
      </c>
      <c r="J15" s="124">
        <f t="shared" si="5"/>
        <v>0</v>
      </c>
      <c r="K15" s="124">
        <f t="shared" si="5"/>
        <v>0</v>
      </c>
      <c r="L15" s="124">
        <f t="shared" si="5"/>
        <v>0</v>
      </c>
      <c r="M15" s="124">
        <f t="shared" si="5"/>
        <v>0</v>
      </c>
      <c r="N15" s="124">
        <f t="shared" si="5"/>
        <v>0</v>
      </c>
      <c r="O15" s="124">
        <f t="shared" si="5"/>
        <v>0</v>
      </c>
      <c r="P15" s="124">
        <f t="shared" si="5"/>
        <v>0</v>
      </c>
      <c r="Q15" s="124">
        <f t="shared" si="5"/>
        <v>0</v>
      </c>
      <c r="R15" s="124">
        <f t="shared" si="5"/>
        <v>0</v>
      </c>
      <c r="S15" s="124">
        <f t="shared" si="5"/>
        <v>0</v>
      </c>
      <c r="T15" s="124">
        <f t="shared" si="5"/>
        <v>0</v>
      </c>
      <c r="U15" s="124">
        <f t="shared" si="5"/>
        <v>0</v>
      </c>
      <c r="V15" s="124">
        <f t="shared" si="5"/>
        <v>0</v>
      </c>
      <c r="W15" s="124">
        <f t="shared" si="5"/>
        <v>0</v>
      </c>
      <c r="X15" s="124">
        <f t="shared" si="5"/>
        <v>0</v>
      </c>
      <c r="Y15" s="124">
        <f t="shared" si="5"/>
        <v>0</v>
      </c>
      <c r="Z15" s="124">
        <f t="shared" si="5"/>
        <v>0</v>
      </c>
      <c r="AA15" s="124">
        <f t="shared" si="5"/>
        <v>0</v>
      </c>
      <c r="AB15" s="124">
        <f t="shared" si="5"/>
        <v>0</v>
      </c>
      <c r="AC15" s="124">
        <f t="shared" si="5"/>
        <v>0</v>
      </c>
      <c r="AD15" s="124">
        <f t="shared" si="5"/>
        <v>0</v>
      </c>
      <c r="AE15" s="124">
        <f t="shared" si="5"/>
        <v>0</v>
      </c>
      <c r="AF15" s="124">
        <f t="shared" si="5"/>
        <v>0</v>
      </c>
      <c r="AG15" s="124">
        <f t="shared" si="5"/>
        <v>0</v>
      </c>
      <c r="AH15" s="124">
        <f t="shared" si="5"/>
        <v>0</v>
      </c>
      <c r="AI15" s="124">
        <f t="shared" si="5"/>
        <v>0</v>
      </c>
      <c r="AJ15" s="124">
        <f t="shared" si="5"/>
        <v>0</v>
      </c>
      <c r="AK15" s="124">
        <f t="shared" si="5"/>
        <v>0</v>
      </c>
      <c r="AL15" s="124">
        <f t="shared" si="5"/>
        <v>0</v>
      </c>
      <c r="AM15" s="124">
        <f t="shared" si="5"/>
        <v>0</v>
      </c>
      <c r="AN15" s="124">
        <f t="shared" si="5"/>
        <v>0</v>
      </c>
      <c r="AO15" s="124">
        <f t="shared" si="5"/>
        <v>0</v>
      </c>
      <c r="AP15" s="124">
        <f t="shared" si="5"/>
        <v>0</v>
      </c>
    </row>
    <row r="16" spans="1:42" s="101" customFormat="1" x14ac:dyDescent="0.2">
      <c r="A16" s="234" t="str">
        <f>'Inputs &amp; Results'!A67</f>
        <v>Utility</v>
      </c>
      <c r="C16" s="124">
        <f>C627</f>
        <v>0</v>
      </c>
      <c r="D16" s="124">
        <f t="shared" ref="D16:AP16" si="6">D627</f>
        <v>0</v>
      </c>
      <c r="E16" s="124">
        <f t="shared" si="6"/>
        <v>0</v>
      </c>
      <c r="F16" s="124">
        <f t="shared" si="6"/>
        <v>0</v>
      </c>
      <c r="G16" s="124">
        <f t="shared" si="6"/>
        <v>0</v>
      </c>
      <c r="H16" s="124">
        <f t="shared" si="6"/>
        <v>0</v>
      </c>
      <c r="I16" s="124">
        <f t="shared" si="6"/>
        <v>0</v>
      </c>
      <c r="J16" s="124">
        <f t="shared" si="6"/>
        <v>0</v>
      </c>
      <c r="K16" s="124">
        <f t="shared" si="6"/>
        <v>0</v>
      </c>
      <c r="L16" s="124">
        <f t="shared" si="6"/>
        <v>0</v>
      </c>
      <c r="M16" s="124">
        <f t="shared" si="6"/>
        <v>0</v>
      </c>
      <c r="N16" s="124">
        <f t="shared" si="6"/>
        <v>0</v>
      </c>
      <c r="O16" s="124">
        <f t="shared" si="6"/>
        <v>0</v>
      </c>
      <c r="P16" s="124">
        <f t="shared" si="6"/>
        <v>0</v>
      </c>
      <c r="Q16" s="124">
        <f t="shared" si="6"/>
        <v>0</v>
      </c>
      <c r="R16" s="124">
        <f t="shared" si="6"/>
        <v>0</v>
      </c>
      <c r="S16" s="124">
        <f t="shared" si="6"/>
        <v>0</v>
      </c>
      <c r="T16" s="124">
        <f t="shared" si="6"/>
        <v>0</v>
      </c>
      <c r="U16" s="124">
        <f t="shared" si="6"/>
        <v>0</v>
      </c>
      <c r="V16" s="124">
        <f t="shared" si="6"/>
        <v>0</v>
      </c>
      <c r="W16" s="124">
        <f t="shared" si="6"/>
        <v>0</v>
      </c>
      <c r="X16" s="124">
        <f t="shared" si="6"/>
        <v>0</v>
      </c>
      <c r="Y16" s="124">
        <f t="shared" si="6"/>
        <v>0</v>
      </c>
      <c r="Z16" s="124">
        <f t="shared" si="6"/>
        <v>0</v>
      </c>
      <c r="AA16" s="124">
        <f t="shared" si="6"/>
        <v>0</v>
      </c>
      <c r="AB16" s="124">
        <f t="shared" si="6"/>
        <v>0</v>
      </c>
      <c r="AC16" s="124">
        <f t="shared" si="6"/>
        <v>0</v>
      </c>
      <c r="AD16" s="124">
        <f t="shared" si="6"/>
        <v>0</v>
      </c>
      <c r="AE16" s="124">
        <f t="shared" si="6"/>
        <v>0</v>
      </c>
      <c r="AF16" s="124">
        <f t="shared" si="6"/>
        <v>0</v>
      </c>
      <c r="AG16" s="124">
        <f t="shared" si="6"/>
        <v>0</v>
      </c>
      <c r="AH16" s="124">
        <f t="shared" si="6"/>
        <v>0</v>
      </c>
      <c r="AI16" s="124">
        <f t="shared" si="6"/>
        <v>0</v>
      </c>
      <c r="AJ16" s="124">
        <f t="shared" si="6"/>
        <v>0</v>
      </c>
      <c r="AK16" s="124">
        <f t="shared" si="6"/>
        <v>0</v>
      </c>
      <c r="AL16" s="124">
        <f t="shared" si="6"/>
        <v>0</v>
      </c>
      <c r="AM16" s="124">
        <f t="shared" si="6"/>
        <v>0</v>
      </c>
      <c r="AN16" s="124">
        <f t="shared" si="6"/>
        <v>0</v>
      </c>
      <c r="AO16" s="124">
        <f t="shared" si="6"/>
        <v>0</v>
      </c>
      <c r="AP16" s="124">
        <f t="shared" si="6"/>
        <v>0</v>
      </c>
    </row>
    <row r="17" spans="1:42" s="101" customFormat="1" x14ac:dyDescent="0.2">
      <c r="A17" s="234" t="str">
        <f>'Inputs &amp; Results'!A68</f>
        <v>Other</v>
      </c>
      <c r="C17" s="186">
        <f>C631</f>
        <v>0</v>
      </c>
      <c r="D17" s="186">
        <f t="shared" ref="D17:AP17" si="7">D631</f>
        <v>0</v>
      </c>
      <c r="E17" s="186">
        <f t="shared" si="7"/>
        <v>0</v>
      </c>
      <c r="F17" s="186">
        <f t="shared" si="7"/>
        <v>0</v>
      </c>
      <c r="G17" s="186">
        <f t="shared" si="7"/>
        <v>0</v>
      </c>
      <c r="H17" s="186">
        <f t="shared" si="7"/>
        <v>0</v>
      </c>
      <c r="I17" s="186">
        <f t="shared" si="7"/>
        <v>0</v>
      </c>
      <c r="J17" s="186">
        <f t="shared" si="7"/>
        <v>0</v>
      </c>
      <c r="K17" s="186">
        <f t="shared" si="7"/>
        <v>0</v>
      </c>
      <c r="L17" s="186">
        <f t="shared" si="7"/>
        <v>0</v>
      </c>
      <c r="M17" s="186">
        <f t="shared" si="7"/>
        <v>0</v>
      </c>
      <c r="N17" s="186">
        <f t="shared" si="7"/>
        <v>0</v>
      </c>
      <c r="O17" s="186">
        <f t="shared" si="7"/>
        <v>0</v>
      </c>
      <c r="P17" s="186">
        <f t="shared" si="7"/>
        <v>0</v>
      </c>
      <c r="Q17" s="186">
        <f t="shared" si="7"/>
        <v>0</v>
      </c>
      <c r="R17" s="186">
        <f t="shared" si="7"/>
        <v>0</v>
      </c>
      <c r="S17" s="186">
        <f t="shared" si="7"/>
        <v>0</v>
      </c>
      <c r="T17" s="186">
        <f t="shared" si="7"/>
        <v>0</v>
      </c>
      <c r="U17" s="186">
        <f t="shared" si="7"/>
        <v>0</v>
      </c>
      <c r="V17" s="186">
        <f t="shared" si="7"/>
        <v>0</v>
      </c>
      <c r="W17" s="186">
        <f t="shared" si="7"/>
        <v>0</v>
      </c>
      <c r="X17" s="186">
        <f t="shared" si="7"/>
        <v>0</v>
      </c>
      <c r="Y17" s="186">
        <f t="shared" si="7"/>
        <v>0</v>
      </c>
      <c r="Z17" s="186">
        <f t="shared" si="7"/>
        <v>0</v>
      </c>
      <c r="AA17" s="186">
        <f t="shared" si="7"/>
        <v>0</v>
      </c>
      <c r="AB17" s="186">
        <f t="shared" si="7"/>
        <v>0</v>
      </c>
      <c r="AC17" s="186">
        <f t="shared" si="7"/>
        <v>0</v>
      </c>
      <c r="AD17" s="186">
        <f t="shared" si="7"/>
        <v>0</v>
      </c>
      <c r="AE17" s="186">
        <f t="shared" si="7"/>
        <v>0</v>
      </c>
      <c r="AF17" s="186">
        <f t="shared" si="7"/>
        <v>0</v>
      </c>
      <c r="AG17" s="186">
        <f t="shared" si="7"/>
        <v>0</v>
      </c>
      <c r="AH17" s="186">
        <f t="shared" si="7"/>
        <v>0</v>
      </c>
      <c r="AI17" s="186">
        <f t="shared" si="7"/>
        <v>0</v>
      </c>
      <c r="AJ17" s="186">
        <f t="shared" si="7"/>
        <v>0</v>
      </c>
      <c r="AK17" s="186">
        <f t="shared" si="7"/>
        <v>0</v>
      </c>
      <c r="AL17" s="186">
        <f t="shared" si="7"/>
        <v>0</v>
      </c>
      <c r="AM17" s="186">
        <f t="shared" si="7"/>
        <v>0</v>
      </c>
      <c r="AN17" s="186">
        <f t="shared" si="7"/>
        <v>0</v>
      </c>
      <c r="AO17" s="186">
        <f t="shared" si="7"/>
        <v>0</v>
      </c>
      <c r="AP17" s="186">
        <f t="shared" si="7"/>
        <v>0</v>
      </c>
    </row>
    <row r="18" spans="1:42" s="101" customFormat="1" x14ac:dyDescent="0.2">
      <c r="A18" s="234" t="s">
        <v>78</v>
      </c>
      <c r="C18" s="212">
        <f>SUM(C14:C17)</f>
        <v>0</v>
      </c>
      <c r="D18" s="212">
        <f t="shared" ref="D18:AP18" si="8">SUM(D14:D17)</f>
        <v>0</v>
      </c>
      <c r="E18" s="212">
        <f t="shared" si="8"/>
        <v>0</v>
      </c>
      <c r="F18" s="212">
        <f t="shared" si="8"/>
        <v>0</v>
      </c>
      <c r="G18" s="212">
        <f t="shared" si="8"/>
        <v>0</v>
      </c>
      <c r="H18" s="212">
        <f t="shared" si="8"/>
        <v>0</v>
      </c>
      <c r="I18" s="212">
        <f t="shared" si="8"/>
        <v>0</v>
      </c>
      <c r="J18" s="212">
        <f t="shared" si="8"/>
        <v>0</v>
      </c>
      <c r="K18" s="212">
        <f t="shared" si="8"/>
        <v>0</v>
      </c>
      <c r="L18" s="212">
        <f t="shared" si="8"/>
        <v>0</v>
      </c>
      <c r="M18" s="212">
        <f t="shared" si="8"/>
        <v>0</v>
      </c>
      <c r="N18" s="212">
        <f t="shared" si="8"/>
        <v>0</v>
      </c>
      <c r="O18" s="212">
        <f t="shared" si="8"/>
        <v>0</v>
      </c>
      <c r="P18" s="212">
        <f t="shared" si="8"/>
        <v>0</v>
      </c>
      <c r="Q18" s="212">
        <f t="shared" si="8"/>
        <v>0</v>
      </c>
      <c r="R18" s="212">
        <f t="shared" si="8"/>
        <v>0</v>
      </c>
      <c r="S18" s="212">
        <f t="shared" si="8"/>
        <v>0</v>
      </c>
      <c r="T18" s="212">
        <f t="shared" si="8"/>
        <v>0</v>
      </c>
      <c r="U18" s="212">
        <f t="shared" si="8"/>
        <v>0</v>
      </c>
      <c r="V18" s="212">
        <f t="shared" si="8"/>
        <v>0</v>
      </c>
      <c r="W18" s="212">
        <f t="shared" si="8"/>
        <v>0</v>
      </c>
      <c r="X18" s="212">
        <f t="shared" si="8"/>
        <v>0</v>
      </c>
      <c r="Y18" s="212">
        <f t="shared" si="8"/>
        <v>0</v>
      </c>
      <c r="Z18" s="212">
        <f t="shared" si="8"/>
        <v>0</v>
      </c>
      <c r="AA18" s="212">
        <f t="shared" si="8"/>
        <v>0</v>
      </c>
      <c r="AB18" s="212">
        <f t="shared" si="8"/>
        <v>0</v>
      </c>
      <c r="AC18" s="212">
        <f t="shared" si="8"/>
        <v>0</v>
      </c>
      <c r="AD18" s="212">
        <f t="shared" si="8"/>
        <v>0</v>
      </c>
      <c r="AE18" s="212">
        <f t="shared" si="8"/>
        <v>0</v>
      </c>
      <c r="AF18" s="212">
        <f t="shared" si="8"/>
        <v>0</v>
      </c>
      <c r="AG18" s="212">
        <f t="shared" si="8"/>
        <v>0</v>
      </c>
      <c r="AH18" s="212">
        <f t="shared" si="8"/>
        <v>0</v>
      </c>
      <c r="AI18" s="212">
        <f t="shared" si="8"/>
        <v>0</v>
      </c>
      <c r="AJ18" s="212">
        <f t="shared" si="8"/>
        <v>0</v>
      </c>
      <c r="AK18" s="212">
        <f t="shared" si="8"/>
        <v>0</v>
      </c>
      <c r="AL18" s="212">
        <f t="shared" si="8"/>
        <v>0</v>
      </c>
      <c r="AM18" s="212">
        <f t="shared" si="8"/>
        <v>0</v>
      </c>
      <c r="AN18" s="212">
        <f t="shared" si="8"/>
        <v>0</v>
      </c>
      <c r="AO18" s="212">
        <f t="shared" si="8"/>
        <v>0</v>
      </c>
      <c r="AP18" s="212">
        <f t="shared" si="8"/>
        <v>0</v>
      </c>
    </row>
    <row r="19" spans="1:42" x14ac:dyDescent="0.2">
      <c r="A19" s="163" t="s">
        <v>138</v>
      </c>
      <c r="C19" s="170">
        <f t="shared" ref="C19:AP19" si="9">IF(C2=AnalysisPeriod,SalvageValue*PreFinancingInstalledCostTotal,0)</f>
        <v>0</v>
      </c>
      <c r="D19" s="170">
        <f t="shared" si="9"/>
        <v>0</v>
      </c>
      <c r="E19" s="170">
        <f t="shared" si="9"/>
        <v>0</v>
      </c>
      <c r="F19" s="170">
        <f t="shared" si="9"/>
        <v>0</v>
      </c>
      <c r="G19" s="170">
        <f t="shared" si="9"/>
        <v>0</v>
      </c>
      <c r="H19" s="170">
        <f t="shared" si="9"/>
        <v>0</v>
      </c>
      <c r="I19" s="170">
        <f t="shared" si="9"/>
        <v>0</v>
      </c>
      <c r="J19" s="170">
        <f t="shared" si="9"/>
        <v>0</v>
      </c>
      <c r="K19" s="170">
        <f t="shared" si="9"/>
        <v>0</v>
      </c>
      <c r="L19" s="170">
        <f t="shared" si="9"/>
        <v>0</v>
      </c>
      <c r="M19" s="170">
        <f t="shared" si="9"/>
        <v>0</v>
      </c>
      <c r="N19" s="170">
        <f t="shared" si="9"/>
        <v>0</v>
      </c>
      <c r="O19" s="170">
        <f t="shared" si="9"/>
        <v>0</v>
      </c>
      <c r="P19" s="170">
        <f t="shared" si="9"/>
        <v>0</v>
      </c>
      <c r="Q19" s="170">
        <f t="shared" si="9"/>
        <v>0</v>
      </c>
      <c r="R19" s="170">
        <f t="shared" si="9"/>
        <v>0</v>
      </c>
      <c r="S19" s="170">
        <f t="shared" si="9"/>
        <v>0</v>
      </c>
      <c r="T19" s="170">
        <f t="shared" si="9"/>
        <v>0</v>
      </c>
      <c r="U19" s="170">
        <f t="shared" si="9"/>
        <v>0</v>
      </c>
      <c r="V19" s="170">
        <f t="shared" si="9"/>
        <v>0</v>
      </c>
      <c r="W19" s="170">
        <f t="shared" si="9"/>
        <v>0</v>
      </c>
      <c r="X19" s="170">
        <f t="shared" si="9"/>
        <v>0</v>
      </c>
      <c r="Y19" s="170">
        <f t="shared" si="9"/>
        <v>0</v>
      </c>
      <c r="Z19" s="170">
        <f t="shared" si="9"/>
        <v>0</v>
      </c>
      <c r="AA19" s="170">
        <f t="shared" si="9"/>
        <v>0</v>
      </c>
      <c r="AB19" s="170">
        <f t="shared" si="9"/>
        <v>0</v>
      </c>
      <c r="AC19" s="170">
        <f t="shared" si="9"/>
        <v>0</v>
      </c>
      <c r="AD19" s="170">
        <f t="shared" si="9"/>
        <v>0</v>
      </c>
      <c r="AE19" s="170">
        <f t="shared" si="9"/>
        <v>0</v>
      </c>
      <c r="AF19" s="170">
        <f t="shared" si="9"/>
        <v>0</v>
      </c>
      <c r="AG19" s="170">
        <f t="shared" si="9"/>
        <v>0</v>
      </c>
      <c r="AH19" s="170">
        <f t="shared" si="9"/>
        <v>0</v>
      </c>
      <c r="AI19" s="170">
        <f t="shared" si="9"/>
        <v>0</v>
      </c>
      <c r="AJ19" s="170">
        <f t="shared" si="9"/>
        <v>0</v>
      </c>
      <c r="AK19" s="170">
        <f t="shared" si="9"/>
        <v>0</v>
      </c>
      <c r="AL19" s="170">
        <f t="shared" si="9"/>
        <v>0</v>
      </c>
      <c r="AM19" s="170">
        <f t="shared" si="9"/>
        <v>0</v>
      </c>
      <c r="AN19" s="170">
        <f t="shared" si="9"/>
        <v>0</v>
      </c>
      <c r="AO19" s="170">
        <f t="shared" si="9"/>
        <v>0</v>
      </c>
      <c r="AP19" s="170">
        <f t="shared" si="9"/>
        <v>4022715</v>
      </c>
    </row>
    <row r="20" spans="1:42" x14ac:dyDescent="0.2">
      <c r="A20" s="163" t="s">
        <v>238</v>
      </c>
      <c r="C20" s="135">
        <f t="shared" ref="C20:AP20" si="10">C12+C18+C19</f>
        <v>6747796.8781398069</v>
      </c>
      <c r="D20" s="135">
        <f t="shared" si="10"/>
        <v>6781198.4726865981</v>
      </c>
      <c r="E20" s="135">
        <f t="shared" si="10"/>
        <v>6814765.4051263984</v>
      </c>
      <c r="F20" s="135">
        <f t="shared" si="10"/>
        <v>6848498.4938817732</v>
      </c>
      <c r="G20" s="135">
        <f t="shared" si="10"/>
        <v>6882398.5614264896</v>
      </c>
      <c r="H20" s="135">
        <f t="shared" si="10"/>
        <v>6916466.4343055496</v>
      </c>
      <c r="I20" s="135">
        <f t="shared" si="10"/>
        <v>6950702.9431553623</v>
      </c>
      <c r="J20" s="135">
        <f t="shared" si="10"/>
        <v>6985108.9227239797</v>
      </c>
      <c r="K20" s="135">
        <f t="shared" si="10"/>
        <v>7019685.2118914668</v>
      </c>
      <c r="L20" s="135">
        <f t="shared" si="10"/>
        <v>7054432.6536903288</v>
      </c>
      <c r="M20" s="135">
        <f t="shared" si="10"/>
        <v>7089352.0953260968</v>
      </c>
      <c r="N20" s="135">
        <f t="shared" si="10"/>
        <v>7124444.3881979594</v>
      </c>
      <c r="O20" s="135">
        <f t="shared" si="10"/>
        <v>7159710.3879195405</v>
      </c>
      <c r="P20" s="135">
        <f t="shared" si="10"/>
        <v>7195150.9543397427</v>
      </c>
      <c r="Q20" s="135">
        <f t="shared" si="10"/>
        <v>7230766.9515637252</v>
      </c>
      <c r="R20" s="135">
        <f t="shared" si="10"/>
        <v>7266559.2479739627</v>
      </c>
      <c r="S20" s="135">
        <f t="shared" si="10"/>
        <v>7302528.7162514366</v>
      </c>
      <c r="T20" s="135">
        <f t="shared" si="10"/>
        <v>7338676.2333968822</v>
      </c>
      <c r="U20" s="135">
        <f t="shared" si="10"/>
        <v>7375002.6807521963</v>
      </c>
      <c r="V20" s="135">
        <f t="shared" si="10"/>
        <v>7411508.9440219179</v>
      </c>
      <c r="W20" s="135">
        <f t="shared" si="10"/>
        <v>7448195.9132948276</v>
      </c>
      <c r="X20" s="135">
        <f t="shared" si="10"/>
        <v>7485064.4830656359</v>
      </c>
      <c r="Y20" s="135">
        <f t="shared" si="10"/>
        <v>7522115.5522568133</v>
      </c>
      <c r="Z20" s="135">
        <f t="shared" si="10"/>
        <v>7559350.0242404817</v>
      </c>
      <c r="AA20" s="135">
        <f t="shared" si="10"/>
        <v>7596768.8068604758</v>
      </c>
      <c r="AB20" s="135">
        <f t="shared" si="10"/>
        <v>7634372.812454436</v>
      </c>
      <c r="AC20" s="135">
        <f t="shared" si="10"/>
        <v>7672162.9578760853</v>
      </c>
      <c r="AD20" s="135">
        <f t="shared" si="10"/>
        <v>7710140.1645175684</v>
      </c>
      <c r="AE20" s="135">
        <f t="shared" si="10"/>
        <v>7748305.3583319318</v>
      </c>
      <c r="AF20" s="135">
        <f t="shared" si="10"/>
        <v>7786659.4698556755</v>
      </c>
      <c r="AG20" s="135">
        <f t="shared" si="10"/>
        <v>7825203.4342314629</v>
      </c>
      <c r="AH20" s="135">
        <f t="shared" si="10"/>
        <v>7863938.1912309052</v>
      </c>
      <c r="AI20" s="135">
        <f t="shared" si="10"/>
        <v>7902864.6852775002</v>
      </c>
      <c r="AJ20" s="135">
        <f t="shared" si="10"/>
        <v>7941983.8654696234</v>
      </c>
      <c r="AK20" s="135">
        <f t="shared" si="10"/>
        <v>7981296.6856036987</v>
      </c>
      <c r="AL20" s="135">
        <f t="shared" si="10"/>
        <v>8020804.1041974369</v>
      </c>
      <c r="AM20" s="135">
        <f t="shared" si="10"/>
        <v>8060507.0845132144</v>
      </c>
      <c r="AN20" s="135">
        <f t="shared" si="10"/>
        <v>8100406.5945815556</v>
      </c>
      <c r="AO20" s="135">
        <f t="shared" si="10"/>
        <v>8140503.6072247354</v>
      </c>
      <c r="AP20" s="135">
        <f t="shared" si="10"/>
        <v>12203514.100080494</v>
      </c>
    </row>
    <row r="21" spans="1:42" x14ac:dyDescent="0.2">
      <c r="A21" s="167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</row>
    <row r="22" spans="1:42" x14ac:dyDescent="0.2">
      <c r="A22" s="165" t="s">
        <v>49</v>
      </c>
      <c r="C22" s="135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</row>
    <row r="23" spans="1:42" x14ac:dyDescent="0.2">
      <c r="A23" s="20" t="s">
        <v>5</v>
      </c>
      <c r="C23" s="135">
        <f t="shared" ref="C23:AP23" si="11">IF(C$2&lt;=AnalysisPeriod,OMFixedAnnual*(1+Inflation+OMFixedAnnualRealEsc)^B$2,0)</f>
        <v>10000</v>
      </c>
      <c r="D23" s="135">
        <f t="shared" si="11"/>
        <v>10250</v>
      </c>
      <c r="E23" s="135">
        <f t="shared" si="11"/>
        <v>10506.25</v>
      </c>
      <c r="F23" s="135">
        <f t="shared" si="11"/>
        <v>10768.906249999998</v>
      </c>
      <c r="G23" s="135">
        <f t="shared" si="11"/>
        <v>11038.128906249998</v>
      </c>
      <c r="H23" s="135">
        <f t="shared" si="11"/>
        <v>11314.082128906246</v>
      </c>
      <c r="I23" s="135">
        <f t="shared" si="11"/>
        <v>11596.934182128902</v>
      </c>
      <c r="J23" s="135">
        <f t="shared" si="11"/>
        <v>11886.857536682124</v>
      </c>
      <c r="K23" s="135">
        <f t="shared" si="11"/>
        <v>12184.028975099178</v>
      </c>
      <c r="L23" s="135">
        <f t="shared" si="11"/>
        <v>12488.629699476654</v>
      </c>
      <c r="M23" s="135">
        <f t="shared" si="11"/>
        <v>12800.845441963571</v>
      </c>
      <c r="N23" s="135">
        <f t="shared" si="11"/>
        <v>13120.866578012659</v>
      </c>
      <c r="O23" s="135">
        <f t="shared" si="11"/>
        <v>13448.888242462976</v>
      </c>
      <c r="P23" s="135">
        <f t="shared" si="11"/>
        <v>13785.110448524549</v>
      </c>
      <c r="Q23" s="135">
        <f t="shared" si="11"/>
        <v>14129.738209737661</v>
      </c>
      <c r="R23" s="135">
        <f t="shared" si="11"/>
        <v>14482.981664981105</v>
      </c>
      <c r="S23" s="135">
        <f t="shared" si="11"/>
        <v>14845.056206605632</v>
      </c>
      <c r="T23" s="135">
        <f t="shared" si="11"/>
        <v>15216.18261177077</v>
      </c>
      <c r="U23" s="135">
        <f t="shared" si="11"/>
        <v>15596.587177065039</v>
      </c>
      <c r="V23" s="135">
        <f t="shared" si="11"/>
        <v>15986.501856491666</v>
      </c>
      <c r="W23" s="135">
        <f t="shared" si="11"/>
        <v>16386.164402903956</v>
      </c>
      <c r="X23" s="135">
        <f t="shared" si="11"/>
        <v>16795.818512976552</v>
      </c>
      <c r="Y23" s="135">
        <f t="shared" si="11"/>
        <v>17215.713975800965</v>
      </c>
      <c r="Z23" s="135">
        <f t="shared" si="11"/>
        <v>17646.106825195991</v>
      </c>
      <c r="AA23" s="135">
        <f t="shared" si="11"/>
        <v>18087.259495825889</v>
      </c>
      <c r="AB23" s="135">
        <f t="shared" si="11"/>
        <v>18539.440983221535</v>
      </c>
      <c r="AC23" s="135">
        <f t="shared" si="11"/>
        <v>19002.927007802071</v>
      </c>
      <c r="AD23" s="135">
        <f t="shared" si="11"/>
        <v>19478.000182997122</v>
      </c>
      <c r="AE23" s="135">
        <f t="shared" si="11"/>
        <v>19964.950187572049</v>
      </c>
      <c r="AF23" s="135">
        <f t="shared" si="11"/>
        <v>20464.073942261351</v>
      </c>
      <c r="AG23" s="135">
        <f t="shared" si="11"/>
        <v>20975.675790817881</v>
      </c>
      <c r="AH23" s="135">
        <f t="shared" si="11"/>
        <v>21500.067685588332</v>
      </c>
      <c r="AI23" s="135">
        <f t="shared" si="11"/>
        <v>22037.569377728036</v>
      </c>
      <c r="AJ23" s="135">
        <f t="shared" si="11"/>
        <v>22588.508612171237</v>
      </c>
      <c r="AK23" s="135">
        <f t="shared" si="11"/>
        <v>23153.221327475516</v>
      </c>
      <c r="AL23" s="135">
        <f t="shared" si="11"/>
        <v>23732.051860662403</v>
      </c>
      <c r="AM23" s="135">
        <f t="shared" si="11"/>
        <v>24325.353157178964</v>
      </c>
      <c r="AN23" s="135">
        <f t="shared" si="11"/>
        <v>24933.486986108433</v>
      </c>
      <c r="AO23" s="135">
        <f t="shared" si="11"/>
        <v>25556.824160761142</v>
      </c>
      <c r="AP23" s="135">
        <f t="shared" si="11"/>
        <v>26195.744764780171</v>
      </c>
    </row>
    <row r="24" spans="1:42" x14ac:dyDescent="0.2">
      <c r="A24" s="20" t="s">
        <v>7</v>
      </c>
    </row>
    <row r="25" spans="1:42" x14ac:dyDescent="0.2">
      <c r="A25" s="167" t="s">
        <v>51</v>
      </c>
      <c r="C25" s="135">
        <f t="shared" ref="C25:AP25" si="12">IF(C$2&lt;=AnalysisPeriod,CapacityDC,0)</f>
        <v>10000</v>
      </c>
      <c r="D25" s="135">
        <f t="shared" si="12"/>
        <v>10000</v>
      </c>
      <c r="E25" s="135">
        <f t="shared" si="12"/>
        <v>10000</v>
      </c>
      <c r="F25" s="135">
        <f t="shared" si="12"/>
        <v>10000</v>
      </c>
      <c r="G25" s="135">
        <f t="shared" si="12"/>
        <v>10000</v>
      </c>
      <c r="H25" s="135">
        <f t="shared" si="12"/>
        <v>10000</v>
      </c>
      <c r="I25" s="135">
        <f t="shared" si="12"/>
        <v>10000</v>
      </c>
      <c r="J25" s="135">
        <f t="shared" si="12"/>
        <v>10000</v>
      </c>
      <c r="K25" s="135">
        <f t="shared" si="12"/>
        <v>10000</v>
      </c>
      <c r="L25" s="135">
        <f t="shared" si="12"/>
        <v>10000</v>
      </c>
      <c r="M25" s="135">
        <f t="shared" si="12"/>
        <v>10000</v>
      </c>
      <c r="N25" s="135">
        <f t="shared" si="12"/>
        <v>10000</v>
      </c>
      <c r="O25" s="135">
        <f t="shared" si="12"/>
        <v>10000</v>
      </c>
      <c r="P25" s="135">
        <f t="shared" si="12"/>
        <v>10000</v>
      </c>
      <c r="Q25" s="135">
        <f t="shared" si="12"/>
        <v>10000</v>
      </c>
      <c r="R25" s="135">
        <f t="shared" si="12"/>
        <v>10000</v>
      </c>
      <c r="S25" s="135">
        <f t="shared" si="12"/>
        <v>10000</v>
      </c>
      <c r="T25" s="135">
        <f t="shared" si="12"/>
        <v>10000</v>
      </c>
      <c r="U25" s="135">
        <f t="shared" si="12"/>
        <v>10000</v>
      </c>
      <c r="V25" s="135">
        <f t="shared" si="12"/>
        <v>10000</v>
      </c>
      <c r="W25" s="135">
        <f t="shared" si="12"/>
        <v>10000</v>
      </c>
      <c r="X25" s="135">
        <f t="shared" si="12"/>
        <v>10000</v>
      </c>
      <c r="Y25" s="135">
        <f t="shared" si="12"/>
        <v>10000</v>
      </c>
      <c r="Z25" s="135">
        <f t="shared" si="12"/>
        <v>10000</v>
      </c>
      <c r="AA25" s="135">
        <f t="shared" si="12"/>
        <v>10000</v>
      </c>
      <c r="AB25" s="135">
        <f t="shared" si="12"/>
        <v>10000</v>
      </c>
      <c r="AC25" s="135">
        <f t="shared" si="12"/>
        <v>10000</v>
      </c>
      <c r="AD25" s="135">
        <f t="shared" si="12"/>
        <v>10000</v>
      </c>
      <c r="AE25" s="135">
        <f t="shared" si="12"/>
        <v>10000</v>
      </c>
      <c r="AF25" s="135">
        <f t="shared" si="12"/>
        <v>10000</v>
      </c>
      <c r="AG25" s="135">
        <f t="shared" si="12"/>
        <v>10000</v>
      </c>
      <c r="AH25" s="135">
        <f t="shared" si="12"/>
        <v>10000</v>
      </c>
      <c r="AI25" s="135">
        <f t="shared" si="12"/>
        <v>10000</v>
      </c>
      <c r="AJ25" s="135">
        <f t="shared" si="12"/>
        <v>10000</v>
      </c>
      <c r="AK25" s="135">
        <f t="shared" si="12"/>
        <v>10000</v>
      </c>
      <c r="AL25" s="135">
        <f t="shared" si="12"/>
        <v>10000</v>
      </c>
      <c r="AM25" s="135">
        <f t="shared" si="12"/>
        <v>10000</v>
      </c>
      <c r="AN25" s="135">
        <f t="shared" si="12"/>
        <v>10000</v>
      </c>
      <c r="AO25" s="135">
        <f t="shared" si="12"/>
        <v>10000</v>
      </c>
      <c r="AP25" s="135">
        <f t="shared" si="12"/>
        <v>10000</v>
      </c>
    </row>
    <row r="26" spans="1:42" x14ac:dyDescent="0.2">
      <c r="A26" s="167" t="s">
        <v>52</v>
      </c>
      <c r="C26" s="168">
        <f t="shared" ref="C26:AP26" si="13">IF(C$2&lt;=AnalysisPeriod,OMCapacity*(1+Inflation+OMCapacityRealEsc)^B$2,0)</f>
        <v>22</v>
      </c>
      <c r="D26" s="168">
        <f t="shared" si="13"/>
        <v>22.494999999999997</v>
      </c>
      <c r="E26" s="168">
        <f t="shared" si="13"/>
        <v>23.001137499999999</v>
      </c>
      <c r="F26" s="168">
        <f t="shared" si="13"/>
        <v>23.518663093749996</v>
      </c>
      <c r="G26" s="168">
        <f t="shared" si="13"/>
        <v>24.047833013359369</v>
      </c>
      <c r="H26" s="168">
        <f t="shared" si="13"/>
        <v>24.588909256159958</v>
      </c>
      <c r="I26" s="168">
        <f t="shared" si="13"/>
        <v>25.142159714423553</v>
      </c>
      <c r="J26" s="168">
        <f t="shared" si="13"/>
        <v>25.70785830799808</v>
      </c>
      <c r="K26" s="168">
        <f t="shared" si="13"/>
        <v>26.286285119928035</v>
      </c>
      <c r="L26" s="168">
        <f t="shared" si="13"/>
        <v>26.877726535126413</v>
      </c>
      <c r="M26" s="168">
        <f t="shared" si="13"/>
        <v>27.482475382166754</v>
      </c>
      <c r="N26" s="168">
        <f t="shared" si="13"/>
        <v>28.100831078265504</v>
      </c>
      <c r="O26" s="168">
        <f t="shared" si="13"/>
        <v>28.73309977752648</v>
      </c>
      <c r="P26" s="168">
        <f t="shared" si="13"/>
        <v>29.379594522520826</v>
      </c>
      <c r="Q26" s="168">
        <f t="shared" si="13"/>
        <v>30.040635399277544</v>
      </c>
      <c r="R26" s="168">
        <f t="shared" si="13"/>
        <v>30.716549695761287</v>
      </c>
      <c r="S26" s="168">
        <f t="shared" si="13"/>
        <v>31.407672063915907</v>
      </c>
      <c r="T26" s="168">
        <f t="shared" si="13"/>
        <v>32.114344685354013</v>
      </c>
      <c r="U26" s="168">
        <f t="shared" si="13"/>
        <v>32.836917440774478</v>
      </c>
      <c r="V26" s="168">
        <f t="shared" si="13"/>
        <v>33.575748083191904</v>
      </c>
      <c r="W26" s="168">
        <f t="shared" si="13"/>
        <v>34.331202415063721</v>
      </c>
      <c r="X26" s="168">
        <f t="shared" si="13"/>
        <v>35.103654469402656</v>
      </c>
      <c r="Y26" s="168">
        <f t="shared" si="13"/>
        <v>35.89348669496421</v>
      </c>
      <c r="Z26" s="168">
        <f t="shared" si="13"/>
        <v>36.701090145600901</v>
      </c>
      <c r="AA26" s="168">
        <f t="shared" si="13"/>
        <v>37.526864673876915</v>
      </c>
      <c r="AB26" s="168">
        <f t="shared" si="13"/>
        <v>38.37121912903914</v>
      </c>
      <c r="AC26" s="168">
        <f t="shared" si="13"/>
        <v>39.234571559442522</v>
      </c>
      <c r="AD26" s="168">
        <f t="shared" si="13"/>
        <v>40.117349419529972</v>
      </c>
      <c r="AE26" s="168">
        <f t="shared" si="13"/>
        <v>41.019989781469398</v>
      </c>
      <c r="AF26" s="168">
        <f t="shared" si="13"/>
        <v>41.942939551552463</v>
      </c>
      <c r="AG26" s="168">
        <f t="shared" si="13"/>
        <v>42.886655691462394</v>
      </c>
      <c r="AH26" s="168">
        <f t="shared" si="13"/>
        <v>43.851605444520295</v>
      </c>
      <c r="AI26" s="168">
        <f t="shared" si="13"/>
        <v>44.838266567021989</v>
      </c>
      <c r="AJ26" s="168">
        <f t="shared" si="13"/>
        <v>45.847127564779981</v>
      </c>
      <c r="AK26" s="168">
        <f t="shared" si="13"/>
        <v>46.878687934987525</v>
      </c>
      <c r="AL26" s="168">
        <f t="shared" si="13"/>
        <v>47.933458413524747</v>
      </c>
      <c r="AM26" s="168">
        <f t="shared" si="13"/>
        <v>49.011961227829048</v>
      </c>
      <c r="AN26" s="168">
        <f t="shared" si="13"/>
        <v>50.114730355455208</v>
      </c>
      <c r="AO26" s="168">
        <f t="shared" si="13"/>
        <v>51.242311788452945</v>
      </c>
      <c r="AP26" s="168">
        <f t="shared" si="13"/>
        <v>52.395263803693133</v>
      </c>
    </row>
    <row r="27" spans="1:42" x14ac:dyDescent="0.2">
      <c r="A27" s="167" t="s">
        <v>53</v>
      </c>
      <c r="C27" s="135">
        <f>C25*C26</f>
        <v>220000</v>
      </c>
      <c r="D27" s="135">
        <f t="shared" ref="D27:AP27" si="14">D25*D26</f>
        <v>224949.99999999997</v>
      </c>
      <c r="E27" s="135">
        <f t="shared" si="14"/>
        <v>230011.375</v>
      </c>
      <c r="F27" s="135">
        <f t="shared" si="14"/>
        <v>235186.63093749995</v>
      </c>
      <c r="G27" s="135">
        <f t="shared" si="14"/>
        <v>240478.3301335937</v>
      </c>
      <c r="H27" s="135">
        <f t="shared" si="14"/>
        <v>245889.09256159959</v>
      </c>
      <c r="I27" s="135">
        <f t="shared" si="14"/>
        <v>251421.59714423554</v>
      </c>
      <c r="J27" s="135">
        <f t="shared" si="14"/>
        <v>257078.5830799808</v>
      </c>
      <c r="K27" s="135">
        <f t="shared" si="14"/>
        <v>262862.85119928035</v>
      </c>
      <c r="L27" s="135">
        <f t="shared" si="14"/>
        <v>268777.26535126416</v>
      </c>
      <c r="M27" s="135">
        <f t="shared" si="14"/>
        <v>274824.75382166752</v>
      </c>
      <c r="N27" s="135">
        <f t="shared" si="14"/>
        <v>281008.31078265503</v>
      </c>
      <c r="O27" s="135">
        <f t="shared" si="14"/>
        <v>287330.99777526478</v>
      </c>
      <c r="P27" s="135">
        <f t="shared" si="14"/>
        <v>293795.94522520824</v>
      </c>
      <c r="Q27" s="135">
        <f t="shared" si="14"/>
        <v>300406.35399277543</v>
      </c>
      <c r="R27" s="135">
        <f t="shared" si="14"/>
        <v>307165.49695761286</v>
      </c>
      <c r="S27" s="135">
        <f t="shared" si="14"/>
        <v>314076.72063915909</v>
      </c>
      <c r="T27" s="135">
        <f t="shared" si="14"/>
        <v>321143.44685354014</v>
      </c>
      <c r="U27" s="135">
        <f t="shared" si="14"/>
        <v>328369.17440774478</v>
      </c>
      <c r="V27" s="135">
        <f t="shared" si="14"/>
        <v>335757.48083191906</v>
      </c>
      <c r="W27" s="135">
        <f t="shared" si="14"/>
        <v>343312.02415063721</v>
      </c>
      <c r="X27" s="135">
        <f t="shared" si="14"/>
        <v>351036.54469402658</v>
      </c>
      <c r="Y27" s="135">
        <f t="shared" si="14"/>
        <v>358934.86694964208</v>
      </c>
      <c r="Z27" s="135">
        <f t="shared" si="14"/>
        <v>367010.90145600901</v>
      </c>
      <c r="AA27" s="135">
        <f t="shared" si="14"/>
        <v>375268.64673876914</v>
      </c>
      <c r="AB27" s="135">
        <f t="shared" si="14"/>
        <v>383712.19129039138</v>
      </c>
      <c r="AC27" s="135">
        <f t="shared" si="14"/>
        <v>392345.71559442522</v>
      </c>
      <c r="AD27" s="135">
        <f t="shared" si="14"/>
        <v>401173.49419529975</v>
      </c>
      <c r="AE27" s="135">
        <f t="shared" si="14"/>
        <v>410199.89781469398</v>
      </c>
      <c r="AF27" s="135">
        <f t="shared" si="14"/>
        <v>419429.39551552461</v>
      </c>
      <c r="AG27" s="135">
        <f t="shared" si="14"/>
        <v>428866.55691462394</v>
      </c>
      <c r="AH27" s="135">
        <f t="shared" si="14"/>
        <v>438516.05444520293</v>
      </c>
      <c r="AI27" s="135">
        <f t="shared" si="14"/>
        <v>448382.66567021987</v>
      </c>
      <c r="AJ27" s="135">
        <f t="shared" si="14"/>
        <v>458471.27564779983</v>
      </c>
      <c r="AK27" s="135">
        <f t="shared" si="14"/>
        <v>468786.87934987526</v>
      </c>
      <c r="AL27" s="135">
        <f t="shared" si="14"/>
        <v>479334.58413524745</v>
      </c>
      <c r="AM27" s="135">
        <f t="shared" si="14"/>
        <v>490119.6122782905</v>
      </c>
      <c r="AN27" s="135">
        <f t="shared" si="14"/>
        <v>501147.30355455208</v>
      </c>
      <c r="AO27" s="135">
        <f t="shared" si="14"/>
        <v>512423.11788452946</v>
      </c>
      <c r="AP27" s="135">
        <f t="shared" si="14"/>
        <v>523952.63803693134</v>
      </c>
    </row>
    <row r="28" spans="1:42" x14ac:dyDescent="0.2">
      <c r="A28" s="20" t="s">
        <v>9</v>
      </c>
    </row>
    <row r="29" spans="1:42" x14ac:dyDescent="0.2">
      <c r="A29" s="167" t="s">
        <v>55</v>
      </c>
      <c r="C29" s="135">
        <f>C5/1000</f>
        <v>16188.48</v>
      </c>
      <c r="D29" s="135">
        <f t="shared" ref="D29:AP29" si="15">D5/1000</f>
        <v>16107.5376</v>
      </c>
      <c r="E29" s="135">
        <f t="shared" si="15"/>
        <v>16026.999912000001</v>
      </c>
      <c r="F29" s="135">
        <f t="shared" si="15"/>
        <v>15946.86491244</v>
      </c>
      <c r="G29" s="135">
        <f t="shared" si="15"/>
        <v>15867.1305878778</v>
      </c>
      <c r="H29" s="135">
        <f t="shared" si="15"/>
        <v>15787.794934938413</v>
      </c>
      <c r="I29" s="135">
        <f t="shared" si="15"/>
        <v>15708.85596026372</v>
      </c>
      <c r="J29" s="135">
        <f t="shared" si="15"/>
        <v>15630.311680462401</v>
      </c>
      <c r="K29" s="135">
        <f t="shared" si="15"/>
        <v>15552.16012206009</v>
      </c>
      <c r="L29" s="135">
        <f t="shared" si="15"/>
        <v>15474.399321449788</v>
      </c>
      <c r="M29" s="135">
        <f t="shared" si="15"/>
        <v>15397.02732484254</v>
      </c>
      <c r="N29" s="135">
        <f t="shared" si="15"/>
        <v>15320.042188218327</v>
      </c>
      <c r="O29" s="135">
        <f t="shared" si="15"/>
        <v>15243.441977277236</v>
      </c>
      <c r="P29" s="135">
        <f t="shared" si="15"/>
        <v>15167.224767390851</v>
      </c>
      <c r="Q29" s="135">
        <f t="shared" si="15"/>
        <v>15091.388643553897</v>
      </c>
      <c r="R29" s="135">
        <f t="shared" si="15"/>
        <v>15015.931700336127</v>
      </c>
      <c r="S29" s="135">
        <f t="shared" si="15"/>
        <v>14940.852041834445</v>
      </c>
      <c r="T29" s="135">
        <f t="shared" si="15"/>
        <v>14866.147781625275</v>
      </c>
      <c r="U29" s="135">
        <f t="shared" si="15"/>
        <v>14791.817042717148</v>
      </c>
      <c r="V29" s="135">
        <f t="shared" si="15"/>
        <v>14717.85795750356</v>
      </c>
      <c r="W29" s="135">
        <f t="shared" si="15"/>
        <v>14644.268667716045</v>
      </c>
      <c r="X29" s="135">
        <f t="shared" si="15"/>
        <v>14571.047324377465</v>
      </c>
      <c r="Y29" s="135">
        <f t="shared" si="15"/>
        <v>14498.192087755579</v>
      </c>
      <c r="Z29" s="135">
        <f t="shared" si="15"/>
        <v>14425.701127316799</v>
      </c>
      <c r="AA29" s="135">
        <f t="shared" si="15"/>
        <v>14353.572621680216</v>
      </c>
      <c r="AB29" s="135">
        <f t="shared" si="15"/>
        <v>14281.804758571814</v>
      </c>
      <c r="AC29" s="135">
        <f t="shared" si="15"/>
        <v>14210.395734778956</v>
      </c>
      <c r="AD29" s="135">
        <f t="shared" si="15"/>
        <v>14139.34375610506</v>
      </c>
      <c r="AE29" s="135">
        <f t="shared" si="15"/>
        <v>14068.647037324537</v>
      </c>
      <c r="AF29" s="135">
        <f t="shared" si="15"/>
        <v>13998.303802137914</v>
      </c>
      <c r="AG29" s="135">
        <f t="shared" si="15"/>
        <v>13928.312283127225</v>
      </c>
      <c r="AH29" s="135">
        <f t="shared" si="15"/>
        <v>13858.670721711587</v>
      </c>
      <c r="AI29" s="135">
        <f t="shared" si="15"/>
        <v>13789.377368103029</v>
      </c>
      <c r="AJ29" s="135">
        <f t="shared" si="15"/>
        <v>13720.430481262514</v>
      </c>
      <c r="AK29" s="135">
        <f t="shared" si="15"/>
        <v>13651.828328856202</v>
      </c>
      <c r="AL29" s="135">
        <f t="shared" si="15"/>
        <v>13583.569187211922</v>
      </c>
      <c r="AM29" s="135">
        <f t="shared" si="15"/>
        <v>13515.651341275861</v>
      </c>
      <c r="AN29" s="135">
        <f t="shared" si="15"/>
        <v>13448.073084569483</v>
      </c>
      <c r="AO29" s="135">
        <f t="shared" si="15"/>
        <v>13380.832719146636</v>
      </c>
      <c r="AP29" s="135">
        <f t="shared" si="15"/>
        <v>13313.928555550903</v>
      </c>
    </row>
    <row r="30" spans="1:42" x14ac:dyDescent="0.2">
      <c r="A30" s="167" t="s">
        <v>56</v>
      </c>
      <c r="C30" s="168">
        <f t="shared" ref="C30:AP30" si="16">IF(C$2&lt;=AnalysisPeriod,OMVariable*(1+Inflation+OMVariableRealEsc)^B$2,0)</f>
        <v>3.5</v>
      </c>
      <c r="D30" s="168">
        <f t="shared" si="16"/>
        <v>3.5524999999999998</v>
      </c>
      <c r="E30" s="168">
        <f t="shared" si="16"/>
        <v>3.605787499999999</v>
      </c>
      <c r="F30" s="168">
        <f t="shared" si="16"/>
        <v>3.6598743124999986</v>
      </c>
      <c r="G30" s="168">
        <f t="shared" si="16"/>
        <v>3.7147724271874978</v>
      </c>
      <c r="H30" s="168">
        <f t="shared" si="16"/>
        <v>3.77049401359531</v>
      </c>
      <c r="I30" s="168">
        <f t="shared" si="16"/>
        <v>3.8270514237992388</v>
      </c>
      <c r="J30" s="168">
        <f t="shared" si="16"/>
        <v>3.884457195156227</v>
      </c>
      <c r="K30" s="168">
        <f t="shared" si="16"/>
        <v>3.9427240530835701</v>
      </c>
      <c r="L30" s="168">
        <f t="shared" si="16"/>
        <v>4.0018649138798228</v>
      </c>
      <c r="M30" s="168">
        <f t="shared" si="16"/>
        <v>4.0618928875880203</v>
      </c>
      <c r="N30" s="168">
        <f t="shared" si="16"/>
        <v>4.1228212809018396</v>
      </c>
      <c r="O30" s="168">
        <f t="shared" si="16"/>
        <v>4.1846636001153668</v>
      </c>
      <c r="P30" s="168">
        <f t="shared" si="16"/>
        <v>4.2474335541170962</v>
      </c>
      <c r="Q30" s="168">
        <f t="shared" si="16"/>
        <v>4.3111450574288517</v>
      </c>
      <c r="R30" s="168">
        <f t="shared" si="16"/>
        <v>4.3758122332902847</v>
      </c>
      <c r="S30" s="168">
        <f t="shared" si="16"/>
        <v>4.4414494167896379</v>
      </c>
      <c r="T30" s="168">
        <f t="shared" si="16"/>
        <v>4.5080711580414814</v>
      </c>
      <c r="U30" s="168">
        <f t="shared" si="16"/>
        <v>4.5756922254121033</v>
      </c>
      <c r="V30" s="168">
        <f t="shared" si="16"/>
        <v>4.6443276087932848</v>
      </c>
      <c r="W30" s="168">
        <f t="shared" si="16"/>
        <v>4.7139925229251824</v>
      </c>
      <c r="X30" s="168">
        <f t="shared" si="16"/>
        <v>4.7847024107690599</v>
      </c>
      <c r="Y30" s="168">
        <f t="shared" si="16"/>
        <v>4.8564729469305945</v>
      </c>
      <c r="Z30" s="168">
        <f t="shared" si="16"/>
        <v>4.9293200411345532</v>
      </c>
      <c r="AA30" s="168">
        <f t="shared" si="16"/>
        <v>5.0032598417515715</v>
      </c>
      <c r="AB30" s="168">
        <f t="shared" si="16"/>
        <v>5.0783087393778441</v>
      </c>
      <c r="AC30" s="168">
        <f t="shared" si="16"/>
        <v>5.1544833704685109</v>
      </c>
      <c r="AD30" s="168">
        <f t="shared" si="16"/>
        <v>5.2318006210255383</v>
      </c>
      <c r="AE30" s="168">
        <f t="shared" si="16"/>
        <v>5.31027763034092</v>
      </c>
      <c r="AF30" s="168">
        <f t="shared" si="16"/>
        <v>5.3899317947960341</v>
      </c>
      <c r="AG30" s="168">
        <f t="shared" si="16"/>
        <v>5.4707807717179726</v>
      </c>
      <c r="AH30" s="168">
        <f t="shared" si="16"/>
        <v>5.552842483293742</v>
      </c>
      <c r="AI30" s="168">
        <f t="shared" si="16"/>
        <v>5.6361351205431474</v>
      </c>
      <c r="AJ30" s="168">
        <f t="shared" si="16"/>
        <v>5.7206771473512932</v>
      </c>
      <c r="AK30" s="168">
        <f t="shared" si="16"/>
        <v>5.8064873045615624</v>
      </c>
      <c r="AL30" s="168">
        <f t="shared" si="16"/>
        <v>5.8935846141299848</v>
      </c>
      <c r="AM30" s="168">
        <f t="shared" si="16"/>
        <v>5.9819883833419345</v>
      </c>
      <c r="AN30" s="168">
        <f t="shared" si="16"/>
        <v>6.0717182090920616</v>
      </c>
      <c r="AO30" s="168">
        <f t="shared" si="16"/>
        <v>6.1627939822284423</v>
      </c>
      <c r="AP30" s="168">
        <f t="shared" si="16"/>
        <v>6.2552358919618678</v>
      </c>
    </row>
    <row r="31" spans="1:42" x14ac:dyDescent="0.2">
      <c r="A31" s="167" t="s">
        <v>53</v>
      </c>
      <c r="C31" s="171">
        <f>C29*C30</f>
        <v>56659.68</v>
      </c>
      <c r="D31" s="171">
        <f t="shared" ref="D31:AP31" si="17">D29*D30</f>
        <v>57222.027323999995</v>
      </c>
      <c r="E31" s="171">
        <f t="shared" si="17"/>
        <v>57789.95594519069</v>
      </c>
      <c r="F31" s="171">
        <f t="shared" si="17"/>
        <v>58363.521257946697</v>
      </c>
      <c r="G31" s="171">
        <f t="shared" si="17"/>
        <v>58942.779206431806</v>
      </c>
      <c r="H31" s="171">
        <f t="shared" si="17"/>
        <v>59527.786290055643</v>
      </c>
      <c r="I31" s="171">
        <f t="shared" si="17"/>
        <v>60118.599568984428</v>
      </c>
      <c r="J31" s="171">
        <f t="shared" si="17"/>
        <v>60715.276669706589</v>
      </c>
      <c r="K31" s="171">
        <f t="shared" si="17"/>
        <v>61317.87579065343</v>
      </c>
      <c r="L31" s="171">
        <f t="shared" si="17"/>
        <v>61926.455707875641</v>
      </c>
      <c r="M31" s="171">
        <f t="shared" si="17"/>
        <v>62541.075780776315</v>
      </c>
      <c r="N31" s="171">
        <f t="shared" si="17"/>
        <v>63161.795957900504</v>
      </c>
      <c r="O31" s="171">
        <f t="shared" si="17"/>
        <v>63788.676782782662</v>
      </c>
      <c r="P31" s="171">
        <f t="shared" si="17"/>
        <v>64421.779399851774</v>
      </c>
      <c r="Q31" s="171">
        <f t="shared" si="17"/>
        <v>65061.165560395282</v>
      </c>
      <c r="R31" s="171">
        <f t="shared" si="17"/>
        <v>65706.897628582214</v>
      </c>
      <c r="S31" s="171">
        <f t="shared" si="17"/>
        <v>66359.03858754586</v>
      </c>
      <c r="T31" s="171">
        <f t="shared" si="17"/>
        <v>67017.652045527255</v>
      </c>
      <c r="U31" s="171">
        <f t="shared" si="17"/>
        <v>67682.802242079109</v>
      </c>
      <c r="V31" s="171">
        <f t="shared" si="17"/>
        <v>68354.554054331733</v>
      </c>
      <c r="W31" s="171">
        <f t="shared" si="17"/>
        <v>69032.973003320963</v>
      </c>
      <c r="X31" s="171">
        <f t="shared" si="17"/>
        <v>69718.125260378918</v>
      </c>
      <c r="Y31" s="171">
        <f t="shared" si="17"/>
        <v>70410.07765358816</v>
      </c>
      <c r="Z31" s="171">
        <f t="shared" si="17"/>
        <v>71108.897674300009</v>
      </c>
      <c r="AA31" s="171">
        <f t="shared" si="17"/>
        <v>71814.65348371744</v>
      </c>
      <c r="AB31" s="171">
        <f t="shared" si="17"/>
        <v>72527.413919543324</v>
      </c>
      <c r="AC31" s="171">
        <f t="shared" si="17"/>
        <v>73247.248502694783</v>
      </c>
      <c r="AD31" s="171">
        <f t="shared" si="17"/>
        <v>73974.227444084012</v>
      </c>
      <c r="AE31" s="171">
        <f t="shared" si="17"/>
        <v>74708.421651466546</v>
      </c>
      <c r="AF31" s="171">
        <f t="shared" si="17"/>
        <v>75449.902736357355</v>
      </c>
      <c r="AG31" s="171">
        <f t="shared" si="17"/>
        <v>76198.743021015674</v>
      </c>
      <c r="AH31" s="171">
        <f t="shared" si="17"/>
        <v>76955.015545499249</v>
      </c>
      <c r="AI31" s="171">
        <f t="shared" si="17"/>
        <v>77718.794074788311</v>
      </c>
      <c r="AJ31" s="171">
        <f t="shared" si="17"/>
        <v>78490.153105980571</v>
      </c>
      <c r="AK31" s="171">
        <f t="shared" si="17"/>
        <v>79269.167875557425</v>
      </c>
      <c r="AL31" s="171">
        <f t="shared" si="17"/>
        <v>80055.914366722325</v>
      </c>
      <c r="AM31" s="171">
        <f t="shared" si="17"/>
        <v>80850.469316812043</v>
      </c>
      <c r="AN31" s="171">
        <f t="shared" si="17"/>
        <v>81652.910224781386</v>
      </c>
      <c r="AO31" s="171">
        <f t="shared" si="17"/>
        <v>82463.315358762338</v>
      </c>
      <c r="AP31" s="171">
        <f t="shared" si="17"/>
        <v>83281.763763698036</v>
      </c>
    </row>
    <row r="32" spans="1:42" x14ac:dyDescent="0.2">
      <c r="A32" s="163" t="s">
        <v>22</v>
      </c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</row>
    <row r="33" spans="1:42" x14ac:dyDescent="0.2">
      <c r="A33" s="172" t="s">
        <v>257</v>
      </c>
      <c r="C33" s="169">
        <f>IF(C$2&lt;=AnalysisPeriod,'Inputs &amp; Results'!$J$6,0)</f>
        <v>40227150</v>
      </c>
      <c r="D33" s="169">
        <f>IF(D$2&lt;=AnalysisPeriod,'Inputs &amp; Results'!$J$6,0)</f>
        <v>40227150</v>
      </c>
      <c r="E33" s="169">
        <f>IF(E$2&lt;=AnalysisPeriod,'Inputs &amp; Results'!$J$6,0)</f>
        <v>40227150</v>
      </c>
      <c r="F33" s="169">
        <f>IF(F$2&lt;=AnalysisPeriod,'Inputs &amp; Results'!$J$6,0)</f>
        <v>40227150</v>
      </c>
      <c r="G33" s="169">
        <f>IF(G$2&lt;=AnalysisPeriod,'Inputs &amp; Results'!$J$6,0)</f>
        <v>40227150</v>
      </c>
      <c r="H33" s="169">
        <f>IF(H$2&lt;=AnalysisPeriod,'Inputs &amp; Results'!$J$6,0)</f>
        <v>40227150</v>
      </c>
      <c r="I33" s="169">
        <f>IF(I$2&lt;=AnalysisPeriod,'Inputs &amp; Results'!$J$6,0)</f>
        <v>40227150</v>
      </c>
      <c r="J33" s="169">
        <f>IF(J$2&lt;=AnalysisPeriod,'Inputs &amp; Results'!$J$6,0)</f>
        <v>40227150</v>
      </c>
      <c r="K33" s="169">
        <f>IF(K$2&lt;=AnalysisPeriod,'Inputs &amp; Results'!$J$6,0)</f>
        <v>40227150</v>
      </c>
      <c r="L33" s="169">
        <f>IF(L$2&lt;=AnalysisPeriod,'Inputs &amp; Results'!$J$6,0)</f>
        <v>40227150</v>
      </c>
      <c r="M33" s="169">
        <f>IF(M$2&lt;=AnalysisPeriod,'Inputs &amp; Results'!$J$6,0)</f>
        <v>40227150</v>
      </c>
      <c r="N33" s="169">
        <f>IF(N$2&lt;=AnalysisPeriod,'Inputs &amp; Results'!$J$6,0)</f>
        <v>40227150</v>
      </c>
      <c r="O33" s="169">
        <f>IF(O$2&lt;=AnalysisPeriod,'Inputs &amp; Results'!$J$6,0)</f>
        <v>40227150</v>
      </c>
      <c r="P33" s="169">
        <f>IF(P$2&lt;=AnalysisPeriod,'Inputs &amp; Results'!$J$6,0)</f>
        <v>40227150</v>
      </c>
      <c r="Q33" s="169">
        <f>IF(Q$2&lt;=AnalysisPeriod,'Inputs &amp; Results'!$J$6,0)</f>
        <v>40227150</v>
      </c>
      <c r="R33" s="169">
        <f>IF(R$2&lt;=AnalysisPeriod,'Inputs &amp; Results'!$J$6,0)</f>
        <v>40227150</v>
      </c>
      <c r="S33" s="169">
        <f>IF(S$2&lt;=AnalysisPeriod,'Inputs &amp; Results'!$J$6,0)</f>
        <v>40227150</v>
      </c>
      <c r="T33" s="169">
        <f>IF(T$2&lt;=AnalysisPeriod,'Inputs &amp; Results'!$J$6,0)</f>
        <v>40227150</v>
      </c>
      <c r="U33" s="169">
        <f>IF(U$2&lt;=AnalysisPeriod,'Inputs &amp; Results'!$J$6,0)</f>
        <v>40227150</v>
      </c>
      <c r="V33" s="169">
        <f>IF(V$2&lt;=AnalysisPeriod,'Inputs &amp; Results'!$J$6,0)</f>
        <v>40227150</v>
      </c>
      <c r="W33" s="169">
        <f>IF(W$2&lt;=AnalysisPeriod,'Inputs &amp; Results'!$J$6,0)</f>
        <v>40227150</v>
      </c>
      <c r="X33" s="169">
        <f>IF(X$2&lt;=AnalysisPeriod,'Inputs &amp; Results'!$J$6,0)</f>
        <v>40227150</v>
      </c>
      <c r="Y33" s="169">
        <f>IF(Y$2&lt;=AnalysisPeriod,'Inputs &amp; Results'!$J$6,0)</f>
        <v>40227150</v>
      </c>
      <c r="Z33" s="169">
        <f>IF(Z$2&lt;=AnalysisPeriod,'Inputs &amp; Results'!$J$6,0)</f>
        <v>40227150</v>
      </c>
      <c r="AA33" s="169">
        <f>IF(AA$2&lt;=AnalysisPeriod,'Inputs &amp; Results'!$J$6,0)</f>
        <v>40227150</v>
      </c>
      <c r="AB33" s="169">
        <f>IF(AB$2&lt;=AnalysisPeriod,'Inputs &amp; Results'!$J$6,0)</f>
        <v>40227150</v>
      </c>
      <c r="AC33" s="169">
        <f>IF(AC$2&lt;=AnalysisPeriod,'Inputs &amp; Results'!$J$6,0)</f>
        <v>40227150</v>
      </c>
      <c r="AD33" s="169">
        <f>IF(AD$2&lt;=AnalysisPeriod,'Inputs &amp; Results'!$J$6,0)</f>
        <v>40227150</v>
      </c>
      <c r="AE33" s="169">
        <f>IF(AE$2&lt;=AnalysisPeriod,'Inputs &amp; Results'!$J$6,0)</f>
        <v>40227150</v>
      </c>
      <c r="AF33" s="169">
        <f>IF(AF$2&lt;=AnalysisPeriod,'Inputs &amp; Results'!$J$6,0)</f>
        <v>40227150</v>
      </c>
      <c r="AG33" s="169">
        <f>IF(AG$2&lt;=AnalysisPeriod,'Inputs &amp; Results'!$J$6,0)</f>
        <v>40227150</v>
      </c>
      <c r="AH33" s="169">
        <f>IF(AH$2&lt;=AnalysisPeriod,'Inputs &amp; Results'!$J$6,0)</f>
        <v>40227150</v>
      </c>
      <c r="AI33" s="169">
        <f>IF(AI$2&lt;=AnalysisPeriod,'Inputs &amp; Results'!$J$6,0)</f>
        <v>40227150</v>
      </c>
      <c r="AJ33" s="169">
        <f>IF(AJ$2&lt;=AnalysisPeriod,'Inputs &amp; Results'!$J$6,0)</f>
        <v>40227150</v>
      </c>
      <c r="AK33" s="169">
        <f>IF(AK$2&lt;=AnalysisPeriod,'Inputs &amp; Results'!$J$6,0)</f>
        <v>40227150</v>
      </c>
      <c r="AL33" s="169">
        <f>IF(AL$2&lt;=AnalysisPeriod,'Inputs &amp; Results'!$J$6,0)</f>
        <v>40227150</v>
      </c>
      <c r="AM33" s="169">
        <f>IF(AM$2&lt;=AnalysisPeriod,'Inputs &amp; Results'!$J$6,0)</f>
        <v>40227150</v>
      </c>
      <c r="AN33" s="169">
        <f>IF(AN$2&lt;=AnalysisPeriod,'Inputs &amp; Results'!$J$6,0)</f>
        <v>40227150</v>
      </c>
      <c r="AO33" s="169">
        <f>IF(AO$2&lt;=AnalysisPeriod,'Inputs &amp; Results'!$J$6,0)</f>
        <v>40227150</v>
      </c>
      <c r="AP33" s="169">
        <f>IF(AP$2&lt;=AnalysisPeriod,'Inputs &amp; Results'!$J$6,0)</f>
        <v>40227150</v>
      </c>
    </row>
    <row r="34" spans="1:42" x14ac:dyDescent="0.2">
      <c r="A34" s="172" t="s">
        <v>258</v>
      </c>
      <c r="C34" s="173">
        <f>IF(D$2&lt;=AnalysisPeriod,'Inputs &amp; Results'!$J$7,0)</f>
        <v>0.95</v>
      </c>
      <c r="D34" s="173">
        <f>'Inputs &amp; Results'!$J$7</f>
        <v>0.95</v>
      </c>
      <c r="E34" s="173">
        <f>'Inputs &amp; Results'!$J$7</f>
        <v>0.95</v>
      </c>
      <c r="F34" s="173">
        <f>'Inputs &amp; Results'!$J$7</f>
        <v>0.95</v>
      </c>
      <c r="G34" s="173">
        <f>'Inputs &amp; Results'!$J$7</f>
        <v>0.95</v>
      </c>
      <c r="H34" s="173">
        <f>'Inputs &amp; Results'!$J$7</f>
        <v>0.95</v>
      </c>
      <c r="I34" s="173">
        <f>'Inputs &amp; Results'!$J$7</f>
        <v>0.95</v>
      </c>
      <c r="J34" s="173">
        <f>'Inputs &amp; Results'!$J$7</f>
        <v>0.95</v>
      </c>
      <c r="K34" s="173">
        <f>'Inputs &amp; Results'!$J$7</f>
        <v>0.95</v>
      </c>
      <c r="L34" s="173">
        <f>'Inputs &amp; Results'!$J$7</f>
        <v>0.95</v>
      </c>
      <c r="M34" s="173">
        <f>'Inputs &amp; Results'!$J$7</f>
        <v>0.95</v>
      </c>
      <c r="N34" s="173">
        <f>'Inputs &amp; Results'!$J$7</f>
        <v>0.95</v>
      </c>
      <c r="O34" s="173">
        <f>'Inputs &amp; Results'!$J$7</f>
        <v>0.95</v>
      </c>
      <c r="P34" s="173">
        <f>'Inputs &amp; Results'!$J$7</f>
        <v>0.95</v>
      </c>
      <c r="Q34" s="173">
        <f>'Inputs &amp; Results'!$J$7</f>
        <v>0.95</v>
      </c>
      <c r="R34" s="173">
        <f>'Inputs &amp; Results'!$J$7</f>
        <v>0.95</v>
      </c>
      <c r="S34" s="173">
        <f>'Inputs &amp; Results'!$J$7</f>
        <v>0.95</v>
      </c>
      <c r="T34" s="173">
        <f>'Inputs &amp; Results'!$J$7</f>
        <v>0.95</v>
      </c>
      <c r="U34" s="173">
        <f>'Inputs &amp; Results'!$J$7</f>
        <v>0.95</v>
      </c>
      <c r="V34" s="173">
        <f>'Inputs &amp; Results'!$J$7</f>
        <v>0.95</v>
      </c>
      <c r="W34" s="173">
        <f>'Inputs &amp; Results'!$J$7</f>
        <v>0.95</v>
      </c>
      <c r="X34" s="173">
        <f>'Inputs &amp; Results'!$J$7</f>
        <v>0.95</v>
      </c>
      <c r="Y34" s="173">
        <f>'Inputs &amp; Results'!$J$7</f>
        <v>0.95</v>
      </c>
      <c r="Z34" s="173">
        <f>'Inputs &amp; Results'!$J$7</f>
        <v>0.95</v>
      </c>
      <c r="AA34" s="173">
        <f>'Inputs &amp; Results'!$J$7</f>
        <v>0.95</v>
      </c>
      <c r="AB34" s="173">
        <f>'Inputs &amp; Results'!$J$7</f>
        <v>0.95</v>
      </c>
      <c r="AC34" s="173">
        <f>'Inputs &amp; Results'!$J$7</f>
        <v>0.95</v>
      </c>
      <c r="AD34" s="173">
        <f>'Inputs &amp; Results'!$J$7</f>
        <v>0.95</v>
      </c>
      <c r="AE34" s="173">
        <f>'Inputs &amp; Results'!$J$7</f>
        <v>0.95</v>
      </c>
      <c r="AF34" s="173">
        <f>'Inputs &amp; Results'!$J$7</f>
        <v>0.95</v>
      </c>
      <c r="AG34" s="173">
        <f>'Inputs &amp; Results'!$J$7</f>
        <v>0.95</v>
      </c>
      <c r="AH34" s="173">
        <f>'Inputs &amp; Results'!$J$7</f>
        <v>0.95</v>
      </c>
      <c r="AI34" s="173">
        <f>'Inputs &amp; Results'!$J$7</f>
        <v>0.95</v>
      </c>
      <c r="AJ34" s="173">
        <f>'Inputs &amp; Results'!$J$7</f>
        <v>0.95</v>
      </c>
      <c r="AK34" s="173">
        <f>'Inputs &amp; Results'!$J$7</f>
        <v>0.95</v>
      </c>
      <c r="AL34" s="173">
        <f>'Inputs &amp; Results'!$J$7</f>
        <v>0.95</v>
      </c>
      <c r="AM34" s="173">
        <f>'Inputs &amp; Results'!$J$7</f>
        <v>0.95</v>
      </c>
      <c r="AN34" s="173">
        <f>'Inputs &amp; Results'!$J$7</f>
        <v>0.95</v>
      </c>
      <c r="AO34" s="173">
        <f>'Inputs &amp; Results'!$J$7</f>
        <v>0.95</v>
      </c>
      <c r="AP34" s="173">
        <f>'Inputs &amp; Results'!$J$7</f>
        <v>0.95</v>
      </c>
    </row>
    <row r="35" spans="1:42" x14ac:dyDescent="0.2">
      <c r="A35" s="172" t="s">
        <v>308</v>
      </c>
      <c r="C35" s="169">
        <f>C33*C34</f>
        <v>38215792.5</v>
      </c>
      <c r="D35" s="169">
        <f>D33*D34</f>
        <v>38215792.5</v>
      </c>
      <c r="E35" s="169">
        <f t="shared" ref="E35:K35" si="18">E33*E34</f>
        <v>38215792.5</v>
      </c>
      <c r="F35" s="169">
        <f t="shared" si="18"/>
        <v>38215792.5</v>
      </c>
      <c r="G35" s="169">
        <f t="shared" si="18"/>
        <v>38215792.5</v>
      </c>
      <c r="H35" s="169">
        <f t="shared" si="18"/>
        <v>38215792.5</v>
      </c>
      <c r="I35" s="169">
        <f t="shared" si="18"/>
        <v>38215792.5</v>
      </c>
      <c r="J35" s="169">
        <f t="shared" si="18"/>
        <v>38215792.5</v>
      </c>
      <c r="K35" s="169">
        <f t="shared" si="18"/>
        <v>38215792.5</v>
      </c>
      <c r="L35" s="169">
        <f>L33*L34</f>
        <v>38215792.5</v>
      </c>
      <c r="M35" s="169">
        <f t="shared" ref="M35:R35" si="19">M33*M34</f>
        <v>38215792.5</v>
      </c>
      <c r="N35" s="169">
        <f t="shared" si="19"/>
        <v>38215792.5</v>
      </c>
      <c r="O35" s="169">
        <f t="shared" si="19"/>
        <v>38215792.5</v>
      </c>
      <c r="P35" s="169">
        <f t="shared" si="19"/>
        <v>38215792.5</v>
      </c>
      <c r="Q35" s="169">
        <f t="shared" si="19"/>
        <v>38215792.5</v>
      </c>
      <c r="R35" s="169">
        <f t="shared" si="19"/>
        <v>38215792.5</v>
      </c>
      <c r="S35" s="169">
        <f>S33*S34</f>
        <v>38215792.5</v>
      </c>
      <c r="T35" s="169">
        <f t="shared" ref="T35:X35" si="20">T33*T34</f>
        <v>38215792.5</v>
      </c>
      <c r="U35" s="169">
        <f t="shared" si="20"/>
        <v>38215792.5</v>
      </c>
      <c r="V35" s="169">
        <f t="shared" si="20"/>
        <v>38215792.5</v>
      </c>
      <c r="W35" s="169">
        <f t="shared" si="20"/>
        <v>38215792.5</v>
      </c>
      <c r="X35" s="169">
        <f t="shared" si="20"/>
        <v>38215792.5</v>
      </c>
      <c r="Y35" s="169">
        <f>Y33*Y34</f>
        <v>38215792.5</v>
      </c>
      <c r="Z35" s="169">
        <f t="shared" ref="Z35:AF35" si="21">Z33*Z34</f>
        <v>38215792.5</v>
      </c>
      <c r="AA35" s="169">
        <f t="shared" si="21"/>
        <v>38215792.5</v>
      </c>
      <c r="AB35" s="169">
        <f t="shared" si="21"/>
        <v>38215792.5</v>
      </c>
      <c r="AC35" s="169">
        <f t="shared" si="21"/>
        <v>38215792.5</v>
      </c>
      <c r="AD35" s="169">
        <f t="shared" si="21"/>
        <v>38215792.5</v>
      </c>
      <c r="AE35" s="169">
        <f t="shared" si="21"/>
        <v>38215792.5</v>
      </c>
      <c r="AF35" s="169">
        <f t="shared" si="21"/>
        <v>38215792.5</v>
      </c>
      <c r="AG35" s="169">
        <f>AG33*AG34</f>
        <v>38215792.5</v>
      </c>
      <c r="AH35" s="169">
        <f t="shared" ref="AH35:AM35" si="22">AH33*AH34</f>
        <v>38215792.5</v>
      </c>
      <c r="AI35" s="169">
        <f t="shared" si="22"/>
        <v>38215792.5</v>
      </c>
      <c r="AJ35" s="169">
        <f t="shared" si="22"/>
        <v>38215792.5</v>
      </c>
      <c r="AK35" s="169">
        <f t="shared" si="22"/>
        <v>38215792.5</v>
      </c>
      <c r="AL35" s="169">
        <f t="shared" si="22"/>
        <v>38215792.5</v>
      </c>
      <c r="AM35" s="169">
        <f t="shared" si="22"/>
        <v>38215792.5</v>
      </c>
      <c r="AN35" s="169">
        <f>AN33*AN34</f>
        <v>38215792.5</v>
      </c>
      <c r="AO35" s="169">
        <f t="shared" ref="AO35:AP35" si="23">AO33*AO34</f>
        <v>38215792.5</v>
      </c>
      <c r="AP35" s="169">
        <f t="shared" si="23"/>
        <v>38215792.5</v>
      </c>
    </row>
    <row r="36" spans="1:42" x14ac:dyDescent="0.2">
      <c r="A36" s="172" t="s">
        <v>260</v>
      </c>
      <c r="C36" s="174">
        <v>1</v>
      </c>
      <c r="D36" s="175">
        <f>MAX(C36-'Inputs &amp; Results'!$J$9,0)</f>
        <v>0.95</v>
      </c>
      <c r="E36" s="175">
        <f>MAX(D36-'Inputs &amp; Results'!$J$9,0)</f>
        <v>0.89999999999999991</v>
      </c>
      <c r="F36" s="175">
        <f>MAX(E36-'Inputs &amp; Results'!$J$9,0)</f>
        <v>0.84999999999999987</v>
      </c>
      <c r="G36" s="175">
        <f>MAX(F36-'Inputs &amp; Results'!$J$9,0)</f>
        <v>0.79999999999999982</v>
      </c>
      <c r="H36" s="175">
        <f>MAX(G36-'Inputs &amp; Results'!$J$9,0)</f>
        <v>0.74999999999999978</v>
      </c>
      <c r="I36" s="175">
        <f>MAX(H36-'Inputs &amp; Results'!$J$9,0)</f>
        <v>0.69999999999999973</v>
      </c>
      <c r="J36" s="175">
        <f>MAX(I36-'Inputs &amp; Results'!$J$9,0)</f>
        <v>0.64999999999999969</v>
      </c>
      <c r="K36" s="175">
        <f>MAX(J36-'Inputs &amp; Results'!$J$9,0)</f>
        <v>0.59999999999999964</v>
      </c>
      <c r="L36" s="175">
        <f>MAX(K36-'Inputs &amp; Results'!$J$9,0)</f>
        <v>0.5499999999999996</v>
      </c>
      <c r="M36" s="175">
        <f>MAX(L36-'Inputs &amp; Results'!$J$9,0)</f>
        <v>0.49999999999999961</v>
      </c>
      <c r="N36" s="175">
        <f>MAX(M36-'Inputs &amp; Results'!$J$9,0)</f>
        <v>0.44999999999999962</v>
      </c>
      <c r="O36" s="175">
        <f>MAX(N36-'Inputs &amp; Results'!$J$9,0)</f>
        <v>0.39999999999999963</v>
      </c>
      <c r="P36" s="175">
        <f>MAX(O36-'Inputs &amp; Results'!$J$9,0)</f>
        <v>0.34999999999999964</v>
      </c>
      <c r="Q36" s="175">
        <f>MAX(P36-'Inputs &amp; Results'!$J$9,0)</f>
        <v>0.29999999999999966</v>
      </c>
      <c r="R36" s="175">
        <f>MAX(Q36-'Inputs &amp; Results'!$J$9,0)</f>
        <v>0.24999999999999967</v>
      </c>
      <c r="S36" s="175">
        <f>MAX(R36-'Inputs &amp; Results'!$J$9,0)</f>
        <v>0.19999999999999968</v>
      </c>
      <c r="T36" s="175">
        <f>MAX(S36-'Inputs &amp; Results'!$J$9,0)</f>
        <v>0.14999999999999969</v>
      </c>
      <c r="U36" s="175">
        <f>MAX(T36-'Inputs &amp; Results'!$J$9,0)</f>
        <v>9.9999999999999686E-2</v>
      </c>
      <c r="V36" s="175">
        <f>MAX(U36-'Inputs &amp; Results'!$J$9,0)</f>
        <v>4.9999999999999684E-2</v>
      </c>
      <c r="W36" s="175">
        <f>MAX(V36-'Inputs &amp; Results'!$J$9,0)</f>
        <v>0</v>
      </c>
      <c r="X36" s="175">
        <f>MAX(W36-'Inputs &amp; Results'!$J$9,0)</f>
        <v>0</v>
      </c>
      <c r="Y36" s="175">
        <f>MAX(X36-'Inputs &amp; Results'!$J$9,0)</f>
        <v>0</v>
      </c>
      <c r="Z36" s="175">
        <f>MAX(Y36-'Inputs &amp; Results'!$J$9,0)</f>
        <v>0</v>
      </c>
      <c r="AA36" s="175">
        <f>MAX(Z36-'Inputs &amp; Results'!$J$9,0)</f>
        <v>0</v>
      </c>
      <c r="AB36" s="175">
        <f>MAX(AA36-'Inputs &amp; Results'!$J$9,0)</f>
        <v>0</v>
      </c>
      <c r="AC36" s="175">
        <f>MAX(AB36-'Inputs &amp; Results'!$J$9,0)</f>
        <v>0</v>
      </c>
      <c r="AD36" s="175">
        <f>MAX(AC36-'Inputs &amp; Results'!$J$9,0)</f>
        <v>0</v>
      </c>
      <c r="AE36" s="175">
        <f>MAX(AD36-'Inputs &amp; Results'!$J$9,0)</f>
        <v>0</v>
      </c>
      <c r="AF36" s="175">
        <f>MAX(AE36-'Inputs &amp; Results'!$J$9,0)</f>
        <v>0</v>
      </c>
      <c r="AG36" s="175">
        <f>MAX(AF36-'Inputs &amp; Results'!$J$9,0)</f>
        <v>0</v>
      </c>
      <c r="AH36" s="175">
        <f>MAX(AG36-'Inputs &amp; Results'!$J$9,0)</f>
        <v>0</v>
      </c>
      <c r="AI36" s="175">
        <f>MAX(AH36-'Inputs &amp; Results'!$J$9,0)</f>
        <v>0</v>
      </c>
      <c r="AJ36" s="175">
        <f>MAX(AI36-'Inputs &amp; Results'!$J$9,0)</f>
        <v>0</v>
      </c>
      <c r="AK36" s="175">
        <f>MAX(AJ36-'Inputs &amp; Results'!$J$9,0)</f>
        <v>0</v>
      </c>
      <c r="AL36" s="175">
        <f>MAX(AK36-'Inputs &amp; Results'!$J$9,0)</f>
        <v>0</v>
      </c>
      <c r="AM36" s="175">
        <f>MAX(AL36-'Inputs &amp; Results'!$J$9,0)</f>
        <v>0</v>
      </c>
      <c r="AN36" s="175">
        <f>MAX(AM36-'Inputs &amp; Results'!$J$9,0)</f>
        <v>0</v>
      </c>
      <c r="AO36" s="175">
        <f>MAX(AN36-'Inputs &amp; Results'!$J$9,0)</f>
        <v>0</v>
      </c>
      <c r="AP36" s="175">
        <f>MAX(AO36-'Inputs &amp; Results'!$J$9,0)</f>
        <v>0</v>
      </c>
    </row>
    <row r="37" spans="1:42" x14ac:dyDescent="0.2">
      <c r="A37" s="172" t="s">
        <v>262</v>
      </c>
      <c r="C37" s="169">
        <f>C35*C36</f>
        <v>38215792.5</v>
      </c>
      <c r="D37" s="169">
        <f>D35*D36</f>
        <v>36305002.875</v>
      </c>
      <c r="E37" s="169">
        <f t="shared" ref="E37:K37" si="24">E35*E36</f>
        <v>34394213.25</v>
      </c>
      <c r="F37" s="169">
        <f t="shared" si="24"/>
        <v>32483423.624999996</v>
      </c>
      <c r="G37" s="169">
        <f t="shared" si="24"/>
        <v>30572633.999999993</v>
      </c>
      <c r="H37" s="169">
        <f t="shared" si="24"/>
        <v>28661844.374999993</v>
      </c>
      <c r="I37" s="169">
        <f t="shared" si="24"/>
        <v>26751054.749999989</v>
      </c>
      <c r="J37" s="169">
        <f t="shared" si="24"/>
        <v>24840265.124999989</v>
      </c>
      <c r="K37" s="169">
        <f t="shared" si="24"/>
        <v>22929475.499999985</v>
      </c>
      <c r="L37" s="169">
        <f>L35*L36</f>
        <v>21018685.874999985</v>
      </c>
      <c r="M37" s="169">
        <f t="shared" ref="M37:R37" si="25">M35*M36</f>
        <v>19107896.249999985</v>
      </c>
      <c r="N37" s="169">
        <f t="shared" si="25"/>
        <v>17197106.624999985</v>
      </c>
      <c r="O37" s="169">
        <f t="shared" si="25"/>
        <v>15286316.999999985</v>
      </c>
      <c r="P37" s="169">
        <f t="shared" si="25"/>
        <v>13375527.374999987</v>
      </c>
      <c r="Q37" s="169">
        <f t="shared" si="25"/>
        <v>11464737.749999987</v>
      </c>
      <c r="R37" s="169">
        <f t="shared" si="25"/>
        <v>9553948.124999987</v>
      </c>
      <c r="S37" s="169">
        <f>S35*S36</f>
        <v>7643158.4999999879</v>
      </c>
      <c r="T37" s="169">
        <f t="shared" ref="T37:X37" si="26">T35*T36</f>
        <v>5732368.8749999879</v>
      </c>
      <c r="U37" s="169">
        <f t="shared" si="26"/>
        <v>3821579.2499999879</v>
      </c>
      <c r="V37" s="169">
        <f t="shared" si="26"/>
        <v>1910789.6249999879</v>
      </c>
      <c r="W37" s="169">
        <f t="shared" si="26"/>
        <v>0</v>
      </c>
      <c r="X37" s="169">
        <f t="shared" si="26"/>
        <v>0</v>
      </c>
      <c r="Y37" s="169">
        <f>Y35*Y36</f>
        <v>0</v>
      </c>
      <c r="Z37" s="169">
        <f t="shared" ref="Z37:AF37" si="27">Z35*Z36</f>
        <v>0</v>
      </c>
      <c r="AA37" s="169">
        <f t="shared" si="27"/>
        <v>0</v>
      </c>
      <c r="AB37" s="169">
        <f t="shared" si="27"/>
        <v>0</v>
      </c>
      <c r="AC37" s="169">
        <f t="shared" si="27"/>
        <v>0</v>
      </c>
      <c r="AD37" s="169">
        <f t="shared" si="27"/>
        <v>0</v>
      </c>
      <c r="AE37" s="169">
        <f t="shared" si="27"/>
        <v>0</v>
      </c>
      <c r="AF37" s="169">
        <f t="shared" si="27"/>
        <v>0</v>
      </c>
      <c r="AG37" s="169">
        <f>AG35*AG36</f>
        <v>0</v>
      </c>
      <c r="AH37" s="169">
        <f t="shared" ref="AH37:AM37" si="28">AH35*AH36</f>
        <v>0</v>
      </c>
      <c r="AI37" s="169">
        <f t="shared" si="28"/>
        <v>0</v>
      </c>
      <c r="AJ37" s="169">
        <f t="shared" si="28"/>
        <v>0</v>
      </c>
      <c r="AK37" s="169">
        <f t="shared" si="28"/>
        <v>0</v>
      </c>
      <c r="AL37" s="169">
        <f t="shared" si="28"/>
        <v>0</v>
      </c>
      <c r="AM37" s="169">
        <f t="shared" si="28"/>
        <v>0</v>
      </c>
      <c r="AN37" s="169">
        <f>AN35*AN36</f>
        <v>0</v>
      </c>
      <c r="AO37" s="169">
        <f t="shared" ref="AO37:AP37" si="29">AO35*AO36</f>
        <v>0</v>
      </c>
      <c r="AP37" s="169">
        <f t="shared" si="29"/>
        <v>0</v>
      </c>
    </row>
    <row r="38" spans="1:42" x14ac:dyDescent="0.2">
      <c r="A38" s="172" t="s">
        <v>261</v>
      </c>
      <c r="C38" s="173">
        <f t="shared" ref="C38:AP38" si="30">PropertyTaxRate</f>
        <v>7.4999999999999997E-3</v>
      </c>
      <c r="D38" s="173">
        <f t="shared" si="30"/>
        <v>7.4999999999999997E-3</v>
      </c>
      <c r="E38" s="173">
        <f t="shared" si="30"/>
        <v>7.4999999999999997E-3</v>
      </c>
      <c r="F38" s="173">
        <f t="shared" si="30"/>
        <v>7.4999999999999997E-3</v>
      </c>
      <c r="G38" s="173">
        <f t="shared" si="30"/>
        <v>7.4999999999999997E-3</v>
      </c>
      <c r="H38" s="173">
        <f t="shared" si="30"/>
        <v>7.4999999999999997E-3</v>
      </c>
      <c r="I38" s="173">
        <f t="shared" si="30"/>
        <v>7.4999999999999997E-3</v>
      </c>
      <c r="J38" s="173">
        <f t="shared" si="30"/>
        <v>7.4999999999999997E-3</v>
      </c>
      <c r="K38" s="173">
        <f t="shared" si="30"/>
        <v>7.4999999999999997E-3</v>
      </c>
      <c r="L38" s="173">
        <f t="shared" si="30"/>
        <v>7.4999999999999997E-3</v>
      </c>
      <c r="M38" s="173">
        <f t="shared" si="30"/>
        <v>7.4999999999999997E-3</v>
      </c>
      <c r="N38" s="173">
        <f t="shared" si="30"/>
        <v>7.4999999999999997E-3</v>
      </c>
      <c r="O38" s="173">
        <f t="shared" si="30"/>
        <v>7.4999999999999997E-3</v>
      </c>
      <c r="P38" s="173">
        <f t="shared" si="30"/>
        <v>7.4999999999999997E-3</v>
      </c>
      <c r="Q38" s="173">
        <f t="shared" si="30"/>
        <v>7.4999999999999997E-3</v>
      </c>
      <c r="R38" s="173">
        <f t="shared" si="30"/>
        <v>7.4999999999999997E-3</v>
      </c>
      <c r="S38" s="173">
        <f t="shared" si="30"/>
        <v>7.4999999999999997E-3</v>
      </c>
      <c r="T38" s="173">
        <f t="shared" si="30"/>
        <v>7.4999999999999997E-3</v>
      </c>
      <c r="U38" s="173">
        <f t="shared" si="30"/>
        <v>7.4999999999999997E-3</v>
      </c>
      <c r="V38" s="173">
        <f t="shared" si="30"/>
        <v>7.4999999999999997E-3</v>
      </c>
      <c r="W38" s="173">
        <f t="shared" si="30"/>
        <v>7.4999999999999997E-3</v>
      </c>
      <c r="X38" s="173">
        <f t="shared" si="30"/>
        <v>7.4999999999999997E-3</v>
      </c>
      <c r="Y38" s="173">
        <f t="shared" si="30"/>
        <v>7.4999999999999997E-3</v>
      </c>
      <c r="Z38" s="173">
        <f t="shared" si="30"/>
        <v>7.4999999999999997E-3</v>
      </c>
      <c r="AA38" s="173">
        <f t="shared" si="30"/>
        <v>7.4999999999999997E-3</v>
      </c>
      <c r="AB38" s="173">
        <f t="shared" si="30"/>
        <v>7.4999999999999997E-3</v>
      </c>
      <c r="AC38" s="173">
        <f t="shared" si="30"/>
        <v>7.4999999999999997E-3</v>
      </c>
      <c r="AD38" s="173">
        <f t="shared" si="30"/>
        <v>7.4999999999999997E-3</v>
      </c>
      <c r="AE38" s="173">
        <f t="shared" si="30"/>
        <v>7.4999999999999997E-3</v>
      </c>
      <c r="AF38" s="173">
        <f t="shared" si="30"/>
        <v>7.4999999999999997E-3</v>
      </c>
      <c r="AG38" s="173">
        <f t="shared" si="30"/>
        <v>7.4999999999999997E-3</v>
      </c>
      <c r="AH38" s="173">
        <f t="shared" si="30"/>
        <v>7.4999999999999997E-3</v>
      </c>
      <c r="AI38" s="173">
        <f t="shared" si="30"/>
        <v>7.4999999999999997E-3</v>
      </c>
      <c r="AJ38" s="173">
        <f t="shared" si="30"/>
        <v>7.4999999999999997E-3</v>
      </c>
      <c r="AK38" s="173">
        <f t="shared" si="30"/>
        <v>7.4999999999999997E-3</v>
      </c>
      <c r="AL38" s="173">
        <f t="shared" si="30"/>
        <v>7.4999999999999997E-3</v>
      </c>
      <c r="AM38" s="173">
        <f t="shared" si="30"/>
        <v>7.4999999999999997E-3</v>
      </c>
      <c r="AN38" s="173">
        <f t="shared" si="30"/>
        <v>7.4999999999999997E-3</v>
      </c>
      <c r="AO38" s="173">
        <f t="shared" si="30"/>
        <v>7.4999999999999997E-3</v>
      </c>
      <c r="AP38" s="173">
        <f t="shared" si="30"/>
        <v>7.4999999999999997E-3</v>
      </c>
    </row>
    <row r="39" spans="1:42" x14ac:dyDescent="0.2">
      <c r="A39" s="172" t="s">
        <v>22</v>
      </c>
      <c r="C39" s="135">
        <f>C37*C38</f>
        <v>286618.44374999998</v>
      </c>
      <c r="D39" s="135">
        <f>D37*D38</f>
        <v>272287.52156249998</v>
      </c>
      <c r="E39" s="135">
        <f t="shared" ref="E39:K39" si="31">E37*E38</f>
        <v>257956.59937499999</v>
      </c>
      <c r="F39" s="135">
        <f t="shared" si="31"/>
        <v>243625.67718749997</v>
      </c>
      <c r="G39" s="135">
        <f t="shared" si="31"/>
        <v>229294.75499999995</v>
      </c>
      <c r="H39" s="135">
        <f t="shared" si="31"/>
        <v>214963.83281249992</v>
      </c>
      <c r="I39" s="135">
        <f t="shared" si="31"/>
        <v>200632.9106249999</v>
      </c>
      <c r="J39" s="135">
        <f t="shared" si="31"/>
        <v>186301.98843749991</v>
      </c>
      <c r="K39" s="135">
        <f t="shared" si="31"/>
        <v>171971.06624999989</v>
      </c>
      <c r="L39" s="135">
        <f>L37*L38</f>
        <v>157640.14406249989</v>
      </c>
      <c r="M39" s="135">
        <f t="shared" ref="M39:R39" si="32">M37*M38</f>
        <v>143309.22187499987</v>
      </c>
      <c r="N39" s="135">
        <f t="shared" si="32"/>
        <v>128978.29968749988</v>
      </c>
      <c r="O39" s="135">
        <f t="shared" si="32"/>
        <v>114647.37749999989</v>
      </c>
      <c r="P39" s="135">
        <f t="shared" si="32"/>
        <v>100316.45531249989</v>
      </c>
      <c r="Q39" s="135">
        <f t="shared" si="32"/>
        <v>85985.5331249999</v>
      </c>
      <c r="R39" s="135">
        <f t="shared" si="32"/>
        <v>71654.610937499892</v>
      </c>
      <c r="S39" s="135">
        <f>S37*S38</f>
        <v>57323.688749999907</v>
      </c>
      <c r="T39" s="135">
        <f t="shared" ref="T39:X39" si="33">T37*T38</f>
        <v>42992.766562499906</v>
      </c>
      <c r="U39" s="135">
        <f t="shared" si="33"/>
        <v>28661.84437499991</v>
      </c>
      <c r="V39" s="135">
        <f t="shared" si="33"/>
        <v>14330.922187499909</v>
      </c>
      <c r="W39" s="135">
        <f t="shared" si="33"/>
        <v>0</v>
      </c>
      <c r="X39" s="135">
        <f t="shared" si="33"/>
        <v>0</v>
      </c>
      <c r="Y39" s="135">
        <f>Y37*Y38</f>
        <v>0</v>
      </c>
      <c r="Z39" s="135">
        <f t="shared" ref="Z39:AF39" si="34">Z37*Z38</f>
        <v>0</v>
      </c>
      <c r="AA39" s="135">
        <f t="shared" si="34"/>
        <v>0</v>
      </c>
      <c r="AB39" s="135">
        <f t="shared" si="34"/>
        <v>0</v>
      </c>
      <c r="AC39" s="135">
        <f t="shared" si="34"/>
        <v>0</v>
      </c>
      <c r="AD39" s="135">
        <f t="shared" si="34"/>
        <v>0</v>
      </c>
      <c r="AE39" s="135">
        <f t="shared" si="34"/>
        <v>0</v>
      </c>
      <c r="AF39" s="135">
        <f t="shared" si="34"/>
        <v>0</v>
      </c>
      <c r="AG39" s="135">
        <f>AG37*AG38</f>
        <v>0</v>
      </c>
      <c r="AH39" s="135">
        <f t="shared" ref="AH39:AM39" si="35">AH37*AH38</f>
        <v>0</v>
      </c>
      <c r="AI39" s="135">
        <f t="shared" si="35"/>
        <v>0</v>
      </c>
      <c r="AJ39" s="135">
        <f t="shared" si="35"/>
        <v>0</v>
      </c>
      <c r="AK39" s="135">
        <f t="shared" si="35"/>
        <v>0</v>
      </c>
      <c r="AL39" s="135">
        <f t="shared" si="35"/>
        <v>0</v>
      </c>
      <c r="AM39" s="135">
        <f t="shared" si="35"/>
        <v>0</v>
      </c>
      <c r="AN39" s="135">
        <f>AN37*AN38</f>
        <v>0</v>
      </c>
      <c r="AO39" s="135">
        <f t="shared" ref="AO39:AP39" si="36">AO37*AO38</f>
        <v>0</v>
      </c>
      <c r="AP39" s="135">
        <f t="shared" si="36"/>
        <v>0</v>
      </c>
    </row>
    <row r="40" spans="1:42" x14ac:dyDescent="0.2">
      <c r="A40" s="163" t="s">
        <v>126</v>
      </c>
      <c r="C40" s="169">
        <f>IF(C$2&lt;=AnalysisPeriod,PreFinancingInstalledCostTotal*'Inputs &amp; Results'!$J$12*(1+Inflation)^B$2,0)</f>
        <v>201135.75</v>
      </c>
      <c r="D40" s="169">
        <f>IF(D$2&lt;=AnalysisPeriod,PreFinancingInstalledCostTotal*'Inputs &amp; Results'!$J$12*(1+Inflation)^C$2,0)</f>
        <v>204152.78624999998</v>
      </c>
      <c r="E40" s="169">
        <f>IF(E$2&lt;=AnalysisPeriod,PreFinancingInstalledCostTotal*'Inputs &amp; Results'!$J$12*(1+Inflation)^D$2,0)</f>
        <v>207215.07804374993</v>
      </c>
      <c r="F40" s="169">
        <f>IF(F$2&lt;=AnalysisPeriod,PreFinancingInstalledCostTotal*'Inputs &amp; Results'!$J$12*(1+Inflation)^E$2,0)</f>
        <v>210323.30421440618</v>
      </c>
      <c r="G40" s="169">
        <f>IF(G$2&lt;=AnalysisPeriod,PreFinancingInstalledCostTotal*'Inputs &amp; Results'!$J$12*(1+Inflation)^F$2,0)</f>
        <v>213478.15377762224</v>
      </c>
      <c r="H40" s="169">
        <f>IF(H$2&lt;=AnalysisPeriod,PreFinancingInstalledCostTotal*'Inputs &amp; Results'!$J$12*(1+Inflation)^G$2,0)</f>
        <v>216680.32608428653</v>
      </c>
      <c r="I40" s="169">
        <f>IF(I$2&lt;=AnalysisPeriod,PreFinancingInstalledCostTotal*'Inputs &amp; Results'!$J$12*(1+Inflation)^H$2,0)</f>
        <v>219930.53097555079</v>
      </c>
      <c r="J40" s="169">
        <f>IF(J$2&lt;=AnalysisPeriod,PreFinancingInstalledCostTotal*'Inputs &amp; Results'!$J$12*(1+Inflation)^I$2,0)</f>
        <v>223229.488940184</v>
      </c>
      <c r="K40" s="169">
        <f>IF(K$2&lt;=AnalysisPeriod,PreFinancingInstalledCostTotal*'Inputs &amp; Results'!$J$12*(1+Inflation)^J$2,0)</f>
        <v>226577.93127428676</v>
      </c>
      <c r="L40" s="169">
        <f>IF(L$2&lt;=AnalysisPeriod,PreFinancingInstalledCostTotal*'Inputs &amp; Results'!$J$12*(1+Inflation)^K$2,0)</f>
        <v>229976.60024340104</v>
      </c>
      <c r="M40" s="169">
        <f>IF(M$2&lt;=AnalysisPeriod,PreFinancingInstalledCostTotal*'Inputs &amp; Results'!$J$12*(1+Inflation)^L$2,0)</f>
        <v>233426.24924705201</v>
      </c>
      <c r="N40" s="169">
        <f>IF(N$2&lt;=AnalysisPeriod,PreFinancingInstalledCostTotal*'Inputs &amp; Results'!$J$12*(1+Inflation)^M$2,0)</f>
        <v>236927.64298575779</v>
      </c>
      <c r="O40" s="169">
        <f>IF(O$2&lt;=AnalysisPeriod,PreFinancingInstalledCostTotal*'Inputs &amp; Results'!$J$12*(1+Inflation)^N$2,0)</f>
        <v>240481.55763054409</v>
      </c>
      <c r="P40" s="169">
        <f>IF(P$2&lt;=AnalysisPeriod,PreFinancingInstalledCostTotal*'Inputs &amp; Results'!$J$12*(1+Inflation)^O$2,0)</f>
        <v>244088.78099500225</v>
      </c>
      <c r="Q40" s="169">
        <f>IF(Q$2&lt;=AnalysisPeriod,PreFinancingInstalledCostTotal*'Inputs &amp; Results'!$J$12*(1+Inflation)^P$2,0)</f>
        <v>247750.1127099272</v>
      </c>
      <c r="R40" s="169">
        <f>IF(R$2&lt;=AnalysisPeriod,PreFinancingInstalledCostTotal*'Inputs &amp; Results'!$J$12*(1+Inflation)^Q$2,0)</f>
        <v>251466.36440057607</v>
      </c>
      <c r="S40" s="169">
        <f>IF(S$2&lt;=AnalysisPeriod,PreFinancingInstalledCostTotal*'Inputs &amp; Results'!$J$12*(1+Inflation)^R$2,0)</f>
        <v>255238.35986658468</v>
      </c>
      <c r="T40" s="169">
        <f>IF(T$2&lt;=AnalysisPeriod,PreFinancingInstalledCostTotal*'Inputs &amp; Results'!$J$12*(1+Inflation)^S$2,0)</f>
        <v>259066.93526458342</v>
      </c>
      <c r="U40" s="169">
        <f>IF(U$2&lt;=AnalysisPeriod,PreFinancingInstalledCostTotal*'Inputs &amp; Results'!$J$12*(1+Inflation)^T$2,0)</f>
        <v>262952.93929355213</v>
      </c>
      <c r="V40" s="169">
        <f>IF(V$2&lt;=AnalysisPeriod,PreFinancingInstalledCostTotal*'Inputs &amp; Results'!$J$12*(1+Inflation)^U$2,0)</f>
        <v>266897.23338295543</v>
      </c>
      <c r="W40" s="169">
        <f>IF(W$2&lt;=AnalysisPeriod,PreFinancingInstalledCostTotal*'Inputs &amp; Results'!$J$12*(1+Inflation)^V$2,0)</f>
        <v>270900.69188369968</v>
      </c>
      <c r="X40" s="169">
        <f>IF(X$2&lt;=AnalysisPeriod,PreFinancingInstalledCostTotal*'Inputs &amp; Results'!$J$12*(1+Inflation)^W$2,0)</f>
        <v>274964.20226195513</v>
      </c>
      <c r="Y40" s="169">
        <f>IF(Y$2&lt;=AnalysisPeriod,PreFinancingInstalledCostTotal*'Inputs &amp; Results'!$J$12*(1+Inflation)^X$2,0)</f>
        <v>279088.66529588442</v>
      </c>
      <c r="Z40" s="169">
        <f>IF(Z$2&lt;=AnalysisPeriod,PreFinancingInstalledCostTotal*'Inputs &amp; Results'!$J$12*(1+Inflation)^Y$2,0)</f>
        <v>283274.99527532264</v>
      </c>
      <c r="AA40" s="169">
        <f>IF(AA$2&lt;=AnalysisPeriod,PreFinancingInstalledCostTotal*'Inputs &amp; Results'!$J$12*(1+Inflation)^Z$2,0)</f>
        <v>287524.12020445243</v>
      </c>
      <c r="AB40" s="169">
        <f>IF(AB$2&lt;=AnalysisPeriod,PreFinancingInstalledCostTotal*'Inputs &amp; Results'!$J$12*(1+Inflation)^AA$2,0)</f>
        <v>291836.98200751923</v>
      </c>
      <c r="AC40" s="169">
        <f>IF(AC$2&lt;=AnalysisPeriod,PreFinancingInstalledCostTotal*'Inputs &amp; Results'!$J$12*(1+Inflation)^AB$2,0)</f>
        <v>296214.53673763195</v>
      </c>
      <c r="AD40" s="169">
        <f>IF(AD$2&lt;=AnalysisPeriod,PreFinancingInstalledCostTotal*'Inputs &amp; Results'!$J$12*(1+Inflation)^AC$2,0)</f>
        <v>300657.75478869642</v>
      </c>
      <c r="AE40" s="169">
        <f>IF(AE$2&lt;=AnalysisPeriod,PreFinancingInstalledCostTotal*'Inputs &amp; Results'!$J$12*(1+Inflation)^AD$2,0)</f>
        <v>305167.62111052679</v>
      </c>
      <c r="AF40" s="169">
        <f>IF(AF$2&lt;=AnalysisPeriod,PreFinancingInstalledCostTotal*'Inputs &amp; Results'!$J$12*(1+Inflation)^AE$2,0)</f>
        <v>309745.13542718469</v>
      </c>
      <c r="AG40" s="169">
        <f>IF(AG$2&lt;=AnalysisPeriod,PreFinancingInstalledCostTotal*'Inputs &amp; Results'!$J$12*(1+Inflation)^AF$2,0)</f>
        <v>314391.31245859235</v>
      </c>
      <c r="AH40" s="169">
        <f>IF(AH$2&lt;=AnalysisPeriod,PreFinancingInstalledCostTotal*'Inputs &amp; Results'!$J$12*(1+Inflation)^AG$2,0)</f>
        <v>319107.18214547122</v>
      </c>
      <c r="AI40" s="169">
        <f>IF(AI$2&lt;=AnalysisPeriod,PreFinancingInstalledCostTotal*'Inputs &amp; Results'!$J$12*(1+Inflation)^AH$2,0)</f>
        <v>323893.78987765324</v>
      </c>
      <c r="AJ40" s="169">
        <f>IF(AJ$2&lt;=AnalysisPeriod,PreFinancingInstalledCostTotal*'Inputs &amp; Results'!$J$12*(1+Inflation)^AI$2,0)</f>
        <v>328752.19672581798</v>
      </c>
      <c r="AK40" s="169">
        <f>IF(AK$2&lt;=AnalysisPeriod,PreFinancingInstalledCostTotal*'Inputs &amp; Results'!$J$12*(1+Inflation)^AJ$2,0)</f>
        <v>333683.4796767052</v>
      </c>
      <c r="AL40" s="169">
        <f>IF(AL$2&lt;=AnalysisPeriod,PreFinancingInstalledCostTotal*'Inputs &amp; Results'!$J$12*(1+Inflation)^AK$2,0)</f>
        <v>338688.73187185579</v>
      </c>
      <c r="AM40" s="169">
        <f>IF(AM$2&lt;=AnalysisPeriod,PreFinancingInstalledCostTotal*'Inputs &amp; Results'!$J$12*(1+Inflation)^AL$2,0)</f>
        <v>343769.06284993357</v>
      </c>
      <c r="AN40" s="169">
        <f>IF(AN$2&lt;=AnalysisPeriod,PreFinancingInstalledCostTotal*'Inputs &amp; Results'!$J$12*(1+Inflation)^AM$2,0)</f>
        <v>348925.59879268252</v>
      </c>
      <c r="AO40" s="169">
        <f>IF(AO$2&lt;=AnalysisPeriod,PreFinancingInstalledCostTotal*'Inputs &amp; Results'!$J$12*(1+Inflation)^AN$2,0)</f>
        <v>354159.48277457268</v>
      </c>
      <c r="AP40" s="169">
        <f>IF(AP$2&lt;=AnalysisPeriod,PreFinancingInstalledCostTotal*'Inputs &amp; Results'!$J$12*(1+Inflation)^AO$2,0)</f>
        <v>359471.87501619122</v>
      </c>
    </row>
    <row r="41" spans="1:42" x14ac:dyDescent="0.2">
      <c r="A41" s="163" t="s">
        <v>369</v>
      </c>
      <c r="C41" s="170">
        <f t="shared" ref="C41:AP41" si="37">IF(C$2&lt;=AnalysisPeriod,SLDevMargin*(1+SLDevMarginEsc)^B$2,0)</f>
        <v>400000</v>
      </c>
      <c r="D41" s="170">
        <f t="shared" si="37"/>
        <v>408000</v>
      </c>
      <c r="E41" s="170">
        <f t="shared" si="37"/>
        <v>416160</v>
      </c>
      <c r="F41" s="170">
        <f t="shared" si="37"/>
        <v>424483.19999999995</v>
      </c>
      <c r="G41" s="170">
        <f t="shared" si="37"/>
        <v>432972.864</v>
      </c>
      <c r="H41" s="170">
        <f t="shared" si="37"/>
        <v>441632.32128000003</v>
      </c>
      <c r="I41" s="170">
        <f t="shared" si="37"/>
        <v>450464.96770560002</v>
      </c>
      <c r="J41" s="170">
        <f t="shared" si="37"/>
        <v>459474.26705971191</v>
      </c>
      <c r="K41" s="170">
        <f t="shared" si="37"/>
        <v>468663.75240090623</v>
      </c>
      <c r="L41" s="170">
        <f t="shared" si="37"/>
        <v>478037.02744892432</v>
      </c>
      <c r="M41" s="170">
        <f t="shared" si="37"/>
        <v>487597.76799790282</v>
      </c>
      <c r="N41" s="170">
        <f t="shared" si="37"/>
        <v>497349.72335786081</v>
      </c>
      <c r="O41" s="170">
        <f t="shared" si="37"/>
        <v>507296.7178250181</v>
      </c>
      <c r="P41" s="170">
        <f t="shared" si="37"/>
        <v>517442.65218151844</v>
      </c>
      <c r="Q41" s="170">
        <f t="shared" si="37"/>
        <v>527791.50522514887</v>
      </c>
      <c r="R41" s="170">
        <f t="shared" si="37"/>
        <v>538347.33532965172</v>
      </c>
      <c r="S41" s="170">
        <f t="shared" si="37"/>
        <v>549114.28203624487</v>
      </c>
      <c r="T41" s="170">
        <f t="shared" si="37"/>
        <v>560096.5676769698</v>
      </c>
      <c r="U41" s="170">
        <f t="shared" si="37"/>
        <v>571298.49903050903</v>
      </c>
      <c r="V41" s="170">
        <f t="shared" si="37"/>
        <v>582724.46901111922</v>
      </c>
      <c r="W41" s="170">
        <f t="shared" si="37"/>
        <v>594378.95839134173</v>
      </c>
      <c r="X41" s="170">
        <f t="shared" si="37"/>
        <v>606266.53755916853</v>
      </c>
      <c r="Y41" s="170">
        <f t="shared" si="37"/>
        <v>618391.86831035186</v>
      </c>
      <c r="Z41" s="170">
        <f t="shared" si="37"/>
        <v>630759.70567655878</v>
      </c>
      <c r="AA41" s="170">
        <f t="shared" si="37"/>
        <v>643374.89979009004</v>
      </c>
      <c r="AB41" s="170">
        <f t="shared" si="37"/>
        <v>656242.39778589178</v>
      </c>
      <c r="AC41" s="170">
        <f t="shared" si="37"/>
        <v>669367.24574160972</v>
      </c>
      <c r="AD41" s="170">
        <f t="shared" si="37"/>
        <v>682754.59065644175</v>
      </c>
      <c r="AE41" s="170">
        <f t="shared" si="37"/>
        <v>696409.68246957078</v>
      </c>
      <c r="AF41" s="170">
        <f t="shared" si="37"/>
        <v>710337.87611896207</v>
      </c>
      <c r="AG41" s="170">
        <f t="shared" si="37"/>
        <v>724544.63364134135</v>
      </c>
      <c r="AH41" s="170">
        <f t="shared" si="37"/>
        <v>739035.526314168</v>
      </c>
      <c r="AI41" s="170">
        <f t="shared" si="37"/>
        <v>753816.2368404516</v>
      </c>
      <c r="AJ41" s="170">
        <f t="shared" si="37"/>
        <v>768892.56157726061</v>
      </c>
      <c r="AK41" s="170">
        <f t="shared" si="37"/>
        <v>784270.41280880582</v>
      </c>
      <c r="AL41" s="170">
        <f t="shared" si="37"/>
        <v>799955.82106498186</v>
      </c>
      <c r="AM41" s="170">
        <f t="shared" si="37"/>
        <v>815954.9374862815</v>
      </c>
      <c r="AN41" s="170">
        <f t="shared" si="37"/>
        <v>832274.03623600723</v>
      </c>
      <c r="AO41" s="170">
        <f t="shared" si="37"/>
        <v>848919.5169607274</v>
      </c>
      <c r="AP41" s="170">
        <f t="shared" si="37"/>
        <v>865897.90729994164</v>
      </c>
    </row>
    <row r="42" spans="1:42" x14ac:dyDescent="0.2">
      <c r="A42" s="20" t="s">
        <v>73</v>
      </c>
      <c r="C42" s="135">
        <f>C23+C27+C31+C39+C40+C41</f>
        <v>1174413.87375</v>
      </c>
      <c r="D42" s="135">
        <f>D23+D27+D31+D39+D40+D41</f>
        <v>1176862.3351365</v>
      </c>
      <c r="E42" s="135">
        <f t="shared" ref="E42:AP42" si="38">E23+E27+E31+E39+E40+E41</f>
        <v>1179639.2583639408</v>
      </c>
      <c r="F42" s="135">
        <f t="shared" si="38"/>
        <v>1182751.2398473527</v>
      </c>
      <c r="G42" s="135">
        <f t="shared" si="38"/>
        <v>1186205.0110238977</v>
      </c>
      <c r="H42" s="135">
        <f t="shared" si="38"/>
        <v>1190007.441157348</v>
      </c>
      <c r="I42" s="135">
        <f t="shared" si="38"/>
        <v>1194165.5402014996</v>
      </c>
      <c r="J42" s="135">
        <f t="shared" si="38"/>
        <v>1198686.4617237654</v>
      </c>
      <c r="K42" s="135">
        <f t="shared" si="38"/>
        <v>1203577.505890226</v>
      </c>
      <c r="L42" s="135">
        <f t="shared" si="38"/>
        <v>1208846.1225134416</v>
      </c>
      <c r="M42" s="135">
        <f t="shared" si="38"/>
        <v>1214499.914164362</v>
      </c>
      <c r="N42" s="135">
        <f t="shared" si="38"/>
        <v>1220546.6393496867</v>
      </c>
      <c r="O42" s="135">
        <f t="shared" si="38"/>
        <v>1226994.2157560727</v>
      </c>
      <c r="P42" s="135">
        <f t="shared" si="38"/>
        <v>1233850.7235626052</v>
      </c>
      <c r="Q42" s="135">
        <f t="shared" si="38"/>
        <v>1241124.4088229844</v>
      </c>
      <c r="R42" s="135">
        <f t="shared" si="38"/>
        <v>1248823.6869189038</v>
      </c>
      <c r="S42" s="135">
        <f t="shared" si="38"/>
        <v>1256957.1460861401</v>
      </c>
      <c r="T42" s="135">
        <f t="shared" si="38"/>
        <v>1265533.5510148914</v>
      </c>
      <c r="U42" s="135">
        <f t="shared" si="38"/>
        <v>1274561.8465259499</v>
      </c>
      <c r="V42" s="135">
        <f t="shared" si="38"/>
        <v>1284051.1613243171</v>
      </c>
      <c r="W42" s="135">
        <f t="shared" si="38"/>
        <v>1294010.8118319036</v>
      </c>
      <c r="X42" s="135">
        <f t="shared" si="38"/>
        <v>1318781.2282885057</v>
      </c>
      <c r="Y42" s="135">
        <f t="shared" si="38"/>
        <v>1344041.1921852673</v>
      </c>
      <c r="Z42" s="135">
        <f t="shared" si="38"/>
        <v>1369800.6069073863</v>
      </c>
      <c r="AA42" s="135">
        <f t="shared" si="38"/>
        <v>1396069.5797128549</v>
      </c>
      <c r="AB42" s="135">
        <f t="shared" si="38"/>
        <v>1422858.4259865673</v>
      </c>
      <c r="AC42" s="135">
        <f t="shared" si="38"/>
        <v>1450177.6735841637</v>
      </c>
      <c r="AD42" s="135">
        <f t="shared" si="38"/>
        <v>1478038.067267519</v>
      </c>
      <c r="AE42" s="135">
        <f t="shared" si="38"/>
        <v>1506450.57323383</v>
      </c>
      <c r="AF42" s="135">
        <f t="shared" si="38"/>
        <v>1535426.3837402901</v>
      </c>
      <c r="AG42" s="135">
        <f t="shared" si="38"/>
        <v>1564976.9218263912</v>
      </c>
      <c r="AH42" s="135">
        <f t="shared" si="38"/>
        <v>1595113.8461359297</v>
      </c>
      <c r="AI42" s="135">
        <f t="shared" si="38"/>
        <v>1625849.055840841</v>
      </c>
      <c r="AJ42" s="135">
        <f t="shared" si="38"/>
        <v>1657194.6956690303</v>
      </c>
      <c r="AK42" s="135">
        <f t="shared" si="38"/>
        <v>1689163.1610384192</v>
      </c>
      <c r="AL42" s="135">
        <f t="shared" si="38"/>
        <v>1721767.1032994697</v>
      </c>
      <c r="AM42" s="135">
        <f t="shared" si="38"/>
        <v>1755019.4350884967</v>
      </c>
      <c r="AN42" s="135">
        <f t="shared" si="38"/>
        <v>1788933.3357941317</v>
      </c>
      <c r="AO42" s="135">
        <f t="shared" si="38"/>
        <v>1823522.2571393531</v>
      </c>
      <c r="AP42" s="135">
        <f t="shared" si="38"/>
        <v>1858799.9288815425</v>
      </c>
    </row>
    <row r="44" spans="1:42" ht="13.5" thickBot="1" x14ac:dyDescent="0.25">
      <c r="A44" s="165" t="s">
        <v>405</v>
      </c>
      <c r="C44" s="176">
        <f t="shared" ref="C44:AP44" si="39">C20-C42</f>
        <v>5573383.0043898067</v>
      </c>
      <c r="D44" s="176">
        <f t="shared" si="39"/>
        <v>5604336.1375500979</v>
      </c>
      <c r="E44" s="176">
        <f t="shared" si="39"/>
        <v>5635126.1467624577</v>
      </c>
      <c r="F44" s="176">
        <f t="shared" si="39"/>
        <v>5665747.2540344205</v>
      </c>
      <c r="G44" s="176">
        <f t="shared" si="39"/>
        <v>5696193.5504025919</v>
      </c>
      <c r="H44" s="176">
        <f t="shared" si="39"/>
        <v>5726458.9931482021</v>
      </c>
      <c r="I44" s="176">
        <f t="shared" si="39"/>
        <v>5756537.4029538631</v>
      </c>
      <c r="J44" s="176">
        <f t="shared" si="39"/>
        <v>5786422.4610002143</v>
      </c>
      <c r="K44" s="176">
        <f t="shared" si="39"/>
        <v>5816107.7060012408</v>
      </c>
      <c r="L44" s="176">
        <f t="shared" si="39"/>
        <v>5845586.5311768875</v>
      </c>
      <c r="M44" s="176">
        <f t="shared" si="39"/>
        <v>5874852.1811617352</v>
      </c>
      <c r="N44" s="176">
        <f t="shared" si="39"/>
        <v>5903897.7488482725</v>
      </c>
      <c r="O44" s="176">
        <f t="shared" si="39"/>
        <v>5932716.1721634679</v>
      </c>
      <c r="P44" s="176">
        <f t="shared" si="39"/>
        <v>5961300.230777137</v>
      </c>
      <c r="Q44" s="176">
        <f t="shared" si="39"/>
        <v>5989642.5427407408</v>
      </c>
      <c r="R44" s="176">
        <f t="shared" si="39"/>
        <v>6017735.5610550586</v>
      </c>
      <c r="S44" s="176">
        <f t="shared" si="39"/>
        <v>6045571.570165297</v>
      </c>
      <c r="T44" s="176">
        <f t="shared" si="39"/>
        <v>6073142.6823819913</v>
      </c>
      <c r="U44" s="176">
        <f t="shared" si="39"/>
        <v>6100440.8342262469</v>
      </c>
      <c r="V44" s="176">
        <f t="shared" si="39"/>
        <v>6127457.7826976012</v>
      </c>
      <c r="W44" s="176">
        <f t="shared" si="39"/>
        <v>6154185.1014629239</v>
      </c>
      <c r="X44" s="176">
        <f t="shared" si="39"/>
        <v>6166283.2547771297</v>
      </c>
      <c r="Y44" s="176">
        <f t="shared" si="39"/>
        <v>6178074.3600715455</v>
      </c>
      <c r="Z44" s="176">
        <f t="shared" si="39"/>
        <v>6189549.4173330953</v>
      </c>
      <c r="AA44" s="176">
        <f t="shared" si="39"/>
        <v>6200699.2271476211</v>
      </c>
      <c r="AB44" s="176">
        <f t="shared" si="39"/>
        <v>6211514.3864678685</v>
      </c>
      <c r="AC44" s="176">
        <f t="shared" si="39"/>
        <v>6221985.2842919212</v>
      </c>
      <c r="AD44" s="176">
        <f t="shared" si="39"/>
        <v>6232102.0972500499</v>
      </c>
      <c r="AE44" s="176">
        <f t="shared" si="39"/>
        <v>6241854.7850981019</v>
      </c>
      <c r="AF44" s="176">
        <f t="shared" si="39"/>
        <v>6251233.0861153854</v>
      </c>
      <c r="AG44" s="176">
        <f t="shared" si="39"/>
        <v>6260226.5124050714</v>
      </c>
      <c r="AH44" s="176">
        <f t="shared" si="39"/>
        <v>6268824.3450949751</v>
      </c>
      <c r="AI44" s="176">
        <f t="shared" si="39"/>
        <v>6277015.6294366587</v>
      </c>
      <c r="AJ44" s="176">
        <f t="shared" si="39"/>
        <v>6284789.1698005926</v>
      </c>
      <c r="AK44" s="176">
        <f t="shared" si="39"/>
        <v>6292133.5245652795</v>
      </c>
      <c r="AL44" s="176">
        <f t="shared" si="39"/>
        <v>6299037.0008979673</v>
      </c>
      <c r="AM44" s="176">
        <f t="shared" si="39"/>
        <v>6305487.6494247178</v>
      </c>
      <c r="AN44" s="176">
        <f t="shared" si="39"/>
        <v>6311473.2587874234</v>
      </c>
      <c r="AO44" s="176">
        <f t="shared" si="39"/>
        <v>6316981.3500853823</v>
      </c>
      <c r="AP44" s="176">
        <f t="shared" si="39"/>
        <v>10344714.171198951</v>
      </c>
    </row>
    <row r="45" spans="1:42" ht="13.5" thickTop="1" x14ac:dyDescent="0.2"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24"/>
      <c r="AG45" s="124"/>
      <c r="AH45" s="169"/>
      <c r="AI45" s="169"/>
      <c r="AJ45" s="169"/>
      <c r="AK45" s="169"/>
      <c r="AL45" s="169"/>
      <c r="AM45" s="169"/>
      <c r="AN45" s="169"/>
      <c r="AO45" s="169"/>
      <c r="AP45" s="169"/>
    </row>
    <row r="46" spans="1:42" x14ac:dyDescent="0.2">
      <c r="A46" s="162" t="s">
        <v>373</v>
      </c>
      <c r="B46" s="101"/>
      <c r="C46" s="124"/>
      <c r="D46" s="124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24"/>
      <c r="AG46" s="124"/>
      <c r="AH46" s="169"/>
      <c r="AI46" s="169"/>
      <c r="AJ46" s="169"/>
      <c r="AK46" s="169"/>
      <c r="AL46" s="169"/>
      <c r="AM46" s="169"/>
      <c r="AN46" s="169"/>
      <c r="AO46" s="169"/>
      <c r="AP46" s="169"/>
    </row>
    <row r="47" spans="1:42" x14ac:dyDescent="0.2">
      <c r="A47" s="165" t="s">
        <v>175</v>
      </c>
      <c r="B47" s="135"/>
      <c r="C47" s="135"/>
      <c r="D47" s="135"/>
      <c r="E47" s="135"/>
      <c r="F47" s="135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</row>
    <row r="48" spans="1:42" x14ac:dyDescent="0.2">
      <c r="A48" s="163" t="s">
        <v>405</v>
      </c>
      <c r="B48" s="135">
        <v>0</v>
      </c>
      <c r="C48" s="135">
        <f>C44</f>
        <v>5573383.0043898067</v>
      </c>
      <c r="D48" s="135">
        <f t="shared" ref="D48:AP48" si="40">D44</f>
        <v>5604336.1375500979</v>
      </c>
      <c r="E48" s="135">
        <f t="shared" si="40"/>
        <v>5635126.1467624577</v>
      </c>
      <c r="F48" s="135">
        <f t="shared" si="40"/>
        <v>5665747.2540344205</v>
      </c>
      <c r="G48" s="135">
        <f t="shared" si="40"/>
        <v>5696193.5504025919</v>
      </c>
      <c r="H48" s="135">
        <f t="shared" si="40"/>
        <v>5726458.9931482021</v>
      </c>
      <c r="I48" s="135">
        <f t="shared" si="40"/>
        <v>5756537.4029538631</v>
      </c>
      <c r="J48" s="135">
        <f t="shared" si="40"/>
        <v>5786422.4610002143</v>
      </c>
      <c r="K48" s="135">
        <f t="shared" si="40"/>
        <v>5816107.7060012408</v>
      </c>
      <c r="L48" s="135">
        <f t="shared" si="40"/>
        <v>5845586.5311768875</v>
      </c>
      <c r="M48" s="135">
        <f t="shared" si="40"/>
        <v>5874852.1811617352</v>
      </c>
      <c r="N48" s="135">
        <f t="shared" si="40"/>
        <v>5903897.7488482725</v>
      </c>
      <c r="O48" s="135">
        <f t="shared" si="40"/>
        <v>5932716.1721634679</v>
      </c>
      <c r="P48" s="135">
        <f t="shared" si="40"/>
        <v>5961300.230777137</v>
      </c>
      <c r="Q48" s="135">
        <f t="shared" si="40"/>
        <v>5989642.5427407408</v>
      </c>
      <c r="R48" s="135">
        <f t="shared" si="40"/>
        <v>6017735.5610550586</v>
      </c>
      <c r="S48" s="135">
        <f t="shared" si="40"/>
        <v>6045571.570165297</v>
      </c>
      <c r="T48" s="135">
        <f t="shared" si="40"/>
        <v>6073142.6823819913</v>
      </c>
      <c r="U48" s="135">
        <f t="shared" si="40"/>
        <v>6100440.8342262469</v>
      </c>
      <c r="V48" s="135">
        <f t="shared" si="40"/>
        <v>6127457.7826976012</v>
      </c>
      <c r="W48" s="135">
        <f t="shared" si="40"/>
        <v>6154185.1014629239</v>
      </c>
      <c r="X48" s="135">
        <f t="shared" si="40"/>
        <v>6166283.2547771297</v>
      </c>
      <c r="Y48" s="135">
        <f t="shared" si="40"/>
        <v>6178074.3600715455</v>
      </c>
      <c r="Z48" s="135">
        <f t="shared" si="40"/>
        <v>6189549.4173330953</v>
      </c>
      <c r="AA48" s="135">
        <f t="shared" si="40"/>
        <v>6200699.2271476211</v>
      </c>
      <c r="AB48" s="135">
        <f t="shared" si="40"/>
        <v>6211514.3864678685</v>
      </c>
      <c r="AC48" s="135">
        <f t="shared" si="40"/>
        <v>6221985.2842919212</v>
      </c>
      <c r="AD48" s="135">
        <f t="shared" si="40"/>
        <v>6232102.0972500499</v>
      </c>
      <c r="AE48" s="135">
        <f t="shared" si="40"/>
        <v>6241854.7850981019</v>
      </c>
      <c r="AF48" s="135">
        <f t="shared" si="40"/>
        <v>6251233.0861153854</v>
      </c>
      <c r="AG48" s="135">
        <f t="shared" si="40"/>
        <v>6260226.5124050714</v>
      </c>
      <c r="AH48" s="135">
        <f t="shared" si="40"/>
        <v>6268824.3450949751</v>
      </c>
      <c r="AI48" s="135">
        <f t="shared" si="40"/>
        <v>6277015.6294366587</v>
      </c>
      <c r="AJ48" s="135">
        <f t="shared" si="40"/>
        <v>6284789.1698005926</v>
      </c>
      <c r="AK48" s="135">
        <f t="shared" si="40"/>
        <v>6292133.5245652795</v>
      </c>
      <c r="AL48" s="135">
        <f t="shared" si="40"/>
        <v>6299037.0008979673</v>
      </c>
      <c r="AM48" s="135">
        <f t="shared" si="40"/>
        <v>6305487.6494247178</v>
      </c>
      <c r="AN48" s="135">
        <f t="shared" si="40"/>
        <v>6311473.2587874234</v>
      </c>
      <c r="AO48" s="135">
        <f t="shared" si="40"/>
        <v>6316981.3500853823</v>
      </c>
      <c r="AP48" s="135">
        <f t="shared" si="40"/>
        <v>10344714.171198951</v>
      </c>
    </row>
    <row r="49" spans="1:42" x14ac:dyDescent="0.2">
      <c r="A49" s="163" t="s">
        <v>121</v>
      </c>
      <c r="B49" s="170">
        <v>0</v>
      </c>
      <c r="C49" s="170">
        <f t="shared" ref="C49:AP49" si="41">C746</f>
        <v>6776.1213953125007</v>
      </c>
      <c r="D49" s="170">
        <f t="shared" si="41"/>
        <v>11022.150933383791</v>
      </c>
      <c r="E49" s="170">
        <f t="shared" si="41"/>
        <v>15269.654512563315</v>
      </c>
      <c r="F49" s="170">
        <f t="shared" si="41"/>
        <v>19518.661851482586</v>
      </c>
      <c r="G49" s="170">
        <f t="shared" si="41"/>
        <v>23769.203290216774</v>
      </c>
      <c r="H49" s="170">
        <f t="shared" si="41"/>
        <v>28021.309803623877</v>
      </c>
      <c r="I49" s="170">
        <f t="shared" si="41"/>
        <v>32275.013014975622</v>
      </c>
      <c r="J49" s="170">
        <f t="shared" si="41"/>
        <v>36530.345209886385</v>
      </c>
      <c r="K49" s="170">
        <f t="shared" si="41"/>
        <v>40787.339350546878</v>
      </c>
      <c r="L49" s="170">
        <f t="shared" si="41"/>
        <v>45046.029090269272</v>
      </c>
      <c r="M49" s="170">
        <f t="shared" si="41"/>
        <v>49306.448788350688</v>
      </c>
      <c r="N49" s="170">
        <f t="shared" si="41"/>
        <v>53568.63352526207</v>
      </c>
      <c r="O49" s="170">
        <f t="shared" si="41"/>
        <v>6297.3531068967268</v>
      </c>
      <c r="P49" s="170">
        <f t="shared" si="41"/>
        <v>11403.279000766337</v>
      </c>
      <c r="Q49" s="170">
        <f t="shared" si="41"/>
        <v>16511.079658844716</v>
      </c>
      <c r="R49" s="170">
        <f t="shared" si="41"/>
        <v>21620.793204951438</v>
      </c>
      <c r="S49" s="170">
        <f t="shared" si="41"/>
        <v>26732.458565163892</v>
      </c>
      <c r="T49" s="170">
        <f t="shared" si="41"/>
        <v>31846.115485115948</v>
      </c>
      <c r="U49" s="170">
        <f t="shared" si="41"/>
        <v>36961.804547676074</v>
      </c>
      <c r="V49" s="170">
        <f t="shared" si="41"/>
        <v>42079.567191013273</v>
      </c>
      <c r="W49" s="170">
        <f t="shared" si="41"/>
        <v>47199.445727059538</v>
      </c>
      <c r="X49" s="170">
        <f t="shared" si="41"/>
        <v>52446.878929518141</v>
      </c>
      <c r="Y49" s="170">
        <f t="shared" si="41"/>
        <v>57696.515345723783</v>
      </c>
      <c r="Z49" s="170">
        <f t="shared" si="41"/>
        <v>62948.400023769842</v>
      </c>
      <c r="AA49" s="170">
        <f t="shared" si="41"/>
        <v>6586.0784493241936</v>
      </c>
      <c r="AB49" s="170">
        <f t="shared" si="41"/>
        <v>12847.040886474646</v>
      </c>
      <c r="AC49" s="170">
        <f t="shared" si="41"/>
        <v>19110.392523059818</v>
      </c>
      <c r="AD49" s="170">
        <f t="shared" si="41"/>
        <v>25376.182339503135</v>
      </c>
      <c r="AE49" s="170">
        <f t="shared" si="41"/>
        <v>31644.460353062212</v>
      </c>
      <c r="AF49" s="170">
        <f t="shared" si="41"/>
        <v>37915.277640280299</v>
      </c>
      <c r="AG49" s="170">
        <f t="shared" si="41"/>
        <v>44188.686359931598</v>
      </c>
      <c r="AH49" s="170">
        <f t="shared" si="41"/>
        <v>50464.739776471564</v>
      </c>
      <c r="AI49" s="170">
        <f t="shared" si="41"/>
        <v>56743.492284003289</v>
      </c>
      <c r="AJ49" s="170">
        <f t="shared" si="41"/>
        <v>63024.999430771604</v>
      </c>
      <c r="AK49" s="170">
        <f t="shared" si="41"/>
        <v>69309.317944196475</v>
      </c>
      <c r="AL49" s="170">
        <f t="shared" si="41"/>
        <v>75596.50575645786</v>
      </c>
      <c r="AM49" s="170">
        <f t="shared" si="41"/>
        <v>8216.8143540193832</v>
      </c>
      <c r="AN49" s="170">
        <f t="shared" si="41"/>
        <v>8370.7688711335886</v>
      </c>
      <c r="AO49" s="170">
        <f t="shared" si="41"/>
        <v>8527.773976562974</v>
      </c>
      <c r="AP49" s="170">
        <f t="shared" si="41"/>
        <v>8687.8926888390088</v>
      </c>
    </row>
    <row r="50" spans="1:42" x14ac:dyDescent="0.2">
      <c r="A50" s="163" t="s">
        <v>53</v>
      </c>
      <c r="B50" s="135">
        <f>SUM(B48:B49)</f>
        <v>0</v>
      </c>
      <c r="C50" s="135">
        <f t="shared" ref="C50:AP50" si="42">SUM(C48:C49)</f>
        <v>5580159.1257851189</v>
      </c>
      <c r="D50" s="135">
        <f t="shared" si="42"/>
        <v>5615358.2884834819</v>
      </c>
      <c r="E50" s="135">
        <f t="shared" si="42"/>
        <v>5650395.8012750214</v>
      </c>
      <c r="F50" s="135">
        <f t="shared" si="42"/>
        <v>5685265.9158859029</v>
      </c>
      <c r="G50" s="135">
        <f t="shared" si="42"/>
        <v>5719962.7536928086</v>
      </c>
      <c r="H50" s="135">
        <f t="shared" si="42"/>
        <v>5754480.3029518258</v>
      </c>
      <c r="I50" s="135">
        <f t="shared" si="42"/>
        <v>5788812.4159688391</v>
      </c>
      <c r="J50" s="135">
        <f t="shared" si="42"/>
        <v>5822952.8062101007</v>
      </c>
      <c r="K50" s="135">
        <f t="shared" si="42"/>
        <v>5856895.0453517875</v>
      </c>
      <c r="L50" s="135">
        <f t="shared" si="42"/>
        <v>5890632.5602671569</v>
      </c>
      <c r="M50" s="135">
        <f t="shared" si="42"/>
        <v>5924158.6299500857</v>
      </c>
      <c r="N50" s="135">
        <f t="shared" si="42"/>
        <v>5957466.3823735341</v>
      </c>
      <c r="O50" s="135">
        <f t="shared" si="42"/>
        <v>5939013.5252703642</v>
      </c>
      <c r="P50" s="135">
        <f t="shared" si="42"/>
        <v>5972703.5097779036</v>
      </c>
      <c r="Q50" s="135">
        <f t="shared" si="42"/>
        <v>6006153.6223995853</v>
      </c>
      <c r="R50" s="135">
        <f t="shared" si="42"/>
        <v>6039356.3542600097</v>
      </c>
      <c r="S50" s="135">
        <f t="shared" si="42"/>
        <v>6072304.0287304614</v>
      </c>
      <c r="T50" s="135">
        <f t="shared" si="42"/>
        <v>6104988.7978671072</v>
      </c>
      <c r="U50" s="135">
        <f t="shared" si="42"/>
        <v>6137402.6387739228</v>
      </c>
      <c r="V50" s="135">
        <f t="shared" si="42"/>
        <v>6169537.3498886144</v>
      </c>
      <c r="W50" s="135">
        <f t="shared" si="42"/>
        <v>6201384.5471899835</v>
      </c>
      <c r="X50" s="135">
        <f t="shared" si="42"/>
        <v>6218730.1337066479</v>
      </c>
      <c r="Y50" s="135">
        <f t="shared" si="42"/>
        <v>6235770.8754172688</v>
      </c>
      <c r="Z50" s="135">
        <f t="shared" si="42"/>
        <v>6252497.8173568649</v>
      </c>
      <c r="AA50" s="135">
        <f t="shared" si="42"/>
        <v>6207285.3055969449</v>
      </c>
      <c r="AB50" s="135">
        <f t="shared" si="42"/>
        <v>6224361.4273543432</v>
      </c>
      <c r="AC50" s="135">
        <f t="shared" si="42"/>
        <v>6241095.6768149808</v>
      </c>
      <c r="AD50" s="135">
        <f t="shared" si="42"/>
        <v>6257478.2795895534</v>
      </c>
      <c r="AE50" s="135">
        <f t="shared" si="42"/>
        <v>6273499.2454511644</v>
      </c>
      <c r="AF50" s="135">
        <f t="shared" si="42"/>
        <v>6289148.3637556657</v>
      </c>
      <c r="AG50" s="135">
        <f t="shared" si="42"/>
        <v>6304415.1987650031</v>
      </c>
      <c r="AH50" s="135">
        <f t="shared" si="42"/>
        <v>6319289.0848714467</v>
      </c>
      <c r="AI50" s="135">
        <f t="shared" si="42"/>
        <v>6333759.1217206623</v>
      </c>
      <c r="AJ50" s="135">
        <f t="shared" si="42"/>
        <v>6347814.1692313645</v>
      </c>
      <c r="AK50" s="135">
        <f t="shared" si="42"/>
        <v>6361442.8425094755</v>
      </c>
      <c r="AL50" s="135">
        <f t="shared" si="42"/>
        <v>6374633.5066544255</v>
      </c>
      <c r="AM50" s="135">
        <f t="shared" si="42"/>
        <v>6313704.463778737</v>
      </c>
      <c r="AN50" s="135">
        <f t="shared" si="42"/>
        <v>6319844.0276585566</v>
      </c>
      <c r="AO50" s="135">
        <f t="shared" si="42"/>
        <v>6325509.1240619449</v>
      </c>
      <c r="AP50" s="135">
        <f t="shared" si="42"/>
        <v>10353402.06388779</v>
      </c>
    </row>
    <row r="51" spans="1:42" x14ac:dyDescent="0.2">
      <c r="A51" s="163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</row>
    <row r="52" spans="1:42" x14ac:dyDescent="0.2">
      <c r="A52" s="165" t="s">
        <v>168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</row>
    <row r="53" spans="1:42" s="101" customFormat="1" x14ac:dyDescent="0.2">
      <c r="A53" s="243" t="s">
        <v>374</v>
      </c>
      <c r="B53" s="181">
        <f>'Inputs &amp; Results'!D210</f>
        <v>43210095.75</v>
      </c>
      <c r="C53" s="181">
        <v>0</v>
      </c>
      <c r="D53" s="181">
        <v>0</v>
      </c>
      <c r="E53" s="181">
        <v>0</v>
      </c>
      <c r="F53" s="181">
        <v>0</v>
      </c>
      <c r="G53" s="181">
        <v>0</v>
      </c>
      <c r="H53" s="181">
        <v>0</v>
      </c>
      <c r="I53" s="181">
        <v>0</v>
      </c>
      <c r="J53" s="181">
        <v>0</v>
      </c>
      <c r="K53" s="181">
        <v>0</v>
      </c>
      <c r="L53" s="181">
        <v>0</v>
      </c>
      <c r="M53" s="181">
        <v>0</v>
      </c>
      <c r="N53" s="181">
        <v>0</v>
      </c>
      <c r="O53" s="181">
        <v>0</v>
      </c>
      <c r="P53" s="181">
        <v>0</v>
      </c>
      <c r="Q53" s="181">
        <v>0</v>
      </c>
      <c r="R53" s="181">
        <v>0</v>
      </c>
      <c r="S53" s="181">
        <v>0</v>
      </c>
      <c r="T53" s="181">
        <v>0</v>
      </c>
      <c r="U53" s="181">
        <v>0</v>
      </c>
      <c r="V53" s="181">
        <v>0</v>
      </c>
      <c r="W53" s="181">
        <v>0</v>
      </c>
      <c r="X53" s="181">
        <v>0</v>
      </c>
      <c r="Y53" s="181">
        <v>0</v>
      </c>
      <c r="Z53" s="181">
        <v>0</v>
      </c>
      <c r="AA53" s="181">
        <v>0</v>
      </c>
      <c r="AB53" s="181">
        <v>0</v>
      </c>
      <c r="AC53" s="181">
        <v>0</v>
      </c>
      <c r="AD53" s="181">
        <v>0</v>
      </c>
      <c r="AE53" s="181">
        <v>0</v>
      </c>
      <c r="AF53" s="181">
        <v>0</v>
      </c>
      <c r="AG53" s="181">
        <v>0</v>
      </c>
      <c r="AH53" s="181">
        <v>0</v>
      </c>
      <c r="AI53" s="181">
        <v>0</v>
      </c>
      <c r="AJ53" s="181">
        <v>0</v>
      </c>
      <c r="AK53" s="181">
        <v>0</v>
      </c>
      <c r="AL53" s="181">
        <v>0</v>
      </c>
      <c r="AM53" s="181">
        <v>0</v>
      </c>
      <c r="AN53" s="181">
        <v>0</v>
      </c>
      <c r="AO53" s="181">
        <v>0</v>
      </c>
      <c r="AP53" s="181">
        <v>0</v>
      </c>
    </row>
    <row r="54" spans="1:42" x14ac:dyDescent="0.2">
      <c r="A54" s="163" t="s">
        <v>375</v>
      </c>
      <c r="B54" s="135">
        <f>-PreFinancingInstalledCostTotal-'Inputs &amp; Results'!D176-'Inputs &amp; Results'!D179</f>
        <v>-42003281.25</v>
      </c>
      <c r="C54" s="135">
        <v>0</v>
      </c>
      <c r="D54" s="135">
        <v>0</v>
      </c>
      <c r="E54" s="135">
        <v>0</v>
      </c>
      <c r="F54" s="135">
        <v>0</v>
      </c>
      <c r="G54" s="135">
        <v>0</v>
      </c>
      <c r="H54" s="135">
        <v>0</v>
      </c>
      <c r="I54" s="135">
        <v>0</v>
      </c>
      <c r="J54" s="135">
        <v>0</v>
      </c>
      <c r="K54" s="135">
        <v>0</v>
      </c>
      <c r="L54" s="135">
        <v>0</v>
      </c>
      <c r="M54" s="135">
        <v>0</v>
      </c>
      <c r="N54" s="135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35">
        <v>0</v>
      </c>
      <c r="V54" s="135">
        <v>0</v>
      </c>
      <c r="W54" s="135">
        <v>0</v>
      </c>
      <c r="X54" s="135">
        <v>0</v>
      </c>
      <c r="Y54" s="135">
        <v>0</v>
      </c>
      <c r="Z54" s="135">
        <v>0</v>
      </c>
      <c r="AA54" s="135">
        <v>0</v>
      </c>
      <c r="AB54" s="135">
        <v>0</v>
      </c>
      <c r="AC54" s="135">
        <v>0</v>
      </c>
      <c r="AD54" s="135">
        <v>0</v>
      </c>
      <c r="AE54" s="135">
        <v>0</v>
      </c>
      <c r="AF54" s="135">
        <v>0</v>
      </c>
      <c r="AG54" s="135">
        <v>0</v>
      </c>
      <c r="AH54" s="135">
        <v>0</v>
      </c>
      <c r="AI54" s="135">
        <v>0</v>
      </c>
      <c r="AJ54" s="135">
        <v>0</v>
      </c>
      <c r="AK54" s="135">
        <v>0</v>
      </c>
      <c r="AL54" s="135">
        <v>0</v>
      </c>
      <c r="AM54" s="135">
        <v>0</v>
      </c>
      <c r="AN54" s="135">
        <v>0</v>
      </c>
      <c r="AO54" s="135">
        <v>0</v>
      </c>
      <c r="AP54" s="135">
        <v>0</v>
      </c>
    </row>
    <row r="55" spans="1:42" x14ac:dyDescent="0.2">
      <c r="A55" s="163" t="s">
        <v>376</v>
      </c>
      <c r="B55" s="135">
        <f>-'Inputs &amp; Results'!D171</f>
        <v>-1206814.5</v>
      </c>
      <c r="C55" s="135">
        <v>0</v>
      </c>
      <c r="D55" s="135">
        <v>0</v>
      </c>
      <c r="E55" s="135">
        <v>0</v>
      </c>
      <c r="F55" s="135">
        <v>0</v>
      </c>
      <c r="G55" s="135">
        <v>0</v>
      </c>
      <c r="H55" s="135">
        <v>0</v>
      </c>
      <c r="I55" s="135">
        <v>0</v>
      </c>
      <c r="J55" s="135">
        <v>0</v>
      </c>
      <c r="K55" s="135">
        <v>0</v>
      </c>
      <c r="L55" s="135">
        <v>0</v>
      </c>
      <c r="M55" s="135">
        <v>0</v>
      </c>
      <c r="N55" s="135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5">
        <v>0</v>
      </c>
      <c r="Y55" s="135">
        <v>0</v>
      </c>
      <c r="Z55" s="135">
        <v>0</v>
      </c>
      <c r="AA55" s="135">
        <v>0</v>
      </c>
      <c r="AB55" s="135">
        <v>0</v>
      </c>
      <c r="AC55" s="135">
        <v>0</v>
      </c>
      <c r="AD55" s="135">
        <v>0</v>
      </c>
      <c r="AE55" s="135">
        <v>0</v>
      </c>
      <c r="AF55" s="135">
        <v>0</v>
      </c>
      <c r="AG55" s="135">
        <v>0</v>
      </c>
      <c r="AH55" s="135">
        <v>0</v>
      </c>
      <c r="AI55" s="135">
        <v>0</v>
      </c>
      <c r="AJ55" s="135">
        <v>0</v>
      </c>
      <c r="AK55" s="135">
        <v>0</v>
      </c>
      <c r="AL55" s="135">
        <v>0</v>
      </c>
      <c r="AM55" s="135">
        <v>0</v>
      </c>
      <c r="AN55" s="135">
        <v>0</v>
      </c>
      <c r="AO55" s="135">
        <v>0</v>
      </c>
      <c r="AP55" s="135">
        <v>0</v>
      </c>
    </row>
    <row r="56" spans="1:42" x14ac:dyDescent="0.2">
      <c r="A56" s="163" t="s">
        <v>357</v>
      </c>
      <c r="B56" s="135">
        <f>-B19</f>
        <v>0</v>
      </c>
      <c r="C56" s="135">
        <f t="shared" ref="C56:AP56" si="43">-C19</f>
        <v>0</v>
      </c>
      <c r="D56" s="135">
        <f t="shared" si="43"/>
        <v>0</v>
      </c>
      <c r="E56" s="135">
        <f t="shared" si="43"/>
        <v>0</v>
      </c>
      <c r="F56" s="135">
        <f t="shared" si="43"/>
        <v>0</v>
      </c>
      <c r="G56" s="135">
        <f t="shared" si="43"/>
        <v>0</v>
      </c>
      <c r="H56" s="135">
        <f t="shared" si="43"/>
        <v>0</v>
      </c>
      <c r="I56" s="135">
        <f t="shared" si="43"/>
        <v>0</v>
      </c>
      <c r="J56" s="135">
        <f t="shared" si="43"/>
        <v>0</v>
      </c>
      <c r="K56" s="135">
        <f t="shared" si="43"/>
        <v>0</v>
      </c>
      <c r="L56" s="135">
        <f t="shared" si="43"/>
        <v>0</v>
      </c>
      <c r="M56" s="135">
        <f t="shared" si="43"/>
        <v>0</v>
      </c>
      <c r="N56" s="135">
        <f t="shared" si="43"/>
        <v>0</v>
      </c>
      <c r="O56" s="135">
        <f t="shared" si="43"/>
        <v>0</v>
      </c>
      <c r="P56" s="135">
        <f t="shared" si="43"/>
        <v>0</v>
      </c>
      <c r="Q56" s="135">
        <f t="shared" si="43"/>
        <v>0</v>
      </c>
      <c r="R56" s="135">
        <f t="shared" si="43"/>
        <v>0</v>
      </c>
      <c r="S56" s="135">
        <f t="shared" si="43"/>
        <v>0</v>
      </c>
      <c r="T56" s="135">
        <f t="shared" si="43"/>
        <v>0</v>
      </c>
      <c r="U56" s="135">
        <f t="shared" si="43"/>
        <v>0</v>
      </c>
      <c r="V56" s="135">
        <f t="shared" si="43"/>
        <v>0</v>
      </c>
      <c r="W56" s="135">
        <f t="shared" si="43"/>
        <v>0</v>
      </c>
      <c r="X56" s="135">
        <f t="shared" si="43"/>
        <v>0</v>
      </c>
      <c r="Y56" s="135">
        <f t="shared" si="43"/>
        <v>0</v>
      </c>
      <c r="Z56" s="135">
        <f t="shared" si="43"/>
        <v>0</v>
      </c>
      <c r="AA56" s="135">
        <f t="shared" si="43"/>
        <v>0</v>
      </c>
      <c r="AB56" s="135">
        <f t="shared" si="43"/>
        <v>0</v>
      </c>
      <c r="AC56" s="135">
        <f t="shared" si="43"/>
        <v>0</v>
      </c>
      <c r="AD56" s="135">
        <f t="shared" si="43"/>
        <v>0</v>
      </c>
      <c r="AE56" s="135">
        <f t="shared" si="43"/>
        <v>0</v>
      </c>
      <c r="AF56" s="135">
        <f t="shared" si="43"/>
        <v>0</v>
      </c>
      <c r="AG56" s="135">
        <f t="shared" si="43"/>
        <v>0</v>
      </c>
      <c r="AH56" s="135">
        <f t="shared" si="43"/>
        <v>0</v>
      </c>
      <c r="AI56" s="135">
        <f t="shared" si="43"/>
        <v>0</v>
      </c>
      <c r="AJ56" s="135">
        <f t="shared" si="43"/>
        <v>0</v>
      </c>
      <c r="AK56" s="135">
        <f t="shared" si="43"/>
        <v>0</v>
      </c>
      <c r="AL56" s="135">
        <f t="shared" si="43"/>
        <v>0</v>
      </c>
      <c r="AM56" s="135">
        <f t="shared" si="43"/>
        <v>0</v>
      </c>
      <c r="AN56" s="135">
        <f t="shared" si="43"/>
        <v>0</v>
      </c>
      <c r="AO56" s="135">
        <f t="shared" si="43"/>
        <v>0</v>
      </c>
      <c r="AP56" s="135">
        <f t="shared" si="43"/>
        <v>-4022715</v>
      </c>
    </row>
    <row r="57" spans="1:42" x14ac:dyDescent="0.2">
      <c r="A57" s="163" t="s">
        <v>170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</row>
    <row r="58" spans="1:42" x14ac:dyDescent="0.2">
      <c r="A58" s="167" t="s">
        <v>177</v>
      </c>
      <c r="B58" s="135">
        <f t="shared" ref="B58:AP58" si="44">-B638-B639</f>
        <v>-387206.93687500001</v>
      </c>
      <c r="C58" s="135">
        <f t="shared" si="44"/>
        <v>2775.7693067500368</v>
      </c>
      <c r="D58" s="135">
        <f t="shared" si="44"/>
        <v>2691.5383862796589</v>
      </c>
      <c r="E58" s="135">
        <f t="shared" si="44"/>
        <v>2605.6092582939309</v>
      </c>
      <c r="F58" s="135">
        <f t="shared" si="44"/>
        <v>2517.9464117275202</v>
      </c>
      <c r="G58" s="135">
        <f t="shared" si="44"/>
        <v>2428.5135732748895</v>
      </c>
      <c r="H58" s="135">
        <f t="shared" si="44"/>
        <v>2337.2736907242215</v>
      </c>
      <c r="I58" s="135">
        <f t="shared" si="44"/>
        <v>2244.1889159230632</v>
      </c>
      <c r="J58" s="135">
        <f t="shared" si="44"/>
        <v>2149.2205873668427</v>
      </c>
      <c r="K58" s="135">
        <f t="shared" si="44"/>
        <v>2052.3292124011787</v>
      </c>
      <c r="L58" s="135">
        <f t="shared" si="44"/>
        <v>1953.4744490290177</v>
      </c>
      <c r="M58" s="135">
        <f t="shared" si="44"/>
        <v>1852.6150873167207</v>
      </c>
      <c r="N58" s="135">
        <f t="shared" si="44"/>
        <v>1749.7090303857112</v>
      </c>
      <c r="O58" s="135">
        <f t="shared" si="44"/>
        <v>1644.7132749838638</v>
      </c>
      <c r="P58" s="135">
        <f t="shared" si="44"/>
        <v>1537.5838916256325</v>
      </c>
      <c r="Q58" s="135">
        <f t="shared" si="44"/>
        <v>1428.2760042916634</v>
      </c>
      <c r="R58" s="135">
        <f t="shared" si="44"/>
        <v>1316.7437696784618</v>
      </c>
      <c r="S58" s="135">
        <f t="shared" si="44"/>
        <v>1202.9403559868806</v>
      </c>
      <c r="T58" s="135">
        <f t="shared" si="44"/>
        <v>1086.817921240232</v>
      </c>
      <c r="U58" s="135">
        <f t="shared" si="44"/>
        <v>968.3275911216042</v>
      </c>
      <c r="V58" s="135">
        <f t="shared" si="44"/>
        <v>847.41943631798495</v>
      </c>
      <c r="W58" s="135">
        <f t="shared" si="44"/>
        <v>-6441.4186443877406</v>
      </c>
      <c r="X58" s="135">
        <f t="shared" si="44"/>
        <v>-6567.316572789161</v>
      </c>
      <c r="Y58" s="135">
        <f t="shared" si="44"/>
        <v>-6695.7886779560358</v>
      </c>
      <c r="Z58" s="135">
        <f t="shared" si="44"/>
        <v>-6826.8893459686078</v>
      </c>
      <c r="AA58" s="135">
        <f t="shared" si="44"/>
        <v>-6960.6741389553063</v>
      </c>
      <c r="AB58" s="135">
        <f t="shared" si="44"/>
        <v>-7097.1998209392186</v>
      </c>
      <c r="AC58" s="135">
        <f t="shared" si="44"/>
        <v>-7236.524384261691</v>
      </c>
      <c r="AD58" s="135">
        <f t="shared" si="44"/>
        <v>-7378.7070765909739</v>
      </c>
      <c r="AE58" s="135">
        <f t="shared" si="44"/>
        <v>-7523.8084285343648</v>
      </c>
      <c r="AF58" s="135">
        <f t="shared" si="44"/>
        <v>-7671.8902818609495</v>
      </c>
      <c r="AG58" s="135">
        <f t="shared" si="44"/>
        <v>-7823.015818355896</v>
      </c>
      <c r="AH58" s="135">
        <f t="shared" si="44"/>
        <v>-7977.2495893138694</v>
      </c>
      <c r="AI58" s="135">
        <f t="shared" si="44"/>
        <v>-8134.6575456900755</v>
      </c>
      <c r="AJ58" s="135">
        <f t="shared" si="44"/>
        <v>-8295.3070689219167</v>
      </c>
      <c r="AK58" s="135">
        <f t="shared" si="44"/>
        <v>-8459.2670024372637</v>
      </c>
      <c r="AL58" s="135">
        <f t="shared" si="44"/>
        <v>-8626.607683863549</v>
      </c>
      <c r="AM58" s="135">
        <f t="shared" si="44"/>
        <v>-8797.4009779546759</v>
      </c>
      <c r="AN58" s="135">
        <f t="shared" si="44"/>
        <v>-8971.7203102505882</v>
      </c>
      <c r="AO58" s="135">
        <f t="shared" si="44"/>
        <v>-9149.6407014876604</v>
      </c>
      <c r="AP58" s="135">
        <f t="shared" si="44"/>
        <v>496451.01079080044</v>
      </c>
    </row>
    <row r="59" spans="1:42" x14ac:dyDescent="0.2">
      <c r="A59" s="167" t="s">
        <v>329</v>
      </c>
      <c r="B59" s="135">
        <f>-B644-B645</f>
        <v>-3113558.5054389434</v>
      </c>
      <c r="C59" s="135">
        <f t="shared" ref="C59:AP59" si="45">-C644-C645</f>
        <v>0</v>
      </c>
      <c r="D59" s="135">
        <f t="shared" si="45"/>
        <v>0</v>
      </c>
      <c r="E59" s="135">
        <f t="shared" si="45"/>
        <v>0</v>
      </c>
      <c r="F59" s="135">
        <f t="shared" si="45"/>
        <v>0</v>
      </c>
      <c r="G59" s="135">
        <f t="shared" si="45"/>
        <v>0</v>
      </c>
      <c r="H59" s="135">
        <f t="shared" si="45"/>
        <v>0</v>
      </c>
      <c r="I59" s="135">
        <f t="shared" si="45"/>
        <v>0</v>
      </c>
      <c r="J59" s="135">
        <f t="shared" si="45"/>
        <v>0</v>
      </c>
      <c r="K59" s="135">
        <f t="shared" si="45"/>
        <v>0</v>
      </c>
      <c r="L59" s="135">
        <f t="shared" si="45"/>
        <v>0</v>
      </c>
      <c r="M59" s="135">
        <f t="shared" si="45"/>
        <v>0</v>
      </c>
      <c r="N59" s="135">
        <f t="shared" si="45"/>
        <v>0</v>
      </c>
      <c r="O59" s="135">
        <f t="shared" si="45"/>
        <v>0</v>
      </c>
      <c r="P59" s="135">
        <f t="shared" si="45"/>
        <v>0</v>
      </c>
      <c r="Q59" s="135">
        <f t="shared" si="45"/>
        <v>0</v>
      </c>
      <c r="R59" s="135">
        <f t="shared" si="45"/>
        <v>0</v>
      </c>
      <c r="S59" s="135">
        <f t="shared" si="45"/>
        <v>0</v>
      </c>
      <c r="T59" s="135">
        <f t="shared" si="45"/>
        <v>0</v>
      </c>
      <c r="U59" s="135">
        <f t="shared" si="45"/>
        <v>0</v>
      </c>
      <c r="V59" s="135">
        <f t="shared" si="45"/>
        <v>0</v>
      </c>
      <c r="W59" s="135">
        <f t="shared" si="45"/>
        <v>0</v>
      </c>
      <c r="X59" s="135">
        <f t="shared" si="45"/>
        <v>0</v>
      </c>
      <c r="Y59" s="135">
        <f t="shared" si="45"/>
        <v>0</v>
      </c>
      <c r="Z59" s="135">
        <f t="shared" si="45"/>
        <v>0</v>
      </c>
      <c r="AA59" s="135">
        <f t="shared" si="45"/>
        <v>0</v>
      </c>
      <c r="AB59" s="135">
        <f t="shared" si="45"/>
        <v>0</v>
      </c>
      <c r="AC59" s="135">
        <f t="shared" si="45"/>
        <v>0</v>
      </c>
      <c r="AD59" s="135">
        <f t="shared" si="45"/>
        <v>0</v>
      </c>
      <c r="AE59" s="135">
        <f t="shared" si="45"/>
        <v>0</v>
      </c>
      <c r="AF59" s="135">
        <f t="shared" si="45"/>
        <v>0</v>
      </c>
      <c r="AG59" s="135">
        <f t="shared" si="45"/>
        <v>0</v>
      </c>
      <c r="AH59" s="135">
        <f t="shared" si="45"/>
        <v>0</v>
      </c>
      <c r="AI59" s="135">
        <f t="shared" si="45"/>
        <v>0</v>
      </c>
      <c r="AJ59" s="135">
        <f t="shared" si="45"/>
        <v>0</v>
      </c>
      <c r="AK59" s="135">
        <f t="shared" si="45"/>
        <v>0</v>
      </c>
      <c r="AL59" s="135">
        <f t="shared" si="45"/>
        <v>0</v>
      </c>
      <c r="AM59" s="135">
        <f t="shared" si="45"/>
        <v>0</v>
      </c>
      <c r="AN59" s="135">
        <f t="shared" si="45"/>
        <v>0</v>
      </c>
      <c r="AO59" s="135">
        <f t="shared" si="45"/>
        <v>0</v>
      </c>
      <c r="AP59" s="135">
        <f t="shared" si="45"/>
        <v>3113558.5054389434</v>
      </c>
    </row>
    <row r="60" spans="1:42" x14ac:dyDescent="0.2">
      <c r="A60" s="167" t="s">
        <v>293</v>
      </c>
      <c r="B60" s="169">
        <f>-B650-B651</f>
        <v>0</v>
      </c>
      <c r="C60" s="169">
        <f t="shared" ref="C60:AP60" si="46">-C650-C651</f>
        <v>-245406.02862510949</v>
      </c>
      <c r="D60" s="169">
        <f t="shared" si="46"/>
        <v>-245406.02862510949</v>
      </c>
      <c r="E60" s="169">
        <f t="shared" si="46"/>
        <v>-245406.02862510949</v>
      </c>
      <c r="F60" s="169">
        <f t="shared" si="46"/>
        <v>-245406.02862510949</v>
      </c>
      <c r="G60" s="169">
        <f t="shared" si="46"/>
        <v>-245406.02862510949</v>
      </c>
      <c r="H60" s="169">
        <f t="shared" si="46"/>
        <v>-245406.02862510949</v>
      </c>
      <c r="I60" s="169">
        <f t="shared" si="46"/>
        <v>-245406.02862510949</v>
      </c>
      <c r="J60" s="169">
        <f t="shared" si="46"/>
        <v>-245406.02862510949</v>
      </c>
      <c r="K60" s="169">
        <f t="shared" si="46"/>
        <v>-245406.02862510949</v>
      </c>
      <c r="L60" s="169">
        <f t="shared" si="46"/>
        <v>-245406.02862510949</v>
      </c>
      <c r="M60" s="169">
        <f t="shared" si="46"/>
        <v>-245406.02862510949</v>
      </c>
      <c r="N60" s="169">
        <f t="shared" si="46"/>
        <v>2699466.3148762044</v>
      </c>
      <c r="O60" s="169">
        <f t="shared" si="46"/>
        <v>-293411.90721039008</v>
      </c>
      <c r="P60" s="169">
        <f t="shared" si="46"/>
        <v>-293411.90721039008</v>
      </c>
      <c r="Q60" s="169">
        <f t="shared" si="46"/>
        <v>-293411.90721039008</v>
      </c>
      <c r="R60" s="169">
        <f t="shared" si="46"/>
        <v>-293411.90721039008</v>
      </c>
      <c r="S60" s="169">
        <f t="shared" si="46"/>
        <v>-293411.90721039008</v>
      </c>
      <c r="T60" s="169">
        <f t="shared" si="46"/>
        <v>-293411.90721039008</v>
      </c>
      <c r="U60" s="169">
        <f t="shared" si="46"/>
        <v>-293411.90721039008</v>
      </c>
      <c r="V60" s="169">
        <f t="shared" si="46"/>
        <v>-293411.90721039008</v>
      </c>
      <c r="W60" s="169">
        <f t="shared" si="46"/>
        <v>-293411.90721039008</v>
      </c>
      <c r="X60" s="169">
        <f t="shared" si="46"/>
        <v>-293411.90721039008</v>
      </c>
      <c r="Y60" s="169">
        <f t="shared" si="46"/>
        <v>-293411.90721039008</v>
      </c>
      <c r="Z60" s="169">
        <f t="shared" si="46"/>
        <v>3227530.9793142909</v>
      </c>
      <c r="AA60" s="169">
        <f t="shared" si="46"/>
        <v>-350808.60798392771</v>
      </c>
      <c r="AB60" s="169">
        <f t="shared" si="46"/>
        <v>-350808.60798392771</v>
      </c>
      <c r="AC60" s="169">
        <f t="shared" si="46"/>
        <v>-350808.60798392771</v>
      </c>
      <c r="AD60" s="169">
        <f t="shared" si="46"/>
        <v>-350808.60798392771</v>
      </c>
      <c r="AE60" s="169">
        <f t="shared" si="46"/>
        <v>-350808.60798392771</v>
      </c>
      <c r="AF60" s="169">
        <f t="shared" si="46"/>
        <v>-350808.60798392771</v>
      </c>
      <c r="AG60" s="169">
        <f t="shared" si="46"/>
        <v>-350808.60798392771</v>
      </c>
      <c r="AH60" s="169">
        <f t="shared" si="46"/>
        <v>-350808.60798392771</v>
      </c>
      <c r="AI60" s="169">
        <f t="shared" si="46"/>
        <v>-350808.60798392771</v>
      </c>
      <c r="AJ60" s="169">
        <f t="shared" si="46"/>
        <v>-350808.60798392771</v>
      </c>
      <c r="AK60" s="169">
        <f t="shared" si="46"/>
        <v>-350808.60798392771</v>
      </c>
      <c r="AL60" s="169">
        <f t="shared" si="46"/>
        <v>3858894.6878232048</v>
      </c>
      <c r="AM60" s="169">
        <f t="shared" si="46"/>
        <v>0</v>
      </c>
      <c r="AN60" s="169">
        <f t="shared" si="46"/>
        <v>0</v>
      </c>
      <c r="AO60" s="169">
        <f t="shared" si="46"/>
        <v>0</v>
      </c>
      <c r="AP60" s="169">
        <f t="shared" si="46"/>
        <v>0</v>
      </c>
    </row>
    <row r="61" spans="1:42" x14ac:dyDescent="0.2">
      <c r="A61" s="167" t="s">
        <v>294</v>
      </c>
      <c r="B61" s="169">
        <f>-B682-B683</f>
        <v>0</v>
      </c>
      <c r="C61" s="169">
        <f t="shared" ref="C61:AP61" si="47">-C682-C683</f>
        <v>0</v>
      </c>
      <c r="D61" s="169">
        <f t="shared" si="47"/>
        <v>0</v>
      </c>
      <c r="E61" s="169">
        <f t="shared" si="47"/>
        <v>0</v>
      </c>
      <c r="F61" s="169">
        <f t="shared" si="47"/>
        <v>0</v>
      </c>
      <c r="G61" s="169">
        <f t="shared" si="47"/>
        <v>0</v>
      </c>
      <c r="H61" s="169">
        <f t="shared" si="47"/>
        <v>0</v>
      </c>
      <c r="I61" s="169">
        <f t="shared" si="47"/>
        <v>0</v>
      </c>
      <c r="J61" s="169">
        <f t="shared" si="47"/>
        <v>0</v>
      </c>
      <c r="K61" s="169">
        <f t="shared" si="47"/>
        <v>0</v>
      </c>
      <c r="L61" s="169">
        <f t="shared" si="47"/>
        <v>0</v>
      </c>
      <c r="M61" s="169">
        <f t="shared" si="47"/>
        <v>0</v>
      </c>
      <c r="N61" s="169">
        <f t="shared" si="47"/>
        <v>0</v>
      </c>
      <c r="O61" s="169">
        <f t="shared" si="47"/>
        <v>0</v>
      </c>
      <c r="P61" s="169">
        <f t="shared" si="47"/>
        <v>0</v>
      </c>
      <c r="Q61" s="169">
        <f t="shared" si="47"/>
        <v>0</v>
      </c>
      <c r="R61" s="169">
        <f t="shared" si="47"/>
        <v>0</v>
      </c>
      <c r="S61" s="169">
        <f t="shared" si="47"/>
        <v>0</v>
      </c>
      <c r="T61" s="169">
        <f t="shared" si="47"/>
        <v>0</v>
      </c>
      <c r="U61" s="169">
        <f t="shared" si="47"/>
        <v>0</v>
      </c>
      <c r="V61" s="169">
        <f t="shared" si="47"/>
        <v>0</v>
      </c>
      <c r="W61" s="169">
        <f t="shared" si="47"/>
        <v>0</v>
      </c>
      <c r="X61" s="169">
        <f t="shared" si="47"/>
        <v>0</v>
      </c>
      <c r="Y61" s="169">
        <f t="shared" si="47"/>
        <v>0</v>
      </c>
      <c r="Z61" s="169">
        <f t="shared" si="47"/>
        <v>0</v>
      </c>
      <c r="AA61" s="169">
        <f t="shared" si="47"/>
        <v>0</v>
      </c>
      <c r="AB61" s="169">
        <f t="shared" si="47"/>
        <v>0</v>
      </c>
      <c r="AC61" s="169">
        <f t="shared" si="47"/>
        <v>0</v>
      </c>
      <c r="AD61" s="169">
        <f t="shared" si="47"/>
        <v>0</v>
      </c>
      <c r="AE61" s="169">
        <f t="shared" si="47"/>
        <v>0</v>
      </c>
      <c r="AF61" s="169">
        <f t="shared" si="47"/>
        <v>0</v>
      </c>
      <c r="AG61" s="169">
        <f t="shared" si="47"/>
        <v>0</v>
      </c>
      <c r="AH61" s="169">
        <f t="shared" si="47"/>
        <v>0</v>
      </c>
      <c r="AI61" s="169">
        <f t="shared" si="47"/>
        <v>0</v>
      </c>
      <c r="AJ61" s="169">
        <f t="shared" si="47"/>
        <v>0</v>
      </c>
      <c r="AK61" s="169">
        <f t="shared" si="47"/>
        <v>0</v>
      </c>
      <c r="AL61" s="169">
        <f t="shared" si="47"/>
        <v>0</v>
      </c>
      <c r="AM61" s="169">
        <f t="shared" si="47"/>
        <v>0</v>
      </c>
      <c r="AN61" s="169">
        <f t="shared" si="47"/>
        <v>0</v>
      </c>
      <c r="AO61" s="169">
        <f t="shared" si="47"/>
        <v>0</v>
      </c>
      <c r="AP61" s="169">
        <f t="shared" si="47"/>
        <v>0</v>
      </c>
    </row>
    <row r="62" spans="1:42" x14ac:dyDescent="0.2">
      <c r="A62" s="167" t="s">
        <v>295</v>
      </c>
      <c r="B62" s="170">
        <f>-B714-B715</f>
        <v>0</v>
      </c>
      <c r="C62" s="170">
        <f t="shared" ref="C62:AP62" si="48">-C714-C715</f>
        <v>0</v>
      </c>
      <c r="D62" s="170">
        <f t="shared" si="48"/>
        <v>0</v>
      </c>
      <c r="E62" s="170">
        <f t="shared" si="48"/>
        <v>0</v>
      </c>
      <c r="F62" s="170">
        <f t="shared" si="48"/>
        <v>0</v>
      </c>
      <c r="G62" s="170">
        <f t="shared" si="48"/>
        <v>0</v>
      </c>
      <c r="H62" s="170">
        <f t="shared" si="48"/>
        <v>0</v>
      </c>
      <c r="I62" s="170">
        <f t="shared" si="48"/>
        <v>0</v>
      </c>
      <c r="J62" s="170">
        <f t="shared" si="48"/>
        <v>0</v>
      </c>
      <c r="K62" s="170">
        <f t="shared" si="48"/>
        <v>0</v>
      </c>
      <c r="L62" s="170">
        <f t="shared" si="48"/>
        <v>0</v>
      </c>
      <c r="M62" s="170">
        <f t="shared" si="48"/>
        <v>0</v>
      </c>
      <c r="N62" s="170">
        <f t="shared" si="48"/>
        <v>0</v>
      </c>
      <c r="O62" s="170">
        <f t="shared" si="48"/>
        <v>0</v>
      </c>
      <c r="P62" s="170">
        <f t="shared" si="48"/>
        <v>0</v>
      </c>
      <c r="Q62" s="170">
        <f t="shared" si="48"/>
        <v>0</v>
      </c>
      <c r="R62" s="170">
        <f t="shared" si="48"/>
        <v>0</v>
      </c>
      <c r="S62" s="170">
        <f t="shared" si="48"/>
        <v>0</v>
      </c>
      <c r="T62" s="170">
        <f t="shared" si="48"/>
        <v>0</v>
      </c>
      <c r="U62" s="170">
        <f t="shared" si="48"/>
        <v>0</v>
      </c>
      <c r="V62" s="170">
        <f t="shared" si="48"/>
        <v>0</v>
      </c>
      <c r="W62" s="170">
        <f t="shared" si="48"/>
        <v>0</v>
      </c>
      <c r="X62" s="170">
        <f t="shared" si="48"/>
        <v>0</v>
      </c>
      <c r="Y62" s="170">
        <f t="shared" si="48"/>
        <v>0</v>
      </c>
      <c r="Z62" s="170">
        <f t="shared" si="48"/>
        <v>0</v>
      </c>
      <c r="AA62" s="170">
        <f t="shared" si="48"/>
        <v>0</v>
      </c>
      <c r="AB62" s="170">
        <f t="shared" si="48"/>
        <v>0</v>
      </c>
      <c r="AC62" s="170">
        <f t="shared" si="48"/>
        <v>0</v>
      </c>
      <c r="AD62" s="170">
        <f t="shared" si="48"/>
        <v>0</v>
      </c>
      <c r="AE62" s="170">
        <f t="shared" si="48"/>
        <v>0</v>
      </c>
      <c r="AF62" s="170">
        <f t="shared" si="48"/>
        <v>0</v>
      </c>
      <c r="AG62" s="170">
        <f t="shared" si="48"/>
        <v>0</v>
      </c>
      <c r="AH62" s="170">
        <f t="shared" si="48"/>
        <v>0</v>
      </c>
      <c r="AI62" s="170">
        <f t="shared" si="48"/>
        <v>0</v>
      </c>
      <c r="AJ62" s="170">
        <f t="shared" si="48"/>
        <v>0</v>
      </c>
      <c r="AK62" s="170">
        <f t="shared" si="48"/>
        <v>0</v>
      </c>
      <c r="AL62" s="170">
        <f t="shared" si="48"/>
        <v>0</v>
      </c>
      <c r="AM62" s="170">
        <f t="shared" si="48"/>
        <v>0</v>
      </c>
      <c r="AN62" s="170">
        <f t="shared" si="48"/>
        <v>0</v>
      </c>
      <c r="AO62" s="170">
        <f t="shared" si="48"/>
        <v>0</v>
      </c>
      <c r="AP62" s="170">
        <f t="shared" si="48"/>
        <v>0</v>
      </c>
    </row>
    <row r="63" spans="1:42" x14ac:dyDescent="0.2">
      <c r="A63" s="167" t="s">
        <v>53</v>
      </c>
      <c r="B63" s="135">
        <f t="shared" ref="B63:AP63" si="49">SUM(B58:B62)</f>
        <v>-3500765.4423139435</v>
      </c>
      <c r="C63" s="135">
        <f t="shared" si="49"/>
        <v>-242630.25931835946</v>
      </c>
      <c r="D63" s="135">
        <f t="shared" si="49"/>
        <v>-242714.49023882984</v>
      </c>
      <c r="E63" s="135">
        <f t="shared" si="49"/>
        <v>-242800.41936681556</v>
      </c>
      <c r="F63" s="135">
        <f t="shared" si="49"/>
        <v>-242888.08221338197</v>
      </c>
      <c r="G63" s="135">
        <f t="shared" si="49"/>
        <v>-242977.51505183461</v>
      </c>
      <c r="H63" s="135">
        <f t="shared" si="49"/>
        <v>-243068.75493438527</v>
      </c>
      <c r="I63" s="135">
        <f t="shared" si="49"/>
        <v>-243161.83970918643</v>
      </c>
      <c r="J63" s="135">
        <f t="shared" si="49"/>
        <v>-243256.80803774265</v>
      </c>
      <c r="K63" s="135">
        <f t="shared" si="49"/>
        <v>-243353.69941270832</v>
      </c>
      <c r="L63" s="135">
        <f t="shared" si="49"/>
        <v>-243452.55417608048</v>
      </c>
      <c r="M63" s="135">
        <f t="shared" si="49"/>
        <v>-243553.41353779277</v>
      </c>
      <c r="N63" s="135">
        <f t="shared" si="49"/>
        <v>2701216.02390659</v>
      </c>
      <c r="O63" s="135">
        <f t="shared" si="49"/>
        <v>-291767.19393540622</v>
      </c>
      <c r="P63" s="135">
        <f t="shared" si="49"/>
        <v>-291874.32331876445</v>
      </c>
      <c r="Q63" s="135">
        <f t="shared" si="49"/>
        <v>-291983.63120609842</v>
      </c>
      <c r="R63" s="135">
        <f t="shared" si="49"/>
        <v>-292095.16344071162</v>
      </c>
      <c r="S63" s="135">
        <f t="shared" si="49"/>
        <v>-292208.9668544032</v>
      </c>
      <c r="T63" s="135">
        <f t="shared" si="49"/>
        <v>-292325.08928914985</v>
      </c>
      <c r="U63" s="135">
        <f t="shared" si="49"/>
        <v>-292443.57961926848</v>
      </c>
      <c r="V63" s="135">
        <f t="shared" si="49"/>
        <v>-292564.4877740721</v>
      </c>
      <c r="W63" s="135">
        <f t="shared" si="49"/>
        <v>-299853.32585477782</v>
      </c>
      <c r="X63" s="135">
        <f t="shared" si="49"/>
        <v>-299979.22378317924</v>
      </c>
      <c r="Y63" s="135">
        <f t="shared" si="49"/>
        <v>-300107.69588834612</v>
      </c>
      <c r="Z63" s="135">
        <f t="shared" si="49"/>
        <v>3220704.0899683223</v>
      </c>
      <c r="AA63" s="135">
        <f t="shared" si="49"/>
        <v>-357769.28212288301</v>
      </c>
      <c r="AB63" s="135">
        <f t="shared" si="49"/>
        <v>-357905.80780486693</v>
      </c>
      <c r="AC63" s="135">
        <f t="shared" si="49"/>
        <v>-358045.1323681894</v>
      </c>
      <c r="AD63" s="135">
        <f t="shared" si="49"/>
        <v>-358187.31506051868</v>
      </c>
      <c r="AE63" s="135">
        <f t="shared" si="49"/>
        <v>-358332.41641246207</v>
      </c>
      <c r="AF63" s="135">
        <f t="shared" si="49"/>
        <v>-358480.49826578866</v>
      </c>
      <c r="AG63" s="135">
        <f t="shared" si="49"/>
        <v>-358631.6238022836</v>
      </c>
      <c r="AH63" s="135">
        <f t="shared" si="49"/>
        <v>-358785.85757324158</v>
      </c>
      <c r="AI63" s="135">
        <f t="shared" si="49"/>
        <v>-358943.26552961778</v>
      </c>
      <c r="AJ63" s="135">
        <f t="shared" si="49"/>
        <v>-359103.91505284962</v>
      </c>
      <c r="AK63" s="135">
        <f t="shared" si="49"/>
        <v>-359267.87498636497</v>
      </c>
      <c r="AL63" s="135">
        <f t="shared" si="49"/>
        <v>3850268.0801393413</v>
      </c>
      <c r="AM63" s="135">
        <f t="shared" si="49"/>
        <v>-8797.4009779546759</v>
      </c>
      <c r="AN63" s="135">
        <f t="shared" si="49"/>
        <v>-8971.7203102505882</v>
      </c>
      <c r="AO63" s="135">
        <f t="shared" si="49"/>
        <v>-9149.6407014876604</v>
      </c>
      <c r="AP63" s="135">
        <f t="shared" si="49"/>
        <v>3610009.5162297441</v>
      </c>
    </row>
    <row r="64" spans="1:42" x14ac:dyDescent="0.2">
      <c r="A64" s="163" t="s">
        <v>187</v>
      </c>
    </row>
    <row r="65" spans="1:42" x14ac:dyDescent="0.2">
      <c r="A65" s="167" t="s">
        <v>300</v>
      </c>
      <c r="B65" s="169">
        <f>B651</f>
        <v>0</v>
      </c>
      <c r="C65" s="169">
        <f t="shared" ref="C65:AP65" si="50">C651</f>
        <v>0</v>
      </c>
      <c r="D65" s="169">
        <f t="shared" si="50"/>
        <v>0</v>
      </c>
      <c r="E65" s="169">
        <f t="shared" si="50"/>
        <v>0</v>
      </c>
      <c r="F65" s="169">
        <f t="shared" si="50"/>
        <v>0</v>
      </c>
      <c r="G65" s="169">
        <f t="shared" si="50"/>
        <v>0</v>
      </c>
      <c r="H65" s="169">
        <f t="shared" si="50"/>
        <v>0</v>
      </c>
      <c r="I65" s="169">
        <f t="shared" si="50"/>
        <v>0</v>
      </c>
      <c r="J65" s="169">
        <f t="shared" si="50"/>
        <v>0</v>
      </c>
      <c r="K65" s="169">
        <f t="shared" si="50"/>
        <v>0</v>
      </c>
      <c r="L65" s="169">
        <f t="shared" si="50"/>
        <v>0</v>
      </c>
      <c r="M65" s="169">
        <f t="shared" si="50"/>
        <v>0</v>
      </c>
      <c r="N65" s="169">
        <f t="shared" si="50"/>
        <v>-2944872.3435013141</v>
      </c>
      <c r="O65" s="169">
        <f t="shared" si="50"/>
        <v>0</v>
      </c>
      <c r="P65" s="169">
        <f t="shared" si="50"/>
        <v>0</v>
      </c>
      <c r="Q65" s="169">
        <f t="shared" si="50"/>
        <v>0</v>
      </c>
      <c r="R65" s="169">
        <f t="shared" si="50"/>
        <v>0</v>
      </c>
      <c r="S65" s="169">
        <f t="shared" si="50"/>
        <v>0</v>
      </c>
      <c r="T65" s="169">
        <f t="shared" si="50"/>
        <v>0</v>
      </c>
      <c r="U65" s="169">
        <f t="shared" si="50"/>
        <v>0</v>
      </c>
      <c r="V65" s="169">
        <f t="shared" si="50"/>
        <v>0</v>
      </c>
      <c r="W65" s="169">
        <f t="shared" si="50"/>
        <v>0</v>
      </c>
      <c r="X65" s="169">
        <f t="shared" si="50"/>
        <v>0</v>
      </c>
      <c r="Y65" s="169">
        <f t="shared" si="50"/>
        <v>0</v>
      </c>
      <c r="Z65" s="169">
        <f t="shared" si="50"/>
        <v>-3520942.886524681</v>
      </c>
      <c r="AA65" s="169">
        <f t="shared" si="50"/>
        <v>0</v>
      </c>
      <c r="AB65" s="169">
        <f t="shared" si="50"/>
        <v>0</v>
      </c>
      <c r="AC65" s="169">
        <f t="shared" si="50"/>
        <v>0</v>
      </c>
      <c r="AD65" s="169">
        <f t="shared" si="50"/>
        <v>0</v>
      </c>
      <c r="AE65" s="169">
        <f t="shared" si="50"/>
        <v>0</v>
      </c>
      <c r="AF65" s="169">
        <f t="shared" si="50"/>
        <v>0</v>
      </c>
      <c r="AG65" s="169">
        <f t="shared" si="50"/>
        <v>0</v>
      </c>
      <c r="AH65" s="169">
        <f t="shared" si="50"/>
        <v>0</v>
      </c>
      <c r="AI65" s="169">
        <f t="shared" si="50"/>
        <v>0</v>
      </c>
      <c r="AJ65" s="169">
        <f t="shared" si="50"/>
        <v>0</v>
      </c>
      <c r="AK65" s="169">
        <f t="shared" si="50"/>
        <v>0</v>
      </c>
      <c r="AL65" s="169">
        <f t="shared" si="50"/>
        <v>-4209703.2958071325</v>
      </c>
      <c r="AM65" s="169">
        <f t="shared" si="50"/>
        <v>0</v>
      </c>
      <c r="AN65" s="169">
        <f t="shared" si="50"/>
        <v>0</v>
      </c>
      <c r="AO65" s="169">
        <f t="shared" si="50"/>
        <v>0</v>
      </c>
      <c r="AP65" s="169">
        <f t="shared" si="50"/>
        <v>0</v>
      </c>
    </row>
    <row r="66" spans="1:42" x14ac:dyDescent="0.2">
      <c r="A66" s="167" t="s">
        <v>301</v>
      </c>
      <c r="B66" s="169">
        <f>B683</f>
        <v>0</v>
      </c>
      <c r="C66" s="169">
        <f t="shared" ref="C66:AP66" si="51">C683</f>
        <v>0</v>
      </c>
      <c r="D66" s="169">
        <f t="shared" si="51"/>
        <v>0</v>
      </c>
      <c r="E66" s="169">
        <f t="shared" si="51"/>
        <v>0</v>
      </c>
      <c r="F66" s="169">
        <f t="shared" si="51"/>
        <v>0</v>
      </c>
      <c r="G66" s="169">
        <f t="shared" si="51"/>
        <v>0</v>
      </c>
      <c r="H66" s="169">
        <f t="shared" si="51"/>
        <v>0</v>
      </c>
      <c r="I66" s="169">
        <f t="shared" si="51"/>
        <v>0</v>
      </c>
      <c r="J66" s="169">
        <f t="shared" si="51"/>
        <v>0</v>
      </c>
      <c r="K66" s="169">
        <f t="shared" si="51"/>
        <v>0</v>
      </c>
      <c r="L66" s="169">
        <f t="shared" si="51"/>
        <v>0</v>
      </c>
      <c r="M66" s="169">
        <f t="shared" si="51"/>
        <v>0</v>
      </c>
      <c r="N66" s="169">
        <f t="shared" si="51"/>
        <v>0</v>
      </c>
      <c r="O66" s="169">
        <f t="shared" si="51"/>
        <v>0</v>
      </c>
      <c r="P66" s="169">
        <f t="shared" si="51"/>
        <v>0</v>
      </c>
      <c r="Q66" s="169">
        <f t="shared" si="51"/>
        <v>0</v>
      </c>
      <c r="R66" s="169">
        <f t="shared" si="51"/>
        <v>0</v>
      </c>
      <c r="S66" s="169">
        <f t="shared" si="51"/>
        <v>0</v>
      </c>
      <c r="T66" s="169">
        <f t="shared" si="51"/>
        <v>0</v>
      </c>
      <c r="U66" s="169">
        <f t="shared" si="51"/>
        <v>0</v>
      </c>
      <c r="V66" s="169">
        <f t="shared" si="51"/>
        <v>0</v>
      </c>
      <c r="W66" s="169">
        <f t="shared" si="51"/>
        <v>0</v>
      </c>
      <c r="X66" s="169">
        <f t="shared" si="51"/>
        <v>0</v>
      </c>
      <c r="Y66" s="169">
        <f t="shared" si="51"/>
        <v>0</v>
      </c>
      <c r="Z66" s="169">
        <f t="shared" si="51"/>
        <v>0</v>
      </c>
      <c r="AA66" s="169">
        <f t="shared" si="51"/>
        <v>0</v>
      </c>
      <c r="AB66" s="169">
        <f t="shared" si="51"/>
        <v>0</v>
      </c>
      <c r="AC66" s="169">
        <f t="shared" si="51"/>
        <v>0</v>
      </c>
      <c r="AD66" s="169">
        <f t="shared" si="51"/>
        <v>0</v>
      </c>
      <c r="AE66" s="169">
        <f t="shared" si="51"/>
        <v>0</v>
      </c>
      <c r="AF66" s="169">
        <f t="shared" si="51"/>
        <v>0</v>
      </c>
      <c r="AG66" s="169">
        <f t="shared" si="51"/>
        <v>0</v>
      </c>
      <c r="AH66" s="169">
        <f t="shared" si="51"/>
        <v>0</v>
      </c>
      <c r="AI66" s="169">
        <f t="shared" si="51"/>
        <v>0</v>
      </c>
      <c r="AJ66" s="169">
        <f t="shared" si="51"/>
        <v>0</v>
      </c>
      <c r="AK66" s="169">
        <f t="shared" si="51"/>
        <v>0</v>
      </c>
      <c r="AL66" s="169">
        <f t="shared" si="51"/>
        <v>0</v>
      </c>
      <c r="AM66" s="169">
        <f t="shared" si="51"/>
        <v>0</v>
      </c>
      <c r="AN66" s="169">
        <f t="shared" si="51"/>
        <v>0</v>
      </c>
      <c r="AO66" s="169">
        <f t="shared" si="51"/>
        <v>0</v>
      </c>
      <c r="AP66" s="169">
        <f t="shared" si="51"/>
        <v>0</v>
      </c>
    </row>
    <row r="67" spans="1:42" x14ac:dyDescent="0.2">
      <c r="A67" s="167" t="s">
        <v>302</v>
      </c>
      <c r="B67" s="170">
        <f>B715</f>
        <v>0</v>
      </c>
      <c r="C67" s="170">
        <f t="shared" ref="C67:AP67" si="52">C715</f>
        <v>0</v>
      </c>
      <c r="D67" s="170">
        <f t="shared" si="52"/>
        <v>0</v>
      </c>
      <c r="E67" s="170">
        <f t="shared" si="52"/>
        <v>0</v>
      </c>
      <c r="F67" s="170">
        <f t="shared" si="52"/>
        <v>0</v>
      </c>
      <c r="G67" s="170">
        <f t="shared" si="52"/>
        <v>0</v>
      </c>
      <c r="H67" s="170">
        <f t="shared" si="52"/>
        <v>0</v>
      </c>
      <c r="I67" s="170">
        <f t="shared" si="52"/>
        <v>0</v>
      </c>
      <c r="J67" s="170">
        <f t="shared" si="52"/>
        <v>0</v>
      </c>
      <c r="K67" s="170">
        <f t="shared" si="52"/>
        <v>0</v>
      </c>
      <c r="L67" s="170">
        <f t="shared" si="52"/>
        <v>0</v>
      </c>
      <c r="M67" s="170">
        <f t="shared" si="52"/>
        <v>0</v>
      </c>
      <c r="N67" s="170">
        <f t="shared" si="52"/>
        <v>0</v>
      </c>
      <c r="O67" s="170">
        <f t="shared" si="52"/>
        <v>0</v>
      </c>
      <c r="P67" s="170">
        <f t="shared" si="52"/>
        <v>0</v>
      </c>
      <c r="Q67" s="170">
        <f t="shared" si="52"/>
        <v>0</v>
      </c>
      <c r="R67" s="170">
        <f t="shared" si="52"/>
        <v>0</v>
      </c>
      <c r="S67" s="170">
        <f t="shared" si="52"/>
        <v>0</v>
      </c>
      <c r="T67" s="170">
        <f t="shared" si="52"/>
        <v>0</v>
      </c>
      <c r="U67" s="170">
        <f t="shared" si="52"/>
        <v>0</v>
      </c>
      <c r="V67" s="170">
        <f t="shared" si="52"/>
        <v>0</v>
      </c>
      <c r="W67" s="170">
        <f t="shared" si="52"/>
        <v>0</v>
      </c>
      <c r="X67" s="170">
        <f t="shared" si="52"/>
        <v>0</v>
      </c>
      <c r="Y67" s="170">
        <f t="shared" si="52"/>
        <v>0</v>
      </c>
      <c r="Z67" s="170">
        <f t="shared" si="52"/>
        <v>0</v>
      </c>
      <c r="AA67" s="170">
        <f t="shared" si="52"/>
        <v>0</v>
      </c>
      <c r="AB67" s="170">
        <f t="shared" si="52"/>
        <v>0</v>
      </c>
      <c r="AC67" s="170">
        <f t="shared" si="52"/>
        <v>0</v>
      </c>
      <c r="AD67" s="170">
        <f t="shared" si="52"/>
        <v>0</v>
      </c>
      <c r="AE67" s="170">
        <f t="shared" si="52"/>
        <v>0</v>
      </c>
      <c r="AF67" s="170">
        <f t="shared" si="52"/>
        <v>0</v>
      </c>
      <c r="AG67" s="170">
        <f t="shared" si="52"/>
        <v>0</v>
      </c>
      <c r="AH67" s="170">
        <f t="shared" si="52"/>
        <v>0</v>
      </c>
      <c r="AI67" s="170">
        <f t="shared" si="52"/>
        <v>0</v>
      </c>
      <c r="AJ67" s="170">
        <f t="shared" si="52"/>
        <v>0</v>
      </c>
      <c r="AK67" s="170">
        <f t="shared" si="52"/>
        <v>0</v>
      </c>
      <c r="AL67" s="170">
        <f t="shared" si="52"/>
        <v>0</v>
      </c>
      <c r="AM67" s="170">
        <f t="shared" si="52"/>
        <v>0</v>
      </c>
      <c r="AN67" s="170">
        <f t="shared" si="52"/>
        <v>0</v>
      </c>
      <c r="AO67" s="170">
        <f t="shared" si="52"/>
        <v>0</v>
      </c>
      <c r="AP67" s="170">
        <f t="shared" si="52"/>
        <v>0</v>
      </c>
    </row>
    <row r="68" spans="1:42" x14ac:dyDescent="0.2">
      <c r="A68" s="167" t="s">
        <v>53</v>
      </c>
      <c r="B68" s="230">
        <f>SUM(B65:B67)</f>
        <v>0</v>
      </c>
      <c r="C68" s="230">
        <f t="shared" ref="C68:AP68" si="53">SUM(C65:C67)</f>
        <v>0</v>
      </c>
      <c r="D68" s="230">
        <f t="shared" si="53"/>
        <v>0</v>
      </c>
      <c r="E68" s="230">
        <f t="shared" si="53"/>
        <v>0</v>
      </c>
      <c r="F68" s="230">
        <f t="shared" si="53"/>
        <v>0</v>
      </c>
      <c r="G68" s="230">
        <f t="shared" si="53"/>
        <v>0</v>
      </c>
      <c r="H68" s="230">
        <f t="shared" si="53"/>
        <v>0</v>
      </c>
      <c r="I68" s="230">
        <f t="shared" si="53"/>
        <v>0</v>
      </c>
      <c r="J68" s="230">
        <f t="shared" si="53"/>
        <v>0</v>
      </c>
      <c r="K68" s="230">
        <f t="shared" si="53"/>
        <v>0</v>
      </c>
      <c r="L68" s="230">
        <f t="shared" si="53"/>
        <v>0</v>
      </c>
      <c r="M68" s="230">
        <f t="shared" si="53"/>
        <v>0</v>
      </c>
      <c r="N68" s="230">
        <f t="shared" si="53"/>
        <v>-2944872.3435013141</v>
      </c>
      <c r="O68" s="230">
        <f t="shared" si="53"/>
        <v>0</v>
      </c>
      <c r="P68" s="230">
        <f t="shared" si="53"/>
        <v>0</v>
      </c>
      <c r="Q68" s="230">
        <f t="shared" si="53"/>
        <v>0</v>
      </c>
      <c r="R68" s="230">
        <f t="shared" si="53"/>
        <v>0</v>
      </c>
      <c r="S68" s="230">
        <f t="shared" si="53"/>
        <v>0</v>
      </c>
      <c r="T68" s="230">
        <f t="shared" si="53"/>
        <v>0</v>
      </c>
      <c r="U68" s="230">
        <f t="shared" si="53"/>
        <v>0</v>
      </c>
      <c r="V68" s="230">
        <f t="shared" si="53"/>
        <v>0</v>
      </c>
      <c r="W68" s="230">
        <f t="shared" si="53"/>
        <v>0</v>
      </c>
      <c r="X68" s="230">
        <f t="shared" si="53"/>
        <v>0</v>
      </c>
      <c r="Y68" s="230">
        <f t="shared" si="53"/>
        <v>0</v>
      </c>
      <c r="Z68" s="230">
        <f t="shared" si="53"/>
        <v>-3520942.886524681</v>
      </c>
      <c r="AA68" s="230">
        <f t="shared" si="53"/>
        <v>0</v>
      </c>
      <c r="AB68" s="230">
        <f t="shared" si="53"/>
        <v>0</v>
      </c>
      <c r="AC68" s="230">
        <f t="shared" si="53"/>
        <v>0</v>
      </c>
      <c r="AD68" s="230">
        <f t="shared" si="53"/>
        <v>0</v>
      </c>
      <c r="AE68" s="230">
        <f t="shared" si="53"/>
        <v>0</v>
      </c>
      <c r="AF68" s="230">
        <f t="shared" si="53"/>
        <v>0</v>
      </c>
      <c r="AG68" s="230">
        <f t="shared" si="53"/>
        <v>0</v>
      </c>
      <c r="AH68" s="230">
        <f t="shared" si="53"/>
        <v>0</v>
      </c>
      <c r="AI68" s="230">
        <f t="shared" si="53"/>
        <v>0</v>
      </c>
      <c r="AJ68" s="230">
        <f t="shared" si="53"/>
        <v>0</v>
      </c>
      <c r="AK68" s="230">
        <f t="shared" si="53"/>
        <v>0</v>
      </c>
      <c r="AL68" s="230">
        <f t="shared" si="53"/>
        <v>-4209703.2958071325</v>
      </c>
      <c r="AM68" s="230">
        <f t="shared" si="53"/>
        <v>0</v>
      </c>
      <c r="AN68" s="230">
        <f t="shared" si="53"/>
        <v>0</v>
      </c>
      <c r="AO68" s="230">
        <f t="shared" si="53"/>
        <v>0</v>
      </c>
      <c r="AP68" s="230">
        <f t="shared" si="53"/>
        <v>0</v>
      </c>
    </row>
    <row r="69" spans="1:42" x14ac:dyDescent="0.2">
      <c r="A69" s="163" t="s">
        <v>53</v>
      </c>
      <c r="B69" s="135">
        <f>B53+B54+B55+B56+B63+B68</f>
        <v>-3500765.4423139435</v>
      </c>
      <c r="C69" s="135">
        <f t="shared" ref="C69:AP69" si="54">C53+C54+C55+C56+C63+C68</f>
        <v>-242630.25931835946</v>
      </c>
      <c r="D69" s="135">
        <f t="shared" si="54"/>
        <v>-242714.49023882984</v>
      </c>
      <c r="E69" s="135">
        <f t="shared" si="54"/>
        <v>-242800.41936681556</v>
      </c>
      <c r="F69" s="135">
        <f t="shared" si="54"/>
        <v>-242888.08221338197</v>
      </c>
      <c r="G69" s="135">
        <f t="shared" si="54"/>
        <v>-242977.51505183461</v>
      </c>
      <c r="H69" s="135">
        <f t="shared" si="54"/>
        <v>-243068.75493438527</v>
      </c>
      <c r="I69" s="135">
        <f t="shared" si="54"/>
        <v>-243161.83970918643</v>
      </c>
      <c r="J69" s="135">
        <f t="shared" si="54"/>
        <v>-243256.80803774265</v>
      </c>
      <c r="K69" s="135">
        <f t="shared" si="54"/>
        <v>-243353.69941270832</v>
      </c>
      <c r="L69" s="135">
        <f t="shared" si="54"/>
        <v>-243452.55417608048</v>
      </c>
      <c r="M69" s="135">
        <f t="shared" si="54"/>
        <v>-243553.41353779277</v>
      </c>
      <c r="N69" s="135">
        <f t="shared" si="54"/>
        <v>-243656.3195947241</v>
      </c>
      <c r="O69" s="135">
        <f t="shared" si="54"/>
        <v>-291767.19393540622</v>
      </c>
      <c r="P69" s="135">
        <f t="shared" si="54"/>
        <v>-291874.32331876445</v>
      </c>
      <c r="Q69" s="135">
        <f t="shared" si="54"/>
        <v>-291983.63120609842</v>
      </c>
      <c r="R69" s="135">
        <f t="shared" si="54"/>
        <v>-292095.16344071162</v>
      </c>
      <c r="S69" s="135">
        <f t="shared" si="54"/>
        <v>-292208.9668544032</v>
      </c>
      <c r="T69" s="135">
        <f t="shared" si="54"/>
        <v>-292325.08928914985</v>
      </c>
      <c r="U69" s="135">
        <f t="shared" si="54"/>
        <v>-292443.57961926848</v>
      </c>
      <c r="V69" s="135">
        <f t="shared" si="54"/>
        <v>-292564.4877740721</v>
      </c>
      <c r="W69" s="135">
        <f t="shared" si="54"/>
        <v>-299853.32585477782</v>
      </c>
      <c r="X69" s="135">
        <f t="shared" si="54"/>
        <v>-299979.22378317924</v>
      </c>
      <c r="Y69" s="135">
        <f t="shared" si="54"/>
        <v>-300107.69588834612</v>
      </c>
      <c r="Z69" s="135">
        <f t="shared" si="54"/>
        <v>-300238.79655635869</v>
      </c>
      <c r="AA69" s="135">
        <f t="shared" si="54"/>
        <v>-357769.28212288301</v>
      </c>
      <c r="AB69" s="135">
        <f t="shared" si="54"/>
        <v>-357905.80780486693</v>
      </c>
      <c r="AC69" s="135">
        <f t="shared" si="54"/>
        <v>-358045.1323681894</v>
      </c>
      <c r="AD69" s="135">
        <f t="shared" si="54"/>
        <v>-358187.31506051868</v>
      </c>
      <c r="AE69" s="135">
        <f t="shared" si="54"/>
        <v>-358332.41641246207</v>
      </c>
      <c r="AF69" s="135">
        <f t="shared" si="54"/>
        <v>-358480.49826578866</v>
      </c>
      <c r="AG69" s="135">
        <f t="shared" si="54"/>
        <v>-358631.6238022836</v>
      </c>
      <c r="AH69" s="135">
        <f t="shared" si="54"/>
        <v>-358785.85757324158</v>
      </c>
      <c r="AI69" s="135">
        <f t="shared" si="54"/>
        <v>-358943.26552961778</v>
      </c>
      <c r="AJ69" s="135">
        <f t="shared" si="54"/>
        <v>-359103.91505284962</v>
      </c>
      <c r="AK69" s="135">
        <f t="shared" si="54"/>
        <v>-359267.87498636497</v>
      </c>
      <c r="AL69" s="135">
        <f t="shared" si="54"/>
        <v>-359435.2156677912</v>
      </c>
      <c r="AM69" s="135">
        <f t="shared" si="54"/>
        <v>-8797.4009779546759</v>
      </c>
      <c r="AN69" s="135">
        <f t="shared" si="54"/>
        <v>-8971.7203102505882</v>
      </c>
      <c r="AO69" s="135">
        <f t="shared" si="54"/>
        <v>-9149.6407014876604</v>
      </c>
      <c r="AP69" s="135">
        <f t="shared" si="54"/>
        <v>-412705.48377025593</v>
      </c>
    </row>
    <row r="70" spans="1:42" s="101" customFormat="1" x14ac:dyDescent="0.2">
      <c r="A70" s="243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</row>
    <row r="71" spans="1:42" s="101" customFormat="1" x14ac:dyDescent="0.2">
      <c r="A71" s="250" t="s">
        <v>172</v>
      </c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</row>
    <row r="72" spans="1:42" s="101" customFormat="1" x14ac:dyDescent="0.2">
      <c r="A72" s="243" t="s">
        <v>388</v>
      </c>
      <c r="B72" s="186">
        <f>'Inputs &amp; Results'!D213</f>
        <v>3500765.4423139435</v>
      </c>
      <c r="C72" s="181">
        <v>0</v>
      </c>
      <c r="D72" s="181"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181"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181"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</row>
    <row r="73" spans="1:42" s="101" customFormat="1" x14ac:dyDescent="0.2">
      <c r="A73" s="243" t="s">
        <v>53</v>
      </c>
      <c r="B73" s="186">
        <f t="shared" ref="B73:AP73" si="55">SUM(B72:B72)</f>
        <v>3500765.4423139435</v>
      </c>
      <c r="C73" s="249">
        <f t="shared" si="55"/>
        <v>0</v>
      </c>
      <c r="D73" s="249">
        <f t="shared" si="55"/>
        <v>0</v>
      </c>
      <c r="E73" s="249">
        <f t="shared" si="55"/>
        <v>0</v>
      </c>
      <c r="F73" s="249">
        <f t="shared" si="55"/>
        <v>0</v>
      </c>
      <c r="G73" s="249">
        <f t="shared" si="55"/>
        <v>0</v>
      </c>
      <c r="H73" s="249">
        <f t="shared" si="55"/>
        <v>0</v>
      </c>
      <c r="I73" s="249">
        <f t="shared" si="55"/>
        <v>0</v>
      </c>
      <c r="J73" s="249">
        <f t="shared" si="55"/>
        <v>0</v>
      </c>
      <c r="K73" s="249">
        <f t="shared" si="55"/>
        <v>0</v>
      </c>
      <c r="L73" s="249">
        <f t="shared" si="55"/>
        <v>0</v>
      </c>
      <c r="M73" s="249">
        <f t="shared" si="55"/>
        <v>0</v>
      </c>
      <c r="N73" s="249">
        <f t="shared" si="55"/>
        <v>0</v>
      </c>
      <c r="O73" s="249">
        <f t="shared" si="55"/>
        <v>0</v>
      </c>
      <c r="P73" s="249">
        <f t="shared" si="55"/>
        <v>0</v>
      </c>
      <c r="Q73" s="249">
        <f t="shared" si="55"/>
        <v>0</v>
      </c>
      <c r="R73" s="249">
        <f t="shared" si="55"/>
        <v>0</v>
      </c>
      <c r="S73" s="249">
        <f t="shared" si="55"/>
        <v>0</v>
      </c>
      <c r="T73" s="249">
        <f t="shared" si="55"/>
        <v>0</v>
      </c>
      <c r="U73" s="249">
        <f t="shared" si="55"/>
        <v>0</v>
      </c>
      <c r="V73" s="249">
        <f t="shared" si="55"/>
        <v>0</v>
      </c>
      <c r="W73" s="249">
        <f t="shared" si="55"/>
        <v>0</v>
      </c>
      <c r="X73" s="249">
        <f t="shared" si="55"/>
        <v>0</v>
      </c>
      <c r="Y73" s="249">
        <f t="shared" si="55"/>
        <v>0</v>
      </c>
      <c r="Z73" s="249">
        <f t="shared" si="55"/>
        <v>0</v>
      </c>
      <c r="AA73" s="249">
        <f t="shared" si="55"/>
        <v>0</v>
      </c>
      <c r="AB73" s="249">
        <f t="shared" si="55"/>
        <v>0</v>
      </c>
      <c r="AC73" s="249">
        <f t="shared" si="55"/>
        <v>0</v>
      </c>
      <c r="AD73" s="249">
        <f t="shared" si="55"/>
        <v>0</v>
      </c>
      <c r="AE73" s="249">
        <f t="shared" si="55"/>
        <v>0</v>
      </c>
      <c r="AF73" s="249">
        <f t="shared" si="55"/>
        <v>0</v>
      </c>
      <c r="AG73" s="249">
        <f t="shared" si="55"/>
        <v>0</v>
      </c>
      <c r="AH73" s="249">
        <f t="shared" si="55"/>
        <v>0</v>
      </c>
      <c r="AI73" s="249">
        <f t="shared" si="55"/>
        <v>0</v>
      </c>
      <c r="AJ73" s="249">
        <f t="shared" si="55"/>
        <v>0</v>
      </c>
      <c r="AK73" s="249">
        <f t="shared" si="55"/>
        <v>0</v>
      </c>
      <c r="AL73" s="249">
        <f t="shared" si="55"/>
        <v>0</v>
      </c>
      <c r="AM73" s="249">
        <f t="shared" si="55"/>
        <v>0</v>
      </c>
      <c r="AN73" s="249">
        <f t="shared" si="55"/>
        <v>0</v>
      </c>
      <c r="AO73" s="249">
        <f t="shared" si="55"/>
        <v>0</v>
      </c>
      <c r="AP73" s="249">
        <f t="shared" si="55"/>
        <v>0</v>
      </c>
    </row>
    <row r="74" spans="1:42" s="101" customFormat="1" x14ac:dyDescent="0.2">
      <c r="A74" s="338" t="s">
        <v>400</v>
      </c>
      <c r="B74" s="326">
        <f t="shared" ref="B74:AP74" si="56">B50+B69+B73</f>
        <v>0</v>
      </c>
      <c r="C74" s="326">
        <f t="shared" si="56"/>
        <v>5337528.8664667597</v>
      </c>
      <c r="D74" s="326">
        <f t="shared" si="56"/>
        <v>5372643.7982446523</v>
      </c>
      <c r="E74" s="326">
        <f t="shared" si="56"/>
        <v>5407595.3819082063</v>
      </c>
      <c r="F74" s="326">
        <f t="shared" si="56"/>
        <v>5442377.8336725207</v>
      </c>
      <c r="G74" s="326">
        <f t="shared" si="56"/>
        <v>5476985.2386409743</v>
      </c>
      <c r="H74" s="326">
        <f t="shared" si="56"/>
        <v>5511411.5480174404</v>
      </c>
      <c r="I74" s="326">
        <f t="shared" si="56"/>
        <v>5545650.5762596531</v>
      </c>
      <c r="J74" s="326">
        <f t="shared" si="56"/>
        <v>5579695.9981723577</v>
      </c>
      <c r="K74" s="326">
        <f t="shared" si="56"/>
        <v>5613541.3459390793</v>
      </c>
      <c r="L74" s="326">
        <f t="shared" si="56"/>
        <v>5647180.0060910769</v>
      </c>
      <c r="M74" s="326">
        <f t="shared" si="56"/>
        <v>5680605.2164122928</v>
      </c>
      <c r="N74" s="326">
        <f t="shared" si="56"/>
        <v>5713810.06277881</v>
      </c>
      <c r="O74" s="326">
        <f t="shared" si="56"/>
        <v>5647246.3313349579</v>
      </c>
      <c r="P74" s="326">
        <f t="shared" si="56"/>
        <v>5680829.186459139</v>
      </c>
      <c r="Q74" s="326">
        <f t="shared" si="56"/>
        <v>5714169.9911934873</v>
      </c>
      <c r="R74" s="326">
        <f t="shared" si="56"/>
        <v>5747261.1908192979</v>
      </c>
      <c r="S74" s="326">
        <f t="shared" si="56"/>
        <v>5780095.0618760586</v>
      </c>
      <c r="T74" s="326">
        <f t="shared" si="56"/>
        <v>5812663.708577957</v>
      </c>
      <c r="U74" s="326">
        <f t="shared" si="56"/>
        <v>5844959.0591546539</v>
      </c>
      <c r="V74" s="326">
        <f t="shared" si="56"/>
        <v>5876972.8621145422</v>
      </c>
      <c r="W74" s="326">
        <f t="shared" si="56"/>
        <v>5901531.2213352062</v>
      </c>
      <c r="X74" s="326">
        <f t="shared" si="56"/>
        <v>5918750.9099234687</v>
      </c>
      <c r="Y74" s="326">
        <f t="shared" si="56"/>
        <v>5935663.1795289228</v>
      </c>
      <c r="Z74" s="326">
        <f t="shared" si="56"/>
        <v>5952259.0208005067</v>
      </c>
      <c r="AA74" s="326">
        <f t="shared" si="56"/>
        <v>5849516.0234740619</v>
      </c>
      <c r="AB74" s="326">
        <f t="shared" si="56"/>
        <v>5866455.6195494765</v>
      </c>
      <c r="AC74" s="326">
        <f t="shared" si="56"/>
        <v>5883050.5444467915</v>
      </c>
      <c r="AD74" s="326">
        <f t="shared" si="56"/>
        <v>5899290.9645290347</v>
      </c>
      <c r="AE74" s="326">
        <f t="shared" si="56"/>
        <v>5915166.829038702</v>
      </c>
      <c r="AF74" s="326">
        <f t="shared" si="56"/>
        <v>5930667.8654898768</v>
      </c>
      <c r="AG74" s="326">
        <f t="shared" si="56"/>
        <v>5945783.5749627193</v>
      </c>
      <c r="AH74" s="326">
        <f t="shared" si="56"/>
        <v>5960503.2272982048</v>
      </c>
      <c r="AI74" s="326">
        <f t="shared" si="56"/>
        <v>5974815.8561910447</v>
      </c>
      <c r="AJ74" s="326">
        <f t="shared" si="56"/>
        <v>5988710.2541785147</v>
      </c>
      <c r="AK74" s="326">
        <f t="shared" si="56"/>
        <v>6002174.967523111</v>
      </c>
      <c r="AL74" s="326">
        <f t="shared" si="56"/>
        <v>6015198.2909866348</v>
      </c>
      <c r="AM74" s="326">
        <f t="shared" si="56"/>
        <v>6304907.0628007827</v>
      </c>
      <c r="AN74" s="326">
        <f t="shared" si="56"/>
        <v>6310872.3073483063</v>
      </c>
      <c r="AO74" s="326">
        <f t="shared" si="56"/>
        <v>6316359.4833604572</v>
      </c>
      <c r="AP74" s="326">
        <f t="shared" si="56"/>
        <v>9940696.5801175348</v>
      </c>
    </row>
    <row r="75" spans="1:42" s="101" customFormat="1" x14ac:dyDescent="0.2">
      <c r="A75" s="243" t="s">
        <v>364</v>
      </c>
      <c r="B75" s="124">
        <f t="shared" ref="B75:AP75" si="57">B639+B645+B651+B683+B715-B68</f>
        <v>0</v>
      </c>
      <c r="C75" s="124">
        <f t="shared" si="57"/>
        <v>0</v>
      </c>
      <c r="D75" s="124">
        <f t="shared" si="57"/>
        <v>0</v>
      </c>
      <c r="E75" s="124">
        <f t="shared" si="57"/>
        <v>0</v>
      </c>
      <c r="F75" s="124">
        <f t="shared" si="57"/>
        <v>0</v>
      </c>
      <c r="G75" s="124">
        <f t="shared" si="57"/>
        <v>0</v>
      </c>
      <c r="H75" s="124">
        <f t="shared" si="57"/>
        <v>0</v>
      </c>
      <c r="I75" s="124">
        <f t="shared" si="57"/>
        <v>0</v>
      </c>
      <c r="J75" s="124">
        <f t="shared" si="57"/>
        <v>0</v>
      </c>
      <c r="K75" s="124">
        <f t="shared" si="57"/>
        <v>0</v>
      </c>
      <c r="L75" s="124">
        <f t="shared" si="57"/>
        <v>0</v>
      </c>
      <c r="M75" s="124">
        <f t="shared" si="57"/>
        <v>0</v>
      </c>
      <c r="N75" s="124">
        <f t="shared" si="57"/>
        <v>0</v>
      </c>
      <c r="O75" s="124">
        <f t="shared" si="57"/>
        <v>0</v>
      </c>
      <c r="P75" s="124">
        <f t="shared" si="57"/>
        <v>0</v>
      </c>
      <c r="Q75" s="124">
        <f t="shared" si="57"/>
        <v>0</v>
      </c>
      <c r="R75" s="124">
        <f t="shared" si="57"/>
        <v>0</v>
      </c>
      <c r="S75" s="124">
        <f t="shared" si="57"/>
        <v>0</v>
      </c>
      <c r="T75" s="124">
        <f t="shared" si="57"/>
        <v>0</v>
      </c>
      <c r="U75" s="124">
        <f t="shared" si="57"/>
        <v>0</v>
      </c>
      <c r="V75" s="124">
        <f t="shared" si="57"/>
        <v>0</v>
      </c>
      <c r="W75" s="124">
        <f t="shared" si="57"/>
        <v>0</v>
      </c>
      <c r="X75" s="124">
        <f t="shared" si="57"/>
        <v>0</v>
      </c>
      <c r="Y75" s="124">
        <f t="shared" si="57"/>
        <v>0</v>
      </c>
      <c r="Z75" s="124">
        <f t="shared" si="57"/>
        <v>0</v>
      </c>
      <c r="AA75" s="124">
        <f t="shared" si="57"/>
        <v>0</v>
      </c>
      <c r="AB75" s="124">
        <f t="shared" si="57"/>
        <v>0</v>
      </c>
      <c r="AC75" s="124">
        <f t="shared" si="57"/>
        <v>0</v>
      </c>
      <c r="AD75" s="124">
        <f t="shared" si="57"/>
        <v>0</v>
      </c>
      <c r="AE75" s="124">
        <f t="shared" si="57"/>
        <v>0</v>
      </c>
      <c r="AF75" s="124">
        <f t="shared" si="57"/>
        <v>0</v>
      </c>
      <c r="AG75" s="124">
        <f t="shared" si="57"/>
        <v>0</v>
      </c>
      <c r="AH75" s="124">
        <f t="shared" si="57"/>
        <v>0</v>
      </c>
      <c r="AI75" s="124">
        <f t="shared" si="57"/>
        <v>0</v>
      </c>
      <c r="AJ75" s="124">
        <f t="shared" si="57"/>
        <v>0</v>
      </c>
      <c r="AK75" s="124">
        <f t="shared" si="57"/>
        <v>0</v>
      </c>
      <c r="AL75" s="124">
        <f t="shared" si="57"/>
        <v>0</v>
      </c>
      <c r="AM75" s="124">
        <f t="shared" si="57"/>
        <v>0</v>
      </c>
      <c r="AN75" s="124">
        <f t="shared" si="57"/>
        <v>0</v>
      </c>
      <c r="AO75" s="124">
        <f t="shared" si="57"/>
        <v>0</v>
      </c>
      <c r="AP75" s="124">
        <f t="shared" si="57"/>
        <v>-3610009.5162297441</v>
      </c>
    </row>
    <row r="76" spans="1:42" s="101" customFormat="1" ht="13.5" thickBot="1" x14ac:dyDescent="0.25">
      <c r="A76" s="250" t="s">
        <v>358</v>
      </c>
      <c r="B76" s="339">
        <f t="shared" ref="B76:AP76" si="58">SUM(B74:B75)</f>
        <v>0</v>
      </c>
      <c r="C76" s="339">
        <f t="shared" si="58"/>
        <v>5337528.8664667597</v>
      </c>
      <c r="D76" s="339">
        <f t="shared" si="58"/>
        <v>5372643.7982446523</v>
      </c>
      <c r="E76" s="339">
        <f t="shared" si="58"/>
        <v>5407595.3819082063</v>
      </c>
      <c r="F76" s="339">
        <f t="shared" si="58"/>
        <v>5442377.8336725207</v>
      </c>
      <c r="G76" s="339">
        <f t="shared" si="58"/>
        <v>5476985.2386409743</v>
      </c>
      <c r="H76" s="339">
        <f t="shared" si="58"/>
        <v>5511411.5480174404</v>
      </c>
      <c r="I76" s="339">
        <f t="shared" si="58"/>
        <v>5545650.5762596531</v>
      </c>
      <c r="J76" s="339">
        <f t="shared" si="58"/>
        <v>5579695.9981723577</v>
      </c>
      <c r="K76" s="339">
        <f t="shared" si="58"/>
        <v>5613541.3459390793</v>
      </c>
      <c r="L76" s="339">
        <f t="shared" si="58"/>
        <v>5647180.0060910769</v>
      </c>
      <c r="M76" s="339">
        <f t="shared" si="58"/>
        <v>5680605.2164122928</v>
      </c>
      <c r="N76" s="339">
        <f t="shared" si="58"/>
        <v>5713810.06277881</v>
      </c>
      <c r="O76" s="339">
        <f t="shared" si="58"/>
        <v>5647246.3313349579</v>
      </c>
      <c r="P76" s="339">
        <f t="shared" si="58"/>
        <v>5680829.186459139</v>
      </c>
      <c r="Q76" s="339">
        <f t="shared" si="58"/>
        <v>5714169.9911934873</v>
      </c>
      <c r="R76" s="339">
        <f t="shared" si="58"/>
        <v>5747261.1908192979</v>
      </c>
      <c r="S76" s="339">
        <f t="shared" si="58"/>
        <v>5780095.0618760586</v>
      </c>
      <c r="T76" s="339">
        <f t="shared" si="58"/>
        <v>5812663.708577957</v>
      </c>
      <c r="U76" s="339">
        <f t="shared" si="58"/>
        <v>5844959.0591546539</v>
      </c>
      <c r="V76" s="339">
        <f t="shared" si="58"/>
        <v>5876972.8621145422</v>
      </c>
      <c r="W76" s="339">
        <f t="shared" si="58"/>
        <v>5901531.2213352062</v>
      </c>
      <c r="X76" s="339">
        <f t="shared" si="58"/>
        <v>5918750.9099234687</v>
      </c>
      <c r="Y76" s="339">
        <f t="shared" si="58"/>
        <v>5935663.1795289228</v>
      </c>
      <c r="Z76" s="339">
        <f t="shared" si="58"/>
        <v>5952259.0208005067</v>
      </c>
      <c r="AA76" s="339">
        <f t="shared" si="58"/>
        <v>5849516.0234740619</v>
      </c>
      <c r="AB76" s="339">
        <f t="shared" si="58"/>
        <v>5866455.6195494765</v>
      </c>
      <c r="AC76" s="339">
        <f t="shared" si="58"/>
        <v>5883050.5444467915</v>
      </c>
      <c r="AD76" s="339">
        <f t="shared" si="58"/>
        <v>5899290.9645290347</v>
      </c>
      <c r="AE76" s="339">
        <f t="shared" si="58"/>
        <v>5915166.829038702</v>
      </c>
      <c r="AF76" s="339">
        <f t="shared" si="58"/>
        <v>5930667.8654898768</v>
      </c>
      <c r="AG76" s="339">
        <f t="shared" si="58"/>
        <v>5945783.5749627193</v>
      </c>
      <c r="AH76" s="339">
        <f t="shared" si="58"/>
        <v>5960503.2272982048</v>
      </c>
      <c r="AI76" s="339">
        <f t="shared" si="58"/>
        <v>5974815.8561910447</v>
      </c>
      <c r="AJ76" s="339">
        <f t="shared" si="58"/>
        <v>5988710.2541785147</v>
      </c>
      <c r="AK76" s="339">
        <f t="shared" si="58"/>
        <v>6002174.967523111</v>
      </c>
      <c r="AL76" s="339">
        <f t="shared" si="58"/>
        <v>6015198.2909866348</v>
      </c>
      <c r="AM76" s="339">
        <f t="shared" si="58"/>
        <v>6304907.0628007827</v>
      </c>
      <c r="AN76" s="339">
        <f t="shared" si="58"/>
        <v>6310872.3073483063</v>
      </c>
      <c r="AO76" s="339">
        <f t="shared" si="58"/>
        <v>6316359.4833604572</v>
      </c>
      <c r="AP76" s="339">
        <f t="shared" si="58"/>
        <v>6330687.0638877908</v>
      </c>
    </row>
    <row r="77" spans="1:42" ht="13.5" thickTop="1" x14ac:dyDescent="0.2">
      <c r="A77" s="165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</row>
    <row r="78" spans="1:42" x14ac:dyDescent="0.2">
      <c r="A78" s="162" t="s">
        <v>377</v>
      </c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</row>
    <row r="79" spans="1:42" x14ac:dyDescent="0.2">
      <c r="A79" s="165" t="s">
        <v>175</v>
      </c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</row>
    <row r="80" spans="1:42" x14ac:dyDescent="0.2">
      <c r="A80" s="20" t="s">
        <v>337</v>
      </c>
      <c r="B80" s="170">
        <f>B76</f>
        <v>0</v>
      </c>
      <c r="C80" s="170">
        <f t="shared" ref="C80:AP80" si="59">C76</f>
        <v>5337528.8664667597</v>
      </c>
      <c r="D80" s="170">
        <f t="shared" si="59"/>
        <v>5372643.7982446523</v>
      </c>
      <c r="E80" s="170">
        <f t="shared" si="59"/>
        <v>5407595.3819082063</v>
      </c>
      <c r="F80" s="170">
        <f t="shared" si="59"/>
        <v>5442377.8336725207</v>
      </c>
      <c r="G80" s="170">
        <f t="shared" si="59"/>
        <v>5476985.2386409743</v>
      </c>
      <c r="H80" s="170">
        <f t="shared" si="59"/>
        <v>5511411.5480174404</v>
      </c>
      <c r="I80" s="170">
        <f t="shared" si="59"/>
        <v>5545650.5762596531</v>
      </c>
      <c r="J80" s="170">
        <f t="shared" si="59"/>
        <v>5579695.9981723577</v>
      </c>
      <c r="K80" s="170">
        <f t="shared" si="59"/>
        <v>5613541.3459390793</v>
      </c>
      <c r="L80" s="170">
        <f t="shared" si="59"/>
        <v>5647180.0060910769</v>
      </c>
      <c r="M80" s="170">
        <f t="shared" si="59"/>
        <v>5680605.2164122928</v>
      </c>
      <c r="N80" s="170">
        <f t="shared" si="59"/>
        <v>5713810.06277881</v>
      </c>
      <c r="O80" s="170">
        <f t="shared" si="59"/>
        <v>5647246.3313349579</v>
      </c>
      <c r="P80" s="170">
        <f t="shared" si="59"/>
        <v>5680829.186459139</v>
      </c>
      <c r="Q80" s="170">
        <f t="shared" si="59"/>
        <v>5714169.9911934873</v>
      </c>
      <c r="R80" s="170">
        <f t="shared" si="59"/>
        <v>5747261.1908192979</v>
      </c>
      <c r="S80" s="170">
        <f t="shared" si="59"/>
        <v>5780095.0618760586</v>
      </c>
      <c r="T80" s="170">
        <f t="shared" si="59"/>
        <v>5812663.708577957</v>
      </c>
      <c r="U80" s="170">
        <f t="shared" si="59"/>
        <v>5844959.0591546539</v>
      </c>
      <c r="V80" s="170">
        <f t="shared" si="59"/>
        <v>5876972.8621145422</v>
      </c>
      <c r="W80" s="170">
        <f t="shared" si="59"/>
        <v>5901531.2213352062</v>
      </c>
      <c r="X80" s="170">
        <f t="shared" si="59"/>
        <v>5918750.9099234687</v>
      </c>
      <c r="Y80" s="170">
        <f t="shared" si="59"/>
        <v>5935663.1795289228</v>
      </c>
      <c r="Z80" s="170">
        <f t="shared" si="59"/>
        <v>5952259.0208005067</v>
      </c>
      <c r="AA80" s="170">
        <f t="shared" si="59"/>
        <v>5849516.0234740619</v>
      </c>
      <c r="AB80" s="170">
        <f t="shared" si="59"/>
        <v>5866455.6195494765</v>
      </c>
      <c r="AC80" s="170">
        <f t="shared" si="59"/>
        <v>5883050.5444467915</v>
      </c>
      <c r="AD80" s="170">
        <f t="shared" si="59"/>
        <v>5899290.9645290347</v>
      </c>
      <c r="AE80" s="170">
        <f t="shared" si="59"/>
        <v>5915166.829038702</v>
      </c>
      <c r="AF80" s="170">
        <f t="shared" si="59"/>
        <v>5930667.8654898768</v>
      </c>
      <c r="AG80" s="170">
        <f t="shared" si="59"/>
        <v>5945783.5749627193</v>
      </c>
      <c r="AH80" s="170">
        <f t="shared" si="59"/>
        <v>5960503.2272982048</v>
      </c>
      <c r="AI80" s="170">
        <f t="shared" si="59"/>
        <v>5974815.8561910447</v>
      </c>
      <c r="AJ80" s="170">
        <f t="shared" si="59"/>
        <v>5988710.2541785147</v>
      </c>
      <c r="AK80" s="170">
        <f t="shared" si="59"/>
        <v>6002174.967523111</v>
      </c>
      <c r="AL80" s="170">
        <f t="shared" si="59"/>
        <v>6015198.2909866348</v>
      </c>
      <c r="AM80" s="170">
        <f t="shared" si="59"/>
        <v>6304907.0628007827</v>
      </c>
      <c r="AN80" s="170">
        <f t="shared" si="59"/>
        <v>6310872.3073483063</v>
      </c>
      <c r="AO80" s="170">
        <f t="shared" si="59"/>
        <v>6316359.4833604572</v>
      </c>
      <c r="AP80" s="170">
        <f t="shared" si="59"/>
        <v>6330687.0638877908</v>
      </c>
    </row>
    <row r="81" spans="1:42" x14ac:dyDescent="0.2">
      <c r="A81" s="20" t="s">
        <v>53</v>
      </c>
      <c r="B81" s="169">
        <f>B80</f>
        <v>0</v>
      </c>
      <c r="C81" s="169">
        <f t="shared" ref="C81:AP81" si="60">C80</f>
        <v>5337528.8664667597</v>
      </c>
      <c r="D81" s="169">
        <f t="shared" si="60"/>
        <v>5372643.7982446523</v>
      </c>
      <c r="E81" s="169">
        <f t="shared" si="60"/>
        <v>5407595.3819082063</v>
      </c>
      <c r="F81" s="169">
        <f t="shared" si="60"/>
        <v>5442377.8336725207</v>
      </c>
      <c r="G81" s="169">
        <f t="shared" si="60"/>
        <v>5476985.2386409743</v>
      </c>
      <c r="H81" s="169">
        <f t="shared" si="60"/>
        <v>5511411.5480174404</v>
      </c>
      <c r="I81" s="169">
        <f t="shared" si="60"/>
        <v>5545650.5762596531</v>
      </c>
      <c r="J81" s="169">
        <f t="shared" si="60"/>
        <v>5579695.9981723577</v>
      </c>
      <c r="K81" s="169">
        <f t="shared" si="60"/>
        <v>5613541.3459390793</v>
      </c>
      <c r="L81" s="169">
        <f t="shared" si="60"/>
        <v>5647180.0060910769</v>
      </c>
      <c r="M81" s="169">
        <f t="shared" si="60"/>
        <v>5680605.2164122928</v>
      </c>
      <c r="N81" s="169">
        <f t="shared" si="60"/>
        <v>5713810.06277881</v>
      </c>
      <c r="O81" s="169">
        <f t="shared" si="60"/>
        <v>5647246.3313349579</v>
      </c>
      <c r="P81" s="169">
        <f t="shared" si="60"/>
        <v>5680829.186459139</v>
      </c>
      <c r="Q81" s="169">
        <f t="shared" si="60"/>
        <v>5714169.9911934873</v>
      </c>
      <c r="R81" s="169">
        <f t="shared" si="60"/>
        <v>5747261.1908192979</v>
      </c>
      <c r="S81" s="169">
        <f t="shared" si="60"/>
        <v>5780095.0618760586</v>
      </c>
      <c r="T81" s="169">
        <f t="shared" si="60"/>
        <v>5812663.708577957</v>
      </c>
      <c r="U81" s="169">
        <f t="shared" si="60"/>
        <v>5844959.0591546539</v>
      </c>
      <c r="V81" s="169">
        <f t="shared" si="60"/>
        <v>5876972.8621145422</v>
      </c>
      <c r="W81" s="169">
        <f t="shared" si="60"/>
        <v>5901531.2213352062</v>
      </c>
      <c r="X81" s="169">
        <f t="shared" si="60"/>
        <v>5918750.9099234687</v>
      </c>
      <c r="Y81" s="169">
        <f t="shared" si="60"/>
        <v>5935663.1795289228</v>
      </c>
      <c r="Z81" s="169">
        <f t="shared" si="60"/>
        <v>5952259.0208005067</v>
      </c>
      <c r="AA81" s="169">
        <f t="shared" si="60"/>
        <v>5849516.0234740619</v>
      </c>
      <c r="AB81" s="169">
        <f t="shared" si="60"/>
        <v>5866455.6195494765</v>
      </c>
      <c r="AC81" s="169">
        <f t="shared" si="60"/>
        <v>5883050.5444467915</v>
      </c>
      <c r="AD81" s="169">
        <f t="shared" si="60"/>
        <v>5899290.9645290347</v>
      </c>
      <c r="AE81" s="169">
        <f t="shared" si="60"/>
        <v>5915166.829038702</v>
      </c>
      <c r="AF81" s="169">
        <f t="shared" si="60"/>
        <v>5930667.8654898768</v>
      </c>
      <c r="AG81" s="169">
        <f t="shared" si="60"/>
        <v>5945783.5749627193</v>
      </c>
      <c r="AH81" s="169">
        <f t="shared" si="60"/>
        <v>5960503.2272982048</v>
      </c>
      <c r="AI81" s="169">
        <f t="shared" si="60"/>
        <v>5974815.8561910447</v>
      </c>
      <c r="AJ81" s="169">
        <f t="shared" si="60"/>
        <v>5988710.2541785147</v>
      </c>
      <c r="AK81" s="169">
        <f t="shared" si="60"/>
        <v>6002174.967523111</v>
      </c>
      <c r="AL81" s="169">
        <f t="shared" si="60"/>
        <v>6015198.2909866348</v>
      </c>
      <c r="AM81" s="169">
        <f t="shared" si="60"/>
        <v>6304907.0628007827</v>
      </c>
      <c r="AN81" s="169">
        <f t="shared" si="60"/>
        <v>6310872.3073483063</v>
      </c>
      <c r="AO81" s="169">
        <f t="shared" si="60"/>
        <v>6316359.4833604572</v>
      </c>
      <c r="AP81" s="169">
        <f t="shared" si="60"/>
        <v>6330687.0638877908</v>
      </c>
    </row>
    <row r="82" spans="1:42" x14ac:dyDescent="0.2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</row>
    <row r="83" spans="1:42" x14ac:dyDescent="0.2">
      <c r="A83" s="165" t="s">
        <v>168</v>
      </c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</row>
    <row r="84" spans="1:42" s="101" customFormat="1" x14ac:dyDescent="0.2">
      <c r="A84" s="101" t="s">
        <v>378</v>
      </c>
      <c r="B84" s="124">
        <f>-'Inputs &amp; Results'!D210</f>
        <v>-43210095.75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</row>
    <row r="85" spans="1:42" s="101" customFormat="1" x14ac:dyDescent="0.2">
      <c r="A85" s="101" t="s">
        <v>360</v>
      </c>
      <c r="B85" s="186">
        <v>0</v>
      </c>
      <c r="C85" s="186">
        <f>C19</f>
        <v>0</v>
      </c>
      <c r="D85" s="186">
        <f t="shared" ref="D85:AP85" si="61">D19</f>
        <v>0</v>
      </c>
      <c r="E85" s="186">
        <f t="shared" si="61"/>
        <v>0</v>
      </c>
      <c r="F85" s="186">
        <f t="shared" si="61"/>
        <v>0</v>
      </c>
      <c r="G85" s="186">
        <f t="shared" si="61"/>
        <v>0</v>
      </c>
      <c r="H85" s="186">
        <f t="shared" si="61"/>
        <v>0</v>
      </c>
      <c r="I85" s="186">
        <f t="shared" si="61"/>
        <v>0</v>
      </c>
      <c r="J85" s="186">
        <f t="shared" si="61"/>
        <v>0</v>
      </c>
      <c r="K85" s="186">
        <f t="shared" si="61"/>
        <v>0</v>
      </c>
      <c r="L85" s="186">
        <f t="shared" si="61"/>
        <v>0</v>
      </c>
      <c r="M85" s="186">
        <f t="shared" si="61"/>
        <v>0</v>
      </c>
      <c r="N85" s="186">
        <f t="shared" si="61"/>
        <v>0</v>
      </c>
      <c r="O85" s="186">
        <f t="shared" si="61"/>
        <v>0</v>
      </c>
      <c r="P85" s="186">
        <f t="shared" si="61"/>
        <v>0</v>
      </c>
      <c r="Q85" s="186">
        <f t="shared" si="61"/>
        <v>0</v>
      </c>
      <c r="R85" s="186">
        <f t="shared" si="61"/>
        <v>0</v>
      </c>
      <c r="S85" s="186">
        <f t="shared" si="61"/>
        <v>0</v>
      </c>
      <c r="T85" s="186">
        <f t="shared" si="61"/>
        <v>0</v>
      </c>
      <c r="U85" s="186">
        <f t="shared" si="61"/>
        <v>0</v>
      </c>
      <c r="V85" s="186">
        <f t="shared" si="61"/>
        <v>0</v>
      </c>
      <c r="W85" s="186">
        <f t="shared" si="61"/>
        <v>0</v>
      </c>
      <c r="X85" s="186">
        <f t="shared" si="61"/>
        <v>0</v>
      </c>
      <c r="Y85" s="186">
        <f t="shared" si="61"/>
        <v>0</v>
      </c>
      <c r="Z85" s="186">
        <f t="shared" si="61"/>
        <v>0</v>
      </c>
      <c r="AA85" s="186">
        <f t="shared" si="61"/>
        <v>0</v>
      </c>
      <c r="AB85" s="186">
        <f t="shared" si="61"/>
        <v>0</v>
      </c>
      <c r="AC85" s="186">
        <f t="shared" si="61"/>
        <v>0</v>
      </c>
      <c r="AD85" s="186">
        <f t="shared" si="61"/>
        <v>0</v>
      </c>
      <c r="AE85" s="186">
        <f t="shared" si="61"/>
        <v>0</v>
      </c>
      <c r="AF85" s="186">
        <f t="shared" si="61"/>
        <v>0</v>
      </c>
      <c r="AG85" s="186">
        <f t="shared" si="61"/>
        <v>0</v>
      </c>
      <c r="AH85" s="186">
        <f t="shared" si="61"/>
        <v>0</v>
      </c>
      <c r="AI85" s="186">
        <f t="shared" si="61"/>
        <v>0</v>
      </c>
      <c r="AJ85" s="186">
        <f t="shared" si="61"/>
        <v>0</v>
      </c>
      <c r="AK85" s="186">
        <f t="shared" si="61"/>
        <v>0</v>
      </c>
      <c r="AL85" s="186">
        <f t="shared" si="61"/>
        <v>0</v>
      </c>
      <c r="AM85" s="186">
        <f t="shared" si="61"/>
        <v>0</v>
      </c>
      <c r="AN85" s="186">
        <f t="shared" si="61"/>
        <v>0</v>
      </c>
      <c r="AO85" s="186">
        <f t="shared" si="61"/>
        <v>0</v>
      </c>
      <c r="AP85" s="186">
        <f t="shared" si="61"/>
        <v>4022715</v>
      </c>
    </row>
    <row r="86" spans="1:42" s="101" customFormat="1" x14ac:dyDescent="0.2">
      <c r="A86" s="101" t="s">
        <v>53</v>
      </c>
      <c r="B86" s="124">
        <f>SUM(B84:B85)</f>
        <v>-43210095.75</v>
      </c>
      <c r="C86" s="124">
        <f t="shared" ref="C86:AP86" si="62">SUM(C84:C85)</f>
        <v>0</v>
      </c>
      <c r="D86" s="124">
        <f t="shared" si="62"/>
        <v>0</v>
      </c>
      <c r="E86" s="124">
        <f t="shared" si="62"/>
        <v>0</v>
      </c>
      <c r="F86" s="124">
        <f t="shared" si="62"/>
        <v>0</v>
      </c>
      <c r="G86" s="124">
        <f t="shared" si="62"/>
        <v>0</v>
      </c>
      <c r="H86" s="124">
        <f t="shared" si="62"/>
        <v>0</v>
      </c>
      <c r="I86" s="124">
        <f t="shared" si="62"/>
        <v>0</v>
      </c>
      <c r="J86" s="124">
        <f t="shared" si="62"/>
        <v>0</v>
      </c>
      <c r="K86" s="124">
        <f t="shared" si="62"/>
        <v>0</v>
      </c>
      <c r="L86" s="124">
        <f t="shared" si="62"/>
        <v>0</v>
      </c>
      <c r="M86" s="124">
        <f t="shared" si="62"/>
        <v>0</v>
      </c>
      <c r="N86" s="124">
        <f t="shared" si="62"/>
        <v>0</v>
      </c>
      <c r="O86" s="124">
        <f t="shared" si="62"/>
        <v>0</v>
      </c>
      <c r="P86" s="124">
        <f t="shared" si="62"/>
        <v>0</v>
      </c>
      <c r="Q86" s="124">
        <f t="shared" si="62"/>
        <v>0</v>
      </c>
      <c r="R86" s="124">
        <f t="shared" si="62"/>
        <v>0</v>
      </c>
      <c r="S86" s="124">
        <f t="shared" si="62"/>
        <v>0</v>
      </c>
      <c r="T86" s="124">
        <f t="shared" si="62"/>
        <v>0</v>
      </c>
      <c r="U86" s="124">
        <f t="shared" si="62"/>
        <v>0</v>
      </c>
      <c r="V86" s="124">
        <f t="shared" si="62"/>
        <v>0</v>
      </c>
      <c r="W86" s="124">
        <f t="shared" si="62"/>
        <v>0</v>
      </c>
      <c r="X86" s="124">
        <f t="shared" si="62"/>
        <v>0</v>
      </c>
      <c r="Y86" s="124">
        <f t="shared" si="62"/>
        <v>0</v>
      </c>
      <c r="Z86" s="124">
        <f t="shared" si="62"/>
        <v>0</v>
      </c>
      <c r="AA86" s="124">
        <f t="shared" si="62"/>
        <v>0</v>
      </c>
      <c r="AB86" s="124">
        <f t="shared" si="62"/>
        <v>0</v>
      </c>
      <c r="AC86" s="124">
        <f t="shared" si="62"/>
        <v>0</v>
      </c>
      <c r="AD86" s="124">
        <f t="shared" si="62"/>
        <v>0</v>
      </c>
      <c r="AE86" s="124">
        <f t="shared" si="62"/>
        <v>0</v>
      </c>
      <c r="AF86" s="124">
        <f t="shared" si="62"/>
        <v>0</v>
      </c>
      <c r="AG86" s="124">
        <f t="shared" si="62"/>
        <v>0</v>
      </c>
      <c r="AH86" s="124">
        <f t="shared" si="62"/>
        <v>0</v>
      </c>
      <c r="AI86" s="124">
        <f t="shared" si="62"/>
        <v>0</v>
      </c>
      <c r="AJ86" s="124">
        <f t="shared" si="62"/>
        <v>0</v>
      </c>
      <c r="AK86" s="124">
        <f t="shared" si="62"/>
        <v>0</v>
      </c>
      <c r="AL86" s="124">
        <f t="shared" si="62"/>
        <v>0</v>
      </c>
      <c r="AM86" s="124">
        <f t="shared" si="62"/>
        <v>0</v>
      </c>
      <c r="AN86" s="124">
        <f t="shared" si="62"/>
        <v>0</v>
      </c>
      <c r="AO86" s="124">
        <f t="shared" si="62"/>
        <v>0</v>
      </c>
      <c r="AP86" s="124">
        <f t="shared" si="62"/>
        <v>4022715</v>
      </c>
    </row>
    <row r="87" spans="1:42" s="101" customFormat="1" x14ac:dyDescent="0.2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</row>
    <row r="88" spans="1:42" s="101" customFormat="1" x14ac:dyDescent="0.2">
      <c r="A88" s="250" t="s">
        <v>172</v>
      </c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</row>
    <row r="89" spans="1:42" s="101" customFormat="1" x14ac:dyDescent="0.2">
      <c r="A89" s="101" t="s">
        <v>310</v>
      </c>
      <c r="B89" s="124">
        <f>'Inputs &amp; Results'!D210-'Inputs &amp; Results'!D194-'Inputs &amp; Results'!D195-'Inputs &amp; Results'!D196</f>
        <v>43210095.75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</row>
    <row r="90" spans="1:42" s="101" customFormat="1" x14ac:dyDescent="0.2">
      <c r="A90" s="243" t="s">
        <v>189</v>
      </c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</row>
    <row r="91" spans="1:42" x14ac:dyDescent="0.2">
      <c r="A91" s="167" t="s">
        <v>190</v>
      </c>
      <c r="B91" s="135">
        <f>'Inputs &amp; Results'!D194+'Inputs &amp; Results'!D195</f>
        <v>0</v>
      </c>
      <c r="C91" s="135">
        <v>0</v>
      </c>
      <c r="D91" s="135">
        <v>0</v>
      </c>
      <c r="E91" s="135">
        <v>0</v>
      </c>
      <c r="F91" s="135">
        <v>0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5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35">
        <v>0</v>
      </c>
      <c r="V91" s="135">
        <v>0</v>
      </c>
      <c r="W91" s="135">
        <v>0</v>
      </c>
      <c r="X91" s="135">
        <v>0</v>
      </c>
      <c r="Y91" s="135">
        <v>0</v>
      </c>
      <c r="Z91" s="135">
        <v>0</v>
      </c>
      <c r="AA91" s="135">
        <v>0</v>
      </c>
      <c r="AB91" s="135">
        <v>0</v>
      </c>
      <c r="AC91" s="135">
        <v>0</v>
      </c>
      <c r="AD91" s="135">
        <v>0</v>
      </c>
      <c r="AE91" s="135">
        <v>0</v>
      </c>
      <c r="AF91" s="135">
        <v>0</v>
      </c>
      <c r="AG91" s="135">
        <v>0</v>
      </c>
      <c r="AH91" s="135">
        <v>0</v>
      </c>
      <c r="AI91" s="135">
        <v>0</v>
      </c>
      <c r="AJ91" s="135">
        <v>0</v>
      </c>
      <c r="AK91" s="135">
        <v>0</v>
      </c>
      <c r="AL91" s="135">
        <v>0</v>
      </c>
      <c r="AM91" s="135">
        <v>0</v>
      </c>
      <c r="AN91" s="135">
        <v>0</v>
      </c>
      <c r="AO91" s="135">
        <v>0</v>
      </c>
      <c r="AP91" s="135">
        <v>0</v>
      </c>
    </row>
    <row r="92" spans="1:42" x14ac:dyDescent="0.2">
      <c r="A92" s="167" t="s">
        <v>166</v>
      </c>
      <c r="B92" s="170">
        <f>'Inputs &amp; Results'!D196</f>
        <v>0</v>
      </c>
      <c r="C92" s="170">
        <v>0</v>
      </c>
      <c r="D92" s="170">
        <v>0</v>
      </c>
      <c r="E92" s="170">
        <v>0</v>
      </c>
      <c r="F92" s="170">
        <v>0</v>
      </c>
      <c r="G92" s="170">
        <v>0</v>
      </c>
      <c r="H92" s="170">
        <v>0</v>
      </c>
      <c r="I92" s="170">
        <v>0</v>
      </c>
      <c r="J92" s="170">
        <v>0</v>
      </c>
      <c r="K92" s="170">
        <v>0</v>
      </c>
      <c r="L92" s="170">
        <v>0</v>
      </c>
      <c r="M92" s="170">
        <v>0</v>
      </c>
      <c r="N92" s="170">
        <v>0</v>
      </c>
      <c r="O92" s="170">
        <v>0</v>
      </c>
      <c r="P92" s="170">
        <v>0</v>
      </c>
      <c r="Q92" s="170">
        <v>0</v>
      </c>
      <c r="R92" s="170">
        <v>0</v>
      </c>
      <c r="S92" s="170">
        <v>0</v>
      </c>
      <c r="T92" s="170">
        <v>0</v>
      </c>
      <c r="U92" s="170">
        <v>0</v>
      </c>
      <c r="V92" s="170">
        <v>0</v>
      </c>
      <c r="W92" s="170">
        <v>0</v>
      </c>
      <c r="X92" s="170">
        <v>0</v>
      </c>
      <c r="Y92" s="170">
        <v>0</v>
      </c>
      <c r="Z92" s="170">
        <v>0</v>
      </c>
      <c r="AA92" s="170">
        <v>0</v>
      </c>
      <c r="AB92" s="170">
        <v>0</v>
      </c>
      <c r="AC92" s="170">
        <v>0</v>
      </c>
      <c r="AD92" s="170">
        <v>0</v>
      </c>
      <c r="AE92" s="170">
        <v>0</v>
      </c>
      <c r="AF92" s="170">
        <v>0</v>
      </c>
      <c r="AG92" s="170">
        <v>0</v>
      </c>
      <c r="AH92" s="170">
        <v>0</v>
      </c>
      <c r="AI92" s="170">
        <v>0</v>
      </c>
      <c r="AJ92" s="170">
        <v>0</v>
      </c>
      <c r="AK92" s="170">
        <v>0</v>
      </c>
      <c r="AL92" s="170">
        <v>0</v>
      </c>
      <c r="AM92" s="170">
        <v>0</v>
      </c>
      <c r="AN92" s="170">
        <v>0</v>
      </c>
      <c r="AO92" s="170">
        <v>0</v>
      </c>
      <c r="AP92" s="170">
        <v>0</v>
      </c>
    </row>
    <row r="93" spans="1:42" x14ac:dyDescent="0.2">
      <c r="A93" s="167" t="s">
        <v>53</v>
      </c>
      <c r="B93" s="230">
        <f>SUM(B91:B92)</f>
        <v>0</v>
      </c>
      <c r="C93" s="230">
        <f t="shared" ref="C93:AP93" si="63">SUM(C91:C92)</f>
        <v>0</v>
      </c>
      <c r="D93" s="230">
        <f t="shared" si="63"/>
        <v>0</v>
      </c>
      <c r="E93" s="230">
        <f t="shared" si="63"/>
        <v>0</v>
      </c>
      <c r="F93" s="230">
        <f t="shared" si="63"/>
        <v>0</v>
      </c>
      <c r="G93" s="230">
        <f t="shared" si="63"/>
        <v>0</v>
      </c>
      <c r="H93" s="230">
        <f t="shared" si="63"/>
        <v>0</v>
      </c>
      <c r="I93" s="230">
        <f t="shared" si="63"/>
        <v>0</v>
      </c>
      <c r="J93" s="230">
        <f t="shared" si="63"/>
        <v>0</v>
      </c>
      <c r="K93" s="230">
        <f t="shared" si="63"/>
        <v>0</v>
      </c>
      <c r="L93" s="230">
        <f t="shared" si="63"/>
        <v>0</v>
      </c>
      <c r="M93" s="230">
        <f t="shared" si="63"/>
        <v>0</v>
      </c>
      <c r="N93" s="230">
        <f t="shared" si="63"/>
        <v>0</v>
      </c>
      <c r="O93" s="230">
        <f t="shared" si="63"/>
        <v>0</v>
      </c>
      <c r="P93" s="230">
        <f t="shared" si="63"/>
        <v>0</v>
      </c>
      <c r="Q93" s="230">
        <f t="shared" si="63"/>
        <v>0</v>
      </c>
      <c r="R93" s="230">
        <f t="shared" si="63"/>
        <v>0</v>
      </c>
      <c r="S93" s="230">
        <f t="shared" si="63"/>
        <v>0</v>
      </c>
      <c r="T93" s="230">
        <f t="shared" si="63"/>
        <v>0</v>
      </c>
      <c r="U93" s="230">
        <f t="shared" si="63"/>
        <v>0</v>
      </c>
      <c r="V93" s="230">
        <f t="shared" si="63"/>
        <v>0</v>
      </c>
      <c r="W93" s="230">
        <f t="shared" si="63"/>
        <v>0</v>
      </c>
      <c r="X93" s="230">
        <f t="shared" si="63"/>
        <v>0</v>
      </c>
      <c r="Y93" s="230">
        <f t="shared" si="63"/>
        <v>0</v>
      </c>
      <c r="Z93" s="230">
        <f t="shared" si="63"/>
        <v>0</v>
      </c>
      <c r="AA93" s="230">
        <f t="shared" si="63"/>
        <v>0</v>
      </c>
      <c r="AB93" s="230">
        <f t="shared" si="63"/>
        <v>0</v>
      </c>
      <c r="AC93" s="230">
        <f t="shared" si="63"/>
        <v>0</v>
      </c>
      <c r="AD93" s="230">
        <f t="shared" si="63"/>
        <v>0</v>
      </c>
      <c r="AE93" s="230">
        <f t="shared" si="63"/>
        <v>0</v>
      </c>
      <c r="AF93" s="230">
        <f t="shared" si="63"/>
        <v>0</v>
      </c>
      <c r="AG93" s="230">
        <f t="shared" si="63"/>
        <v>0</v>
      </c>
      <c r="AH93" s="230">
        <f t="shared" si="63"/>
        <v>0</v>
      </c>
      <c r="AI93" s="230">
        <f t="shared" si="63"/>
        <v>0</v>
      </c>
      <c r="AJ93" s="230">
        <f t="shared" si="63"/>
        <v>0</v>
      </c>
      <c r="AK93" s="230">
        <f t="shared" si="63"/>
        <v>0</v>
      </c>
      <c r="AL93" s="230">
        <f t="shared" si="63"/>
        <v>0</v>
      </c>
      <c r="AM93" s="230">
        <f t="shared" si="63"/>
        <v>0</v>
      </c>
      <c r="AN93" s="230">
        <f t="shared" si="63"/>
        <v>0</v>
      </c>
      <c r="AO93" s="230">
        <f t="shared" si="63"/>
        <v>0</v>
      </c>
      <c r="AP93" s="230">
        <f t="shared" si="63"/>
        <v>0</v>
      </c>
    </row>
    <row r="94" spans="1:42" x14ac:dyDescent="0.2">
      <c r="A94" s="20" t="s">
        <v>53</v>
      </c>
      <c r="B94" s="169">
        <f>B89+B93</f>
        <v>43210095.75</v>
      </c>
      <c r="C94" s="169">
        <f t="shared" ref="C94:AP94" si="64">C89+C93</f>
        <v>0</v>
      </c>
      <c r="D94" s="169">
        <f t="shared" si="64"/>
        <v>0</v>
      </c>
      <c r="E94" s="169">
        <f t="shared" si="64"/>
        <v>0</v>
      </c>
      <c r="F94" s="169">
        <f t="shared" si="64"/>
        <v>0</v>
      </c>
      <c r="G94" s="169">
        <f t="shared" si="64"/>
        <v>0</v>
      </c>
      <c r="H94" s="169">
        <f t="shared" si="64"/>
        <v>0</v>
      </c>
      <c r="I94" s="169">
        <f t="shared" si="64"/>
        <v>0</v>
      </c>
      <c r="J94" s="169">
        <f t="shared" si="64"/>
        <v>0</v>
      </c>
      <c r="K94" s="169">
        <f t="shared" si="64"/>
        <v>0</v>
      </c>
      <c r="L94" s="169">
        <f t="shared" si="64"/>
        <v>0</v>
      </c>
      <c r="M94" s="169">
        <f t="shared" si="64"/>
        <v>0</v>
      </c>
      <c r="N94" s="169">
        <f t="shared" si="64"/>
        <v>0</v>
      </c>
      <c r="O94" s="169">
        <f t="shared" si="64"/>
        <v>0</v>
      </c>
      <c r="P94" s="169">
        <f t="shared" si="64"/>
        <v>0</v>
      </c>
      <c r="Q94" s="169">
        <f t="shared" si="64"/>
        <v>0</v>
      </c>
      <c r="R94" s="169">
        <f t="shared" si="64"/>
        <v>0</v>
      </c>
      <c r="S94" s="169">
        <f t="shared" si="64"/>
        <v>0</v>
      </c>
      <c r="T94" s="169">
        <f t="shared" si="64"/>
        <v>0</v>
      </c>
      <c r="U94" s="169">
        <f t="shared" si="64"/>
        <v>0</v>
      </c>
      <c r="V94" s="169">
        <f t="shared" si="64"/>
        <v>0</v>
      </c>
      <c r="W94" s="169">
        <f t="shared" si="64"/>
        <v>0</v>
      </c>
      <c r="X94" s="169">
        <f t="shared" si="64"/>
        <v>0</v>
      </c>
      <c r="Y94" s="169">
        <f t="shared" si="64"/>
        <v>0</v>
      </c>
      <c r="Z94" s="169">
        <f t="shared" si="64"/>
        <v>0</v>
      </c>
      <c r="AA94" s="169">
        <f t="shared" si="64"/>
        <v>0</v>
      </c>
      <c r="AB94" s="169">
        <f t="shared" si="64"/>
        <v>0</v>
      </c>
      <c r="AC94" s="169">
        <f t="shared" si="64"/>
        <v>0</v>
      </c>
      <c r="AD94" s="169">
        <f t="shared" si="64"/>
        <v>0</v>
      </c>
      <c r="AE94" s="169">
        <f t="shared" si="64"/>
        <v>0</v>
      </c>
      <c r="AF94" s="169">
        <f t="shared" si="64"/>
        <v>0</v>
      </c>
      <c r="AG94" s="169">
        <f t="shared" si="64"/>
        <v>0</v>
      </c>
      <c r="AH94" s="169">
        <f t="shared" si="64"/>
        <v>0</v>
      </c>
      <c r="AI94" s="169">
        <f t="shared" si="64"/>
        <v>0</v>
      </c>
      <c r="AJ94" s="169">
        <f t="shared" si="64"/>
        <v>0</v>
      </c>
      <c r="AK94" s="169">
        <f t="shared" si="64"/>
        <v>0</v>
      </c>
      <c r="AL94" s="169">
        <f t="shared" si="64"/>
        <v>0</v>
      </c>
      <c r="AM94" s="169">
        <f t="shared" si="64"/>
        <v>0</v>
      </c>
      <c r="AN94" s="169">
        <f t="shared" si="64"/>
        <v>0</v>
      </c>
      <c r="AO94" s="169">
        <f t="shared" si="64"/>
        <v>0</v>
      </c>
      <c r="AP94" s="169">
        <f t="shared" si="64"/>
        <v>0</v>
      </c>
    </row>
    <row r="95" spans="1:42" ht="13.5" thickBot="1" x14ac:dyDescent="0.25">
      <c r="A95" s="165" t="s">
        <v>174</v>
      </c>
      <c r="B95" s="176">
        <f>B81+B86+B94</f>
        <v>0</v>
      </c>
      <c r="C95" s="176">
        <f t="shared" ref="C95:AP95" si="65">C81+C86+C94</f>
        <v>5337528.8664667597</v>
      </c>
      <c r="D95" s="176">
        <f t="shared" si="65"/>
        <v>5372643.7982446523</v>
      </c>
      <c r="E95" s="176">
        <f t="shared" si="65"/>
        <v>5407595.3819082063</v>
      </c>
      <c r="F95" s="176">
        <f t="shared" si="65"/>
        <v>5442377.8336725207</v>
      </c>
      <c r="G95" s="176">
        <f t="shared" si="65"/>
        <v>5476985.2386409743</v>
      </c>
      <c r="H95" s="176">
        <f t="shared" si="65"/>
        <v>5511411.5480174404</v>
      </c>
      <c r="I95" s="176">
        <f t="shared" si="65"/>
        <v>5545650.5762596531</v>
      </c>
      <c r="J95" s="176">
        <f t="shared" si="65"/>
        <v>5579695.9981723577</v>
      </c>
      <c r="K95" s="176">
        <f t="shared" si="65"/>
        <v>5613541.3459390793</v>
      </c>
      <c r="L95" s="176">
        <f t="shared" si="65"/>
        <v>5647180.0060910769</v>
      </c>
      <c r="M95" s="176">
        <f t="shared" si="65"/>
        <v>5680605.2164122928</v>
      </c>
      <c r="N95" s="176">
        <f t="shared" si="65"/>
        <v>5713810.06277881</v>
      </c>
      <c r="O95" s="176">
        <f t="shared" si="65"/>
        <v>5647246.3313349579</v>
      </c>
      <c r="P95" s="176">
        <f t="shared" si="65"/>
        <v>5680829.186459139</v>
      </c>
      <c r="Q95" s="176">
        <f t="shared" si="65"/>
        <v>5714169.9911934873</v>
      </c>
      <c r="R95" s="176">
        <f t="shared" si="65"/>
        <v>5747261.1908192979</v>
      </c>
      <c r="S95" s="176">
        <f t="shared" si="65"/>
        <v>5780095.0618760586</v>
      </c>
      <c r="T95" s="176">
        <f t="shared" si="65"/>
        <v>5812663.708577957</v>
      </c>
      <c r="U95" s="176">
        <f t="shared" si="65"/>
        <v>5844959.0591546539</v>
      </c>
      <c r="V95" s="176">
        <f t="shared" si="65"/>
        <v>5876972.8621145422</v>
      </c>
      <c r="W95" s="176">
        <f t="shared" si="65"/>
        <v>5901531.2213352062</v>
      </c>
      <c r="X95" s="176">
        <f t="shared" si="65"/>
        <v>5918750.9099234687</v>
      </c>
      <c r="Y95" s="176">
        <f t="shared" si="65"/>
        <v>5935663.1795289228</v>
      </c>
      <c r="Z95" s="176">
        <f t="shared" si="65"/>
        <v>5952259.0208005067</v>
      </c>
      <c r="AA95" s="176">
        <f t="shared" si="65"/>
        <v>5849516.0234740619</v>
      </c>
      <c r="AB95" s="176">
        <f t="shared" si="65"/>
        <v>5866455.6195494765</v>
      </c>
      <c r="AC95" s="176">
        <f t="shared" si="65"/>
        <v>5883050.5444467915</v>
      </c>
      <c r="AD95" s="176">
        <f t="shared" si="65"/>
        <v>5899290.9645290347</v>
      </c>
      <c r="AE95" s="176">
        <f t="shared" si="65"/>
        <v>5915166.829038702</v>
      </c>
      <c r="AF95" s="176">
        <f t="shared" si="65"/>
        <v>5930667.8654898768</v>
      </c>
      <c r="AG95" s="176">
        <f t="shared" si="65"/>
        <v>5945783.5749627193</v>
      </c>
      <c r="AH95" s="176">
        <f t="shared" si="65"/>
        <v>5960503.2272982048</v>
      </c>
      <c r="AI95" s="176">
        <f t="shared" si="65"/>
        <v>5974815.8561910447</v>
      </c>
      <c r="AJ95" s="176">
        <f t="shared" si="65"/>
        <v>5988710.2541785147</v>
      </c>
      <c r="AK95" s="176">
        <f t="shared" si="65"/>
        <v>6002174.967523111</v>
      </c>
      <c r="AL95" s="176">
        <f t="shared" si="65"/>
        <v>6015198.2909866348</v>
      </c>
      <c r="AM95" s="176">
        <f t="shared" si="65"/>
        <v>6304907.0628007827</v>
      </c>
      <c r="AN95" s="176">
        <f t="shared" si="65"/>
        <v>6310872.3073483063</v>
      </c>
      <c r="AO95" s="176">
        <f t="shared" si="65"/>
        <v>6316359.4833604572</v>
      </c>
      <c r="AP95" s="176">
        <f t="shared" si="65"/>
        <v>10353402.06388779</v>
      </c>
    </row>
    <row r="96" spans="1:42" ht="13.5" thickTop="1" x14ac:dyDescent="0.2">
      <c r="A96" s="165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</row>
    <row r="97" spans="1:42" x14ac:dyDescent="0.2">
      <c r="A97" s="162" t="s">
        <v>229</v>
      </c>
      <c r="B97" s="135"/>
      <c r="C97" s="135"/>
      <c r="D97" s="135"/>
      <c r="E97" s="135"/>
      <c r="F97" s="135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</row>
    <row r="98" spans="1:42" s="101" customFormat="1" x14ac:dyDescent="0.2">
      <c r="A98" s="253" t="s">
        <v>198</v>
      </c>
      <c r="B98" s="254"/>
      <c r="C98" s="254"/>
      <c r="D98" s="254"/>
      <c r="E98" s="254"/>
      <c r="F98" s="254"/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  <c r="AO98" s="255"/>
      <c r="AP98" s="255"/>
    </row>
    <row r="99" spans="1:42" s="101" customFormat="1" x14ac:dyDescent="0.2">
      <c r="A99" s="256" t="s">
        <v>199</v>
      </c>
      <c r="B99" s="255">
        <v>0</v>
      </c>
      <c r="C99" s="255">
        <v>0</v>
      </c>
      <c r="D99" s="255">
        <v>0</v>
      </c>
      <c r="E99" s="255">
        <v>0</v>
      </c>
      <c r="F99" s="255">
        <v>0</v>
      </c>
      <c r="G99" s="255">
        <v>0</v>
      </c>
      <c r="H99" s="255">
        <v>0</v>
      </c>
      <c r="I99" s="255">
        <v>0</v>
      </c>
      <c r="J99" s="255">
        <v>0</v>
      </c>
      <c r="K99" s="255">
        <v>0</v>
      </c>
      <c r="L99" s="255">
        <v>0</v>
      </c>
      <c r="M99" s="255">
        <v>0</v>
      </c>
      <c r="N99" s="255">
        <v>0</v>
      </c>
      <c r="O99" s="255">
        <v>0</v>
      </c>
      <c r="P99" s="255">
        <v>0</v>
      </c>
      <c r="Q99" s="255">
        <v>0</v>
      </c>
      <c r="R99" s="255">
        <v>0</v>
      </c>
      <c r="S99" s="255">
        <v>0</v>
      </c>
      <c r="T99" s="255">
        <v>0</v>
      </c>
      <c r="U99" s="255">
        <v>0</v>
      </c>
      <c r="V99" s="255">
        <v>0</v>
      </c>
      <c r="W99" s="255">
        <v>0</v>
      </c>
      <c r="X99" s="255">
        <v>0</v>
      </c>
      <c r="Y99" s="255">
        <v>0</v>
      </c>
      <c r="Z99" s="255">
        <v>0</v>
      </c>
      <c r="AA99" s="255">
        <v>0</v>
      </c>
      <c r="AB99" s="255">
        <v>0</v>
      </c>
      <c r="AC99" s="255">
        <v>0</v>
      </c>
      <c r="AD99" s="255">
        <v>0</v>
      </c>
      <c r="AE99" s="255">
        <v>0</v>
      </c>
      <c r="AF99" s="255">
        <v>0</v>
      </c>
      <c r="AG99" s="255">
        <v>0</v>
      </c>
      <c r="AH99" s="255">
        <v>0</v>
      </c>
      <c r="AI99" s="255">
        <v>0</v>
      </c>
      <c r="AJ99" s="255">
        <v>0</v>
      </c>
      <c r="AK99" s="255">
        <v>0</v>
      </c>
      <c r="AL99" s="255">
        <v>0</v>
      </c>
      <c r="AM99" s="255">
        <v>0</v>
      </c>
      <c r="AN99" s="255">
        <v>0</v>
      </c>
      <c r="AO99" s="255">
        <v>0</v>
      </c>
      <c r="AP99" s="255">
        <v>0</v>
      </c>
    </row>
    <row r="100" spans="1:42" s="101" customFormat="1" x14ac:dyDescent="0.2">
      <c r="A100" s="256" t="s">
        <v>200</v>
      </c>
      <c r="B100" s="193">
        <v>0</v>
      </c>
      <c r="C100" s="193">
        <v>0</v>
      </c>
      <c r="D100" s="193">
        <v>0</v>
      </c>
      <c r="E100" s="193">
        <v>0</v>
      </c>
      <c r="F100" s="193">
        <v>0</v>
      </c>
      <c r="G100" s="193">
        <v>0</v>
      </c>
      <c r="H100" s="193">
        <v>0</v>
      </c>
      <c r="I100" s="193">
        <v>0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3">
        <v>0</v>
      </c>
      <c r="Y100" s="193">
        <v>0</v>
      </c>
      <c r="Z100" s="193">
        <v>0</v>
      </c>
      <c r="AA100" s="193">
        <v>0</v>
      </c>
      <c r="AB100" s="193">
        <v>0</v>
      </c>
      <c r="AC100" s="193">
        <v>0</v>
      </c>
      <c r="AD100" s="193">
        <v>0</v>
      </c>
      <c r="AE100" s="193">
        <v>0</v>
      </c>
      <c r="AF100" s="193">
        <v>0</v>
      </c>
      <c r="AG100" s="193">
        <v>0</v>
      </c>
      <c r="AH100" s="193">
        <v>0</v>
      </c>
      <c r="AI100" s="193">
        <v>0</v>
      </c>
      <c r="AJ100" s="193">
        <v>0</v>
      </c>
      <c r="AK100" s="193">
        <v>0</v>
      </c>
      <c r="AL100" s="193">
        <v>0</v>
      </c>
      <c r="AM100" s="193">
        <v>0</v>
      </c>
      <c r="AN100" s="193">
        <v>0</v>
      </c>
      <c r="AO100" s="193">
        <v>0</v>
      </c>
      <c r="AP100" s="193">
        <v>0</v>
      </c>
    </row>
    <row r="101" spans="1:42" s="101" customFormat="1" x14ac:dyDescent="0.2">
      <c r="A101" s="256" t="s">
        <v>53</v>
      </c>
      <c r="B101" s="254">
        <f>SUM(B99:B100)</f>
        <v>0</v>
      </c>
      <c r="C101" s="254">
        <f t="shared" ref="C101:AP101" si="66">SUM(C99:C100)</f>
        <v>0</v>
      </c>
      <c r="D101" s="254">
        <f t="shared" si="66"/>
        <v>0</v>
      </c>
      <c r="E101" s="254">
        <f t="shared" si="66"/>
        <v>0</v>
      </c>
      <c r="F101" s="254">
        <f t="shared" si="66"/>
        <v>0</v>
      </c>
      <c r="G101" s="254">
        <f t="shared" si="66"/>
        <v>0</v>
      </c>
      <c r="H101" s="254">
        <f t="shared" si="66"/>
        <v>0</v>
      </c>
      <c r="I101" s="254">
        <f t="shared" si="66"/>
        <v>0</v>
      </c>
      <c r="J101" s="254">
        <f t="shared" si="66"/>
        <v>0</v>
      </c>
      <c r="K101" s="254">
        <f t="shared" si="66"/>
        <v>0</v>
      </c>
      <c r="L101" s="254">
        <f t="shared" si="66"/>
        <v>0</v>
      </c>
      <c r="M101" s="254">
        <f t="shared" si="66"/>
        <v>0</v>
      </c>
      <c r="N101" s="254">
        <f t="shared" si="66"/>
        <v>0</v>
      </c>
      <c r="O101" s="254">
        <f t="shared" si="66"/>
        <v>0</v>
      </c>
      <c r="P101" s="254">
        <f t="shared" si="66"/>
        <v>0</v>
      </c>
      <c r="Q101" s="254">
        <f t="shared" si="66"/>
        <v>0</v>
      </c>
      <c r="R101" s="254">
        <f t="shared" si="66"/>
        <v>0</v>
      </c>
      <c r="S101" s="254">
        <f t="shared" si="66"/>
        <v>0</v>
      </c>
      <c r="T101" s="254">
        <f t="shared" si="66"/>
        <v>0</v>
      </c>
      <c r="U101" s="254">
        <f t="shared" si="66"/>
        <v>0</v>
      </c>
      <c r="V101" s="254">
        <f t="shared" si="66"/>
        <v>0</v>
      </c>
      <c r="W101" s="254">
        <f t="shared" si="66"/>
        <v>0</v>
      </c>
      <c r="X101" s="254">
        <f t="shared" si="66"/>
        <v>0</v>
      </c>
      <c r="Y101" s="254">
        <f t="shared" si="66"/>
        <v>0</v>
      </c>
      <c r="Z101" s="254">
        <f t="shared" si="66"/>
        <v>0</v>
      </c>
      <c r="AA101" s="254">
        <f t="shared" si="66"/>
        <v>0</v>
      </c>
      <c r="AB101" s="254">
        <f t="shared" si="66"/>
        <v>0</v>
      </c>
      <c r="AC101" s="254">
        <f t="shared" si="66"/>
        <v>0</v>
      </c>
      <c r="AD101" s="254">
        <f t="shared" si="66"/>
        <v>0</v>
      </c>
      <c r="AE101" s="254">
        <f t="shared" si="66"/>
        <v>0</v>
      </c>
      <c r="AF101" s="254">
        <f t="shared" si="66"/>
        <v>0</v>
      </c>
      <c r="AG101" s="254">
        <f t="shared" si="66"/>
        <v>0</v>
      </c>
      <c r="AH101" s="254">
        <f t="shared" si="66"/>
        <v>0</v>
      </c>
      <c r="AI101" s="254">
        <f t="shared" si="66"/>
        <v>0</v>
      </c>
      <c r="AJ101" s="254">
        <f t="shared" si="66"/>
        <v>0</v>
      </c>
      <c r="AK101" s="254">
        <f t="shared" si="66"/>
        <v>0</v>
      </c>
      <c r="AL101" s="254">
        <f t="shared" si="66"/>
        <v>0</v>
      </c>
      <c r="AM101" s="254">
        <f t="shared" si="66"/>
        <v>0</v>
      </c>
      <c r="AN101" s="254">
        <f t="shared" si="66"/>
        <v>0</v>
      </c>
      <c r="AO101" s="254">
        <f t="shared" si="66"/>
        <v>0</v>
      </c>
      <c r="AP101" s="254">
        <f t="shared" si="66"/>
        <v>0</v>
      </c>
    </row>
    <row r="102" spans="1:42" s="101" customFormat="1" x14ac:dyDescent="0.2">
      <c r="A102" s="256"/>
      <c r="B102" s="254"/>
      <c r="C102" s="254"/>
      <c r="D102" s="254"/>
      <c r="E102" s="254"/>
      <c r="F102" s="254"/>
      <c r="G102" s="254"/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</row>
    <row r="103" spans="1:42" s="101" customFormat="1" x14ac:dyDescent="0.2">
      <c r="A103" s="256" t="s">
        <v>323</v>
      </c>
      <c r="B103" s="257">
        <f>ROUND(IF(ISERROR(IRR($B101:B$101)),0,IRR($B101:B$101)),4)</f>
        <v>0</v>
      </c>
      <c r="C103" s="257">
        <f>ROUND(IF(ISERROR(IRR($B101:C$101)),0,IRR($B101:C$101)),4)</f>
        <v>0</v>
      </c>
      <c r="D103" s="257">
        <f>ROUND(IF(ISERROR(IRR($B101:D$101)),0,IRR($B101:D$101)),4)</f>
        <v>0</v>
      </c>
      <c r="E103" s="257">
        <f>ROUND(IF(ISERROR(IRR($B101:E$101)),0,IRR($B101:E$101)),4)</f>
        <v>0</v>
      </c>
      <c r="F103" s="257">
        <f>ROUND(IF(ISERROR(IRR($B101:F$101)),0,IRR($B101:F$101)),4)</f>
        <v>0</v>
      </c>
      <c r="G103" s="257">
        <f>ROUND(IF(ISERROR(IRR($B101:G$101)),0,IRR($B101:G$101)),4)</f>
        <v>0</v>
      </c>
      <c r="H103" s="257">
        <f>ROUND(IF(ISERROR(IRR($B101:H$101)),0,IRR($B101:H$101)),4)</f>
        <v>0</v>
      </c>
      <c r="I103" s="257">
        <f>ROUND(IF(ISERROR(IRR($B101:I$101)),0,IRR($B101:I$101)),4)</f>
        <v>0</v>
      </c>
      <c r="J103" s="257">
        <f>ROUND(IF(ISERROR(IRR($B101:J$101)),0,IRR($B101:J$101)),4)</f>
        <v>0</v>
      </c>
      <c r="K103" s="257">
        <f>ROUND(IF(ISERROR(IRR($B101:K$101)),0,IRR($B101:K$101)),4)</f>
        <v>0</v>
      </c>
      <c r="L103" s="257">
        <f>ROUND(IF(ISERROR(IRR($B101:L$101)),0,IRR($B101:L$101)),4)</f>
        <v>0</v>
      </c>
      <c r="M103" s="257">
        <f>ROUND(IF(ISERROR(IRR($B101:M$101)),0,IRR($B101:M$101)),4)</f>
        <v>0</v>
      </c>
      <c r="N103" s="257">
        <f>ROUND(IF(ISERROR(IRR($B101:N$101)),0,IRR($B101:N$101)),4)</f>
        <v>0</v>
      </c>
      <c r="O103" s="257">
        <f>ROUND(IF(ISERROR(IRR($B101:O$101)),0,IRR($B101:O$101)),4)</f>
        <v>0</v>
      </c>
      <c r="P103" s="257">
        <f>ROUND(IF(ISERROR(IRR($B101:P$101)),0,IRR($B101:P$101)),4)</f>
        <v>0</v>
      </c>
      <c r="Q103" s="257">
        <f>ROUND(IF(ISERROR(IRR($B101:Q$101)),0,IRR($B101:Q$101)),4)</f>
        <v>0</v>
      </c>
      <c r="R103" s="257">
        <f>ROUND(IF(ISERROR(IRR($B101:R$101)),0,IRR($B101:R$101)),4)</f>
        <v>0</v>
      </c>
      <c r="S103" s="257">
        <f>ROUND(IF(ISERROR(IRR($B101:S$101)),0,IRR($B101:S$101)),4)</f>
        <v>0</v>
      </c>
      <c r="T103" s="257">
        <f>ROUND(IF(ISERROR(IRR($B101:T$101)),0,IRR($B101:T$101)),4)</f>
        <v>0</v>
      </c>
      <c r="U103" s="257">
        <f>ROUND(IF(ISERROR(IRR($B101:U$101)),0,IRR($B101:U$101)),4)</f>
        <v>0</v>
      </c>
      <c r="V103" s="257">
        <f>ROUND(IF(ISERROR(IRR($B101:V$101)),0,IRR($B101:V$101)),4)</f>
        <v>0</v>
      </c>
      <c r="W103" s="257">
        <f>ROUND(IF(ISERROR(IRR($B101:W$101)),0,IRR($B101:W$101)),4)</f>
        <v>0</v>
      </c>
      <c r="X103" s="257">
        <f>ROUND(IF(ISERROR(IRR($B101:X$101)),0,IRR($B101:X$101)),4)</f>
        <v>0</v>
      </c>
      <c r="Y103" s="257">
        <f>ROUND(IF(ISERROR(IRR($B101:Y$101)),0,IRR($B101:Y$101)),4)</f>
        <v>0</v>
      </c>
      <c r="Z103" s="257">
        <f>ROUND(IF(ISERROR(IRR($B101:Z$101)),0,IRR($B101:Z$101)),4)</f>
        <v>0</v>
      </c>
      <c r="AA103" s="257">
        <f>ROUND(IF(ISERROR(IRR($B101:AA$101)),0,IRR($B101:AA$101)),4)</f>
        <v>0</v>
      </c>
      <c r="AB103" s="257">
        <f>ROUND(IF(ISERROR(IRR($B101:AB$101)),0,IRR($B101:AB$101)),4)</f>
        <v>0</v>
      </c>
      <c r="AC103" s="257">
        <f>ROUND(IF(ISERROR(IRR($B101:AC$101)),0,IRR($B101:AC$101)),4)</f>
        <v>0</v>
      </c>
      <c r="AD103" s="257">
        <f>ROUND(IF(ISERROR(IRR($B101:AD$101)),0,IRR($B101:AD$101)),4)</f>
        <v>0</v>
      </c>
      <c r="AE103" s="257">
        <f>ROUND(IF(ISERROR(IRR($B101:AE$101)),0,IRR($B101:AE$101)),4)</f>
        <v>0</v>
      </c>
      <c r="AF103" s="257">
        <f>ROUND(IF(ISERROR(IRR($B101:AF$101)),0,IRR($B101:AF$101)),4)</f>
        <v>0</v>
      </c>
      <c r="AG103" s="257">
        <f>ROUND(IF(ISERROR(IRR($B101:AG$101)),0,IRR($B101:AG$101)),4)</f>
        <v>0</v>
      </c>
      <c r="AH103" s="257">
        <f>ROUND(IF(ISERROR(IRR($B101:AH$101)),0,IRR($B101:AH$101)),4)</f>
        <v>0</v>
      </c>
      <c r="AI103" s="257">
        <f>ROUND(IF(ISERROR(IRR($B101:AI$101)),0,IRR($B101:AI$101)),4)</f>
        <v>0</v>
      </c>
      <c r="AJ103" s="257">
        <f>ROUND(IF(ISERROR(IRR($B101:AJ$101)),0,IRR($B101:AJ$101)),4)</f>
        <v>0</v>
      </c>
      <c r="AK103" s="257">
        <f>ROUND(IF(ISERROR(IRR($B101:AK$101)),0,IRR($B101:AK$101)),4)</f>
        <v>0</v>
      </c>
      <c r="AL103" s="257">
        <f>ROUND(IF(ISERROR(IRR($B101:AL$101)),0,IRR($B101:AL$101)),4)</f>
        <v>0</v>
      </c>
      <c r="AM103" s="257">
        <f>ROUND(IF(ISERROR(IRR($B101:AM$101)),0,IRR($B101:AM$101)),4)</f>
        <v>0</v>
      </c>
      <c r="AN103" s="257">
        <f>ROUND(IF(ISERROR(IRR($B101:AN$101)),0,IRR($B101:AN$101)),4)</f>
        <v>0</v>
      </c>
      <c r="AO103" s="257">
        <f>ROUND(IF(ISERROR(IRR($B101:AO$101)),0,IRR($B101:AO$101)),4)</f>
        <v>0</v>
      </c>
      <c r="AP103" s="257">
        <f>ROUND(IF(ISERROR(IRR($B101:AP$101)),0,IRR($B101:AP$101)),4)</f>
        <v>0</v>
      </c>
    </row>
    <row r="104" spans="1:42" s="101" customFormat="1" x14ac:dyDescent="0.2">
      <c r="A104" s="256" t="s">
        <v>324</v>
      </c>
      <c r="B104" s="258">
        <f>B101</f>
        <v>0</v>
      </c>
      <c r="C104" s="258">
        <f>NPV(DiscountRate,$C101:C101)+$B$101</f>
        <v>0</v>
      </c>
      <c r="D104" s="258">
        <f>NPV(DiscountRate,$C101:D101)+$B$101</f>
        <v>0</v>
      </c>
      <c r="E104" s="258">
        <f>NPV(DiscountRate,$C101:E101)+$B$101</f>
        <v>0</v>
      </c>
      <c r="F104" s="258">
        <f>NPV(DiscountRate,$C101:F101)+$B$101</f>
        <v>0</v>
      </c>
      <c r="G104" s="258">
        <f>NPV(DiscountRate,$C101:G101)+$B$101</f>
        <v>0</v>
      </c>
      <c r="H104" s="258">
        <f>NPV(DiscountRate,$C101:H101)+$B$101</f>
        <v>0</v>
      </c>
      <c r="I104" s="258">
        <f>NPV(DiscountRate,$C101:I101)+$B$101</f>
        <v>0</v>
      </c>
      <c r="J104" s="258">
        <f>NPV(DiscountRate,$C101:J101)+$B$101</f>
        <v>0</v>
      </c>
      <c r="K104" s="258">
        <f>NPV(DiscountRate,$C101:K101)+$B$101</f>
        <v>0</v>
      </c>
      <c r="L104" s="258">
        <f>NPV(DiscountRate,$C101:L101)+$B$101</f>
        <v>0</v>
      </c>
      <c r="M104" s="258">
        <f>NPV(DiscountRate,$C101:M101)+$B$101</f>
        <v>0</v>
      </c>
      <c r="N104" s="258">
        <f>NPV(DiscountRate,$C101:N101)+$B$101</f>
        <v>0</v>
      </c>
      <c r="O104" s="258">
        <f>NPV(DiscountRate,$C101:O101)+$B$101</f>
        <v>0</v>
      </c>
      <c r="P104" s="258">
        <f>NPV(DiscountRate,$C101:P101)+$B$101</f>
        <v>0</v>
      </c>
      <c r="Q104" s="258">
        <f>NPV(DiscountRate,$C101:Q101)+$B$101</f>
        <v>0</v>
      </c>
      <c r="R104" s="258">
        <f>NPV(DiscountRate,$C101:R101)+$B$101</f>
        <v>0</v>
      </c>
      <c r="S104" s="258">
        <f>NPV(DiscountRate,$C101:S101)+$B$101</f>
        <v>0</v>
      </c>
      <c r="T104" s="258">
        <f>NPV(DiscountRate,$C101:T101)+$B$101</f>
        <v>0</v>
      </c>
      <c r="U104" s="258">
        <f>NPV(DiscountRate,$C101:U101)+$B$101</f>
        <v>0</v>
      </c>
      <c r="V104" s="258">
        <f>NPV(DiscountRate,$C101:V101)+$B$101</f>
        <v>0</v>
      </c>
      <c r="W104" s="258">
        <f>NPV(DiscountRate,$C101:W101)+$B$101</f>
        <v>0</v>
      </c>
      <c r="X104" s="258">
        <f>NPV(DiscountRate,$C101:X101)+$B$101</f>
        <v>0</v>
      </c>
      <c r="Y104" s="258">
        <f>NPV(DiscountRate,$C101:Y101)+$B$101</f>
        <v>0</v>
      </c>
      <c r="Z104" s="258">
        <f>NPV(DiscountRate,$C101:Z101)+$B$101</f>
        <v>0</v>
      </c>
      <c r="AA104" s="258">
        <f>NPV(DiscountRate,$C101:AA101)+$B$101</f>
        <v>0</v>
      </c>
      <c r="AB104" s="258">
        <f>NPV(DiscountRate,$C101:AB101)+$B$101</f>
        <v>0</v>
      </c>
      <c r="AC104" s="258">
        <f>NPV(DiscountRate,$C101:AC101)+$B$101</f>
        <v>0</v>
      </c>
      <c r="AD104" s="258">
        <f>NPV(DiscountRate,$C101:AD101)+$B$101</f>
        <v>0</v>
      </c>
      <c r="AE104" s="258">
        <f>NPV(DiscountRate,$C101:AE101)+$B$101</f>
        <v>0</v>
      </c>
      <c r="AF104" s="258">
        <f>NPV(DiscountRate,$C101:AF101)+$B$101</f>
        <v>0</v>
      </c>
      <c r="AG104" s="258">
        <f>NPV(DiscountRate,$C101:AG101)+$B$101</f>
        <v>0</v>
      </c>
      <c r="AH104" s="258">
        <f>NPV(DiscountRate,$C101:AH101)+$B$101</f>
        <v>0</v>
      </c>
      <c r="AI104" s="258">
        <f>NPV(DiscountRate,$C101:AI101)+$B$101</f>
        <v>0</v>
      </c>
      <c r="AJ104" s="258">
        <f>NPV(DiscountRate,$C101:AJ101)+$B$101</f>
        <v>0</v>
      </c>
      <c r="AK104" s="258">
        <f>NPV(DiscountRate,$C101:AK101)+$B$101</f>
        <v>0</v>
      </c>
      <c r="AL104" s="258">
        <f>NPV(DiscountRate,$C101:AL101)+$B$101</f>
        <v>0</v>
      </c>
      <c r="AM104" s="258">
        <f>NPV(DiscountRate,$C101:AM101)+$B$101</f>
        <v>0</v>
      </c>
      <c r="AN104" s="258">
        <f>NPV(DiscountRate,$C101:AN101)+$B$101</f>
        <v>0</v>
      </c>
      <c r="AO104" s="258">
        <f>NPV(DiscountRate,$C101:AO101)+$B$101</f>
        <v>0</v>
      </c>
      <c r="AP104" s="258">
        <f>NPV(DiscountRate,$C101:AP101)+$B$101</f>
        <v>0</v>
      </c>
    </row>
    <row r="105" spans="1:42" s="101" customFormat="1" x14ac:dyDescent="0.2">
      <c r="A105" s="256"/>
      <c r="B105" s="254"/>
      <c r="C105" s="254"/>
      <c r="D105" s="254"/>
      <c r="E105" s="254"/>
      <c r="F105" s="254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  <c r="AO105" s="255"/>
      <c r="AP105" s="255"/>
    </row>
    <row r="106" spans="1:42" s="101" customFormat="1" x14ac:dyDescent="0.2">
      <c r="A106" s="253" t="s">
        <v>203</v>
      </c>
      <c r="B106" s="254"/>
      <c r="C106" s="254"/>
      <c r="D106" s="254"/>
      <c r="E106" s="254"/>
      <c r="F106" s="254"/>
      <c r="G106" s="255"/>
      <c r="H106" s="255"/>
      <c r="I106" s="255"/>
      <c r="J106" s="255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  <c r="AO106" s="255"/>
      <c r="AP106" s="255"/>
    </row>
    <row r="107" spans="1:42" s="101" customFormat="1" x14ac:dyDescent="0.2">
      <c r="A107" s="259" t="s">
        <v>204</v>
      </c>
      <c r="B107" s="254"/>
      <c r="C107" s="254"/>
      <c r="D107" s="254"/>
      <c r="E107" s="254"/>
      <c r="F107" s="254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  <c r="AO107" s="255"/>
      <c r="AP107" s="255"/>
    </row>
    <row r="108" spans="1:42" s="101" customFormat="1" x14ac:dyDescent="0.2">
      <c r="A108" s="260" t="s">
        <v>199</v>
      </c>
      <c r="B108" s="255">
        <f>B99</f>
        <v>0</v>
      </c>
      <c r="C108" s="255">
        <f t="shared" ref="C108:AP109" si="67">C99</f>
        <v>0</v>
      </c>
      <c r="D108" s="255">
        <f t="shared" si="67"/>
        <v>0</v>
      </c>
      <c r="E108" s="255">
        <f t="shared" si="67"/>
        <v>0</v>
      </c>
      <c r="F108" s="255">
        <f t="shared" si="67"/>
        <v>0</v>
      </c>
      <c r="G108" s="255">
        <f t="shared" si="67"/>
        <v>0</v>
      </c>
      <c r="H108" s="255">
        <f t="shared" si="67"/>
        <v>0</v>
      </c>
      <c r="I108" s="255">
        <f t="shared" si="67"/>
        <v>0</v>
      </c>
      <c r="J108" s="255">
        <f t="shared" si="67"/>
        <v>0</v>
      </c>
      <c r="K108" s="255">
        <f t="shared" si="67"/>
        <v>0</v>
      </c>
      <c r="L108" s="255">
        <f t="shared" si="67"/>
        <v>0</v>
      </c>
      <c r="M108" s="255">
        <f t="shared" si="67"/>
        <v>0</v>
      </c>
      <c r="N108" s="255">
        <f t="shared" si="67"/>
        <v>0</v>
      </c>
      <c r="O108" s="255">
        <f t="shared" si="67"/>
        <v>0</v>
      </c>
      <c r="P108" s="255">
        <f t="shared" si="67"/>
        <v>0</v>
      </c>
      <c r="Q108" s="255">
        <f t="shared" si="67"/>
        <v>0</v>
      </c>
      <c r="R108" s="255">
        <f t="shared" si="67"/>
        <v>0</v>
      </c>
      <c r="S108" s="255">
        <f t="shared" si="67"/>
        <v>0</v>
      </c>
      <c r="T108" s="255">
        <f t="shared" si="67"/>
        <v>0</v>
      </c>
      <c r="U108" s="255">
        <f t="shared" si="67"/>
        <v>0</v>
      </c>
      <c r="V108" s="255">
        <f t="shared" si="67"/>
        <v>0</v>
      </c>
      <c r="W108" s="255">
        <f t="shared" si="67"/>
        <v>0</v>
      </c>
      <c r="X108" s="255">
        <f t="shared" si="67"/>
        <v>0</v>
      </c>
      <c r="Y108" s="255">
        <f t="shared" si="67"/>
        <v>0</v>
      </c>
      <c r="Z108" s="255">
        <f t="shared" si="67"/>
        <v>0</v>
      </c>
      <c r="AA108" s="255">
        <f t="shared" si="67"/>
        <v>0</v>
      </c>
      <c r="AB108" s="255">
        <f t="shared" si="67"/>
        <v>0</v>
      </c>
      <c r="AC108" s="255">
        <f t="shared" si="67"/>
        <v>0</v>
      </c>
      <c r="AD108" s="255">
        <f t="shared" si="67"/>
        <v>0</v>
      </c>
      <c r="AE108" s="255">
        <f t="shared" si="67"/>
        <v>0</v>
      </c>
      <c r="AF108" s="255">
        <f t="shared" si="67"/>
        <v>0</v>
      </c>
      <c r="AG108" s="255">
        <f t="shared" si="67"/>
        <v>0</v>
      </c>
      <c r="AH108" s="255">
        <f t="shared" si="67"/>
        <v>0</v>
      </c>
      <c r="AI108" s="255">
        <f t="shared" si="67"/>
        <v>0</v>
      </c>
      <c r="AJ108" s="255">
        <f t="shared" si="67"/>
        <v>0</v>
      </c>
      <c r="AK108" s="255">
        <f t="shared" si="67"/>
        <v>0</v>
      </c>
      <c r="AL108" s="255">
        <f t="shared" si="67"/>
        <v>0</v>
      </c>
      <c r="AM108" s="255">
        <f t="shared" si="67"/>
        <v>0</v>
      </c>
      <c r="AN108" s="255">
        <f t="shared" si="67"/>
        <v>0</v>
      </c>
      <c r="AO108" s="255">
        <f t="shared" si="67"/>
        <v>0</v>
      </c>
      <c r="AP108" s="255">
        <f t="shared" si="67"/>
        <v>0</v>
      </c>
    </row>
    <row r="109" spans="1:42" s="101" customFormat="1" x14ac:dyDescent="0.2">
      <c r="A109" s="260" t="s">
        <v>200</v>
      </c>
      <c r="B109" s="193">
        <f>B100</f>
        <v>0</v>
      </c>
      <c r="C109" s="193">
        <f t="shared" si="67"/>
        <v>0</v>
      </c>
      <c r="D109" s="193">
        <f t="shared" si="67"/>
        <v>0</v>
      </c>
      <c r="E109" s="193">
        <f t="shared" si="67"/>
        <v>0</v>
      </c>
      <c r="F109" s="193">
        <f t="shared" si="67"/>
        <v>0</v>
      </c>
      <c r="G109" s="193">
        <f t="shared" si="67"/>
        <v>0</v>
      </c>
      <c r="H109" s="193">
        <f t="shared" si="67"/>
        <v>0</v>
      </c>
      <c r="I109" s="193">
        <f t="shared" si="67"/>
        <v>0</v>
      </c>
      <c r="J109" s="193">
        <f t="shared" si="67"/>
        <v>0</v>
      </c>
      <c r="K109" s="193">
        <f t="shared" si="67"/>
        <v>0</v>
      </c>
      <c r="L109" s="193">
        <f t="shared" si="67"/>
        <v>0</v>
      </c>
      <c r="M109" s="193">
        <f t="shared" si="67"/>
        <v>0</v>
      </c>
      <c r="N109" s="193">
        <f t="shared" si="67"/>
        <v>0</v>
      </c>
      <c r="O109" s="193">
        <f t="shared" si="67"/>
        <v>0</v>
      </c>
      <c r="P109" s="193">
        <f t="shared" si="67"/>
        <v>0</v>
      </c>
      <c r="Q109" s="193">
        <f t="shared" si="67"/>
        <v>0</v>
      </c>
      <c r="R109" s="193">
        <f t="shared" si="67"/>
        <v>0</v>
      </c>
      <c r="S109" s="193">
        <f t="shared" si="67"/>
        <v>0</v>
      </c>
      <c r="T109" s="193">
        <f t="shared" si="67"/>
        <v>0</v>
      </c>
      <c r="U109" s="193">
        <f t="shared" si="67"/>
        <v>0</v>
      </c>
      <c r="V109" s="193">
        <f t="shared" si="67"/>
        <v>0</v>
      </c>
      <c r="W109" s="193">
        <f t="shared" si="67"/>
        <v>0</v>
      </c>
      <c r="X109" s="193">
        <f t="shared" si="67"/>
        <v>0</v>
      </c>
      <c r="Y109" s="193">
        <f t="shared" si="67"/>
        <v>0</v>
      </c>
      <c r="Z109" s="193">
        <f t="shared" si="67"/>
        <v>0</v>
      </c>
      <c r="AA109" s="193">
        <f t="shared" si="67"/>
        <v>0</v>
      </c>
      <c r="AB109" s="193">
        <f t="shared" si="67"/>
        <v>0</v>
      </c>
      <c r="AC109" s="193">
        <f t="shared" si="67"/>
        <v>0</v>
      </c>
      <c r="AD109" s="193">
        <f t="shared" si="67"/>
        <v>0</v>
      </c>
      <c r="AE109" s="193">
        <f t="shared" si="67"/>
        <v>0</v>
      </c>
      <c r="AF109" s="193">
        <f t="shared" si="67"/>
        <v>0</v>
      </c>
      <c r="AG109" s="193">
        <f t="shared" si="67"/>
        <v>0</v>
      </c>
      <c r="AH109" s="193">
        <f t="shared" si="67"/>
        <v>0</v>
      </c>
      <c r="AI109" s="193">
        <f t="shared" si="67"/>
        <v>0</v>
      </c>
      <c r="AJ109" s="193">
        <f t="shared" si="67"/>
        <v>0</v>
      </c>
      <c r="AK109" s="193">
        <f t="shared" si="67"/>
        <v>0</v>
      </c>
      <c r="AL109" s="193">
        <f t="shared" si="67"/>
        <v>0</v>
      </c>
      <c r="AM109" s="193">
        <f t="shared" si="67"/>
        <v>0</v>
      </c>
      <c r="AN109" s="193">
        <f t="shared" si="67"/>
        <v>0</v>
      </c>
      <c r="AO109" s="193">
        <f t="shared" si="67"/>
        <v>0</v>
      </c>
      <c r="AP109" s="193">
        <f t="shared" si="67"/>
        <v>0</v>
      </c>
    </row>
    <row r="110" spans="1:42" s="101" customFormat="1" x14ac:dyDescent="0.2">
      <c r="A110" s="260" t="s">
        <v>205</v>
      </c>
      <c r="B110" s="254">
        <f>SUM(B108:B109)</f>
        <v>0</v>
      </c>
      <c r="C110" s="254">
        <f t="shared" ref="C110:AP110" si="68">SUM(C108:C109)</f>
        <v>0</v>
      </c>
      <c r="D110" s="254">
        <f t="shared" si="68"/>
        <v>0</v>
      </c>
      <c r="E110" s="254">
        <f t="shared" si="68"/>
        <v>0</v>
      </c>
      <c r="F110" s="254">
        <f t="shared" si="68"/>
        <v>0</v>
      </c>
      <c r="G110" s="254">
        <f t="shared" si="68"/>
        <v>0</v>
      </c>
      <c r="H110" s="254">
        <f t="shared" si="68"/>
        <v>0</v>
      </c>
      <c r="I110" s="254">
        <f t="shared" si="68"/>
        <v>0</v>
      </c>
      <c r="J110" s="254">
        <f t="shared" si="68"/>
        <v>0</v>
      </c>
      <c r="K110" s="254">
        <f t="shared" si="68"/>
        <v>0</v>
      </c>
      <c r="L110" s="254">
        <f t="shared" si="68"/>
        <v>0</v>
      </c>
      <c r="M110" s="254">
        <f t="shared" si="68"/>
        <v>0</v>
      </c>
      <c r="N110" s="254">
        <f t="shared" si="68"/>
        <v>0</v>
      </c>
      <c r="O110" s="254">
        <f t="shared" si="68"/>
        <v>0</v>
      </c>
      <c r="P110" s="254">
        <f t="shared" si="68"/>
        <v>0</v>
      </c>
      <c r="Q110" s="254">
        <f t="shared" si="68"/>
        <v>0</v>
      </c>
      <c r="R110" s="254">
        <f t="shared" si="68"/>
        <v>0</v>
      </c>
      <c r="S110" s="254">
        <f t="shared" si="68"/>
        <v>0</v>
      </c>
      <c r="T110" s="254">
        <f t="shared" si="68"/>
        <v>0</v>
      </c>
      <c r="U110" s="254">
        <f t="shared" si="68"/>
        <v>0</v>
      </c>
      <c r="V110" s="254">
        <f t="shared" si="68"/>
        <v>0</v>
      </c>
      <c r="W110" s="254">
        <f t="shared" si="68"/>
        <v>0</v>
      </c>
      <c r="X110" s="254">
        <f t="shared" si="68"/>
        <v>0</v>
      </c>
      <c r="Y110" s="254">
        <f t="shared" si="68"/>
        <v>0</v>
      </c>
      <c r="Z110" s="254">
        <f t="shared" si="68"/>
        <v>0</v>
      </c>
      <c r="AA110" s="254">
        <f t="shared" si="68"/>
        <v>0</v>
      </c>
      <c r="AB110" s="254">
        <f t="shared" si="68"/>
        <v>0</v>
      </c>
      <c r="AC110" s="254">
        <f t="shared" si="68"/>
        <v>0</v>
      </c>
      <c r="AD110" s="254">
        <f t="shared" si="68"/>
        <v>0</v>
      </c>
      <c r="AE110" s="254">
        <f t="shared" si="68"/>
        <v>0</v>
      </c>
      <c r="AF110" s="254">
        <f t="shared" si="68"/>
        <v>0</v>
      </c>
      <c r="AG110" s="254">
        <f t="shared" si="68"/>
        <v>0</v>
      </c>
      <c r="AH110" s="254">
        <f t="shared" si="68"/>
        <v>0</v>
      </c>
      <c r="AI110" s="254">
        <f t="shared" si="68"/>
        <v>0</v>
      </c>
      <c r="AJ110" s="254">
        <f t="shared" si="68"/>
        <v>0</v>
      </c>
      <c r="AK110" s="254">
        <f t="shared" si="68"/>
        <v>0</v>
      </c>
      <c r="AL110" s="254">
        <f t="shared" si="68"/>
        <v>0</v>
      </c>
      <c r="AM110" s="254">
        <f t="shared" si="68"/>
        <v>0</v>
      </c>
      <c r="AN110" s="254">
        <f t="shared" si="68"/>
        <v>0</v>
      </c>
      <c r="AO110" s="254">
        <f t="shared" si="68"/>
        <v>0</v>
      </c>
      <c r="AP110" s="254">
        <f t="shared" si="68"/>
        <v>0</v>
      </c>
    </row>
    <row r="111" spans="1:42" s="101" customFormat="1" x14ac:dyDescent="0.2">
      <c r="A111" s="256" t="s">
        <v>33</v>
      </c>
      <c r="B111" s="254"/>
      <c r="C111" s="254"/>
      <c r="D111" s="254"/>
      <c r="E111" s="254"/>
      <c r="F111" s="254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  <c r="AO111" s="255"/>
      <c r="AP111" s="255"/>
    </row>
    <row r="112" spans="1:42" s="101" customFormat="1" x14ac:dyDescent="0.2">
      <c r="A112" s="260" t="s">
        <v>37</v>
      </c>
      <c r="B112" s="254">
        <v>0</v>
      </c>
      <c r="C112" s="254">
        <v>0</v>
      </c>
      <c r="D112" s="254">
        <v>0</v>
      </c>
      <c r="E112" s="254">
        <v>0</v>
      </c>
      <c r="F112" s="254">
        <v>0</v>
      </c>
      <c r="G112" s="254">
        <v>0</v>
      </c>
      <c r="H112" s="254">
        <v>0</v>
      </c>
      <c r="I112" s="254">
        <v>0</v>
      </c>
      <c r="J112" s="254">
        <v>0</v>
      </c>
      <c r="K112" s="254">
        <v>0</v>
      </c>
      <c r="L112" s="254">
        <v>0</v>
      </c>
      <c r="M112" s="254">
        <v>0</v>
      </c>
      <c r="N112" s="254">
        <v>0</v>
      </c>
      <c r="O112" s="254">
        <v>0</v>
      </c>
      <c r="P112" s="254">
        <v>0</v>
      </c>
      <c r="Q112" s="254">
        <v>0</v>
      </c>
      <c r="R112" s="254">
        <v>0</v>
      </c>
      <c r="S112" s="254">
        <v>0</v>
      </c>
      <c r="T112" s="254">
        <v>0</v>
      </c>
      <c r="U112" s="254">
        <v>0</v>
      </c>
      <c r="V112" s="254">
        <v>0</v>
      </c>
      <c r="W112" s="254">
        <v>0</v>
      </c>
      <c r="X112" s="254">
        <v>0</v>
      </c>
      <c r="Y112" s="254">
        <v>0</v>
      </c>
      <c r="Z112" s="254">
        <v>0</v>
      </c>
      <c r="AA112" s="254">
        <v>0</v>
      </c>
      <c r="AB112" s="254">
        <v>0</v>
      </c>
      <c r="AC112" s="254">
        <v>0</v>
      </c>
      <c r="AD112" s="254">
        <v>0</v>
      </c>
      <c r="AE112" s="254">
        <v>0</v>
      </c>
      <c r="AF112" s="254">
        <v>0</v>
      </c>
      <c r="AG112" s="254">
        <v>0</v>
      </c>
      <c r="AH112" s="254">
        <v>0</v>
      </c>
      <c r="AI112" s="254">
        <v>0</v>
      </c>
      <c r="AJ112" s="254">
        <v>0</v>
      </c>
      <c r="AK112" s="254">
        <v>0</v>
      </c>
      <c r="AL112" s="254">
        <v>0</v>
      </c>
      <c r="AM112" s="254">
        <v>0</v>
      </c>
      <c r="AN112" s="254">
        <v>0</v>
      </c>
      <c r="AO112" s="254">
        <v>0</v>
      </c>
      <c r="AP112" s="254">
        <v>0</v>
      </c>
    </row>
    <row r="113" spans="1:42" s="101" customFormat="1" x14ac:dyDescent="0.2">
      <c r="A113" s="260" t="s">
        <v>36</v>
      </c>
      <c r="B113" s="193">
        <v>0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3">
        <v>0</v>
      </c>
      <c r="I113" s="193">
        <v>0</v>
      </c>
      <c r="J113" s="193">
        <v>0</v>
      </c>
      <c r="K113" s="193">
        <v>0</v>
      </c>
      <c r="L113" s="193">
        <v>0</v>
      </c>
      <c r="M113" s="193">
        <v>0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3">
        <v>0</v>
      </c>
      <c r="Y113" s="193">
        <v>0</v>
      </c>
      <c r="Z113" s="193">
        <v>0</v>
      </c>
      <c r="AA113" s="193">
        <v>0</v>
      </c>
      <c r="AB113" s="193">
        <v>0</v>
      </c>
      <c r="AC113" s="193">
        <v>0</v>
      </c>
      <c r="AD113" s="193">
        <v>0</v>
      </c>
      <c r="AE113" s="193">
        <v>0</v>
      </c>
      <c r="AF113" s="193">
        <v>0</v>
      </c>
      <c r="AG113" s="193">
        <v>0</v>
      </c>
      <c r="AH113" s="193">
        <v>0</v>
      </c>
      <c r="AI113" s="193">
        <v>0</v>
      </c>
      <c r="AJ113" s="193">
        <v>0</v>
      </c>
      <c r="AK113" s="193">
        <v>0</v>
      </c>
      <c r="AL113" s="193">
        <v>0</v>
      </c>
      <c r="AM113" s="193">
        <v>0</v>
      </c>
      <c r="AN113" s="193">
        <v>0</v>
      </c>
      <c r="AO113" s="193">
        <v>0</v>
      </c>
      <c r="AP113" s="193">
        <v>0</v>
      </c>
    </row>
    <row r="114" spans="1:42" s="101" customFormat="1" x14ac:dyDescent="0.2">
      <c r="A114" s="260" t="s">
        <v>53</v>
      </c>
      <c r="B114" s="254">
        <f>SUM(B112:B113)</f>
        <v>0</v>
      </c>
      <c r="C114" s="254">
        <f>SUM(C112:C113)</f>
        <v>0</v>
      </c>
      <c r="D114" s="254">
        <f>SUM(D112:D113)</f>
        <v>0</v>
      </c>
      <c r="E114" s="254">
        <f t="shared" ref="E114:AP114" si="69">SUM(E112:E113)</f>
        <v>0</v>
      </c>
      <c r="F114" s="254">
        <f t="shared" si="69"/>
        <v>0</v>
      </c>
      <c r="G114" s="254">
        <f t="shared" si="69"/>
        <v>0</v>
      </c>
      <c r="H114" s="254">
        <f t="shared" si="69"/>
        <v>0</v>
      </c>
      <c r="I114" s="254">
        <f t="shared" si="69"/>
        <v>0</v>
      </c>
      <c r="J114" s="254">
        <f t="shared" si="69"/>
        <v>0</v>
      </c>
      <c r="K114" s="254">
        <f t="shared" si="69"/>
        <v>0</v>
      </c>
      <c r="L114" s="254">
        <f t="shared" si="69"/>
        <v>0</v>
      </c>
      <c r="M114" s="254">
        <f t="shared" si="69"/>
        <v>0</v>
      </c>
      <c r="N114" s="254">
        <f t="shared" si="69"/>
        <v>0</v>
      </c>
      <c r="O114" s="254">
        <f t="shared" si="69"/>
        <v>0</v>
      </c>
      <c r="P114" s="254">
        <f t="shared" si="69"/>
        <v>0</v>
      </c>
      <c r="Q114" s="254">
        <f t="shared" si="69"/>
        <v>0</v>
      </c>
      <c r="R114" s="254">
        <f t="shared" si="69"/>
        <v>0</v>
      </c>
      <c r="S114" s="254">
        <f t="shared" si="69"/>
        <v>0</v>
      </c>
      <c r="T114" s="254">
        <f t="shared" si="69"/>
        <v>0</v>
      </c>
      <c r="U114" s="254">
        <f t="shared" si="69"/>
        <v>0</v>
      </c>
      <c r="V114" s="254">
        <f t="shared" si="69"/>
        <v>0</v>
      </c>
      <c r="W114" s="254">
        <f t="shared" si="69"/>
        <v>0</v>
      </c>
      <c r="X114" s="254">
        <f t="shared" si="69"/>
        <v>0</v>
      </c>
      <c r="Y114" s="254">
        <f t="shared" si="69"/>
        <v>0</v>
      </c>
      <c r="Z114" s="254">
        <f t="shared" si="69"/>
        <v>0</v>
      </c>
      <c r="AA114" s="254">
        <f t="shared" si="69"/>
        <v>0</v>
      </c>
      <c r="AB114" s="254">
        <f t="shared" si="69"/>
        <v>0</v>
      </c>
      <c r="AC114" s="254">
        <f t="shared" si="69"/>
        <v>0</v>
      </c>
      <c r="AD114" s="254">
        <f t="shared" si="69"/>
        <v>0</v>
      </c>
      <c r="AE114" s="254">
        <f t="shared" si="69"/>
        <v>0</v>
      </c>
      <c r="AF114" s="254">
        <f t="shared" si="69"/>
        <v>0</v>
      </c>
      <c r="AG114" s="254">
        <f t="shared" si="69"/>
        <v>0</v>
      </c>
      <c r="AH114" s="254">
        <f t="shared" si="69"/>
        <v>0</v>
      </c>
      <c r="AI114" s="254">
        <f t="shared" si="69"/>
        <v>0</v>
      </c>
      <c r="AJ114" s="254">
        <f t="shared" si="69"/>
        <v>0</v>
      </c>
      <c r="AK114" s="254">
        <f t="shared" si="69"/>
        <v>0</v>
      </c>
      <c r="AL114" s="254">
        <f t="shared" si="69"/>
        <v>0</v>
      </c>
      <c r="AM114" s="254">
        <f t="shared" si="69"/>
        <v>0</v>
      </c>
      <c r="AN114" s="254">
        <f t="shared" si="69"/>
        <v>0</v>
      </c>
      <c r="AO114" s="254">
        <f t="shared" si="69"/>
        <v>0</v>
      </c>
      <c r="AP114" s="254">
        <f t="shared" si="69"/>
        <v>0</v>
      </c>
    </row>
    <row r="115" spans="1:42" s="101" customFormat="1" x14ac:dyDescent="0.2">
      <c r="A115" s="256" t="s">
        <v>38</v>
      </c>
      <c r="B115" s="254"/>
      <c r="C115" s="254"/>
      <c r="D115" s="254"/>
      <c r="E115" s="254"/>
      <c r="F115" s="254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  <c r="AO115" s="255"/>
      <c r="AP115" s="255"/>
    </row>
    <row r="116" spans="1:42" s="101" customFormat="1" x14ac:dyDescent="0.2">
      <c r="A116" s="260" t="s">
        <v>37</v>
      </c>
      <c r="B116" s="254">
        <v>0</v>
      </c>
      <c r="C116" s="254">
        <v>0</v>
      </c>
      <c r="D116" s="254">
        <v>0</v>
      </c>
      <c r="E116" s="254">
        <v>0</v>
      </c>
      <c r="F116" s="254">
        <v>0</v>
      </c>
      <c r="G116" s="254">
        <v>0</v>
      </c>
      <c r="H116" s="254">
        <v>0</v>
      </c>
      <c r="I116" s="254">
        <v>0</v>
      </c>
      <c r="J116" s="254">
        <v>0</v>
      </c>
      <c r="K116" s="254">
        <v>0</v>
      </c>
      <c r="L116" s="254">
        <v>0</v>
      </c>
      <c r="M116" s="254">
        <v>0</v>
      </c>
      <c r="N116" s="254">
        <v>0</v>
      </c>
      <c r="O116" s="254">
        <v>0</v>
      </c>
      <c r="P116" s="254">
        <v>0</v>
      </c>
      <c r="Q116" s="254">
        <v>0</v>
      </c>
      <c r="R116" s="254">
        <v>0</v>
      </c>
      <c r="S116" s="254">
        <v>0</v>
      </c>
      <c r="T116" s="254">
        <v>0</v>
      </c>
      <c r="U116" s="254">
        <v>0</v>
      </c>
      <c r="V116" s="254">
        <v>0</v>
      </c>
      <c r="W116" s="254">
        <v>0</v>
      </c>
      <c r="X116" s="254">
        <v>0</v>
      </c>
      <c r="Y116" s="254">
        <v>0</v>
      </c>
      <c r="Z116" s="254">
        <v>0</v>
      </c>
      <c r="AA116" s="254">
        <v>0</v>
      </c>
      <c r="AB116" s="254">
        <v>0</v>
      </c>
      <c r="AC116" s="254">
        <v>0</v>
      </c>
      <c r="AD116" s="254">
        <v>0</v>
      </c>
      <c r="AE116" s="254">
        <v>0</v>
      </c>
      <c r="AF116" s="254">
        <v>0</v>
      </c>
      <c r="AG116" s="254">
        <v>0</v>
      </c>
      <c r="AH116" s="254">
        <v>0</v>
      </c>
      <c r="AI116" s="254">
        <v>0</v>
      </c>
      <c r="AJ116" s="254">
        <v>0</v>
      </c>
      <c r="AK116" s="254">
        <v>0</v>
      </c>
      <c r="AL116" s="254">
        <v>0</v>
      </c>
      <c r="AM116" s="254">
        <v>0</v>
      </c>
      <c r="AN116" s="254">
        <v>0</v>
      </c>
      <c r="AO116" s="254">
        <v>0</v>
      </c>
      <c r="AP116" s="254">
        <v>0</v>
      </c>
    </row>
    <row r="117" spans="1:42" s="101" customFormat="1" x14ac:dyDescent="0.2">
      <c r="A117" s="260" t="s">
        <v>36</v>
      </c>
      <c r="B117" s="193">
        <v>0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3">
        <v>0</v>
      </c>
      <c r="I117" s="193">
        <v>0</v>
      </c>
      <c r="J117" s="193">
        <v>0</v>
      </c>
      <c r="K117" s="193">
        <v>0</v>
      </c>
      <c r="L117" s="193">
        <v>0</v>
      </c>
      <c r="M117" s="193">
        <v>0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3">
        <v>0</v>
      </c>
      <c r="Y117" s="193">
        <v>0</v>
      </c>
      <c r="Z117" s="193">
        <v>0</v>
      </c>
      <c r="AA117" s="193">
        <v>0</v>
      </c>
      <c r="AB117" s="193">
        <v>0</v>
      </c>
      <c r="AC117" s="193">
        <v>0</v>
      </c>
      <c r="AD117" s="193">
        <v>0</v>
      </c>
      <c r="AE117" s="193">
        <v>0</v>
      </c>
      <c r="AF117" s="193">
        <v>0</v>
      </c>
      <c r="AG117" s="193">
        <v>0</v>
      </c>
      <c r="AH117" s="193">
        <v>0</v>
      </c>
      <c r="AI117" s="193">
        <v>0</v>
      </c>
      <c r="AJ117" s="193">
        <v>0</v>
      </c>
      <c r="AK117" s="193">
        <v>0</v>
      </c>
      <c r="AL117" s="193">
        <v>0</v>
      </c>
      <c r="AM117" s="193">
        <v>0</v>
      </c>
      <c r="AN117" s="193">
        <v>0</v>
      </c>
      <c r="AO117" s="193">
        <v>0</v>
      </c>
      <c r="AP117" s="193">
        <v>0</v>
      </c>
    </row>
    <row r="118" spans="1:42" s="101" customFormat="1" x14ac:dyDescent="0.2">
      <c r="A118" s="260" t="s">
        <v>53</v>
      </c>
      <c r="B118" s="254">
        <f>SUM(B116:B117)</f>
        <v>0</v>
      </c>
      <c r="C118" s="254">
        <f>SUM(C116:C117)</f>
        <v>0</v>
      </c>
      <c r="D118" s="254">
        <f>SUM(D116:D117)</f>
        <v>0</v>
      </c>
      <c r="E118" s="254">
        <f t="shared" ref="E118:AP118" si="70">SUM(E116:E117)</f>
        <v>0</v>
      </c>
      <c r="F118" s="254">
        <f t="shared" si="70"/>
        <v>0</v>
      </c>
      <c r="G118" s="254">
        <f t="shared" si="70"/>
        <v>0</v>
      </c>
      <c r="H118" s="254">
        <f t="shared" si="70"/>
        <v>0</v>
      </c>
      <c r="I118" s="254">
        <f t="shared" si="70"/>
        <v>0</v>
      </c>
      <c r="J118" s="254">
        <f t="shared" si="70"/>
        <v>0</v>
      </c>
      <c r="K118" s="254">
        <f t="shared" si="70"/>
        <v>0</v>
      </c>
      <c r="L118" s="254">
        <f t="shared" si="70"/>
        <v>0</v>
      </c>
      <c r="M118" s="254">
        <f t="shared" si="70"/>
        <v>0</v>
      </c>
      <c r="N118" s="254">
        <f t="shared" si="70"/>
        <v>0</v>
      </c>
      <c r="O118" s="254">
        <f t="shared" si="70"/>
        <v>0</v>
      </c>
      <c r="P118" s="254">
        <f t="shared" si="70"/>
        <v>0</v>
      </c>
      <c r="Q118" s="254">
        <f t="shared" si="70"/>
        <v>0</v>
      </c>
      <c r="R118" s="254">
        <f t="shared" si="70"/>
        <v>0</v>
      </c>
      <c r="S118" s="254">
        <f t="shared" si="70"/>
        <v>0</v>
      </c>
      <c r="T118" s="254">
        <f t="shared" si="70"/>
        <v>0</v>
      </c>
      <c r="U118" s="254">
        <f t="shared" si="70"/>
        <v>0</v>
      </c>
      <c r="V118" s="254">
        <f t="shared" si="70"/>
        <v>0</v>
      </c>
      <c r="W118" s="254">
        <f t="shared" si="70"/>
        <v>0</v>
      </c>
      <c r="X118" s="254">
        <f t="shared" si="70"/>
        <v>0</v>
      </c>
      <c r="Y118" s="254">
        <f t="shared" si="70"/>
        <v>0</v>
      </c>
      <c r="Z118" s="254">
        <f t="shared" si="70"/>
        <v>0</v>
      </c>
      <c r="AA118" s="254">
        <f t="shared" si="70"/>
        <v>0</v>
      </c>
      <c r="AB118" s="254">
        <f t="shared" si="70"/>
        <v>0</v>
      </c>
      <c r="AC118" s="254">
        <f t="shared" si="70"/>
        <v>0</v>
      </c>
      <c r="AD118" s="254">
        <f t="shared" si="70"/>
        <v>0</v>
      </c>
      <c r="AE118" s="254">
        <f t="shared" si="70"/>
        <v>0</v>
      </c>
      <c r="AF118" s="254">
        <f t="shared" si="70"/>
        <v>0</v>
      </c>
      <c r="AG118" s="254">
        <f t="shared" si="70"/>
        <v>0</v>
      </c>
      <c r="AH118" s="254">
        <f t="shared" si="70"/>
        <v>0</v>
      </c>
      <c r="AI118" s="254">
        <f t="shared" si="70"/>
        <v>0</v>
      </c>
      <c r="AJ118" s="254">
        <f t="shared" si="70"/>
        <v>0</v>
      </c>
      <c r="AK118" s="254">
        <f t="shared" si="70"/>
        <v>0</v>
      </c>
      <c r="AL118" s="254">
        <f t="shared" si="70"/>
        <v>0</v>
      </c>
      <c r="AM118" s="254">
        <f t="shared" si="70"/>
        <v>0</v>
      </c>
      <c r="AN118" s="254">
        <f t="shared" si="70"/>
        <v>0</v>
      </c>
      <c r="AO118" s="254">
        <f t="shared" si="70"/>
        <v>0</v>
      </c>
      <c r="AP118" s="254">
        <f t="shared" si="70"/>
        <v>0</v>
      </c>
    </row>
    <row r="119" spans="1:42" s="101" customFormat="1" x14ac:dyDescent="0.2">
      <c r="A119" s="256" t="s">
        <v>206</v>
      </c>
      <c r="B119" s="254"/>
      <c r="C119" s="254"/>
      <c r="D119" s="254"/>
      <c r="E119" s="254"/>
      <c r="F119" s="254"/>
      <c r="G119" s="254"/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</row>
    <row r="120" spans="1:42" s="101" customFormat="1" x14ac:dyDescent="0.2">
      <c r="A120" s="260" t="s">
        <v>37</v>
      </c>
      <c r="B120" s="254">
        <v>0</v>
      </c>
      <c r="C120" s="254">
        <v>0</v>
      </c>
      <c r="D120" s="254">
        <v>0</v>
      </c>
      <c r="E120" s="254">
        <v>0</v>
      </c>
      <c r="F120" s="254">
        <v>0</v>
      </c>
      <c r="G120" s="254">
        <v>0</v>
      </c>
      <c r="H120" s="254">
        <v>0</v>
      </c>
      <c r="I120" s="254">
        <v>0</v>
      </c>
      <c r="J120" s="254">
        <v>0</v>
      </c>
      <c r="K120" s="254">
        <v>0</v>
      </c>
      <c r="L120" s="254">
        <v>0</v>
      </c>
      <c r="M120" s="254">
        <v>0</v>
      </c>
      <c r="N120" s="254">
        <v>0</v>
      </c>
      <c r="O120" s="254">
        <v>0</v>
      </c>
      <c r="P120" s="254">
        <v>0</v>
      </c>
      <c r="Q120" s="254">
        <v>0</v>
      </c>
      <c r="R120" s="254">
        <v>0</v>
      </c>
      <c r="S120" s="254">
        <v>0</v>
      </c>
      <c r="T120" s="254">
        <v>0</v>
      </c>
      <c r="U120" s="254">
        <v>0</v>
      </c>
      <c r="V120" s="254">
        <v>0</v>
      </c>
      <c r="W120" s="254">
        <v>0</v>
      </c>
      <c r="X120" s="254">
        <v>0</v>
      </c>
      <c r="Y120" s="254">
        <v>0</v>
      </c>
      <c r="Z120" s="254">
        <v>0</v>
      </c>
      <c r="AA120" s="254">
        <v>0</v>
      </c>
      <c r="AB120" s="254">
        <v>0</v>
      </c>
      <c r="AC120" s="254">
        <v>0</v>
      </c>
      <c r="AD120" s="254">
        <v>0</v>
      </c>
      <c r="AE120" s="254">
        <v>0</v>
      </c>
      <c r="AF120" s="254">
        <v>0</v>
      </c>
      <c r="AG120" s="254">
        <v>0</v>
      </c>
      <c r="AH120" s="254">
        <v>0</v>
      </c>
      <c r="AI120" s="254">
        <v>0</v>
      </c>
      <c r="AJ120" s="254">
        <v>0</v>
      </c>
      <c r="AK120" s="254">
        <v>0</v>
      </c>
      <c r="AL120" s="254">
        <v>0</v>
      </c>
      <c r="AM120" s="254">
        <v>0</v>
      </c>
      <c r="AN120" s="254">
        <v>0</v>
      </c>
      <c r="AO120" s="254">
        <v>0</v>
      </c>
      <c r="AP120" s="254">
        <v>0</v>
      </c>
    </row>
    <row r="121" spans="1:42" s="101" customFormat="1" x14ac:dyDescent="0.2">
      <c r="A121" s="260" t="s">
        <v>36</v>
      </c>
      <c r="B121" s="193">
        <v>0</v>
      </c>
      <c r="C121" s="193">
        <v>0</v>
      </c>
      <c r="D121" s="193">
        <v>0</v>
      </c>
      <c r="E121" s="193">
        <v>0</v>
      </c>
      <c r="F121" s="193">
        <v>0</v>
      </c>
      <c r="G121" s="193">
        <v>0</v>
      </c>
      <c r="H121" s="193">
        <v>0</v>
      </c>
      <c r="I121" s="193">
        <v>0</v>
      </c>
      <c r="J121" s="193">
        <v>0</v>
      </c>
      <c r="K121" s="193">
        <v>0</v>
      </c>
      <c r="L121" s="193">
        <v>0</v>
      </c>
      <c r="M121" s="193">
        <v>0</v>
      </c>
      <c r="N121" s="193">
        <v>0</v>
      </c>
      <c r="O121" s="193">
        <v>0</v>
      </c>
      <c r="P121" s="193">
        <v>0</v>
      </c>
      <c r="Q121" s="193">
        <v>0</v>
      </c>
      <c r="R121" s="193">
        <v>0</v>
      </c>
      <c r="S121" s="193">
        <v>0</v>
      </c>
      <c r="T121" s="193">
        <v>0</v>
      </c>
      <c r="U121" s="193">
        <v>0</v>
      </c>
      <c r="V121" s="193">
        <v>0</v>
      </c>
      <c r="W121" s="193">
        <v>0</v>
      </c>
      <c r="X121" s="193">
        <v>0</v>
      </c>
      <c r="Y121" s="193">
        <v>0</v>
      </c>
      <c r="Z121" s="193">
        <v>0</v>
      </c>
      <c r="AA121" s="193">
        <v>0</v>
      </c>
      <c r="AB121" s="193">
        <v>0</v>
      </c>
      <c r="AC121" s="193">
        <v>0</v>
      </c>
      <c r="AD121" s="193">
        <v>0</v>
      </c>
      <c r="AE121" s="193">
        <v>0</v>
      </c>
      <c r="AF121" s="193">
        <v>0</v>
      </c>
      <c r="AG121" s="193">
        <v>0</v>
      </c>
      <c r="AH121" s="193">
        <v>0</v>
      </c>
      <c r="AI121" s="193">
        <v>0</v>
      </c>
      <c r="AJ121" s="193">
        <v>0</v>
      </c>
      <c r="AK121" s="193">
        <v>0</v>
      </c>
      <c r="AL121" s="193">
        <v>0</v>
      </c>
      <c r="AM121" s="193">
        <v>0</v>
      </c>
      <c r="AN121" s="193">
        <v>0</v>
      </c>
      <c r="AO121" s="193">
        <v>0</v>
      </c>
      <c r="AP121" s="193">
        <v>0</v>
      </c>
    </row>
    <row r="122" spans="1:42" s="101" customFormat="1" x14ac:dyDescent="0.2">
      <c r="A122" s="260" t="s">
        <v>53</v>
      </c>
      <c r="B122" s="261">
        <f>SUM(B120:B121)</f>
        <v>0</v>
      </c>
      <c r="C122" s="261">
        <f>SUM(C120:C121)</f>
        <v>0</v>
      </c>
      <c r="D122" s="261">
        <f>SUM(D120:D121)</f>
        <v>0</v>
      </c>
      <c r="E122" s="261">
        <f t="shared" ref="E122:AP122" si="71">SUM(E120:E121)</f>
        <v>0</v>
      </c>
      <c r="F122" s="261">
        <f t="shared" si="71"/>
        <v>0</v>
      </c>
      <c r="G122" s="261">
        <f t="shared" si="71"/>
        <v>0</v>
      </c>
      <c r="H122" s="261">
        <f t="shared" si="71"/>
        <v>0</v>
      </c>
      <c r="I122" s="261">
        <f t="shared" si="71"/>
        <v>0</v>
      </c>
      <c r="J122" s="261">
        <f t="shared" si="71"/>
        <v>0</v>
      </c>
      <c r="K122" s="261">
        <f t="shared" si="71"/>
        <v>0</v>
      </c>
      <c r="L122" s="261">
        <f t="shared" si="71"/>
        <v>0</v>
      </c>
      <c r="M122" s="261">
        <f t="shared" si="71"/>
        <v>0</v>
      </c>
      <c r="N122" s="261">
        <f t="shared" si="71"/>
        <v>0</v>
      </c>
      <c r="O122" s="261">
        <f t="shared" si="71"/>
        <v>0</v>
      </c>
      <c r="P122" s="261">
        <f t="shared" si="71"/>
        <v>0</v>
      </c>
      <c r="Q122" s="261">
        <f t="shared" si="71"/>
        <v>0</v>
      </c>
      <c r="R122" s="261">
        <f t="shared" si="71"/>
        <v>0</v>
      </c>
      <c r="S122" s="261">
        <f t="shared" si="71"/>
        <v>0</v>
      </c>
      <c r="T122" s="261">
        <f t="shared" si="71"/>
        <v>0</v>
      </c>
      <c r="U122" s="261">
        <f t="shared" si="71"/>
        <v>0</v>
      </c>
      <c r="V122" s="261">
        <f t="shared" si="71"/>
        <v>0</v>
      </c>
      <c r="W122" s="261">
        <f t="shared" si="71"/>
        <v>0</v>
      </c>
      <c r="X122" s="261">
        <f t="shared" si="71"/>
        <v>0</v>
      </c>
      <c r="Y122" s="261">
        <f t="shared" si="71"/>
        <v>0</v>
      </c>
      <c r="Z122" s="261">
        <f t="shared" si="71"/>
        <v>0</v>
      </c>
      <c r="AA122" s="261">
        <f t="shared" si="71"/>
        <v>0</v>
      </c>
      <c r="AB122" s="261">
        <f t="shared" si="71"/>
        <v>0</v>
      </c>
      <c r="AC122" s="261">
        <f t="shared" si="71"/>
        <v>0</v>
      </c>
      <c r="AD122" s="261">
        <f t="shared" si="71"/>
        <v>0</v>
      </c>
      <c r="AE122" s="261">
        <f t="shared" si="71"/>
        <v>0</v>
      </c>
      <c r="AF122" s="261">
        <f t="shared" si="71"/>
        <v>0</v>
      </c>
      <c r="AG122" s="261">
        <f t="shared" si="71"/>
        <v>0</v>
      </c>
      <c r="AH122" s="261">
        <f t="shared" si="71"/>
        <v>0</v>
      </c>
      <c r="AI122" s="261">
        <f t="shared" si="71"/>
        <v>0</v>
      </c>
      <c r="AJ122" s="261">
        <f t="shared" si="71"/>
        <v>0</v>
      </c>
      <c r="AK122" s="261">
        <f t="shared" si="71"/>
        <v>0</v>
      </c>
      <c r="AL122" s="261">
        <f t="shared" si="71"/>
        <v>0</v>
      </c>
      <c r="AM122" s="261">
        <f t="shared" si="71"/>
        <v>0</v>
      </c>
      <c r="AN122" s="261">
        <f t="shared" si="71"/>
        <v>0</v>
      </c>
      <c r="AO122" s="261">
        <f t="shared" si="71"/>
        <v>0</v>
      </c>
      <c r="AP122" s="261">
        <f t="shared" si="71"/>
        <v>0</v>
      </c>
    </row>
    <row r="123" spans="1:42" s="101" customFormat="1" x14ac:dyDescent="0.2">
      <c r="A123" s="256" t="s">
        <v>53</v>
      </c>
      <c r="B123" s="254">
        <f>B110+B114+B118+B122</f>
        <v>0</v>
      </c>
      <c r="C123" s="254">
        <f t="shared" ref="C123:AP123" si="72">C110+C114+C118+C122</f>
        <v>0</v>
      </c>
      <c r="D123" s="254">
        <f t="shared" si="72"/>
        <v>0</v>
      </c>
      <c r="E123" s="254">
        <f t="shared" si="72"/>
        <v>0</v>
      </c>
      <c r="F123" s="254">
        <f t="shared" si="72"/>
        <v>0</v>
      </c>
      <c r="G123" s="254">
        <f t="shared" si="72"/>
        <v>0</v>
      </c>
      <c r="H123" s="254">
        <f t="shared" si="72"/>
        <v>0</v>
      </c>
      <c r="I123" s="254">
        <f t="shared" si="72"/>
        <v>0</v>
      </c>
      <c r="J123" s="254">
        <f t="shared" si="72"/>
        <v>0</v>
      </c>
      <c r="K123" s="254">
        <f t="shared" si="72"/>
        <v>0</v>
      </c>
      <c r="L123" s="254">
        <f t="shared" si="72"/>
        <v>0</v>
      </c>
      <c r="M123" s="254">
        <f t="shared" si="72"/>
        <v>0</v>
      </c>
      <c r="N123" s="254">
        <f t="shared" si="72"/>
        <v>0</v>
      </c>
      <c r="O123" s="254">
        <f t="shared" si="72"/>
        <v>0</v>
      </c>
      <c r="P123" s="254">
        <f t="shared" si="72"/>
        <v>0</v>
      </c>
      <c r="Q123" s="254">
        <f t="shared" si="72"/>
        <v>0</v>
      </c>
      <c r="R123" s="254">
        <f t="shared" si="72"/>
        <v>0</v>
      </c>
      <c r="S123" s="254">
        <f t="shared" si="72"/>
        <v>0</v>
      </c>
      <c r="T123" s="254">
        <f t="shared" si="72"/>
        <v>0</v>
      </c>
      <c r="U123" s="254">
        <f t="shared" si="72"/>
        <v>0</v>
      </c>
      <c r="V123" s="254">
        <f t="shared" si="72"/>
        <v>0</v>
      </c>
      <c r="W123" s="254">
        <f t="shared" si="72"/>
        <v>0</v>
      </c>
      <c r="X123" s="254">
        <f t="shared" si="72"/>
        <v>0</v>
      </c>
      <c r="Y123" s="254">
        <f t="shared" si="72"/>
        <v>0</v>
      </c>
      <c r="Z123" s="254">
        <f t="shared" si="72"/>
        <v>0</v>
      </c>
      <c r="AA123" s="254">
        <f t="shared" si="72"/>
        <v>0</v>
      </c>
      <c r="AB123" s="254">
        <f t="shared" si="72"/>
        <v>0</v>
      </c>
      <c r="AC123" s="254">
        <f t="shared" si="72"/>
        <v>0</v>
      </c>
      <c r="AD123" s="254">
        <f t="shared" si="72"/>
        <v>0</v>
      </c>
      <c r="AE123" s="254">
        <f t="shared" si="72"/>
        <v>0</v>
      </c>
      <c r="AF123" s="254">
        <f t="shared" si="72"/>
        <v>0</v>
      </c>
      <c r="AG123" s="254">
        <f t="shared" si="72"/>
        <v>0</v>
      </c>
      <c r="AH123" s="254">
        <f t="shared" si="72"/>
        <v>0</v>
      </c>
      <c r="AI123" s="254">
        <f t="shared" si="72"/>
        <v>0</v>
      </c>
      <c r="AJ123" s="254">
        <f t="shared" si="72"/>
        <v>0</v>
      </c>
      <c r="AK123" s="254">
        <f t="shared" si="72"/>
        <v>0</v>
      </c>
      <c r="AL123" s="254">
        <f t="shared" si="72"/>
        <v>0</v>
      </c>
      <c r="AM123" s="254">
        <f t="shared" si="72"/>
        <v>0</v>
      </c>
      <c r="AN123" s="254">
        <f t="shared" si="72"/>
        <v>0</v>
      </c>
      <c r="AO123" s="254">
        <f t="shared" si="72"/>
        <v>0</v>
      </c>
      <c r="AP123" s="254">
        <f t="shared" si="72"/>
        <v>0</v>
      </c>
    </row>
    <row r="124" spans="1:42" s="101" customFormat="1" x14ac:dyDescent="0.2">
      <c r="A124" s="260"/>
      <c r="B124" s="254"/>
      <c r="C124" s="254"/>
      <c r="D124" s="254"/>
      <c r="E124" s="254"/>
      <c r="F124" s="254"/>
      <c r="G124" s="254"/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</row>
    <row r="125" spans="1:42" s="101" customFormat="1" x14ac:dyDescent="0.2">
      <c r="A125" s="256" t="s">
        <v>323</v>
      </c>
      <c r="B125" s="257">
        <f>ROUND(IF(ISERROR(IRR($B123:B123)),0,IRR($B123:B123)),4)</f>
        <v>0</v>
      </c>
      <c r="C125" s="257">
        <f>ROUND(IF(ISERROR(IRR($B123:C123)),0,IRR($B123:C123)),4)</f>
        <v>0</v>
      </c>
      <c r="D125" s="257">
        <f>ROUND(IF(ISERROR(IRR($B123:D123)),0,IRR($B123:D123)),4)</f>
        <v>0</v>
      </c>
      <c r="E125" s="257">
        <f>ROUND(IF(ISERROR(IRR($B123:E123)),0,IRR($B123:E123)),4)</f>
        <v>0</v>
      </c>
      <c r="F125" s="257">
        <f>ROUND(IF(ISERROR(IRR($B123:F123)),0,IRR($B123:F123)),4)</f>
        <v>0</v>
      </c>
      <c r="G125" s="257">
        <f>ROUND(IF(ISERROR(IRR($B123:G123)),0,IRR($B123:G123)),4)</f>
        <v>0</v>
      </c>
      <c r="H125" s="257">
        <f>ROUND(IF(ISERROR(IRR($B123:H123)),0,IRR($B123:H123)),4)</f>
        <v>0</v>
      </c>
      <c r="I125" s="257">
        <f>ROUND(IF(ISERROR(IRR($B123:I123)),0,IRR($B123:I123)),4)</f>
        <v>0</v>
      </c>
      <c r="J125" s="257">
        <f>ROUND(IF(ISERROR(IRR($B123:J123)),0,IRR($B123:J123)),4)</f>
        <v>0</v>
      </c>
      <c r="K125" s="257">
        <f>ROUND(IF(ISERROR(IRR($B123:K123)),0,IRR($B123:K123)),4)</f>
        <v>0</v>
      </c>
      <c r="L125" s="257">
        <f>ROUND(IF(ISERROR(IRR($B123:L123)),0,IRR($B123:L123)),4)</f>
        <v>0</v>
      </c>
      <c r="M125" s="257">
        <f>ROUND(IF(ISERROR(IRR($B123:M123)),0,IRR($B123:M123)),4)</f>
        <v>0</v>
      </c>
      <c r="N125" s="257">
        <f>ROUND(IF(ISERROR(IRR($B123:N123)),0,IRR($B123:N123)),4)</f>
        <v>0</v>
      </c>
      <c r="O125" s="257">
        <f>ROUND(IF(ISERROR(IRR($B123:O123)),0,IRR($B123:O123)),4)</f>
        <v>0</v>
      </c>
      <c r="P125" s="257">
        <f>ROUND(IF(ISERROR(IRR($B123:P123)),0,IRR($B123:P123)),4)</f>
        <v>0</v>
      </c>
      <c r="Q125" s="257">
        <f>ROUND(IF(ISERROR(IRR($B123:Q123)),0,IRR($B123:Q123)),4)</f>
        <v>0</v>
      </c>
      <c r="R125" s="257">
        <f>ROUND(IF(ISERROR(IRR($B123:R123)),0,IRR($B123:R123)),4)</f>
        <v>0</v>
      </c>
      <c r="S125" s="257">
        <f>ROUND(IF(ISERROR(IRR($B123:S123)),0,IRR($B123:S123)),4)</f>
        <v>0</v>
      </c>
      <c r="T125" s="257">
        <f>ROUND(IF(ISERROR(IRR($B123:T123)),0,IRR($B123:T123)),4)</f>
        <v>0</v>
      </c>
      <c r="U125" s="257">
        <f>ROUND(IF(ISERROR(IRR($B123:U123)),0,IRR($B123:U123)),4)</f>
        <v>0</v>
      </c>
      <c r="V125" s="257">
        <f>ROUND(IF(ISERROR(IRR($B123:V123)),0,IRR($B123:V123)),4)</f>
        <v>0</v>
      </c>
      <c r="W125" s="257">
        <f>ROUND(IF(ISERROR(IRR($B123:W123)),0,IRR($B123:W123)),4)</f>
        <v>0</v>
      </c>
      <c r="X125" s="257">
        <f>ROUND(IF(ISERROR(IRR($B123:X123)),0,IRR($B123:X123)),4)</f>
        <v>0</v>
      </c>
      <c r="Y125" s="257">
        <f>ROUND(IF(ISERROR(IRR($B123:Y123)),0,IRR($B123:Y123)),4)</f>
        <v>0</v>
      </c>
      <c r="Z125" s="257">
        <f>ROUND(IF(ISERROR(IRR($B123:Z123)),0,IRR($B123:Z123)),4)</f>
        <v>0</v>
      </c>
      <c r="AA125" s="257">
        <f>ROUND(IF(ISERROR(IRR($B123:AA123)),0,IRR($B123:AA123)),4)</f>
        <v>0</v>
      </c>
      <c r="AB125" s="257">
        <f>ROUND(IF(ISERROR(IRR($B123:AB123)),0,IRR($B123:AB123)),4)</f>
        <v>0</v>
      </c>
      <c r="AC125" s="257">
        <f>ROUND(IF(ISERROR(IRR($B123:AC123)),0,IRR($B123:AC123)),4)</f>
        <v>0</v>
      </c>
      <c r="AD125" s="257">
        <f>ROUND(IF(ISERROR(IRR($B123:AD123)),0,IRR($B123:AD123)),4)</f>
        <v>0</v>
      </c>
      <c r="AE125" s="257">
        <f>ROUND(IF(ISERROR(IRR($B123:AE123)),0,IRR($B123:AE123)),4)</f>
        <v>0</v>
      </c>
      <c r="AF125" s="257">
        <f>ROUND(IF(ISERROR(IRR($B123:AF123)),0,IRR($B123:AF123)),4)</f>
        <v>0</v>
      </c>
      <c r="AG125" s="257">
        <f>ROUND(IF(ISERROR(IRR($B123:AG123)),0,IRR($B123:AG123)),4)</f>
        <v>0</v>
      </c>
      <c r="AH125" s="257">
        <f>ROUND(IF(ISERROR(IRR($B123:AH123)),0,IRR($B123:AH123)),4)</f>
        <v>0</v>
      </c>
      <c r="AI125" s="257">
        <f>ROUND(IF(ISERROR(IRR($B123:AI123)),0,IRR($B123:AI123)),4)</f>
        <v>0</v>
      </c>
      <c r="AJ125" s="257">
        <f>ROUND(IF(ISERROR(IRR($B123:AJ123)),0,IRR($B123:AJ123)),4)</f>
        <v>0</v>
      </c>
      <c r="AK125" s="257">
        <f>ROUND(IF(ISERROR(IRR($B123:AK123)),0,IRR($B123:AK123)),4)</f>
        <v>0</v>
      </c>
      <c r="AL125" s="257">
        <f>ROUND(IF(ISERROR(IRR($B123:AL123)),0,IRR($B123:AL123)),4)</f>
        <v>0</v>
      </c>
      <c r="AM125" s="257">
        <f>ROUND(IF(ISERROR(IRR($B123:AM123)),0,IRR($B123:AM123)),4)</f>
        <v>0</v>
      </c>
      <c r="AN125" s="257">
        <f>ROUND(IF(ISERROR(IRR($B123:AN123)),0,IRR($B123:AN123)),4)</f>
        <v>0</v>
      </c>
      <c r="AO125" s="257">
        <f>ROUND(IF(ISERROR(IRR($B123:AO123)),0,IRR($B123:AO123)),4)</f>
        <v>0</v>
      </c>
      <c r="AP125" s="257">
        <f>ROUND(IF(ISERROR(IRR($B123:AP123)),0,IRR($B123:AP123)),4)</f>
        <v>0</v>
      </c>
    </row>
    <row r="126" spans="1:42" s="101" customFormat="1" x14ac:dyDescent="0.2">
      <c r="A126" s="256" t="s">
        <v>324</v>
      </c>
      <c r="B126" s="258">
        <f>B123</f>
        <v>0</v>
      </c>
      <c r="C126" s="258">
        <f>NPV(DiscountRate,$C123:C123)+$B123</f>
        <v>0</v>
      </c>
      <c r="D126" s="258">
        <f>NPV(DiscountRate,$C123:D123)+$B123</f>
        <v>0</v>
      </c>
      <c r="E126" s="258">
        <f>NPV(DiscountRate,$C123:E123)+$B123</f>
        <v>0</v>
      </c>
      <c r="F126" s="258">
        <f>NPV(DiscountRate,$C123:F123)+$B123</f>
        <v>0</v>
      </c>
      <c r="G126" s="258">
        <f>NPV(DiscountRate,$C123:G123)+$B123</f>
        <v>0</v>
      </c>
      <c r="H126" s="258">
        <f>NPV(DiscountRate,$C123:H123)+$B123</f>
        <v>0</v>
      </c>
      <c r="I126" s="258">
        <f>NPV(DiscountRate,$C123:I123)+$B123</f>
        <v>0</v>
      </c>
      <c r="J126" s="258">
        <f>NPV(DiscountRate,$C123:J123)+$B123</f>
        <v>0</v>
      </c>
      <c r="K126" s="258">
        <f>NPV(DiscountRate,$C123:K123)+$B123</f>
        <v>0</v>
      </c>
      <c r="L126" s="258">
        <f>NPV(DiscountRate,$C123:L123)+$B123</f>
        <v>0</v>
      </c>
      <c r="M126" s="258">
        <f>NPV(DiscountRate,$C123:M123)+$B123</f>
        <v>0</v>
      </c>
      <c r="N126" s="258">
        <f>NPV(DiscountRate,$C123:N123)+$B123</f>
        <v>0</v>
      </c>
      <c r="O126" s="258">
        <f>NPV(DiscountRate,$C123:O123)+$B123</f>
        <v>0</v>
      </c>
      <c r="P126" s="258">
        <f>NPV(DiscountRate,$C123:P123)+$B123</f>
        <v>0</v>
      </c>
      <c r="Q126" s="258">
        <f>NPV(DiscountRate,$C123:Q123)+$B123</f>
        <v>0</v>
      </c>
      <c r="R126" s="258">
        <f>NPV(DiscountRate,$C123:R123)+$B123</f>
        <v>0</v>
      </c>
      <c r="S126" s="258">
        <f>NPV(DiscountRate,$C123:S123)+$B123</f>
        <v>0</v>
      </c>
      <c r="T126" s="258">
        <f>NPV(DiscountRate,$C123:T123)+$B123</f>
        <v>0</v>
      </c>
      <c r="U126" s="258">
        <f>NPV(DiscountRate,$C123:U123)+$B123</f>
        <v>0</v>
      </c>
      <c r="V126" s="258">
        <f>NPV(DiscountRate,$C123:V123)+$B123</f>
        <v>0</v>
      </c>
      <c r="W126" s="258">
        <f>NPV(DiscountRate,$C123:W123)+$B123</f>
        <v>0</v>
      </c>
      <c r="X126" s="258">
        <f>NPV(DiscountRate,$C123:X123)+$B123</f>
        <v>0</v>
      </c>
      <c r="Y126" s="258">
        <f>NPV(DiscountRate,$C123:Y123)+$B123</f>
        <v>0</v>
      </c>
      <c r="Z126" s="258">
        <f>NPV(DiscountRate,$C123:Z123)+$B123</f>
        <v>0</v>
      </c>
      <c r="AA126" s="258">
        <f>NPV(DiscountRate,$C123:AA123)+$B123</f>
        <v>0</v>
      </c>
      <c r="AB126" s="258">
        <f>NPV(DiscountRate,$C123:AB123)+$B123</f>
        <v>0</v>
      </c>
      <c r="AC126" s="258">
        <f>NPV(DiscountRate,$C123:AC123)+$B123</f>
        <v>0</v>
      </c>
      <c r="AD126" s="258">
        <f>NPV(DiscountRate,$C123:AD123)+$B123</f>
        <v>0</v>
      </c>
      <c r="AE126" s="258">
        <f>NPV(DiscountRate,$C123:AE123)+$B123</f>
        <v>0</v>
      </c>
      <c r="AF126" s="258">
        <f>NPV(DiscountRate,$C123:AF123)+$B123</f>
        <v>0</v>
      </c>
      <c r="AG126" s="258">
        <f>NPV(DiscountRate,$C123:AG123)+$B123</f>
        <v>0</v>
      </c>
      <c r="AH126" s="258">
        <f>NPV(DiscountRate,$C123:AH123)+$B123</f>
        <v>0</v>
      </c>
      <c r="AI126" s="258">
        <f>NPV(DiscountRate,$C123:AI123)+$B123</f>
        <v>0</v>
      </c>
      <c r="AJ126" s="258">
        <f>NPV(DiscountRate,$C123:AJ123)+$B123</f>
        <v>0</v>
      </c>
      <c r="AK126" s="258">
        <f>NPV(DiscountRate,$C123:AK123)+$B123</f>
        <v>0</v>
      </c>
      <c r="AL126" s="258">
        <f>NPV(DiscountRate,$C123:AL123)+$B123</f>
        <v>0</v>
      </c>
      <c r="AM126" s="258">
        <f>NPV(DiscountRate,$C123:AM123)+$B123</f>
        <v>0</v>
      </c>
      <c r="AN126" s="258">
        <f>NPV(DiscountRate,$C123:AN123)+$B123</f>
        <v>0</v>
      </c>
      <c r="AO126" s="258">
        <f>NPV(DiscountRate,$C123:AO123)+$B123</f>
        <v>0</v>
      </c>
      <c r="AP126" s="258">
        <f>NPV(DiscountRate,$C123:AP123)+$B123</f>
        <v>0</v>
      </c>
    </row>
    <row r="127" spans="1:42" s="101" customFormat="1" x14ac:dyDescent="0.2">
      <c r="A127" s="260"/>
      <c r="B127" s="254"/>
      <c r="C127" s="254"/>
      <c r="D127" s="254"/>
      <c r="E127" s="254"/>
      <c r="F127" s="254"/>
      <c r="G127" s="254"/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4"/>
      <c r="AK127" s="254"/>
      <c r="AL127" s="254"/>
      <c r="AM127" s="254"/>
      <c r="AN127" s="254"/>
      <c r="AO127" s="254"/>
      <c r="AP127" s="254"/>
    </row>
    <row r="128" spans="1:42" x14ac:dyDescent="0.2">
      <c r="A128" s="162" t="s">
        <v>233</v>
      </c>
      <c r="B128" s="135"/>
      <c r="C128" s="135"/>
      <c r="D128" s="135"/>
      <c r="E128" s="135"/>
      <c r="F128" s="135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</row>
    <row r="129" spans="1:42" x14ac:dyDescent="0.2">
      <c r="A129" s="163" t="s">
        <v>356</v>
      </c>
      <c r="B129" s="179">
        <f>SUM(C129:AP129)</f>
        <v>297676197.47193581</v>
      </c>
      <c r="C129" s="135">
        <f t="shared" ref="C129:AP129" si="73">C12</f>
        <v>6747796.8781398069</v>
      </c>
      <c r="D129" s="135">
        <f t="shared" si="73"/>
        <v>6781198.4726865981</v>
      </c>
      <c r="E129" s="135">
        <f t="shared" si="73"/>
        <v>6814765.4051263984</v>
      </c>
      <c r="F129" s="135">
        <f t="shared" si="73"/>
        <v>6848498.4938817732</v>
      </c>
      <c r="G129" s="135">
        <f t="shared" si="73"/>
        <v>6882398.5614264896</v>
      </c>
      <c r="H129" s="135">
        <f t="shared" si="73"/>
        <v>6916466.4343055496</v>
      </c>
      <c r="I129" s="135">
        <f t="shared" si="73"/>
        <v>6950702.9431553623</v>
      </c>
      <c r="J129" s="135">
        <f t="shared" si="73"/>
        <v>6985108.9227239797</v>
      </c>
      <c r="K129" s="135">
        <f t="shared" si="73"/>
        <v>7019685.2118914668</v>
      </c>
      <c r="L129" s="135">
        <f t="shared" si="73"/>
        <v>7054432.6536903288</v>
      </c>
      <c r="M129" s="135">
        <f t="shared" si="73"/>
        <v>7089352.0953260968</v>
      </c>
      <c r="N129" s="135">
        <f t="shared" si="73"/>
        <v>7124444.3881979594</v>
      </c>
      <c r="O129" s="135">
        <f t="shared" si="73"/>
        <v>7159710.3879195405</v>
      </c>
      <c r="P129" s="135">
        <f t="shared" si="73"/>
        <v>7195150.9543397427</v>
      </c>
      <c r="Q129" s="135">
        <f t="shared" si="73"/>
        <v>7230766.9515637252</v>
      </c>
      <c r="R129" s="135">
        <f t="shared" si="73"/>
        <v>7266559.2479739627</v>
      </c>
      <c r="S129" s="135">
        <f t="shared" si="73"/>
        <v>7302528.7162514366</v>
      </c>
      <c r="T129" s="135">
        <f t="shared" si="73"/>
        <v>7338676.2333968822</v>
      </c>
      <c r="U129" s="135">
        <f t="shared" si="73"/>
        <v>7375002.6807521963</v>
      </c>
      <c r="V129" s="135">
        <f t="shared" si="73"/>
        <v>7411508.9440219179</v>
      </c>
      <c r="W129" s="135">
        <f t="shared" si="73"/>
        <v>7448195.9132948276</v>
      </c>
      <c r="X129" s="135">
        <f t="shared" si="73"/>
        <v>7485064.4830656359</v>
      </c>
      <c r="Y129" s="135">
        <f t="shared" si="73"/>
        <v>7522115.5522568133</v>
      </c>
      <c r="Z129" s="135">
        <f t="shared" si="73"/>
        <v>7559350.0242404817</v>
      </c>
      <c r="AA129" s="135">
        <f t="shared" si="73"/>
        <v>7596768.8068604758</v>
      </c>
      <c r="AB129" s="135">
        <f t="shared" si="73"/>
        <v>7634372.812454436</v>
      </c>
      <c r="AC129" s="135">
        <f t="shared" si="73"/>
        <v>7672162.9578760853</v>
      </c>
      <c r="AD129" s="135">
        <f t="shared" si="73"/>
        <v>7710140.1645175684</v>
      </c>
      <c r="AE129" s="135">
        <f t="shared" si="73"/>
        <v>7748305.3583319318</v>
      </c>
      <c r="AF129" s="135">
        <f t="shared" si="73"/>
        <v>7786659.4698556755</v>
      </c>
      <c r="AG129" s="135">
        <f t="shared" si="73"/>
        <v>7825203.4342314629</v>
      </c>
      <c r="AH129" s="135">
        <f t="shared" si="73"/>
        <v>7863938.1912309052</v>
      </c>
      <c r="AI129" s="135">
        <f t="shared" si="73"/>
        <v>7902864.6852775002</v>
      </c>
      <c r="AJ129" s="135">
        <f t="shared" si="73"/>
        <v>7941983.8654696234</v>
      </c>
      <c r="AK129" s="135">
        <f t="shared" si="73"/>
        <v>7981296.6856036987</v>
      </c>
      <c r="AL129" s="135">
        <f t="shared" si="73"/>
        <v>8020804.1041974369</v>
      </c>
      <c r="AM129" s="135">
        <f t="shared" si="73"/>
        <v>8060507.0845132144</v>
      </c>
      <c r="AN129" s="135">
        <f t="shared" si="73"/>
        <v>8100406.5945815556</v>
      </c>
      <c r="AO129" s="135">
        <f t="shared" si="73"/>
        <v>8140503.6072247354</v>
      </c>
      <c r="AP129" s="135">
        <f t="shared" si="73"/>
        <v>8180799.1000804948</v>
      </c>
    </row>
    <row r="130" spans="1:42" x14ac:dyDescent="0.2">
      <c r="A130" s="163" t="s">
        <v>119</v>
      </c>
      <c r="B130" s="179">
        <f>SUM(C130:AP130)</f>
        <v>588224217.44537127</v>
      </c>
      <c r="C130" s="135">
        <f t="shared" ref="C130:AP130" si="74">C5</f>
        <v>16188480</v>
      </c>
      <c r="D130" s="135">
        <f t="shared" si="74"/>
        <v>16107537.6</v>
      </c>
      <c r="E130" s="135">
        <f t="shared" si="74"/>
        <v>16026999.912</v>
      </c>
      <c r="F130" s="135">
        <f t="shared" si="74"/>
        <v>15946864.91244</v>
      </c>
      <c r="G130" s="135">
        <f t="shared" si="74"/>
        <v>15867130.587877801</v>
      </c>
      <c r="H130" s="135">
        <f t="shared" si="74"/>
        <v>15787794.934938412</v>
      </c>
      <c r="I130" s="135">
        <f t="shared" si="74"/>
        <v>15708855.96026372</v>
      </c>
      <c r="J130" s="135">
        <f t="shared" si="74"/>
        <v>15630311.680462401</v>
      </c>
      <c r="K130" s="135">
        <f t="shared" si="74"/>
        <v>15552160.12206009</v>
      </c>
      <c r="L130" s="135">
        <f t="shared" si="74"/>
        <v>15474399.321449788</v>
      </c>
      <c r="M130" s="135">
        <f t="shared" si="74"/>
        <v>15397027.324842541</v>
      </c>
      <c r="N130" s="135">
        <f t="shared" si="74"/>
        <v>15320042.188218327</v>
      </c>
      <c r="O130" s="135">
        <f t="shared" si="74"/>
        <v>15243441.977277236</v>
      </c>
      <c r="P130" s="135">
        <f t="shared" si="74"/>
        <v>15167224.767390851</v>
      </c>
      <c r="Q130" s="135">
        <f t="shared" si="74"/>
        <v>15091388.643553898</v>
      </c>
      <c r="R130" s="135">
        <f t="shared" si="74"/>
        <v>15015931.700336127</v>
      </c>
      <c r="S130" s="135">
        <f t="shared" si="74"/>
        <v>14940852.041834446</v>
      </c>
      <c r="T130" s="135">
        <f t="shared" si="74"/>
        <v>14866147.781625275</v>
      </c>
      <c r="U130" s="135">
        <f t="shared" si="74"/>
        <v>14791817.042717148</v>
      </c>
      <c r="V130" s="135">
        <f t="shared" si="74"/>
        <v>14717857.957503561</v>
      </c>
      <c r="W130" s="135">
        <f t="shared" si="74"/>
        <v>14644268.667716045</v>
      </c>
      <c r="X130" s="135">
        <f t="shared" si="74"/>
        <v>14571047.324377464</v>
      </c>
      <c r="Y130" s="135">
        <f t="shared" si="74"/>
        <v>14498192.087755578</v>
      </c>
      <c r="Z130" s="135">
        <f t="shared" si="74"/>
        <v>14425701.127316799</v>
      </c>
      <c r="AA130" s="135">
        <f t="shared" si="74"/>
        <v>14353572.621680215</v>
      </c>
      <c r="AB130" s="135">
        <f t="shared" si="74"/>
        <v>14281804.758571815</v>
      </c>
      <c r="AC130" s="135">
        <f t="shared" si="74"/>
        <v>14210395.734778956</v>
      </c>
      <c r="AD130" s="135">
        <f t="shared" si="74"/>
        <v>14139343.75610506</v>
      </c>
      <c r="AE130" s="135">
        <f t="shared" si="74"/>
        <v>14068647.037324537</v>
      </c>
      <c r="AF130" s="135">
        <f t="shared" si="74"/>
        <v>13998303.802137915</v>
      </c>
      <c r="AG130" s="135">
        <f t="shared" si="74"/>
        <v>13928312.283127224</v>
      </c>
      <c r="AH130" s="135">
        <f t="shared" si="74"/>
        <v>13858670.721711587</v>
      </c>
      <c r="AI130" s="135">
        <f t="shared" si="74"/>
        <v>13789377.368103029</v>
      </c>
      <c r="AJ130" s="135">
        <f t="shared" si="74"/>
        <v>13720430.481262514</v>
      </c>
      <c r="AK130" s="135">
        <f t="shared" si="74"/>
        <v>13651828.328856202</v>
      </c>
      <c r="AL130" s="135">
        <f t="shared" si="74"/>
        <v>13583569.187211921</v>
      </c>
      <c r="AM130" s="135">
        <f t="shared" si="74"/>
        <v>13515651.341275861</v>
      </c>
      <c r="AN130" s="135">
        <f t="shared" si="74"/>
        <v>13448073.084569484</v>
      </c>
      <c r="AO130" s="135">
        <f t="shared" si="74"/>
        <v>13380832.719146635</v>
      </c>
      <c r="AP130" s="135">
        <f t="shared" si="74"/>
        <v>13313928.555550903</v>
      </c>
    </row>
    <row r="131" spans="1:42" x14ac:dyDescent="0.2">
      <c r="B131" s="135"/>
      <c r="C131" s="135"/>
      <c r="D131" s="135"/>
      <c r="E131" s="135"/>
      <c r="F131" s="135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</row>
    <row r="132" spans="1:42" x14ac:dyDescent="0.2">
      <c r="A132" s="20" t="s">
        <v>354</v>
      </c>
      <c r="B132" s="179">
        <f>NPV(DiscountRate,C129:AP129)</f>
        <v>84868261.689849213</v>
      </c>
      <c r="C132" s="135"/>
      <c r="D132" s="135"/>
      <c r="E132" s="135"/>
      <c r="F132" s="135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</row>
    <row r="133" spans="1:42" x14ac:dyDescent="0.2">
      <c r="A133" s="20" t="s">
        <v>355</v>
      </c>
      <c r="B133" s="179">
        <f>NPV(DiscountRate,C130:AP130)</f>
        <v>183278725.94683611</v>
      </c>
      <c r="C133" s="135"/>
      <c r="D133" s="135"/>
      <c r="E133" s="135"/>
      <c r="F133" s="135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</row>
    <row r="134" spans="1:42" x14ac:dyDescent="0.2">
      <c r="A134" s="20" t="s">
        <v>309</v>
      </c>
      <c r="B134" s="182">
        <f>B132/B133</f>
        <v>0.46305571610349938</v>
      </c>
      <c r="C134" s="135"/>
      <c r="D134" s="135"/>
      <c r="E134" s="135"/>
      <c r="F134" s="135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</row>
    <row r="135" spans="1:42" x14ac:dyDescent="0.2">
      <c r="B135" s="135"/>
      <c r="C135" s="135"/>
      <c r="D135" s="135"/>
      <c r="E135" s="135"/>
      <c r="F135" s="135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</row>
    <row r="136" spans="1:42" ht="13.5" customHeight="1" x14ac:dyDescent="0.2">
      <c r="A136" s="162" t="s">
        <v>345</v>
      </c>
      <c r="B136" s="181"/>
      <c r="C136" s="181"/>
      <c r="D136" s="181"/>
      <c r="E136" s="181"/>
      <c r="F136" s="181"/>
      <c r="G136" s="124"/>
      <c r="H136" s="124"/>
      <c r="I136" s="124"/>
      <c r="J136" s="124"/>
      <c r="K136" s="124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</row>
    <row r="137" spans="1:42" s="101" customFormat="1" x14ac:dyDescent="0.2">
      <c r="A137" s="178" t="s">
        <v>367</v>
      </c>
      <c r="B137" s="181"/>
      <c r="C137" s="181"/>
      <c r="D137" s="181"/>
      <c r="E137" s="181"/>
      <c r="F137" s="181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</row>
    <row r="138" spans="1:42" s="101" customFormat="1" x14ac:dyDescent="0.2">
      <c r="A138" s="243" t="s">
        <v>372</v>
      </c>
      <c r="B138" s="124">
        <f>-'Inputs &amp; Results'!D210</f>
        <v>-43210095.75</v>
      </c>
      <c r="C138" s="124">
        <f t="shared" ref="C138:AP138" si="75">C150</f>
        <v>0</v>
      </c>
      <c r="D138" s="124">
        <f t="shared" si="75"/>
        <v>0</v>
      </c>
      <c r="E138" s="124">
        <f t="shared" si="75"/>
        <v>0</v>
      </c>
      <c r="F138" s="124">
        <f t="shared" si="75"/>
        <v>0</v>
      </c>
      <c r="G138" s="124">
        <f t="shared" si="75"/>
        <v>0</v>
      </c>
      <c r="H138" s="124">
        <f t="shared" si="75"/>
        <v>0</v>
      </c>
      <c r="I138" s="124">
        <f t="shared" si="75"/>
        <v>0</v>
      </c>
      <c r="J138" s="124">
        <f t="shared" si="75"/>
        <v>0</v>
      </c>
      <c r="K138" s="124">
        <f t="shared" si="75"/>
        <v>0</v>
      </c>
      <c r="L138" s="124">
        <f t="shared" si="75"/>
        <v>0</v>
      </c>
      <c r="M138" s="124">
        <f t="shared" si="75"/>
        <v>0</v>
      </c>
      <c r="N138" s="124">
        <f t="shared" si="75"/>
        <v>0</v>
      </c>
      <c r="O138" s="124">
        <f t="shared" si="75"/>
        <v>0</v>
      </c>
      <c r="P138" s="124">
        <f t="shared" si="75"/>
        <v>0</v>
      </c>
      <c r="Q138" s="124">
        <f t="shared" si="75"/>
        <v>0</v>
      </c>
      <c r="R138" s="124">
        <f t="shared" si="75"/>
        <v>0</v>
      </c>
      <c r="S138" s="124">
        <f t="shared" si="75"/>
        <v>0</v>
      </c>
      <c r="T138" s="124">
        <f t="shared" si="75"/>
        <v>0</v>
      </c>
      <c r="U138" s="124">
        <f t="shared" si="75"/>
        <v>0</v>
      </c>
      <c r="V138" s="124">
        <f t="shared" si="75"/>
        <v>0</v>
      </c>
      <c r="W138" s="124">
        <f t="shared" si="75"/>
        <v>0</v>
      </c>
      <c r="X138" s="124">
        <f t="shared" si="75"/>
        <v>0</v>
      </c>
      <c r="Y138" s="124">
        <f t="shared" si="75"/>
        <v>0</v>
      </c>
      <c r="Z138" s="124">
        <f t="shared" si="75"/>
        <v>0</v>
      </c>
      <c r="AA138" s="124">
        <f t="shared" si="75"/>
        <v>0</v>
      </c>
      <c r="AB138" s="124">
        <f t="shared" si="75"/>
        <v>0</v>
      </c>
      <c r="AC138" s="124">
        <f t="shared" si="75"/>
        <v>0</v>
      </c>
      <c r="AD138" s="124">
        <f t="shared" si="75"/>
        <v>0</v>
      </c>
      <c r="AE138" s="124">
        <f t="shared" si="75"/>
        <v>0</v>
      </c>
      <c r="AF138" s="124">
        <f t="shared" si="75"/>
        <v>0</v>
      </c>
      <c r="AG138" s="124">
        <f t="shared" si="75"/>
        <v>0</v>
      </c>
      <c r="AH138" s="124">
        <f t="shared" si="75"/>
        <v>0</v>
      </c>
      <c r="AI138" s="124">
        <f t="shared" si="75"/>
        <v>0</v>
      </c>
      <c r="AJ138" s="124">
        <f t="shared" si="75"/>
        <v>0</v>
      </c>
      <c r="AK138" s="124">
        <f t="shared" si="75"/>
        <v>0</v>
      </c>
      <c r="AL138" s="124">
        <f t="shared" si="75"/>
        <v>0</v>
      </c>
      <c r="AM138" s="124">
        <f t="shared" si="75"/>
        <v>0</v>
      </c>
      <c r="AN138" s="124">
        <f t="shared" si="75"/>
        <v>0</v>
      </c>
      <c r="AO138" s="124">
        <f t="shared" si="75"/>
        <v>0</v>
      </c>
      <c r="AP138" s="124">
        <f t="shared" si="75"/>
        <v>0</v>
      </c>
    </row>
    <row r="139" spans="1:42" s="101" customFormat="1" x14ac:dyDescent="0.2">
      <c r="A139" s="243" t="s">
        <v>190</v>
      </c>
      <c r="B139" s="124">
        <f>B91</f>
        <v>0</v>
      </c>
      <c r="C139" s="124">
        <v>0</v>
      </c>
      <c r="D139" s="124">
        <v>0</v>
      </c>
      <c r="E139" s="124">
        <v>0</v>
      </c>
      <c r="F139" s="124">
        <v>0</v>
      </c>
      <c r="G139" s="124">
        <v>0</v>
      </c>
      <c r="H139" s="124">
        <v>0</v>
      </c>
      <c r="I139" s="124">
        <v>0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0</v>
      </c>
      <c r="Q139" s="124">
        <v>0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124">
        <v>0</v>
      </c>
      <c r="Y139" s="124">
        <v>0</v>
      </c>
      <c r="Z139" s="124">
        <v>0</v>
      </c>
      <c r="AA139" s="124">
        <v>0</v>
      </c>
      <c r="AB139" s="124">
        <v>0</v>
      </c>
      <c r="AC139" s="124">
        <v>0</v>
      </c>
      <c r="AD139" s="124">
        <v>0</v>
      </c>
      <c r="AE139" s="124">
        <v>0</v>
      </c>
      <c r="AF139" s="124">
        <v>0</v>
      </c>
      <c r="AG139" s="124">
        <v>0</v>
      </c>
      <c r="AH139" s="124">
        <v>0</v>
      </c>
      <c r="AI139" s="124">
        <v>0</v>
      </c>
      <c r="AJ139" s="124">
        <v>0</v>
      </c>
      <c r="AK139" s="124">
        <v>0</v>
      </c>
      <c r="AL139" s="124">
        <v>0</v>
      </c>
      <c r="AM139" s="124">
        <v>0</v>
      </c>
      <c r="AN139" s="124">
        <v>0</v>
      </c>
      <c r="AO139" s="124">
        <v>0</v>
      </c>
      <c r="AP139" s="124">
        <v>0</v>
      </c>
    </row>
    <row r="140" spans="1:42" s="101" customFormat="1" x14ac:dyDescent="0.2">
      <c r="A140" s="243" t="s">
        <v>166</v>
      </c>
      <c r="B140" s="124">
        <f>B92</f>
        <v>0</v>
      </c>
      <c r="C140" s="124">
        <v>0</v>
      </c>
      <c r="D140" s="124">
        <v>0</v>
      </c>
      <c r="E140" s="124">
        <v>0</v>
      </c>
      <c r="F140" s="124">
        <v>0</v>
      </c>
      <c r="G140" s="124">
        <v>0</v>
      </c>
      <c r="H140" s="124">
        <v>0</v>
      </c>
      <c r="I140" s="124">
        <v>0</v>
      </c>
      <c r="J140" s="124">
        <v>0</v>
      </c>
      <c r="K140" s="124">
        <v>0</v>
      </c>
      <c r="L140" s="124">
        <v>0</v>
      </c>
      <c r="M140" s="124">
        <v>0</v>
      </c>
      <c r="N140" s="124">
        <v>0</v>
      </c>
      <c r="O140" s="124">
        <v>0</v>
      </c>
      <c r="P140" s="124">
        <v>0</v>
      </c>
      <c r="Q140" s="124">
        <v>0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124">
        <v>0</v>
      </c>
      <c r="Y140" s="124">
        <v>0</v>
      </c>
      <c r="Z140" s="124">
        <v>0</v>
      </c>
      <c r="AA140" s="124">
        <v>0</v>
      </c>
      <c r="AB140" s="124">
        <v>0</v>
      </c>
      <c r="AC140" s="124">
        <v>0</v>
      </c>
      <c r="AD140" s="124">
        <v>0</v>
      </c>
      <c r="AE140" s="124">
        <v>0</v>
      </c>
      <c r="AF140" s="124">
        <v>0</v>
      </c>
      <c r="AG140" s="124">
        <v>0</v>
      </c>
      <c r="AH140" s="124">
        <v>0</v>
      </c>
      <c r="AI140" s="124">
        <v>0</v>
      </c>
      <c r="AJ140" s="124">
        <v>0</v>
      </c>
      <c r="AK140" s="124">
        <v>0</v>
      </c>
      <c r="AL140" s="124">
        <v>0</v>
      </c>
      <c r="AM140" s="124">
        <v>0</v>
      </c>
      <c r="AN140" s="124">
        <v>0</v>
      </c>
      <c r="AO140" s="124">
        <v>0</v>
      </c>
      <c r="AP140" s="124">
        <v>0</v>
      </c>
    </row>
    <row r="141" spans="1:42" s="101" customFormat="1" x14ac:dyDescent="0.2">
      <c r="A141" s="243" t="s">
        <v>360</v>
      </c>
      <c r="B141" s="124">
        <v>0</v>
      </c>
      <c r="C141" s="124">
        <f>C$19</f>
        <v>0</v>
      </c>
      <c r="D141" s="124">
        <f t="shared" ref="D141:AP141" si="76">D$19</f>
        <v>0</v>
      </c>
      <c r="E141" s="124">
        <f t="shared" si="76"/>
        <v>0</v>
      </c>
      <c r="F141" s="124">
        <f t="shared" si="76"/>
        <v>0</v>
      </c>
      <c r="G141" s="124">
        <f t="shared" si="76"/>
        <v>0</v>
      </c>
      <c r="H141" s="124">
        <f t="shared" si="76"/>
        <v>0</v>
      </c>
      <c r="I141" s="124">
        <f t="shared" si="76"/>
        <v>0</v>
      </c>
      <c r="J141" s="124">
        <f t="shared" si="76"/>
        <v>0</v>
      </c>
      <c r="K141" s="124">
        <f t="shared" si="76"/>
        <v>0</v>
      </c>
      <c r="L141" s="124">
        <f t="shared" si="76"/>
        <v>0</v>
      </c>
      <c r="M141" s="124">
        <f t="shared" si="76"/>
        <v>0</v>
      </c>
      <c r="N141" s="124">
        <f t="shared" si="76"/>
        <v>0</v>
      </c>
      <c r="O141" s="124">
        <f t="shared" si="76"/>
        <v>0</v>
      </c>
      <c r="P141" s="124">
        <f t="shared" si="76"/>
        <v>0</v>
      </c>
      <c r="Q141" s="124">
        <f t="shared" si="76"/>
        <v>0</v>
      </c>
      <c r="R141" s="124">
        <f t="shared" si="76"/>
        <v>0</v>
      </c>
      <c r="S141" s="124">
        <f t="shared" si="76"/>
        <v>0</v>
      </c>
      <c r="T141" s="124">
        <f t="shared" si="76"/>
        <v>0</v>
      </c>
      <c r="U141" s="124">
        <f t="shared" si="76"/>
        <v>0</v>
      </c>
      <c r="V141" s="124">
        <f t="shared" si="76"/>
        <v>0</v>
      </c>
      <c r="W141" s="124">
        <f t="shared" si="76"/>
        <v>0</v>
      </c>
      <c r="X141" s="124">
        <f t="shared" si="76"/>
        <v>0</v>
      </c>
      <c r="Y141" s="124">
        <f t="shared" si="76"/>
        <v>0</v>
      </c>
      <c r="Z141" s="124">
        <f t="shared" si="76"/>
        <v>0</v>
      </c>
      <c r="AA141" s="124">
        <f t="shared" si="76"/>
        <v>0</v>
      </c>
      <c r="AB141" s="124">
        <f t="shared" si="76"/>
        <v>0</v>
      </c>
      <c r="AC141" s="124">
        <f t="shared" si="76"/>
        <v>0</v>
      </c>
      <c r="AD141" s="124">
        <f t="shared" si="76"/>
        <v>0</v>
      </c>
      <c r="AE141" s="124">
        <f t="shared" si="76"/>
        <v>0</v>
      </c>
      <c r="AF141" s="124">
        <f t="shared" si="76"/>
        <v>0</v>
      </c>
      <c r="AG141" s="124">
        <f t="shared" si="76"/>
        <v>0</v>
      </c>
      <c r="AH141" s="124">
        <f t="shared" si="76"/>
        <v>0</v>
      </c>
      <c r="AI141" s="124">
        <f t="shared" si="76"/>
        <v>0</v>
      </c>
      <c r="AJ141" s="124">
        <f t="shared" si="76"/>
        <v>0</v>
      </c>
      <c r="AK141" s="124">
        <f t="shared" si="76"/>
        <v>0</v>
      </c>
      <c r="AL141" s="124">
        <f t="shared" si="76"/>
        <v>0</v>
      </c>
      <c r="AM141" s="124">
        <f t="shared" si="76"/>
        <v>0</v>
      </c>
      <c r="AN141" s="124">
        <f t="shared" si="76"/>
        <v>0</v>
      </c>
      <c r="AO141" s="124">
        <f t="shared" si="76"/>
        <v>0</v>
      </c>
      <c r="AP141" s="124">
        <f t="shared" si="76"/>
        <v>4022715</v>
      </c>
    </row>
    <row r="142" spans="1:42" s="101" customFormat="1" x14ac:dyDescent="0.2">
      <c r="A142" s="243" t="s">
        <v>343</v>
      </c>
      <c r="B142" s="186">
        <f>B76</f>
        <v>0</v>
      </c>
      <c r="C142" s="186">
        <f t="shared" ref="C142:AP142" si="77">C76</f>
        <v>5337528.8664667597</v>
      </c>
      <c r="D142" s="186">
        <f t="shared" si="77"/>
        <v>5372643.7982446523</v>
      </c>
      <c r="E142" s="186">
        <f t="shared" si="77"/>
        <v>5407595.3819082063</v>
      </c>
      <c r="F142" s="186">
        <f t="shared" si="77"/>
        <v>5442377.8336725207</v>
      </c>
      <c r="G142" s="186">
        <f t="shared" si="77"/>
        <v>5476985.2386409743</v>
      </c>
      <c r="H142" s="186">
        <f t="shared" si="77"/>
        <v>5511411.5480174404</v>
      </c>
      <c r="I142" s="186">
        <f t="shared" si="77"/>
        <v>5545650.5762596531</v>
      </c>
      <c r="J142" s="186">
        <f t="shared" si="77"/>
        <v>5579695.9981723577</v>
      </c>
      <c r="K142" s="186">
        <f t="shared" si="77"/>
        <v>5613541.3459390793</v>
      </c>
      <c r="L142" s="186">
        <f t="shared" si="77"/>
        <v>5647180.0060910769</v>
      </c>
      <c r="M142" s="186">
        <f t="shared" si="77"/>
        <v>5680605.2164122928</v>
      </c>
      <c r="N142" s="186">
        <f t="shared" si="77"/>
        <v>5713810.06277881</v>
      </c>
      <c r="O142" s="186">
        <f t="shared" si="77"/>
        <v>5647246.3313349579</v>
      </c>
      <c r="P142" s="186">
        <f t="shared" si="77"/>
        <v>5680829.186459139</v>
      </c>
      <c r="Q142" s="186">
        <f t="shared" si="77"/>
        <v>5714169.9911934873</v>
      </c>
      <c r="R142" s="186">
        <f t="shared" si="77"/>
        <v>5747261.1908192979</v>
      </c>
      <c r="S142" s="186">
        <f t="shared" si="77"/>
        <v>5780095.0618760586</v>
      </c>
      <c r="T142" s="186">
        <f t="shared" si="77"/>
        <v>5812663.708577957</v>
      </c>
      <c r="U142" s="186">
        <f t="shared" si="77"/>
        <v>5844959.0591546539</v>
      </c>
      <c r="V142" s="186">
        <f t="shared" si="77"/>
        <v>5876972.8621145422</v>
      </c>
      <c r="W142" s="186">
        <f t="shared" si="77"/>
        <v>5901531.2213352062</v>
      </c>
      <c r="X142" s="186">
        <f t="shared" si="77"/>
        <v>5918750.9099234687</v>
      </c>
      <c r="Y142" s="186">
        <f t="shared" si="77"/>
        <v>5935663.1795289228</v>
      </c>
      <c r="Z142" s="186">
        <f t="shared" si="77"/>
        <v>5952259.0208005067</v>
      </c>
      <c r="AA142" s="186">
        <f t="shared" si="77"/>
        <v>5849516.0234740619</v>
      </c>
      <c r="AB142" s="186">
        <f t="shared" si="77"/>
        <v>5866455.6195494765</v>
      </c>
      <c r="AC142" s="186">
        <f t="shared" si="77"/>
        <v>5883050.5444467915</v>
      </c>
      <c r="AD142" s="186">
        <f t="shared" si="77"/>
        <v>5899290.9645290347</v>
      </c>
      <c r="AE142" s="186">
        <f t="shared" si="77"/>
        <v>5915166.829038702</v>
      </c>
      <c r="AF142" s="186">
        <f t="shared" si="77"/>
        <v>5930667.8654898768</v>
      </c>
      <c r="AG142" s="186">
        <f t="shared" si="77"/>
        <v>5945783.5749627193</v>
      </c>
      <c r="AH142" s="186">
        <f t="shared" si="77"/>
        <v>5960503.2272982048</v>
      </c>
      <c r="AI142" s="186">
        <f t="shared" si="77"/>
        <v>5974815.8561910447</v>
      </c>
      <c r="AJ142" s="186">
        <f t="shared" si="77"/>
        <v>5988710.2541785147</v>
      </c>
      <c r="AK142" s="186">
        <f t="shared" si="77"/>
        <v>6002174.967523111</v>
      </c>
      <c r="AL142" s="186">
        <f t="shared" si="77"/>
        <v>6015198.2909866348</v>
      </c>
      <c r="AM142" s="186">
        <f t="shared" si="77"/>
        <v>6304907.0628007827</v>
      </c>
      <c r="AN142" s="186">
        <f t="shared" si="77"/>
        <v>6310872.3073483063</v>
      </c>
      <c r="AO142" s="186">
        <f t="shared" si="77"/>
        <v>6316359.4833604572</v>
      </c>
      <c r="AP142" s="186">
        <f t="shared" si="77"/>
        <v>6330687.0638877908</v>
      </c>
    </row>
    <row r="143" spans="1:42" s="101" customFormat="1" x14ac:dyDescent="0.2">
      <c r="A143" s="243" t="s">
        <v>53</v>
      </c>
      <c r="B143" s="181">
        <f t="shared" ref="B143:AP143" si="78">SUM(B138:B142)</f>
        <v>-43210095.75</v>
      </c>
      <c r="C143" s="181">
        <f t="shared" si="78"/>
        <v>5337528.8664667597</v>
      </c>
      <c r="D143" s="181">
        <f t="shared" si="78"/>
        <v>5372643.7982446523</v>
      </c>
      <c r="E143" s="181">
        <f t="shared" si="78"/>
        <v>5407595.3819082063</v>
      </c>
      <c r="F143" s="181">
        <f t="shared" si="78"/>
        <v>5442377.8336725207</v>
      </c>
      <c r="G143" s="181">
        <f t="shared" si="78"/>
        <v>5476985.2386409743</v>
      </c>
      <c r="H143" s="181">
        <f t="shared" si="78"/>
        <v>5511411.5480174404</v>
      </c>
      <c r="I143" s="181">
        <f t="shared" si="78"/>
        <v>5545650.5762596531</v>
      </c>
      <c r="J143" s="181">
        <f t="shared" si="78"/>
        <v>5579695.9981723577</v>
      </c>
      <c r="K143" s="181">
        <f t="shared" si="78"/>
        <v>5613541.3459390793</v>
      </c>
      <c r="L143" s="181">
        <f t="shared" si="78"/>
        <v>5647180.0060910769</v>
      </c>
      <c r="M143" s="181">
        <f t="shared" si="78"/>
        <v>5680605.2164122928</v>
      </c>
      <c r="N143" s="181">
        <f t="shared" si="78"/>
        <v>5713810.06277881</v>
      </c>
      <c r="O143" s="181">
        <f t="shared" si="78"/>
        <v>5647246.3313349579</v>
      </c>
      <c r="P143" s="181">
        <f t="shared" si="78"/>
        <v>5680829.186459139</v>
      </c>
      <c r="Q143" s="181">
        <f t="shared" si="78"/>
        <v>5714169.9911934873</v>
      </c>
      <c r="R143" s="181">
        <f t="shared" si="78"/>
        <v>5747261.1908192979</v>
      </c>
      <c r="S143" s="181">
        <f t="shared" si="78"/>
        <v>5780095.0618760586</v>
      </c>
      <c r="T143" s="181">
        <f t="shared" si="78"/>
        <v>5812663.708577957</v>
      </c>
      <c r="U143" s="181">
        <f t="shared" si="78"/>
        <v>5844959.0591546539</v>
      </c>
      <c r="V143" s="181">
        <f t="shared" si="78"/>
        <v>5876972.8621145422</v>
      </c>
      <c r="W143" s="181">
        <f t="shared" si="78"/>
        <v>5901531.2213352062</v>
      </c>
      <c r="X143" s="181">
        <f t="shared" si="78"/>
        <v>5918750.9099234687</v>
      </c>
      <c r="Y143" s="181">
        <f t="shared" si="78"/>
        <v>5935663.1795289228</v>
      </c>
      <c r="Z143" s="181">
        <f t="shared" si="78"/>
        <v>5952259.0208005067</v>
      </c>
      <c r="AA143" s="181">
        <f t="shared" si="78"/>
        <v>5849516.0234740619</v>
      </c>
      <c r="AB143" s="181">
        <f t="shared" si="78"/>
        <v>5866455.6195494765</v>
      </c>
      <c r="AC143" s="181">
        <f t="shared" si="78"/>
        <v>5883050.5444467915</v>
      </c>
      <c r="AD143" s="181">
        <f t="shared" si="78"/>
        <v>5899290.9645290347</v>
      </c>
      <c r="AE143" s="181">
        <f t="shared" si="78"/>
        <v>5915166.829038702</v>
      </c>
      <c r="AF143" s="181">
        <f t="shared" si="78"/>
        <v>5930667.8654898768</v>
      </c>
      <c r="AG143" s="181">
        <f t="shared" si="78"/>
        <v>5945783.5749627193</v>
      </c>
      <c r="AH143" s="181">
        <f t="shared" si="78"/>
        <v>5960503.2272982048</v>
      </c>
      <c r="AI143" s="181">
        <f t="shared" si="78"/>
        <v>5974815.8561910447</v>
      </c>
      <c r="AJ143" s="181">
        <f t="shared" si="78"/>
        <v>5988710.2541785147</v>
      </c>
      <c r="AK143" s="181">
        <f t="shared" si="78"/>
        <v>6002174.967523111</v>
      </c>
      <c r="AL143" s="181">
        <f t="shared" si="78"/>
        <v>6015198.2909866348</v>
      </c>
      <c r="AM143" s="181">
        <f t="shared" si="78"/>
        <v>6304907.0628007827</v>
      </c>
      <c r="AN143" s="181">
        <f t="shared" si="78"/>
        <v>6310872.3073483063</v>
      </c>
      <c r="AO143" s="181">
        <f t="shared" si="78"/>
        <v>6316359.4833604572</v>
      </c>
      <c r="AP143" s="181">
        <f t="shared" si="78"/>
        <v>10353402.06388779</v>
      </c>
    </row>
    <row r="144" spans="1:42" x14ac:dyDescent="0.2">
      <c r="A144" s="163"/>
      <c r="B144" s="135"/>
      <c r="C144" s="135"/>
      <c r="D144" s="135"/>
      <c r="E144" s="135"/>
      <c r="F144" s="135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</row>
    <row r="145" spans="1:42" x14ac:dyDescent="0.2">
      <c r="A145" s="163" t="s">
        <v>323</v>
      </c>
      <c r="B145" s="184">
        <f>ROUND(IF(ISERROR(IRR($B143:B143)),0,IRR($B143:B143)),4)</f>
        <v>0</v>
      </c>
      <c r="C145" s="184">
        <f>ROUND(IF(ISERROR(IRR($B143:C143)),0,IRR($B143:C143)),4)</f>
        <v>-0.87649999999999995</v>
      </c>
      <c r="D145" s="184">
        <f>ROUND(IF(ISERROR(IRR($B143:D143)),0,IRR($B143:D143)),4)</f>
        <v>-0.58030000000000004</v>
      </c>
      <c r="E145" s="184">
        <f>ROUND(IF(ISERROR(IRR($B143:E143)),0,IRR($B143:E143)),4)</f>
        <v>-0.36730000000000002</v>
      </c>
      <c r="F145" s="184">
        <f>ROUND(IF(ISERROR(IRR($B143:F143)),0,IRR($B143:F143)),4)</f>
        <v>-0.2293</v>
      </c>
      <c r="G145" s="184">
        <f>ROUND(IF(ISERROR(IRR($B143:G143)),0,IRR($B143:G143)),4)</f>
        <v>-0.13789999999999999</v>
      </c>
      <c r="H145" s="184">
        <f>ROUND(IF(ISERROR(IRR($B143:H143)),0,IRR($B143:H143)),4)</f>
        <v>-7.4999999999999997E-2</v>
      </c>
      <c r="I145" s="184">
        <f>ROUND(IF(ISERROR(IRR($B143:I143)),0,IRR($B143:I143)),4)</f>
        <v>-3.04E-2</v>
      </c>
      <c r="J145" s="184">
        <f>ROUND(IF(ISERROR(IRR($B143:J143)),0,IRR($B143:J143)),4)</f>
        <v>2.3999999999999998E-3</v>
      </c>
      <c r="K145" s="184">
        <f>ROUND(IF(ISERROR(IRR($B143:K143)),0,IRR($B143:K143)),4)</f>
        <v>2.69E-2</v>
      </c>
      <c r="L145" s="184">
        <f>ROUND(IF(ISERROR(IRR($B143:L143)),0,IRR($B143:L143)),4)</f>
        <v>4.5699999999999998E-2</v>
      </c>
      <c r="M145" s="184">
        <f>ROUND(IF(ISERROR(IRR($B143:M143)),0,IRR($B143:M143)),4)</f>
        <v>6.0400000000000002E-2</v>
      </c>
      <c r="N145" s="184">
        <f>ROUND(IF(ISERROR(IRR($B143:N143)),0,IRR($B143:N143)),4)</f>
        <v>7.1999999999999995E-2</v>
      </c>
      <c r="O145" s="184">
        <f>ROUND(IF(ISERROR(IRR($B143:O143)),0,IRR($B143:O143)),4)</f>
        <v>8.1199999999999994E-2</v>
      </c>
      <c r="P145" s="184">
        <f>ROUND(IF(ISERROR(IRR($B143:P143)),0,IRR($B143:P143)),4)</f>
        <v>8.8599999999999998E-2</v>
      </c>
      <c r="Q145" s="184">
        <f>ROUND(IF(ISERROR(IRR($B143:Q143)),0,IRR($B143:Q143)),4)</f>
        <v>9.4700000000000006E-2</v>
      </c>
      <c r="R145" s="184">
        <f>ROUND(IF(ISERROR(IRR($B143:R143)),0,IRR($B143:R143)),4)</f>
        <v>9.98E-2</v>
      </c>
      <c r="S145" s="184">
        <f>ROUND(IF(ISERROR(IRR($B143:S143)),0,IRR($B143:S143)),4)</f>
        <v>0.104</v>
      </c>
      <c r="T145" s="184">
        <f>ROUND(IF(ISERROR(IRR($B143:T143)),0,IRR($B143:T143)),4)</f>
        <v>0.1075</v>
      </c>
      <c r="U145" s="184">
        <f>ROUND(IF(ISERROR(IRR($B143:U143)),0,IRR($B143:U143)),4)</f>
        <v>0.1105</v>
      </c>
      <c r="V145" s="184">
        <f>ROUND(IF(ISERROR(IRR($B143:V143)),0,IRR($B143:V143)),4)</f>
        <v>0.113</v>
      </c>
      <c r="W145" s="184">
        <f>ROUND(IF(ISERROR(IRR($B143:W143)),0,IRR($B143:W143)),4)</f>
        <v>0.11509999999999999</v>
      </c>
      <c r="X145" s="184">
        <f>ROUND(IF(ISERROR(IRR($B143:X143)),0,IRR($B143:X143)),4)</f>
        <v>0.1169</v>
      </c>
      <c r="Y145" s="184">
        <f>ROUND(IF(ISERROR(IRR($B143:Y143)),0,IRR($B143:Y143)),4)</f>
        <v>0.11849999999999999</v>
      </c>
      <c r="Z145" s="184">
        <f>ROUND(IF(ISERROR(IRR($B143:Z143)),0,IRR($B143:Z143)),4)</f>
        <v>0.1198</v>
      </c>
      <c r="AA145" s="184">
        <f>ROUND(IF(ISERROR(IRR($B143:AA143)),0,IRR($B143:AA143)),4)</f>
        <v>0.12089999999999999</v>
      </c>
      <c r="AB145" s="184">
        <f>ROUND(IF(ISERROR(IRR($B143:AB143)),0,IRR($B143:AB143)),4)</f>
        <v>0.12189999999999999</v>
      </c>
      <c r="AC145" s="184">
        <f>ROUND(IF(ISERROR(IRR($B143:AC143)),0,IRR($B143:AC143)),4)</f>
        <v>0.1227</v>
      </c>
      <c r="AD145" s="184">
        <f>ROUND(IF(ISERROR(IRR($B143:AD143)),0,IRR($B143:AD143)),4)</f>
        <v>0.1235</v>
      </c>
      <c r="AE145" s="184">
        <f>ROUND(IF(ISERROR(IRR($B143:AE143)),0,IRR($B143:AE143)),4)</f>
        <v>0.1241</v>
      </c>
      <c r="AF145" s="184">
        <f>ROUND(IF(ISERROR(IRR($B143:AF143)),0,IRR($B143:AF143)),4)</f>
        <v>0.12470000000000001</v>
      </c>
      <c r="AG145" s="184">
        <f>ROUND(IF(ISERROR(IRR($B143:AG143)),0,IRR($B143:AG143)),4)</f>
        <v>0.12509999999999999</v>
      </c>
      <c r="AH145" s="184">
        <f>ROUND(IF(ISERROR(IRR($B143:AH143)),0,IRR($B143:AH143)),4)</f>
        <v>0.12559999999999999</v>
      </c>
      <c r="AI145" s="184">
        <f>ROUND(IF(ISERROR(IRR($B143:AI143)),0,IRR($B143:AI143)),4)</f>
        <v>0.12590000000000001</v>
      </c>
      <c r="AJ145" s="184">
        <f>ROUND(IF(ISERROR(IRR($B143:AJ143)),0,IRR($B143:AJ143)),4)</f>
        <v>0.1263</v>
      </c>
      <c r="AK145" s="184">
        <f>ROUND(IF(ISERROR(IRR($B143:AK143)),0,IRR($B143:AK143)),4)</f>
        <v>0.1265</v>
      </c>
      <c r="AL145" s="184">
        <f>ROUND(IF(ISERROR(IRR($B143:AL143)),0,IRR($B143:AL143)),4)</f>
        <v>0.1268</v>
      </c>
      <c r="AM145" s="184">
        <f>ROUND(IF(ISERROR(IRR($B143:AM143)),0,IRR($B143:AM143)),4)</f>
        <v>0.127</v>
      </c>
      <c r="AN145" s="184">
        <f>ROUND(IF(ISERROR(IRR($B143:AN143)),0,IRR($B143:AN143)),4)</f>
        <v>0.12720000000000001</v>
      </c>
      <c r="AO145" s="184">
        <f>ROUND(IF(ISERROR(IRR($B143:AO143)),0,IRR($B143:AO143)),4)</f>
        <v>0.12740000000000001</v>
      </c>
      <c r="AP145" s="184">
        <f>ROUND(IF(ISERROR(IRR($B143:AP143)),0,IRR($B143:AP143)),4)</f>
        <v>0.12770000000000001</v>
      </c>
    </row>
    <row r="146" spans="1:42" x14ac:dyDescent="0.2">
      <c r="A146" s="163" t="s">
        <v>324</v>
      </c>
      <c r="B146" s="230">
        <f>B143</f>
        <v>-43210095.75</v>
      </c>
      <c r="C146" s="230">
        <f>NPV(DiscountRate,$C143:C143)+$B$143</f>
        <v>-38267939.392160408</v>
      </c>
      <c r="D146" s="230">
        <f>NPV(DiscountRate,$C143:D143)+$B$143</f>
        <v>-33661763.296271645</v>
      </c>
      <c r="E146" s="230">
        <f>NPV(DiscountRate,$C143:E143)+$B$143</f>
        <v>-29369039.735721134</v>
      </c>
      <c r="F146" s="230">
        <f>NPV(DiscountRate,$C143:F143)+$B$143</f>
        <v>-25368729.557774141</v>
      </c>
      <c r="G146" s="230">
        <f>NPV(DiscountRate,$C143:G143)+$B$143</f>
        <v>-21641185.433953196</v>
      </c>
      <c r="H146" s="230">
        <f>NPV(DiscountRate,$C143:H143)+$B$143</f>
        <v>-18168061.275139812</v>
      </c>
      <c r="I146" s="230">
        <f>NPV(DiscountRate,$C143:I143)+$B$143</f>
        <v>-14932227.428412389</v>
      </c>
      <c r="J146" s="230">
        <f>NPV(DiscountRate,$C143:J143)+$B$143</f>
        <v>-11917691.295619674</v>
      </c>
      <c r="K146" s="230">
        <f>NPV(DiscountRate,$C143:K143)+$B$143</f>
        <v>-9109523.0353639051</v>
      </c>
      <c r="L146" s="230">
        <f>NPV(DiscountRate,$C143:L143)+$B$143</f>
        <v>-6493786.0305004939</v>
      </c>
      <c r="M146" s="230">
        <f>NPV(DiscountRate,$C143:M143)+$B$143</f>
        <v>-4057471.8225171044</v>
      </c>
      <c r="N146" s="230">
        <f>NPV(DiscountRate,$C143:N143)+$B$143</f>
        <v>-1788439.232297726</v>
      </c>
      <c r="O146" s="230">
        <f>NPV(DiscountRate,$C143:O143)+$B$143</f>
        <v>288041.52384691685</v>
      </c>
      <c r="P146" s="230">
        <f>NPV(DiscountRate,$C143:P143)+$B$143</f>
        <v>2222142.5444750339</v>
      </c>
      <c r="Q146" s="230">
        <f>NPV(DiscountRate,$C143:Q143)+$B$143</f>
        <v>4023487.234963797</v>
      </c>
      <c r="R146" s="230">
        <f>NPV(DiscountRate,$C143:R143)+$B$143</f>
        <v>5701057.9911472797</v>
      </c>
      <c r="S146" s="230">
        <f>NPV(DiscountRate,$C143:S143)+$B$143</f>
        <v>7263238.2227751389</v>
      </c>
      <c r="T146" s="230">
        <f>NPV(DiscountRate,$C143:T143)+$B$143</f>
        <v>8717851.6724251136</v>
      </c>
      <c r="U146" s="230">
        <f>NPV(DiscountRate,$C143:U143)+$B$143</f>
        <v>10072199.199996188</v>
      </c>
      <c r="V146" s="230">
        <f>NPV(DiscountRate,$C143:V143)+$B$143</f>
        <v>11333093.192525148</v>
      </c>
      <c r="W146" s="230">
        <f>NPV(DiscountRate,$C143:W143)+$B$143</f>
        <v>12505466.289262682</v>
      </c>
      <c r="X146" s="230">
        <f>NPV(DiscountRate,$C143:X143)+$B$143</f>
        <v>13594164.332639918</v>
      </c>
      <c r="Y146" s="230">
        <f>NPV(DiscountRate,$C143:Y143)+$B$143</f>
        <v>14605098.494513571</v>
      </c>
      <c r="Z146" s="230">
        <f>NPV(DiscountRate,$C143:Z143)+$B$143</f>
        <v>15543765.797567151</v>
      </c>
      <c r="AA146" s="230">
        <f>NPV(DiscountRate,$C143:AA143)+$B$143</f>
        <v>16397899.872069351</v>
      </c>
      <c r="AB146" s="230">
        <f>NPV(DiscountRate,$C143:AB143)+$B$143</f>
        <v>17191055.019135274</v>
      </c>
      <c r="AC146" s="230">
        <f>NPV(DiscountRate,$C143:AC143)+$B$143</f>
        <v>17927535.398933709</v>
      </c>
      <c r="AD146" s="230">
        <f>NPV(DiscountRate,$C143:AD143)+$B$143</f>
        <v>18611344.164042093</v>
      </c>
      <c r="AE146" s="230">
        <f>NPV(DiscountRate,$C143:AE143)+$B$143</f>
        <v>19246204.345183581</v>
      </c>
      <c r="AF146" s="230">
        <f>NPV(DiscountRate,$C143:AF143)+$B$143</f>
        <v>19835578.297894783</v>
      </c>
      <c r="AG146" s="230">
        <f>NPV(DiscountRate,$C143:AG143)+$B$143</f>
        <v>20382685.808633864</v>
      </c>
      <c r="AH146" s="230">
        <f>NPV(DiscountRate,$C143:AH143)+$B$143</f>
        <v>20890520.952138133</v>
      </c>
      <c r="AI146" s="230">
        <f>NPV(DiscountRate,$C143:AI143)+$B$143</f>
        <v>21361867.785592534</v>
      </c>
      <c r="AJ146" s="230">
        <f>NPV(DiscountRate,$C143:AJ143)+$B$143</f>
        <v>21799314.959345348</v>
      </c>
      <c r="AK146" s="230">
        <f>NPV(DiscountRate,$C143:AK143)+$B$143</f>
        <v>22205269.318475746</v>
      </c>
      <c r="AL146" s="230">
        <f>NPV(DiscountRate,$C143:AL143)+$B$143</f>
        <v>22581968.564454705</v>
      </c>
      <c r="AM146" s="230">
        <f>NPV(DiscountRate,$C143:AM143)+$B$143</f>
        <v>22947563.134031981</v>
      </c>
      <c r="AN146" s="230">
        <f>NPV(DiscountRate,$C143:AN143)+$B$143</f>
        <v>23286396.901227981</v>
      </c>
      <c r="AO146" s="230">
        <f>NPV(DiscountRate,$C143:AO143)+$B$143</f>
        <v>23600404.657073557</v>
      </c>
      <c r="AP146" s="230">
        <f>NPV(DiscountRate,$C143:AP143)+$B$143</f>
        <v>24076981.416907504</v>
      </c>
    </row>
    <row r="147" spans="1:42" x14ac:dyDescent="0.2">
      <c r="A147" s="163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</row>
    <row r="148" spans="1:42" s="101" customFormat="1" x14ac:dyDescent="0.2">
      <c r="A148" s="250" t="s">
        <v>342</v>
      </c>
      <c r="B148" s="181"/>
      <c r="C148" s="218"/>
      <c r="D148" s="218"/>
      <c r="E148" s="218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18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</row>
    <row r="149" spans="1:42" s="101" customFormat="1" x14ac:dyDescent="0.2">
      <c r="A149" s="180" t="s">
        <v>204</v>
      </c>
      <c r="B149" s="181"/>
      <c r="C149" s="181"/>
      <c r="D149" s="181"/>
      <c r="E149" s="181"/>
      <c r="F149" s="181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</row>
    <row r="150" spans="1:42" s="101" customFormat="1" x14ac:dyDescent="0.2">
      <c r="A150" s="234" t="s">
        <v>372</v>
      </c>
      <c r="B150" s="124">
        <f>B138</f>
        <v>-43210095.75</v>
      </c>
      <c r="C150" s="124">
        <v>0</v>
      </c>
      <c r="D150" s="124">
        <v>0</v>
      </c>
      <c r="E150" s="124">
        <v>0</v>
      </c>
      <c r="F150" s="124">
        <v>0</v>
      </c>
      <c r="G150" s="124">
        <v>0</v>
      </c>
      <c r="H150" s="124">
        <v>0</v>
      </c>
      <c r="I150" s="124">
        <v>0</v>
      </c>
      <c r="J150" s="124">
        <v>0</v>
      </c>
      <c r="K150" s="124">
        <v>0</v>
      </c>
      <c r="L150" s="124">
        <v>0</v>
      </c>
      <c r="M150" s="124">
        <v>0</v>
      </c>
      <c r="N150" s="124">
        <v>0</v>
      </c>
      <c r="O150" s="124">
        <v>0</v>
      </c>
      <c r="P150" s="124">
        <v>0</v>
      </c>
      <c r="Q150" s="124">
        <v>0</v>
      </c>
      <c r="R150" s="124">
        <v>0</v>
      </c>
      <c r="S150" s="124">
        <v>0</v>
      </c>
      <c r="T150" s="124">
        <v>0</v>
      </c>
      <c r="U150" s="124">
        <v>0</v>
      </c>
      <c r="V150" s="124">
        <v>0</v>
      </c>
      <c r="W150" s="124">
        <v>0</v>
      </c>
      <c r="X150" s="124">
        <v>0</v>
      </c>
      <c r="Y150" s="124">
        <v>0</v>
      </c>
      <c r="Z150" s="124">
        <v>0</v>
      </c>
      <c r="AA150" s="124">
        <v>0</v>
      </c>
      <c r="AB150" s="124">
        <v>0</v>
      </c>
      <c r="AC150" s="124">
        <v>0</v>
      </c>
      <c r="AD150" s="124">
        <v>0</v>
      </c>
      <c r="AE150" s="124">
        <v>0</v>
      </c>
      <c r="AF150" s="124">
        <v>0</v>
      </c>
      <c r="AG150" s="124">
        <v>0</v>
      </c>
      <c r="AH150" s="124">
        <v>0</v>
      </c>
      <c r="AI150" s="124">
        <v>0</v>
      </c>
      <c r="AJ150" s="124">
        <v>0</v>
      </c>
      <c r="AK150" s="124">
        <v>0</v>
      </c>
      <c r="AL150" s="124">
        <v>0</v>
      </c>
      <c r="AM150" s="124">
        <v>0</v>
      </c>
      <c r="AN150" s="124">
        <v>0</v>
      </c>
      <c r="AO150" s="124">
        <v>0</v>
      </c>
      <c r="AP150" s="124">
        <v>0</v>
      </c>
    </row>
    <row r="151" spans="1:42" s="101" customFormat="1" x14ac:dyDescent="0.2">
      <c r="A151" s="234" t="s">
        <v>190</v>
      </c>
      <c r="B151" s="124">
        <f>B139</f>
        <v>0</v>
      </c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</row>
    <row r="152" spans="1:42" s="101" customFormat="1" x14ac:dyDescent="0.2">
      <c r="A152" s="234" t="s">
        <v>166</v>
      </c>
      <c r="B152" s="124">
        <f>B140</f>
        <v>0</v>
      </c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</row>
    <row r="153" spans="1:42" s="101" customFormat="1" x14ac:dyDescent="0.2">
      <c r="A153" s="234" t="s">
        <v>360</v>
      </c>
      <c r="B153" s="124"/>
      <c r="C153" s="124">
        <f>C141</f>
        <v>0</v>
      </c>
      <c r="D153" s="124">
        <f t="shared" ref="D153:AP153" si="79">D141</f>
        <v>0</v>
      </c>
      <c r="E153" s="124">
        <f t="shared" si="79"/>
        <v>0</v>
      </c>
      <c r="F153" s="124">
        <f t="shared" si="79"/>
        <v>0</v>
      </c>
      <c r="G153" s="124">
        <f t="shared" si="79"/>
        <v>0</v>
      </c>
      <c r="H153" s="124">
        <f t="shared" si="79"/>
        <v>0</v>
      </c>
      <c r="I153" s="124">
        <f t="shared" si="79"/>
        <v>0</v>
      </c>
      <c r="J153" s="124">
        <f t="shared" si="79"/>
        <v>0</v>
      </c>
      <c r="K153" s="124">
        <f t="shared" si="79"/>
        <v>0</v>
      </c>
      <c r="L153" s="124">
        <f t="shared" si="79"/>
        <v>0</v>
      </c>
      <c r="M153" s="124">
        <f t="shared" si="79"/>
        <v>0</v>
      </c>
      <c r="N153" s="124">
        <f t="shared" si="79"/>
        <v>0</v>
      </c>
      <c r="O153" s="124">
        <f t="shared" si="79"/>
        <v>0</v>
      </c>
      <c r="P153" s="124">
        <f t="shared" si="79"/>
        <v>0</v>
      </c>
      <c r="Q153" s="124">
        <f t="shared" si="79"/>
        <v>0</v>
      </c>
      <c r="R153" s="124">
        <f t="shared" si="79"/>
        <v>0</v>
      </c>
      <c r="S153" s="124">
        <f t="shared" si="79"/>
        <v>0</v>
      </c>
      <c r="T153" s="124">
        <f t="shared" si="79"/>
        <v>0</v>
      </c>
      <c r="U153" s="124">
        <f t="shared" si="79"/>
        <v>0</v>
      </c>
      <c r="V153" s="124">
        <f t="shared" si="79"/>
        <v>0</v>
      </c>
      <c r="W153" s="124">
        <f t="shared" si="79"/>
        <v>0</v>
      </c>
      <c r="X153" s="124">
        <f t="shared" si="79"/>
        <v>0</v>
      </c>
      <c r="Y153" s="124">
        <f t="shared" si="79"/>
        <v>0</v>
      </c>
      <c r="Z153" s="124">
        <f t="shared" si="79"/>
        <v>0</v>
      </c>
      <c r="AA153" s="124">
        <f t="shared" si="79"/>
        <v>0</v>
      </c>
      <c r="AB153" s="124">
        <f t="shared" si="79"/>
        <v>0</v>
      </c>
      <c r="AC153" s="124">
        <f t="shared" si="79"/>
        <v>0</v>
      </c>
      <c r="AD153" s="124">
        <f t="shared" si="79"/>
        <v>0</v>
      </c>
      <c r="AE153" s="124">
        <f t="shared" si="79"/>
        <v>0</v>
      </c>
      <c r="AF153" s="124">
        <f t="shared" si="79"/>
        <v>0</v>
      </c>
      <c r="AG153" s="124">
        <f t="shared" si="79"/>
        <v>0</v>
      </c>
      <c r="AH153" s="124">
        <f t="shared" si="79"/>
        <v>0</v>
      </c>
      <c r="AI153" s="124">
        <f t="shared" si="79"/>
        <v>0</v>
      </c>
      <c r="AJ153" s="124">
        <f t="shared" si="79"/>
        <v>0</v>
      </c>
      <c r="AK153" s="124">
        <f t="shared" si="79"/>
        <v>0</v>
      </c>
      <c r="AL153" s="124">
        <f t="shared" si="79"/>
        <v>0</v>
      </c>
      <c r="AM153" s="124">
        <f t="shared" si="79"/>
        <v>0</v>
      </c>
      <c r="AN153" s="124">
        <f t="shared" si="79"/>
        <v>0</v>
      </c>
      <c r="AO153" s="124">
        <f t="shared" si="79"/>
        <v>0</v>
      </c>
      <c r="AP153" s="124">
        <f t="shared" si="79"/>
        <v>4022715</v>
      </c>
    </row>
    <row r="154" spans="1:42" s="101" customFormat="1" x14ac:dyDescent="0.2">
      <c r="A154" s="234" t="s">
        <v>343</v>
      </c>
      <c r="B154" s="186">
        <f>B142</f>
        <v>0</v>
      </c>
      <c r="C154" s="186">
        <f t="shared" ref="C154:AP154" si="80">C142</f>
        <v>5337528.8664667597</v>
      </c>
      <c r="D154" s="186">
        <f t="shared" si="80"/>
        <v>5372643.7982446523</v>
      </c>
      <c r="E154" s="186">
        <f t="shared" si="80"/>
        <v>5407595.3819082063</v>
      </c>
      <c r="F154" s="186">
        <f t="shared" si="80"/>
        <v>5442377.8336725207</v>
      </c>
      <c r="G154" s="186">
        <f t="shared" si="80"/>
        <v>5476985.2386409743</v>
      </c>
      <c r="H154" s="186">
        <f t="shared" si="80"/>
        <v>5511411.5480174404</v>
      </c>
      <c r="I154" s="186">
        <f t="shared" si="80"/>
        <v>5545650.5762596531</v>
      </c>
      <c r="J154" s="186">
        <f t="shared" si="80"/>
        <v>5579695.9981723577</v>
      </c>
      <c r="K154" s="186">
        <f t="shared" si="80"/>
        <v>5613541.3459390793</v>
      </c>
      <c r="L154" s="186">
        <f t="shared" si="80"/>
        <v>5647180.0060910769</v>
      </c>
      <c r="M154" s="186">
        <f t="shared" si="80"/>
        <v>5680605.2164122928</v>
      </c>
      <c r="N154" s="186">
        <f t="shared" si="80"/>
        <v>5713810.06277881</v>
      </c>
      <c r="O154" s="186">
        <f t="shared" si="80"/>
        <v>5647246.3313349579</v>
      </c>
      <c r="P154" s="186">
        <f t="shared" si="80"/>
        <v>5680829.186459139</v>
      </c>
      <c r="Q154" s="186">
        <f t="shared" si="80"/>
        <v>5714169.9911934873</v>
      </c>
      <c r="R154" s="186">
        <f t="shared" si="80"/>
        <v>5747261.1908192979</v>
      </c>
      <c r="S154" s="186">
        <f t="shared" si="80"/>
        <v>5780095.0618760586</v>
      </c>
      <c r="T154" s="186">
        <f t="shared" si="80"/>
        <v>5812663.708577957</v>
      </c>
      <c r="U154" s="186">
        <f t="shared" si="80"/>
        <v>5844959.0591546539</v>
      </c>
      <c r="V154" s="186">
        <f t="shared" si="80"/>
        <v>5876972.8621145422</v>
      </c>
      <c r="W154" s="186">
        <f t="shared" si="80"/>
        <v>5901531.2213352062</v>
      </c>
      <c r="X154" s="186">
        <f t="shared" si="80"/>
        <v>5918750.9099234687</v>
      </c>
      <c r="Y154" s="186">
        <f t="shared" si="80"/>
        <v>5935663.1795289228</v>
      </c>
      <c r="Z154" s="186">
        <f t="shared" si="80"/>
        <v>5952259.0208005067</v>
      </c>
      <c r="AA154" s="186">
        <f t="shared" si="80"/>
        <v>5849516.0234740619</v>
      </c>
      <c r="AB154" s="186">
        <f t="shared" si="80"/>
        <v>5866455.6195494765</v>
      </c>
      <c r="AC154" s="186">
        <f t="shared" si="80"/>
        <v>5883050.5444467915</v>
      </c>
      <c r="AD154" s="186">
        <f t="shared" si="80"/>
        <v>5899290.9645290347</v>
      </c>
      <c r="AE154" s="186">
        <f t="shared" si="80"/>
        <v>5915166.829038702</v>
      </c>
      <c r="AF154" s="186">
        <f t="shared" si="80"/>
        <v>5930667.8654898768</v>
      </c>
      <c r="AG154" s="186">
        <f t="shared" si="80"/>
        <v>5945783.5749627193</v>
      </c>
      <c r="AH154" s="186">
        <f t="shared" si="80"/>
        <v>5960503.2272982048</v>
      </c>
      <c r="AI154" s="186">
        <f t="shared" si="80"/>
        <v>5974815.8561910447</v>
      </c>
      <c r="AJ154" s="186">
        <f t="shared" si="80"/>
        <v>5988710.2541785147</v>
      </c>
      <c r="AK154" s="186">
        <f t="shared" si="80"/>
        <v>6002174.967523111</v>
      </c>
      <c r="AL154" s="186">
        <f t="shared" si="80"/>
        <v>6015198.2909866348</v>
      </c>
      <c r="AM154" s="186">
        <f t="shared" si="80"/>
        <v>6304907.0628007827</v>
      </c>
      <c r="AN154" s="186">
        <f t="shared" si="80"/>
        <v>6310872.3073483063</v>
      </c>
      <c r="AO154" s="186">
        <f t="shared" si="80"/>
        <v>6316359.4833604572</v>
      </c>
      <c r="AP154" s="186">
        <f t="shared" si="80"/>
        <v>6330687.0638877908</v>
      </c>
    </row>
    <row r="155" spans="1:42" s="101" customFormat="1" x14ac:dyDescent="0.2">
      <c r="A155" s="234" t="s">
        <v>205</v>
      </c>
      <c r="B155" s="181">
        <f t="shared" ref="B155:AP155" si="81">SUM(B150:B154)</f>
        <v>-43210095.75</v>
      </c>
      <c r="C155" s="181">
        <f t="shared" si="81"/>
        <v>5337528.8664667597</v>
      </c>
      <c r="D155" s="181">
        <f t="shared" si="81"/>
        <v>5372643.7982446523</v>
      </c>
      <c r="E155" s="181">
        <f t="shared" si="81"/>
        <v>5407595.3819082063</v>
      </c>
      <c r="F155" s="181">
        <f t="shared" si="81"/>
        <v>5442377.8336725207</v>
      </c>
      <c r="G155" s="181">
        <f t="shared" si="81"/>
        <v>5476985.2386409743</v>
      </c>
      <c r="H155" s="181">
        <f t="shared" si="81"/>
        <v>5511411.5480174404</v>
      </c>
      <c r="I155" s="181">
        <f t="shared" si="81"/>
        <v>5545650.5762596531</v>
      </c>
      <c r="J155" s="181">
        <f t="shared" si="81"/>
        <v>5579695.9981723577</v>
      </c>
      <c r="K155" s="181">
        <f t="shared" si="81"/>
        <v>5613541.3459390793</v>
      </c>
      <c r="L155" s="181">
        <f t="shared" si="81"/>
        <v>5647180.0060910769</v>
      </c>
      <c r="M155" s="181">
        <f t="shared" si="81"/>
        <v>5680605.2164122928</v>
      </c>
      <c r="N155" s="181">
        <f t="shared" si="81"/>
        <v>5713810.06277881</v>
      </c>
      <c r="O155" s="181">
        <f t="shared" si="81"/>
        <v>5647246.3313349579</v>
      </c>
      <c r="P155" s="181">
        <f t="shared" si="81"/>
        <v>5680829.186459139</v>
      </c>
      <c r="Q155" s="181">
        <f t="shared" si="81"/>
        <v>5714169.9911934873</v>
      </c>
      <c r="R155" s="181">
        <f t="shared" si="81"/>
        <v>5747261.1908192979</v>
      </c>
      <c r="S155" s="181">
        <f t="shared" si="81"/>
        <v>5780095.0618760586</v>
      </c>
      <c r="T155" s="181">
        <f t="shared" si="81"/>
        <v>5812663.708577957</v>
      </c>
      <c r="U155" s="181">
        <f t="shared" si="81"/>
        <v>5844959.0591546539</v>
      </c>
      <c r="V155" s="181">
        <f t="shared" si="81"/>
        <v>5876972.8621145422</v>
      </c>
      <c r="W155" s="181">
        <f t="shared" si="81"/>
        <v>5901531.2213352062</v>
      </c>
      <c r="X155" s="181">
        <f t="shared" si="81"/>
        <v>5918750.9099234687</v>
      </c>
      <c r="Y155" s="181">
        <f t="shared" si="81"/>
        <v>5935663.1795289228</v>
      </c>
      <c r="Z155" s="181">
        <f t="shared" si="81"/>
        <v>5952259.0208005067</v>
      </c>
      <c r="AA155" s="181">
        <f t="shared" si="81"/>
        <v>5849516.0234740619</v>
      </c>
      <c r="AB155" s="181">
        <f t="shared" si="81"/>
        <v>5866455.6195494765</v>
      </c>
      <c r="AC155" s="181">
        <f t="shared" si="81"/>
        <v>5883050.5444467915</v>
      </c>
      <c r="AD155" s="181">
        <f t="shared" si="81"/>
        <v>5899290.9645290347</v>
      </c>
      <c r="AE155" s="181">
        <f t="shared" si="81"/>
        <v>5915166.829038702</v>
      </c>
      <c r="AF155" s="181">
        <f t="shared" si="81"/>
        <v>5930667.8654898768</v>
      </c>
      <c r="AG155" s="181">
        <f t="shared" si="81"/>
        <v>5945783.5749627193</v>
      </c>
      <c r="AH155" s="181">
        <f t="shared" si="81"/>
        <v>5960503.2272982048</v>
      </c>
      <c r="AI155" s="181">
        <f t="shared" si="81"/>
        <v>5974815.8561910447</v>
      </c>
      <c r="AJ155" s="181">
        <f t="shared" si="81"/>
        <v>5988710.2541785147</v>
      </c>
      <c r="AK155" s="181">
        <f t="shared" si="81"/>
        <v>6002174.967523111</v>
      </c>
      <c r="AL155" s="181">
        <f t="shared" si="81"/>
        <v>6015198.2909866348</v>
      </c>
      <c r="AM155" s="181">
        <f t="shared" si="81"/>
        <v>6304907.0628007827</v>
      </c>
      <c r="AN155" s="181">
        <f t="shared" si="81"/>
        <v>6310872.3073483063</v>
      </c>
      <c r="AO155" s="181">
        <f t="shared" si="81"/>
        <v>6316359.4833604572</v>
      </c>
      <c r="AP155" s="181">
        <f t="shared" si="81"/>
        <v>10353402.06388779</v>
      </c>
    </row>
    <row r="156" spans="1:42" s="101" customFormat="1" x14ac:dyDescent="0.2">
      <c r="A156" s="243" t="s">
        <v>33</v>
      </c>
      <c r="B156" s="181"/>
      <c r="C156" s="181"/>
      <c r="D156" s="181"/>
      <c r="E156" s="181"/>
      <c r="F156" s="181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</row>
    <row r="157" spans="1:42" s="101" customFormat="1" x14ac:dyDescent="0.2">
      <c r="A157" s="234" t="s">
        <v>37</v>
      </c>
      <c r="B157" s="181">
        <v>0</v>
      </c>
      <c r="C157" s="181">
        <f>I323+K323</f>
        <v>0</v>
      </c>
      <c r="D157" s="181">
        <v>0</v>
      </c>
      <c r="E157" s="181">
        <v>0</v>
      </c>
      <c r="F157" s="181">
        <v>0</v>
      </c>
      <c r="G157" s="181">
        <v>0</v>
      </c>
      <c r="H157" s="181">
        <v>0</v>
      </c>
      <c r="I157" s="181">
        <v>0</v>
      </c>
      <c r="J157" s="181">
        <v>0</v>
      </c>
      <c r="K157" s="181">
        <v>0</v>
      </c>
      <c r="L157" s="181">
        <v>0</v>
      </c>
      <c r="M157" s="181">
        <v>0</v>
      </c>
      <c r="N157" s="181">
        <v>0</v>
      </c>
      <c r="O157" s="181">
        <v>0</v>
      </c>
      <c r="P157" s="181">
        <v>0</v>
      </c>
      <c r="Q157" s="181">
        <v>0</v>
      </c>
      <c r="R157" s="181">
        <v>0</v>
      </c>
      <c r="S157" s="181">
        <v>0</v>
      </c>
      <c r="T157" s="181">
        <v>0</v>
      </c>
      <c r="U157" s="181">
        <v>0</v>
      </c>
      <c r="V157" s="181">
        <v>0</v>
      </c>
      <c r="W157" s="181">
        <v>0</v>
      </c>
      <c r="X157" s="181">
        <v>0</v>
      </c>
      <c r="Y157" s="181">
        <v>0</v>
      </c>
      <c r="Z157" s="181">
        <v>0</v>
      </c>
      <c r="AA157" s="181">
        <v>0</v>
      </c>
      <c r="AB157" s="181">
        <v>0</v>
      </c>
      <c r="AC157" s="181">
        <v>0</v>
      </c>
      <c r="AD157" s="181">
        <v>0</v>
      </c>
      <c r="AE157" s="181">
        <v>0</v>
      </c>
      <c r="AF157" s="181">
        <v>0</v>
      </c>
      <c r="AG157" s="181">
        <v>0</v>
      </c>
      <c r="AH157" s="181">
        <v>0</v>
      </c>
      <c r="AI157" s="181">
        <v>0</v>
      </c>
      <c r="AJ157" s="181">
        <v>0</v>
      </c>
      <c r="AK157" s="181">
        <v>0</v>
      </c>
      <c r="AL157" s="181">
        <v>0</v>
      </c>
      <c r="AM157" s="181">
        <v>0</v>
      </c>
      <c r="AN157" s="181">
        <v>0</v>
      </c>
      <c r="AO157" s="181">
        <v>0</v>
      </c>
      <c r="AP157" s="181">
        <v>0</v>
      </c>
    </row>
    <row r="158" spans="1:42" s="101" customFormat="1" x14ac:dyDescent="0.2">
      <c r="A158" s="234" t="s">
        <v>36</v>
      </c>
      <c r="B158" s="186">
        <v>0</v>
      </c>
      <c r="C158" s="186">
        <f>I457+K457</f>
        <v>12314877.288749998</v>
      </c>
      <c r="D158" s="186">
        <v>0</v>
      </c>
      <c r="E158" s="186">
        <v>0</v>
      </c>
      <c r="F158" s="186">
        <v>0</v>
      </c>
      <c r="G158" s="186">
        <v>0</v>
      </c>
      <c r="H158" s="186">
        <v>0</v>
      </c>
      <c r="I158" s="186">
        <v>0</v>
      </c>
      <c r="J158" s="186">
        <v>0</v>
      </c>
      <c r="K158" s="186">
        <v>0</v>
      </c>
      <c r="L158" s="186">
        <v>0</v>
      </c>
      <c r="M158" s="186">
        <v>0</v>
      </c>
      <c r="N158" s="186">
        <v>0</v>
      </c>
      <c r="O158" s="186">
        <v>0</v>
      </c>
      <c r="P158" s="186">
        <v>0</v>
      </c>
      <c r="Q158" s="186">
        <v>0</v>
      </c>
      <c r="R158" s="186">
        <v>0</v>
      </c>
      <c r="S158" s="186">
        <v>0</v>
      </c>
      <c r="T158" s="186">
        <v>0</v>
      </c>
      <c r="U158" s="186">
        <v>0</v>
      </c>
      <c r="V158" s="186">
        <v>0</v>
      </c>
      <c r="W158" s="186">
        <v>0</v>
      </c>
      <c r="X158" s="186">
        <v>0</v>
      </c>
      <c r="Y158" s="186">
        <v>0</v>
      </c>
      <c r="Z158" s="186">
        <v>0</v>
      </c>
      <c r="AA158" s="186">
        <v>0</v>
      </c>
      <c r="AB158" s="186">
        <v>0</v>
      </c>
      <c r="AC158" s="186">
        <v>0</v>
      </c>
      <c r="AD158" s="186">
        <v>0</v>
      </c>
      <c r="AE158" s="186">
        <v>0</v>
      </c>
      <c r="AF158" s="186">
        <v>0</v>
      </c>
      <c r="AG158" s="186">
        <v>0</v>
      </c>
      <c r="AH158" s="186">
        <v>0</v>
      </c>
      <c r="AI158" s="186">
        <v>0</v>
      </c>
      <c r="AJ158" s="186">
        <v>0</v>
      </c>
      <c r="AK158" s="186">
        <v>0</v>
      </c>
      <c r="AL158" s="186">
        <v>0</v>
      </c>
      <c r="AM158" s="186">
        <v>0</v>
      </c>
      <c r="AN158" s="186">
        <v>0</v>
      </c>
      <c r="AO158" s="186">
        <v>0</v>
      </c>
      <c r="AP158" s="186">
        <v>0</v>
      </c>
    </row>
    <row r="159" spans="1:42" s="101" customFormat="1" x14ac:dyDescent="0.2">
      <c r="A159" s="234" t="s">
        <v>53</v>
      </c>
      <c r="B159" s="181">
        <f>SUM(B157:B158)</f>
        <v>0</v>
      </c>
      <c r="C159" s="181">
        <f>SUM(C157:C158)</f>
        <v>12314877.288749998</v>
      </c>
      <c r="D159" s="181">
        <f>SUM(D157:D158)</f>
        <v>0</v>
      </c>
      <c r="E159" s="181">
        <f t="shared" ref="E159:AP159" si="82">SUM(E157:E158)</f>
        <v>0</v>
      </c>
      <c r="F159" s="181">
        <f t="shared" si="82"/>
        <v>0</v>
      </c>
      <c r="G159" s="181">
        <f t="shared" si="82"/>
        <v>0</v>
      </c>
      <c r="H159" s="181">
        <f t="shared" si="82"/>
        <v>0</v>
      </c>
      <c r="I159" s="181">
        <f t="shared" si="82"/>
        <v>0</v>
      </c>
      <c r="J159" s="181">
        <f t="shared" si="82"/>
        <v>0</v>
      </c>
      <c r="K159" s="181">
        <f t="shared" si="82"/>
        <v>0</v>
      </c>
      <c r="L159" s="181">
        <f t="shared" si="82"/>
        <v>0</v>
      </c>
      <c r="M159" s="181">
        <f t="shared" si="82"/>
        <v>0</v>
      </c>
      <c r="N159" s="181">
        <f t="shared" si="82"/>
        <v>0</v>
      </c>
      <c r="O159" s="181">
        <f t="shared" si="82"/>
        <v>0</v>
      </c>
      <c r="P159" s="181">
        <f t="shared" si="82"/>
        <v>0</v>
      </c>
      <c r="Q159" s="181">
        <f t="shared" si="82"/>
        <v>0</v>
      </c>
      <c r="R159" s="181">
        <f t="shared" si="82"/>
        <v>0</v>
      </c>
      <c r="S159" s="181">
        <f t="shared" si="82"/>
        <v>0</v>
      </c>
      <c r="T159" s="181">
        <f t="shared" si="82"/>
        <v>0</v>
      </c>
      <c r="U159" s="181">
        <f t="shared" si="82"/>
        <v>0</v>
      </c>
      <c r="V159" s="181">
        <f t="shared" si="82"/>
        <v>0</v>
      </c>
      <c r="W159" s="181">
        <f t="shared" si="82"/>
        <v>0</v>
      </c>
      <c r="X159" s="181">
        <f t="shared" si="82"/>
        <v>0</v>
      </c>
      <c r="Y159" s="181">
        <f t="shared" si="82"/>
        <v>0</v>
      </c>
      <c r="Z159" s="181">
        <f t="shared" si="82"/>
        <v>0</v>
      </c>
      <c r="AA159" s="181">
        <f t="shared" si="82"/>
        <v>0</v>
      </c>
      <c r="AB159" s="181">
        <f t="shared" si="82"/>
        <v>0</v>
      </c>
      <c r="AC159" s="181">
        <f t="shared" si="82"/>
        <v>0</v>
      </c>
      <c r="AD159" s="181">
        <f t="shared" si="82"/>
        <v>0</v>
      </c>
      <c r="AE159" s="181">
        <f t="shared" si="82"/>
        <v>0</v>
      </c>
      <c r="AF159" s="181">
        <f t="shared" si="82"/>
        <v>0</v>
      </c>
      <c r="AG159" s="181">
        <f t="shared" si="82"/>
        <v>0</v>
      </c>
      <c r="AH159" s="181">
        <f t="shared" si="82"/>
        <v>0</v>
      </c>
      <c r="AI159" s="181">
        <f t="shared" si="82"/>
        <v>0</v>
      </c>
      <c r="AJ159" s="181">
        <f t="shared" si="82"/>
        <v>0</v>
      </c>
      <c r="AK159" s="181">
        <f t="shared" si="82"/>
        <v>0</v>
      </c>
      <c r="AL159" s="181">
        <f t="shared" si="82"/>
        <v>0</v>
      </c>
      <c r="AM159" s="181">
        <f t="shared" si="82"/>
        <v>0</v>
      </c>
      <c r="AN159" s="181">
        <f t="shared" si="82"/>
        <v>0</v>
      </c>
      <c r="AO159" s="181">
        <f t="shared" si="82"/>
        <v>0</v>
      </c>
      <c r="AP159" s="181">
        <f t="shared" si="82"/>
        <v>0</v>
      </c>
    </row>
    <row r="160" spans="1:42" s="101" customFormat="1" x14ac:dyDescent="0.2">
      <c r="A160" s="243" t="s">
        <v>38</v>
      </c>
      <c r="B160" s="181"/>
      <c r="C160" s="181"/>
      <c r="D160" s="181"/>
      <c r="E160" s="181"/>
      <c r="F160" s="181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</row>
    <row r="161" spans="1:42" s="101" customFormat="1" x14ac:dyDescent="0.2">
      <c r="A161" s="234" t="s">
        <v>37</v>
      </c>
      <c r="B161" s="181">
        <f>B587</f>
        <v>0</v>
      </c>
      <c r="C161" s="181">
        <f t="shared" ref="C161:AP161" si="83">C587</f>
        <v>0</v>
      </c>
      <c r="D161" s="181">
        <f t="shared" si="83"/>
        <v>0</v>
      </c>
      <c r="E161" s="181">
        <f t="shared" si="83"/>
        <v>0</v>
      </c>
      <c r="F161" s="181">
        <f t="shared" si="83"/>
        <v>0</v>
      </c>
      <c r="G161" s="181">
        <f t="shared" si="83"/>
        <v>0</v>
      </c>
      <c r="H161" s="181">
        <f t="shared" si="83"/>
        <v>0</v>
      </c>
      <c r="I161" s="181">
        <f t="shared" si="83"/>
        <v>0</v>
      </c>
      <c r="J161" s="181">
        <f t="shared" si="83"/>
        <v>0</v>
      </c>
      <c r="K161" s="181">
        <f t="shared" si="83"/>
        <v>0</v>
      </c>
      <c r="L161" s="181">
        <f t="shared" si="83"/>
        <v>0</v>
      </c>
      <c r="M161" s="181">
        <f t="shared" si="83"/>
        <v>0</v>
      </c>
      <c r="N161" s="181">
        <f t="shared" si="83"/>
        <v>0</v>
      </c>
      <c r="O161" s="181">
        <f t="shared" si="83"/>
        <v>0</v>
      </c>
      <c r="P161" s="181">
        <f t="shared" si="83"/>
        <v>0</v>
      </c>
      <c r="Q161" s="181">
        <f t="shared" si="83"/>
        <v>0</v>
      </c>
      <c r="R161" s="181">
        <f t="shared" si="83"/>
        <v>0</v>
      </c>
      <c r="S161" s="181">
        <f t="shared" si="83"/>
        <v>0</v>
      </c>
      <c r="T161" s="181">
        <f t="shared" si="83"/>
        <v>0</v>
      </c>
      <c r="U161" s="181">
        <f t="shared" si="83"/>
        <v>0</v>
      </c>
      <c r="V161" s="181">
        <f t="shared" si="83"/>
        <v>0</v>
      </c>
      <c r="W161" s="181">
        <f t="shared" si="83"/>
        <v>0</v>
      </c>
      <c r="X161" s="181">
        <f t="shared" si="83"/>
        <v>0</v>
      </c>
      <c r="Y161" s="181">
        <f t="shared" si="83"/>
        <v>0</v>
      </c>
      <c r="Z161" s="181">
        <f t="shared" si="83"/>
        <v>0</v>
      </c>
      <c r="AA161" s="181">
        <f t="shared" si="83"/>
        <v>0</v>
      </c>
      <c r="AB161" s="181">
        <f t="shared" si="83"/>
        <v>0</v>
      </c>
      <c r="AC161" s="181">
        <f t="shared" si="83"/>
        <v>0</v>
      </c>
      <c r="AD161" s="181">
        <f t="shared" si="83"/>
        <v>0</v>
      </c>
      <c r="AE161" s="181">
        <f t="shared" si="83"/>
        <v>0</v>
      </c>
      <c r="AF161" s="181">
        <f t="shared" si="83"/>
        <v>0</v>
      </c>
      <c r="AG161" s="181">
        <f t="shared" si="83"/>
        <v>0</v>
      </c>
      <c r="AH161" s="181">
        <f t="shared" si="83"/>
        <v>0</v>
      </c>
      <c r="AI161" s="181">
        <f t="shared" si="83"/>
        <v>0</v>
      </c>
      <c r="AJ161" s="181">
        <f t="shared" si="83"/>
        <v>0</v>
      </c>
      <c r="AK161" s="181">
        <f t="shared" si="83"/>
        <v>0</v>
      </c>
      <c r="AL161" s="181">
        <f t="shared" si="83"/>
        <v>0</v>
      </c>
      <c r="AM161" s="181">
        <f t="shared" si="83"/>
        <v>0</v>
      </c>
      <c r="AN161" s="181">
        <f t="shared" si="83"/>
        <v>0</v>
      </c>
      <c r="AO161" s="181">
        <f t="shared" si="83"/>
        <v>0</v>
      </c>
      <c r="AP161" s="181">
        <f t="shared" si="83"/>
        <v>0</v>
      </c>
    </row>
    <row r="162" spans="1:42" s="101" customFormat="1" x14ac:dyDescent="0.2">
      <c r="A162" s="234" t="s">
        <v>36</v>
      </c>
      <c r="B162" s="186">
        <f>B593</f>
        <v>0</v>
      </c>
      <c r="C162" s="186">
        <f t="shared" ref="C162:AP162" si="84">C593</f>
        <v>0</v>
      </c>
      <c r="D162" s="186">
        <f t="shared" si="84"/>
        <v>0</v>
      </c>
      <c r="E162" s="186">
        <f t="shared" si="84"/>
        <v>0</v>
      </c>
      <c r="F162" s="186">
        <f t="shared" si="84"/>
        <v>0</v>
      </c>
      <c r="G162" s="186">
        <f t="shared" si="84"/>
        <v>0</v>
      </c>
      <c r="H162" s="186">
        <f t="shared" si="84"/>
        <v>0</v>
      </c>
      <c r="I162" s="186">
        <f t="shared" si="84"/>
        <v>0</v>
      </c>
      <c r="J162" s="186">
        <f t="shared" si="84"/>
        <v>0</v>
      </c>
      <c r="K162" s="186">
        <f t="shared" si="84"/>
        <v>0</v>
      </c>
      <c r="L162" s="186">
        <f t="shared" si="84"/>
        <v>0</v>
      </c>
      <c r="M162" s="186">
        <f t="shared" si="84"/>
        <v>0</v>
      </c>
      <c r="N162" s="186">
        <f t="shared" si="84"/>
        <v>0</v>
      </c>
      <c r="O162" s="186">
        <f t="shared" si="84"/>
        <v>0</v>
      </c>
      <c r="P162" s="186">
        <f t="shared" si="84"/>
        <v>0</v>
      </c>
      <c r="Q162" s="186">
        <f t="shared" si="84"/>
        <v>0</v>
      </c>
      <c r="R162" s="186">
        <f t="shared" si="84"/>
        <v>0</v>
      </c>
      <c r="S162" s="186">
        <f t="shared" si="84"/>
        <v>0</v>
      </c>
      <c r="T162" s="186">
        <f t="shared" si="84"/>
        <v>0</v>
      </c>
      <c r="U162" s="186">
        <f t="shared" si="84"/>
        <v>0</v>
      </c>
      <c r="V162" s="186">
        <f t="shared" si="84"/>
        <v>0</v>
      </c>
      <c r="W162" s="186">
        <f t="shared" si="84"/>
        <v>0</v>
      </c>
      <c r="X162" s="186">
        <f t="shared" si="84"/>
        <v>0</v>
      </c>
      <c r="Y162" s="186">
        <f t="shared" si="84"/>
        <v>0</v>
      </c>
      <c r="Z162" s="186">
        <f t="shared" si="84"/>
        <v>0</v>
      </c>
      <c r="AA162" s="186">
        <f t="shared" si="84"/>
        <v>0</v>
      </c>
      <c r="AB162" s="186">
        <f t="shared" si="84"/>
        <v>0</v>
      </c>
      <c r="AC162" s="186">
        <f t="shared" si="84"/>
        <v>0</v>
      </c>
      <c r="AD162" s="186">
        <f t="shared" si="84"/>
        <v>0</v>
      </c>
      <c r="AE162" s="186">
        <f t="shared" si="84"/>
        <v>0</v>
      </c>
      <c r="AF162" s="186">
        <f t="shared" si="84"/>
        <v>0</v>
      </c>
      <c r="AG162" s="186">
        <f t="shared" si="84"/>
        <v>0</v>
      </c>
      <c r="AH162" s="186">
        <f t="shared" si="84"/>
        <v>0</v>
      </c>
      <c r="AI162" s="186">
        <f t="shared" si="84"/>
        <v>0</v>
      </c>
      <c r="AJ162" s="186">
        <f t="shared" si="84"/>
        <v>0</v>
      </c>
      <c r="AK162" s="186">
        <f t="shared" si="84"/>
        <v>0</v>
      </c>
      <c r="AL162" s="186">
        <f t="shared" si="84"/>
        <v>0</v>
      </c>
      <c r="AM162" s="186">
        <f t="shared" si="84"/>
        <v>0</v>
      </c>
      <c r="AN162" s="186">
        <f t="shared" si="84"/>
        <v>0</v>
      </c>
      <c r="AO162" s="186">
        <f t="shared" si="84"/>
        <v>0</v>
      </c>
      <c r="AP162" s="186">
        <f t="shared" si="84"/>
        <v>0</v>
      </c>
    </row>
    <row r="163" spans="1:42" s="101" customFormat="1" x14ac:dyDescent="0.2">
      <c r="A163" s="234" t="s">
        <v>53</v>
      </c>
      <c r="B163" s="181">
        <f>SUM(B161:B162)</f>
        <v>0</v>
      </c>
      <c r="C163" s="181">
        <f>SUM(C161:C162)</f>
        <v>0</v>
      </c>
      <c r="D163" s="181">
        <f>SUM(D161:D162)</f>
        <v>0</v>
      </c>
      <c r="E163" s="181">
        <f t="shared" ref="E163:AP163" si="85">SUM(E161:E162)</f>
        <v>0</v>
      </c>
      <c r="F163" s="181">
        <f t="shared" si="85"/>
        <v>0</v>
      </c>
      <c r="G163" s="181">
        <f t="shared" si="85"/>
        <v>0</v>
      </c>
      <c r="H163" s="181">
        <f t="shared" si="85"/>
        <v>0</v>
      </c>
      <c r="I163" s="181">
        <f t="shared" si="85"/>
        <v>0</v>
      </c>
      <c r="J163" s="181">
        <f t="shared" si="85"/>
        <v>0</v>
      </c>
      <c r="K163" s="181">
        <f t="shared" si="85"/>
        <v>0</v>
      </c>
      <c r="L163" s="181">
        <f t="shared" si="85"/>
        <v>0</v>
      </c>
      <c r="M163" s="181">
        <f t="shared" si="85"/>
        <v>0</v>
      </c>
      <c r="N163" s="181">
        <f t="shared" si="85"/>
        <v>0</v>
      </c>
      <c r="O163" s="181">
        <f t="shared" si="85"/>
        <v>0</v>
      </c>
      <c r="P163" s="181">
        <f t="shared" si="85"/>
        <v>0</v>
      </c>
      <c r="Q163" s="181">
        <f t="shared" si="85"/>
        <v>0</v>
      </c>
      <c r="R163" s="181">
        <f t="shared" si="85"/>
        <v>0</v>
      </c>
      <c r="S163" s="181">
        <f t="shared" si="85"/>
        <v>0</v>
      </c>
      <c r="T163" s="181">
        <f t="shared" si="85"/>
        <v>0</v>
      </c>
      <c r="U163" s="181">
        <f t="shared" si="85"/>
        <v>0</v>
      </c>
      <c r="V163" s="181">
        <f t="shared" si="85"/>
        <v>0</v>
      </c>
      <c r="W163" s="181">
        <f t="shared" si="85"/>
        <v>0</v>
      </c>
      <c r="X163" s="181">
        <f t="shared" si="85"/>
        <v>0</v>
      </c>
      <c r="Y163" s="181">
        <f t="shared" si="85"/>
        <v>0</v>
      </c>
      <c r="Z163" s="181">
        <f t="shared" si="85"/>
        <v>0</v>
      </c>
      <c r="AA163" s="181">
        <f t="shared" si="85"/>
        <v>0</v>
      </c>
      <c r="AB163" s="181">
        <f t="shared" si="85"/>
        <v>0</v>
      </c>
      <c r="AC163" s="181">
        <f t="shared" si="85"/>
        <v>0</v>
      </c>
      <c r="AD163" s="181">
        <f t="shared" si="85"/>
        <v>0</v>
      </c>
      <c r="AE163" s="181">
        <f t="shared" si="85"/>
        <v>0</v>
      </c>
      <c r="AF163" s="181">
        <f t="shared" si="85"/>
        <v>0</v>
      </c>
      <c r="AG163" s="181">
        <f t="shared" si="85"/>
        <v>0</v>
      </c>
      <c r="AH163" s="181">
        <f t="shared" si="85"/>
        <v>0</v>
      </c>
      <c r="AI163" s="181">
        <f t="shared" si="85"/>
        <v>0</v>
      </c>
      <c r="AJ163" s="181">
        <f t="shared" si="85"/>
        <v>0</v>
      </c>
      <c r="AK163" s="181">
        <f t="shared" si="85"/>
        <v>0</v>
      </c>
      <c r="AL163" s="181">
        <f t="shared" si="85"/>
        <v>0</v>
      </c>
      <c r="AM163" s="181">
        <f t="shared" si="85"/>
        <v>0</v>
      </c>
      <c r="AN163" s="181">
        <f t="shared" si="85"/>
        <v>0</v>
      </c>
      <c r="AO163" s="181">
        <f t="shared" si="85"/>
        <v>0</v>
      </c>
      <c r="AP163" s="181">
        <f t="shared" si="85"/>
        <v>0</v>
      </c>
    </row>
    <row r="164" spans="1:42" s="101" customFormat="1" x14ac:dyDescent="0.2">
      <c r="A164" s="243" t="s">
        <v>206</v>
      </c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</row>
    <row r="165" spans="1:42" s="101" customFormat="1" x14ac:dyDescent="0.2">
      <c r="A165" s="234" t="s">
        <v>37</v>
      </c>
      <c r="B165" s="181">
        <v>0</v>
      </c>
      <c r="C165" s="181">
        <f t="shared" ref="C165:AP165" si="86">C245</f>
        <v>94262.645160024447</v>
      </c>
      <c r="D165" s="181">
        <f t="shared" si="86"/>
        <v>326457.90971611714</v>
      </c>
      <c r="E165" s="181">
        <f t="shared" si="86"/>
        <v>78556.161169581159</v>
      </c>
      <c r="F165" s="181">
        <f t="shared" si="86"/>
        <v>-71044.335865663117</v>
      </c>
      <c r="G165" s="181">
        <f t="shared" si="86"/>
        <v>-73222.23527217994</v>
      </c>
      <c r="H165" s="181">
        <f t="shared" si="86"/>
        <v>-185903.55913466183</v>
      </c>
      <c r="I165" s="181">
        <f t="shared" si="86"/>
        <v>-298442.6837174829</v>
      </c>
      <c r="J165" s="181">
        <f t="shared" si="86"/>
        <v>-300318.746755581</v>
      </c>
      <c r="K165" s="181">
        <f t="shared" si="86"/>
        <v>-302173.11121695198</v>
      </c>
      <c r="L165" s="181">
        <f t="shared" si="86"/>
        <v>-304030.36719111056</v>
      </c>
      <c r="M165" s="181">
        <f t="shared" si="86"/>
        <v>-305861.62409297872</v>
      </c>
      <c r="N165" s="181">
        <f t="shared" si="86"/>
        <v>-275301.42453042144</v>
      </c>
      <c r="O165" s="181">
        <f t="shared" si="86"/>
        <v>-252197.13216810214</v>
      </c>
      <c r="P165" s="181">
        <f t="shared" si="86"/>
        <v>-274783.22016398009</v>
      </c>
      <c r="Q165" s="181">
        <f t="shared" si="86"/>
        <v>-289048.97553752008</v>
      </c>
      <c r="R165" s="181">
        <f t="shared" si="86"/>
        <v>-293114.83624354587</v>
      </c>
      <c r="S165" s="181">
        <f t="shared" si="86"/>
        <v>-306488.76979668741</v>
      </c>
      <c r="T165" s="181">
        <f t="shared" si="86"/>
        <v>-317609.40094950394</v>
      </c>
      <c r="U165" s="181">
        <f t="shared" si="86"/>
        <v>-319385.64523122227</v>
      </c>
      <c r="V165" s="181">
        <f t="shared" si="86"/>
        <v>-321146.40439401614</v>
      </c>
      <c r="W165" s="181">
        <f t="shared" si="86"/>
        <v>-323388.32237599645</v>
      </c>
      <c r="X165" s="181">
        <f t="shared" si="86"/>
        <v>-325226.61347319459</v>
      </c>
      <c r="Y165" s="181">
        <f t="shared" si="86"/>
        <v>-326156.78830149461</v>
      </c>
      <c r="Z165" s="181">
        <f t="shared" si="86"/>
        <v>-288339.18781966023</v>
      </c>
      <c r="AA165" s="181">
        <f t="shared" si="86"/>
        <v>-259450.09991564287</v>
      </c>
      <c r="AB165" s="181">
        <f t="shared" si="86"/>
        <v>-285169.21562092443</v>
      </c>
      <c r="AC165" s="181">
        <f t="shared" si="86"/>
        <v>-300954.39924295701</v>
      </c>
      <c r="AD165" s="181">
        <f t="shared" si="86"/>
        <v>-301847.62234748038</v>
      </c>
      <c r="AE165" s="181">
        <f t="shared" si="86"/>
        <v>-313875.14196002221</v>
      </c>
      <c r="AF165" s="181">
        <f t="shared" si="86"/>
        <v>-325882.04602934705</v>
      </c>
      <c r="AG165" s="181">
        <f t="shared" si="86"/>
        <v>-326713.41005035338</v>
      </c>
      <c r="AH165" s="181">
        <f t="shared" si="86"/>
        <v>-327522.99092880508</v>
      </c>
      <c r="AI165" s="181">
        <f t="shared" si="86"/>
        <v>-328310.18551791128</v>
      </c>
      <c r="AJ165" s="181">
        <f t="shared" si="86"/>
        <v>-329074.37740722217</v>
      </c>
      <c r="AK165" s="181">
        <f t="shared" si="86"/>
        <v>-329814.93664117495</v>
      </c>
      <c r="AL165" s="181">
        <f t="shared" si="86"/>
        <v>-284224.4831777903</v>
      </c>
      <c r="AM165" s="181">
        <f t="shared" si="86"/>
        <v>-272374.42387524137</v>
      </c>
      <c r="AN165" s="181">
        <f t="shared" si="86"/>
        <v>-302338.8235278374</v>
      </c>
      <c r="AO165" s="181">
        <f t="shared" si="86"/>
        <v>-320422.40492999501</v>
      </c>
      <c r="AP165" s="181">
        <f t="shared" si="86"/>
        <v>-542612.09014529642</v>
      </c>
    </row>
    <row r="166" spans="1:42" s="101" customFormat="1" x14ac:dyDescent="0.2">
      <c r="A166" s="234" t="s">
        <v>36</v>
      </c>
      <c r="B166" s="186">
        <v>0</v>
      </c>
      <c r="C166" s="186">
        <f t="shared" ref="C166:AP166" si="87">C276</f>
        <v>566861.27066687413</v>
      </c>
      <c r="D166" s="186">
        <f t="shared" si="87"/>
        <v>1963199.1570655589</v>
      </c>
      <c r="E166" s="186">
        <f t="shared" si="87"/>
        <v>472408.18739707215</v>
      </c>
      <c r="F166" s="186">
        <f t="shared" si="87"/>
        <v>-427234.8015921468</v>
      </c>
      <c r="G166" s="186">
        <f t="shared" si="87"/>
        <v>-440331.89665951842</v>
      </c>
      <c r="H166" s="186">
        <f t="shared" si="87"/>
        <v>-1117956.4033416254</v>
      </c>
      <c r="I166" s="186">
        <f t="shared" si="87"/>
        <v>-1794725.7752646813</v>
      </c>
      <c r="J166" s="186">
        <f t="shared" si="87"/>
        <v>-1806007.7361710619</v>
      </c>
      <c r="K166" s="186">
        <f t="shared" si="87"/>
        <v>-1817159.2097273974</v>
      </c>
      <c r="L166" s="186">
        <f t="shared" si="87"/>
        <v>-1828328.0717901783</v>
      </c>
      <c r="M166" s="186">
        <f t="shared" si="87"/>
        <v>-1839340.5848864128</v>
      </c>
      <c r="N166" s="186">
        <f t="shared" si="87"/>
        <v>-1655562.6575170343</v>
      </c>
      <c r="O166" s="186">
        <f t="shared" si="87"/>
        <v>-1516621.8448109052</v>
      </c>
      <c r="P166" s="186">
        <f t="shared" si="87"/>
        <v>-1652446.3648952073</v>
      </c>
      <c r="Q166" s="186">
        <f t="shared" si="87"/>
        <v>-1738235.4301642685</v>
      </c>
      <c r="R166" s="186">
        <f t="shared" si="87"/>
        <v>-1762686.0379555055</v>
      </c>
      <c r="S166" s="186">
        <f t="shared" si="87"/>
        <v>-1843112.0110955338</v>
      </c>
      <c r="T166" s="186">
        <f t="shared" si="87"/>
        <v>-1909987.4429826986</v>
      </c>
      <c r="U166" s="186">
        <f t="shared" si="87"/>
        <v>-1920669.130185941</v>
      </c>
      <c r="V166" s="186">
        <f t="shared" si="87"/>
        <v>-1931257.6955149241</v>
      </c>
      <c r="W166" s="186">
        <f t="shared" si="87"/>
        <v>-1944739.7750156512</v>
      </c>
      <c r="X166" s="186">
        <f t="shared" si="87"/>
        <v>-1955794.5892047111</v>
      </c>
      <c r="Y166" s="186">
        <f t="shared" si="87"/>
        <v>-1961388.322376715</v>
      </c>
      <c r="Z166" s="186">
        <f t="shared" si="87"/>
        <v>-1733967.0249336837</v>
      </c>
      <c r="AA166" s="186">
        <f t="shared" si="87"/>
        <v>-1560238.5554017976</v>
      </c>
      <c r="AB166" s="186">
        <f t="shared" si="87"/>
        <v>-1714903.9648476499</v>
      </c>
      <c r="AC166" s="186">
        <f t="shared" si="87"/>
        <v>-1809830.3190837824</v>
      </c>
      <c r="AD166" s="186">
        <f t="shared" si="87"/>
        <v>-1815201.8380259841</v>
      </c>
      <c r="AE166" s="186">
        <f t="shared" si="87"/>
        <v>-1887530.9673323154</v>
      </c>
      <c r="AF166" s="186">
        <f t="shared" si="87"/>
        <v>-1959736.1222583007</v>
      </c>
      <c r="AG166" s="186">
        <f t="shared" si="87"/>
        <v>-1964735.6431664433</v>
      </c>
      <c r="AH166" s="186">
        <f t="shared" si="87"/>
        <v>-1969604.1681764049</v>
      </c>
      <c r="AI166" s="186">
        <f t="shared" si="87"/>
        <v>-1974338.0701827121</v>
      </c>
      <c r="AJ166" s="186">
        <f t="shared" si="87"/>
        <v>-1978933.6423170676</v>
      </c>
      <c r="AK166" s="186">
        <f t="shared" si="87"/>
        <v>-1983387.0962557928</v>
      </c>
      <c r="AL166" s="186">
        <f t="shared" si="87"/>
        <v>-1709222.6874737116</v>
      </c>
      <c r="AM166" s="186">
        <f t="shared" si="87"/>
        <v>-1637960.7399406557</v>
      </c>
      <c r="AN166" s="186">
        <f t="shared" si="87"/>
        <v>-1818155.7433060403</v>
      </c>
      <c r="AO166" s="186">
        <f t="shared" si="87"/>
        <v>-1926903.8260108337</v>
      </c>
      <c r="AP166" s="186">
        <f t="shared" si="87"/>
        <v>-3263071.796646486</v>
      </c>
    </row>
    <row r="167" spans="1:42" s="101" customFormat="1" x14ac:dyDescent="0.2">
      <c r="A167" s="234" t="s">
        <v>53</v>
      </c>
      <c r="B167" s="249">
        <f>SUM(B165:B166)</f>
        <v>0</v>
      </c>
      <c r="C167" s="249">
        <f>SUM(C165:C166)</f>
        <v>661123.91582689853</v>
      </c>
      <c r="D167" s="249">
        <f>SUM(D165:D166)</f>
        <v>2289657.0667816759</v>
      </c>
      <c r="E167" s="249">
        <f t="shared" ref="E167:AP167" si="88">SUM(E165:E166)</f>
        <v>550964.34856665332</v>
      </c>
      <c r="F167" s="249">
        <f t="shared" si="88"/>
        <v>-498279.13745780993</v>
      </c>
      <c r="G167" s="249">
        <f t="shared" si="88"/>
        <v>-513554.13193169836</v>
      </c>
      <c r="H167" s="249">
        <f t="shared" si="88"/>
        <v>-1303859.9624762873</v>
      </c>
      <c r="I167" s="249">
        <f t="shared" si="88"/>
        <v>-2093168.4589821643</v>
      </c>
      <c r="J167" s="249">
        <f t="shared" si="88"/>
        <v>-2106326.482926643</v>
      </c>
      <c r="K167" s="249">
        <f t="shared" si="88"/>
        <v>-2119332.3209443493</v>
      </c>
      <c r="L167" s="249">
        <f t="shared" si="88"/>
        <v>-2132358.438981289</v>
      </c>
      <c r="M167" s="249">
        <f t="shared" si="88"/>
        <v>-2145202.2089793915</v>
      </c>
      <c r="N167" s="249">
        <f t="shared" si="88"/>
        <v>-1930864.0820474557</v>
      </c>
      <c r="O167" s="249">
        <f t="shared" si="88"/>
        <v>-1768818.9769790072</v>
      </c>
      <c r="P167" s="249">
        <f t="shared" si="88"/>
        <v>-1927229.5850591874</v>
      </c>
      <c r="Q167" s="249">
        <f t="shared" si="88"/>
        <v>-2027284.4057017886</v>
      </c>
      <c r="R167" s="249">
        <f t="shared" si="88"/>
        <v>-2055800.8741990514</v>
      </c>
      <c r="S167" s="249">
        <f t="shared" si="88"/>
        <v>-2149600.7808922213</v>
      </c>
      <c r="T167" s="249">
        <f t="shared" si="88"/>
        <v>-2227596.8439322026</v>
      </c>
      <c r="U167" s="249">
        <f t="shared" si="88"/>
        <v>-2240054.775417163</v>
      </c>
      <c r="V167" s="249">
        <f t="shared" si="88"/>
        <v>-2252404.0999089405</v>
      </c>
      <c r="W167" s="249">
        <f t="shared" si="88"/>
        <v>-2268128.0973916478</v>
      </c>
      <c r="X167" s="249">
        <f t="shared" si="88"/>
        <v>-2281021.2026779056</v>
      </c>
      <c r="Y167" s="249">
        <f t="shared" si="88"/>
        <v>-2287545.1106782095</v>
      </c>
      <c r="Z167" s="249">
        <f t="shared" si="88"/>
        <v>-2022306.2127533439</v>
      </c>
      <c r="AA167" s="249">
        <f t="shared" si="88"/>
        <v>-1819688.6553174406</v>
      </c>
      <c r="AB167" s="249">
        <f t="shared" si="88"/>
        <v>-2000073.1804685744</v>
      </c>
      <c r="AC167" s="249">
        <f t="shared" si="88"/>
        <v>-2110784.7183267395</v>
      </c>
      <c r="AD167" s="249">
        <f t="shared" si="88"/>
        <v>-2117049.4603734645</v>
      </c>
      <c r="AE167" s="249">
        <f t="shared" si="88"/>
        <v>-2201406.1092923377</v>
      </c>
      <c r="AF167" s="249">
        <f t="shared" si="88"/>
        <v>-2285618.1682876479</v>
      </c>
      <c r="AG167" s="249">
        <f t="shared" si="88"/>
        <v>-2291449.0532167968</v>
      </c>
      <c r="AH167" s="249">
        <f t="shared" si="88"/>
        <v>-2297127.1591052101</v>
      </c>
      <c r="AI167" s="249">
        <f t="shared" si="88"/>
        <v>-2302648.2557006232</v>
      </c>
      <c r="AJ167" s="249">
        <f t="shared" si="88"/>
        <v>-2308008.0197242899</v>
      </c>
      <c r="AK167" s="249">
        <f t="shared" si="88"/>
        <v>-2313202.0328969676</v>
      </c>
      <c r="AL167" s="249">
        <f t="shared" si="88"/>
        <v>-1993447.170651502</v>
      </c>
      <c r="AM167" s="249">
        <f t="shared" si="88"/>
        <v>-1910335.163815897</v>
      </c>
      <c r="AN167" s="249">
        <f t="shared" si="88"/>
        <v>-2120494.5668338779</v>
      </c>
      <c r="AO167" s="249">
        <f t="shared" si="88"/>
        <v>-2247326.2309408286</v>
      </c>
      <c r="AP167" s="249">
        <f t="shared" si="88"/>
        <v>-3805683.8867917825</v>
      </c>
    </row>
    <row r="168" spans="1:42" s="101" customFormat="1" x14ac:dyDescent="0.2">
      <c r="A168" s="243" t="s">
        <v>53</v>
      </c>
      <c r="B168" s="181">
        <f>B155+B159+B163+B167</f>
        <v>-43210095.75</v>
      </c>
      <c r="C168" s="181">
        <f t="shared" ref="C168:AP168" si="89">C155+C159+C163+C167</f>
        <v>18313530.071043655</v>
      </c>
      <c r="D168" s="181">
        <f t="shared" si="89"/>
        <v>7662300.8650263287</v>
      </c>
      <c r="E168" s="181">
        <f t="shared" si="89"/>
        <v>5958559.7304748595</v>
      </c>
      <c r="F168" s="181">
        <f t="shared" si="89"/>
        <v>4944098.6962147104</v>
      </c>
      <c r="G168" s="181">
        <f t="shared" si="89"/>
        <v>4963431.1067092763</v>
      </c>
      <c r="H168" s="181">
        <f t="shared" si="89"/>
        <v>4207551.5855411533</v>
      </c>
      <c r="I168" s="181">
        <f t="shared" si="89"/>
        <v>3452482.117277489</v>
      </c>
      <c r="J168" s="181">
        <f t="shared" si="89"/>
        <v>3473369.5152457147</v>
      </c>
      <c r="K168" s="181">
        <f t="shared" si="89"/>
        <v>3494209.02499473</v>
      </c>
      <c r="L168" s="181">
        <f t="shared" si="89"/>
        <v>3514821.5671097878</v>
      </c>
      <c r="M168" s="181">
        <f t="shared" si="89"/>
        <v>3535403.0074329013</v>
      </c>
      <c r="N168" s="181">
        <f t="shared" si="89"/>
        <v>3782945.9807313541</v>
      </c>
      <c r="O168" s="181">
        <f t="shared" si="89"/>
        <v>3878427.3543559508</v>
      </c>
      <c r="P168" s="181">
        <f t="shared" si="89"/>
        <v>3753599.6013999516</v>
      </c>
      <c r="Q168" s="181">
        <f t="shared" si="89"/>
        <v>3686885.5854916987</v>
      </c>
      <c r="R168" s="181">
        <f t="shared" si="89"/>
        <v>3691460.3166202465</v>
      </c>
      <c r="S168" s="181">
        <f t="shared" si="89"/>
        <v>3630494.2809838373</v>
      </c>
      <c r="T168" s="181">
        <f t="shared" si="89"/>
        <v>3585066.8646457545</v>
      </c>
      <c r="U168" s="181">
        <f t="shared" si="89"/>
        <v>3604904.2837374909</v>
      </c>
      <c r="V168" s="181">
        <f t="shared" si="89"/>
        <v>3624568.7622056017</v>
      </c>
      <c r="W168" s="181">
        <f t="shared" si="89"/>
        <v>3633403.1239435584</v>
      </c>
      <c r="X168" s="181">
        <f t="shared" si="89"/>
        <v>3637729.7072455632</v>
      </c>
      <c r="Y168" s="181">
        <f t="shared" si="89"/>
        <v>3648118.0688507133</v>
      </c>
      <c r="Z168" s="181">
        <f t="shared" si="89"/>
        <v>3929952.8080471628</v>
      </c>
      <c r="AA168" s="181">
        <f t="shared" si="89"/>
        <v>4029827.3681566212</v>
      </c>
      <c r="AB168" s="181">
        <f t="shared" si="89"/>
        <v>3866382.4390809024</v>
      </c>
      <c r="AC168" s="181">
        <f t="shared" si="89"/>
        <v>3772265.826120052</v>
      </c>
      <c r="AD168" s="181">
        <f t="shared" si="89"/>
        <v>3782241.5041555702</v>
      </c>
      <c r="AE168" s="181">
        <f t="shared" si="89"/>
        <v>3713760.7197463643</v>
      </c>
      <c r="AF168" s="181">
        <f t="shared" si="89"/>
        <v>3645049.6972022289</v>
      </c>
      <c r="AG168" s="181">
        <f t="shared" si="89"/>
        <v>3654334.5217459225</v>
      </c>
      <c r="AH168" s="181">
        <f t="shared" si="89"/>
        <v>3663376.0681929947</v>
      </c>
      <c r="AI168" s="181">
        <f t="shared" si="89"/>
        <v>3672167.6004904215</v>
      </c>
      <c r="AJ168" s="181">
        <f t="shared" si="89"/>
        <v>3680702.2344542248</v>
      </c>
      <c r="AK168" s="181">
        <f t="shared" si="89"/>
        <v>3688972.9346261434</v>
      </c>
      <c r="AL168" s="181">
        <f t="shared" si="89"/>
        <v>4021751.1203351328</v>
      </c>
      <c r="AM168" s="181">
        <f t="shared" si="89"/>
        <v>4394571.8989848858</v>
      </c>
      <c r="AN168" s="181">
        <f t="shared" si="89"/>
        <v>4190377.7405144284</v>
      </c>
      <c r="AO168" s="181">
        <f t="shared" si="89"/>
        <v>4069033.2524196287</v>
      </c>
      <c r="AP168" s="181">
        <f t="shared" si="89"/>
        <v>6547718.1770960074</v>
      </c>
    </row>
    <row r="169" spans="1:42" x14ac:dyDescent="0.2">
      <c r="A169" s="183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</row>
    <row r="170" spans="1:42" x14ac:dyDescent="0.2">
      <c r="A170" s="163" t="s">
        <v>323</v>
      </c>
      <c r="B170" s="184">
        <f>ROUND(IF(ISERROR(IRR($B$168:B168)),0,IRR($B$168:B168)),4)</f>
        <v>0</v>
      </c>
      <c r="C170" s="184">
        <f>ROUND(IF(ISERROR(IRR($B$168:C168)),0,IRR($B$168:C168)),4)</f>
        <v>-0.57620000000000005</v>
      </c>
      <c r="D170" s="184">
        <f>ROUND(IF(ISERROR(IRR($B$168:D168)),0,IRR($B$168:D168)),4)</f>
        <v>-0.31669999999999998</v>
      </c>
      <c r="E170" s="184">
        <f>ROUND(IF(ISERROR(IRR($B$168:E168)),0,IRR($B$168:E168)),4)</f>
        <v>-0.1656</v>
      </c>
      <c r="F170" s="184">
        <f>ROUND(IF(ISERROR(IRR($B$168:F168)),0,IRR($B$168:F168)),4)</f>
        <v>-7.6799999999999993E-2</v>
      </c>
      <c r="G170" s="184">
        <f>ROUND(IF(ISERROR(IRR($B$168:G168)),0,IRR($B$168:G168)),4)</f>
        <v>-1.38E-2</v>
      </c>
      <c r="H170" s="184">
        <f>ROUND(IF(ISERROR(IRR($B$168:H168)),0,IRR($B$168:H168)),4)</f>
        <v>2.4799999999999999E-2</v>
      </c>
      <c r="I170" s="184">
        <f>ROUND(IF(ISERROR(IRR($B$168:I168)),0,IRR($B$168:I168)),4)</f>
        <v>4.8899999999999999E-2</v>
      </c>
      <c r="J170" s="184">
        <f>ROUND(IF(ISERROR(IRR($B$168:J168)),0,IRR($B$168:J168)),4)</f>
        <v>6.7900000000000002E-2</v>
      </c>
      <c r="K170" s="184">
        <f>ROUND(IF(ISERROR(IRR($B$168:K168)),0,IRR($B$168:K168)),4)</f>
        <v>8.2799999999999999E-2</v>
      </c>
      <c r="L170" s="184">
        <f>ROUND(IF(ISERROR(IRR($B$168:L168)),0,IRR($B$168:L168)),4)</f>
        <v>9.4600000000000004E-2</v>
      </c>
      <c r="M170" s="184">
        <f>ROUND(IF(ISERROR(IRR($B$168:M168)),0,IRR($B$168:M168)),4)</f>
        <v>0.104</v>
      </c>
      <c r="N170" s="184">
        <f>ROUND(IF(ISERROR(IRR($B$168:N168)),0,IRR($B$168:N168)),4)</f>
        <v>0.11210000000000001</v>
      </c>
      <c r="O170" s="184">
        <f>ROUND(IF(ISERROR(IRR($B$168:O168)),0,IRR($B$168:O168)),4)</f>
        <v>0.1187</v>
      </c>
      <c r="P170" s="184">
        <f>ROUND(IF(ISERROR(IRR($B$168:P168)),0,IRR($B$168:P168)),4)</f>
        <v>0.1239</v>
      </c>
      <c r="Q170" s="184">
        <f>ROUND(IF(ISERROR(IRR($B$168:Q168)),0,IRR($B$168:Q168)),4)</f>
        <v>0.128</v>
      </c>
      <c r="R170" s="184">
        <f>ROUND(IF(ISERROR(IRR($B$168:R168)),0,IRR($B$168:R168)),4)</f>
        <v>0.13139999999999999</v>
      </c>
      <c r="S170" s="184">
        <f>ROUND(IF(ISERROR(IRR($B$168:S168)),0,IRR($B$168:S168)),4)</f>
        <v>0.13420000000000001</v>
      </c>
      <c r="T170" s="184">
        <f>ROUND(IF(ISERROR(IRR($B$168:T168)),0,IRR($B$168:T168)),4)</f>
        <v>0.13650000000000001</v>
      </c>
      <c r="U170" s="184">
        <f>ROUND(IF(ISERROR(IRR($B$168:U168)),0,IRR($B$168:U168)),4)</f>
        <v>0.1384</v>
      </c>
      <c r="V170" s="184">
        <f>ROUND(IF(ISERROR(IRR($B$168:V168)),0,IRR($B$168:V168)),4)</f>
        <v>0.14000000000000001</v>
      </c>
      <c r="W170" s="184">
        <f>ROUND(IF(ISERROR(IRR($B$168:W168)),0,IRR($B$168:W168)),4)</f>
        <v>0.1414</v>
      </c>
      <c r="X170" s="184">
        <f>ROUND(IF(ISERROR(IRR($B$168:X168)),0,IRR($B$168:X168)),4)</f>
        <v>0.1426</v>
      </c>
      <c r="Y170" s="184">
        <f>ROUND(IF(ISERROR(IRR($B$168:Y168)),0,IRR($B$168:Y168)),4)</f>
        <v>0.14349999999999999</v>
      </c>
      <c r="Z170" s="184">
        <f>ROUND(IF(ISERROR(IRR($B$168:Z168)),0,IRR($B$168:Z168)),4)</f>
        <v>0.1444</v>
      </c>
      <c r="AA170" s="184">
        <f>ROUND(IF(ISERROR(IRR($B$168:AA168)),0,IRR($B$168:AA168)),4)</f>
        <v>0.1452</v>
      </c>
      <c r="AB170" s="184">
        <f>ROUND(IF(ISERROR(IRR($B$168:AB168)),0,IRR($B$168:AB168)),4)</f>
        <v>0.1459</v>
      </c>
      <c r="AC170" s="184">
        <f>ROUND(IF(ISERROR(IRR($B$168:AC168)),0,IRR($B$168:AC168)),4)</f>
        <v>0.1464</v>
      </c>
      <c r="AD170" s="184">
        <f>ROUND(IF(ISERROR(IRR($B$168:AD168)),0,IRR($B$168:AD168)),4)</f>
        <v>0.1469</v>
      </c>
      <c r="AE170" s="184">
        <f>ROUND(IF(ISERROR(IRR($B$168:AE168)),0,IRR($B$168:AE168)),4)</f>
        <v>0.1472</v>
      </c>
      <c r="AF170" s="184">
        <f>ROUND(IF(ISERROR(IRR($B$168:AF168)),0,IRR($B$168:AF168)),4)</f>
        <v>0.14760000000000001</v>
      </c>
      <c r="AG170" s="184">
        <f>ROUND(IF(ISERROR(IRR($B$168:AG168)),0,IRR($B$168:AG168)),4)</f>
        <v>0.14779999999999999</v>
      </c>
      <c r="AH170" s="184">
        <f>ROUND(IF(ISERROR(IRR($B$168:AH168)),0,IRR($B$168:AH168)),4)</f>
        <v>0.14810000000000001</v>
      </c>
      <c r="AI170" s="184">
        <f>ROUND(IF(ISERROR(IRR($B$168:AI168)),0,IRR($B$168:AI168)),4)</f>
        <v>0.14829999999999999</v>
      </c>
      <c r="AJ170" s="184">
        <f>ROUND(IF(ISERROR(IRR($B$168:AJ168)),0,IRR($B$168:AJ168)),4)</f>
        <v>0.14849999999999999</v>
      </c>
      <c r="AK170" s="184">
        <f>ROUND(IF(ISERROR(IRR($B$168:AK168)),0,IRR($B$168:AK168)),4)</f>
        <v>0.14860000000000001</v>
      </c>
      <c r="AL170" s="184">
        <f>ROUND(IF(ISERROR(IRR($B$168:AL168)),0,IRR($B$168:AL168)),4)</f>
        <v>0.14879999999999999</v>
      </c>
      <c r="AM170" s="184">
        <f>ROUND(IF(ISERROR(IRR($B$168:AM168)),0,IRR($B$168:AM168)),4)</f>
        <v>0.1489</v>
      </c>
      <c r="AN170" s="184">
        <f>ROUND(IF(ISERROR(IRR($B$168:AN168)),0,IRR($B$168:AN168)),4)</f>
        <v>0.14899999999999999</v>
      </c>
      <c r="AO170" s="184">
        <f>ROUND(IF(ISERROR(IRR($B$168:AO168)),0,IRR($B$168:AO168)),4)</f>
        <v>0.14910000000000001</v>
      </c>
      <c r="AP170" s="184">
        <f>ROUND(IF(ISERROR(IRR($B$168:AP168)),0,IRR($B$168:AP168)),4)</f>
        <v>0.14929999999999999</v>
      </c>
    </row>
    <row r="171" spans="1:42" x14ac:dyDescent="0.2">
      <c r="A171" s="163" t="s">
        <v>220</v>
      </c>
      <c r="B171" s="185">
        <f>MAX($B$170:B170)</f>
        <v>0</v>
      </c>
      <c r="C171" s="185">
        <f>MAX($B$170:C170)</f>
        <v>0</v>
      </c>
      <c r="D171" s="185">
        <f>MAX($B$170:D170)</f>
        <v>0</v>
      </c>
      <c r="E171" s="185">
        <f>MAX($B$170:E170)</f>
        <v>0</v>
      </c>
      <c r="F171" s="185">
        <f>MAX($B$170:F170)</f>
        <v>0</v>
      </c>
      <c r="G171" s="185">
        <f>MAX($B$170:G170)</f>
        <v>0</v>
      </c>
      <c r="H171" s="185">
        <f>MAX($B$170:H170)</f>
        <v>2.4799999999999999E-2</v>
      </c>
      <c r="I171" s="185">
        <f>MAX($B$170:I170)</f>
        <v>4.8899999999999999E-2</v>
      </c>
      <c r="J171" s="185">
        <f>MAX($B$170:J170)</f>
        <v>6.7900000000000002E-2</v>
      </c>
      <c r="K171" s="185">
        <f>MAX($B$170:K170)</f>
        <v>8.2799999999999999E-2</v>
      </c>
      <c r="L171" s="185">
        <f>MAX($B$170:L170)</f>
        <v>9.4600000000000004E-2</v>
      </c>
      <c r="M171" s="185">
        <f>MAX($B$170:M170)</f>
        <v>0.104</v>
      </c>
      <c r="N171" s="185">
        <f>MAX($B$170:N170)</f>
        <v>0.11210000000000001</v>
      </c>
      <c r="O171" s="185">
        <f>MAX($B$170:O170)</f>
        <v>0.1187</v>
      </c>
      <c r="P171" s="185">
        <f>MAX($B$170:P170)</f>
        <v>0.1239</v>
      </c>
      <c r="Q171" s="185">
        <f>MAX($B$170:Q170)</f>
        <v>0.128</v>
      </c>
      <c r="R171" s="185">
        <f>MAX($B$170:R170)</f>
        <v>0.13139999999999999</v>
      </c>
      <c r="S171" s="185">
        <f>MAX($B$170:S170)</f>
        <v>0.13420000000000001</v>
      </c>
      <c r="T171" s="185">
        <f>MAX($B$170:T170)</f>
        <v>0.13650000000000001</v>
      </c>
      <c r="U171" s="185">
        <f>MAX($B$170:U170)</f>
        <v>0.1384</v>
      </c>
      <c r="V171" s="185">
        <f>MAX($B$170:V170)</f>
        <v>0.14000000000000001</v>
      </c>
      <c r="W171" s="185">
        <f>MAX($B$170:W170)</f>
        <v>0.1414</v>
      </c>
      <c r="X171" s="185">
        <f>MAX($B$170:X170)</f>
        <v>0.1426</v>
      </c>
      <c r="Y171" s="185">
        <f>MAX($B$170:Y170)</f>
        <v>0.14349999999999999</v>
      </c>
      <c r="Z171" s="185">
        <f>MAX($B$170:Z170)</f>
        <v>0.1444</v>
      </c>
      <c r="AA171" s="185">
        <f>MAX($B$170:AA170)</f>
        <v>0.1452</v>
      </c>
      <c r="AB171" s="185">
        <f>MAX($B$170:AB170)</f>
        <v>0.1459</v>
      </c>
      <c r="AC171" s="185">
        <f>MAX($B$170:AC170)</f>
        <v>0.1464</v>
      </c>
      <c r="AD171" s="185">
        <f>MAX($B$170:AD170)</f>
        <v>0.1469</v>
      </c>
      <c r="AE171" s="185">
        <f>MAX($B$170:AE170)</f>
        <v>0.1472</v>
      </c>
      <c r="AF171" s="185">
        <f>MAX($B$170:AF170)</f>
        <v>0.14760000000000001</v>
      </c>
      <c r="AG171" s="185">
        <f>MAX($B$170:AG170)</f>
        <v>0.14779999999999999</v>
      </c>
      <c r="AH171" s="185">
        <f>MAX($B$170:AH170)</f>
        <v>0.14810000000000001</v>
      </c>
      <c r="AI171" s="185">
        <f>MAX($B$170:AI170)</f>
        <v>0.14829999999999999</v>
      </c>
      <c r="AJ171" s="185">
        <f>MAX($B$170:AJ170)</f>
        <v>0.14849999999999999</v>
      </c>
      <c r="AK171" s="185">
        <f>MAX($B$170:AK170)</f>
        <v>0.14860000000000001</v>
      </c>
      <c r="AL171" s="185">
        <f>MAX($B$170:AL170)</f>
        <v>0.14879999999999999</v>
      </c>
      <c r="AM171" s="185">
        <f>MAX($B$170:AM170)</f>
        <v>0.1489</v>
      </c>
      <c r="AN171" s="185">
        <f>MAX($B$170:AN170)</f>
        <v>0.14899999999999999</v>
      </c>
      <c r="AO171" s="185">
        <f>MAX($B$170:AO170)</f>
        <v>0.14910000000000001</v>
      </c>
      <c r="AP171" s="185">
        <f>MAX($B$170:AP170)</f>
        <v>0.14929999999999999</v>
      </c>
    </row>
    <row r="172" spans="1:42" x14ac:dyDescent="0.2">
      <c r="A172" s="163" t="s">
        <v>324</v>
      </c>
      <c r="B172" s="230">
        <f>B168</f>
        <v>-43210095.75</v>
      </c>
      <c r="C172" s="230">
        <f>NPV(DiscountRate,$C168:C168)+$B168</f>
        <v>-26253123.461996615</v>
      </c>
      <c r="D172" s="230">
        <f>NPV(DiscountRate,$C168:D168)+$B168</f>
        <v>-19683935.477577612</v>
      </c>
      <c r="E172" s="230">
        <f>NPV(DiscountRate,$C168:E168)+$B168</f>
        <v>-14953838.653482217</v>
      </c>
      <c r="F172" s="230">
        <f>NPV(DiscountRate,$C168:F168)+$B168</f>
        <v>-11319778.51659238</v>
      </c>
      <c r="G172" s="230">
        <f>NPV(DiscountRate,$C168:G168)+$B168</f>
        <v>-7941750.7057314068</v>
      </c>
      <c r="H172" s="230">
        <f>NPV(DiscountRate,$C168:H168)+$B168</f>
        <v>-5290279.4929795191</v>
      </c>
      <c r="I172" s="230">
        <f>NPV(DiscountRate,$C168:I168)+$B168</f>
        <v>-3275789.3377338275</v>
      </c>
      <c r="J172" s="230">
        <f>NPV(DiscountRate,$C168:J168)+$B168</f>
        <v>-1399235.8642688543</v>
      </c>
      <c r="K172" s="230">
        <f>NPV(DiscountRate,$C168:K168)+$B168</f>
        <v>348738.59142617881</v>
      </c>
      <c r="L172" s="230">
        <f>NPV(DiscountRate,$C168:L168)+$B168</f>
        <v>1976781.0530910343</v>
      </c>
      <c r="M172" s="230">
        <f>NPV(DiscountRate,$C168:M168)+$B168</f>
        <v>3493054.8038298562</v>
      </c>
      <c r="N172" s="230">
        <f>NPV(DiscountRate,$C168:N168)+$B168</f>
        <v>4995314.7009928301</v>
      </c>
      <c r="O172" s="230">
        <f>NPV(DiscountRate,$C168:O168)+$B168</f>
        <v>6421404.3901814595</v>
      </c>
      <c r="P172" s="230">
        <f>NPV(DiscountRate,$C168:P168)+$B168</f>
        <v>7699358.8193344325</v>
      </c>
      <c r="Q172" s="230">
        <f>NPV(DiscountRate,$C168:Q168)+$B168</f>
        <v>8861618.9173189998</v>
      </c>
      <c r="R172" s="230">
        <f>NPV(DiscountRate,$C168:R168)+$B168</f>
        <v>9939120.9951201901</v>
      </c>
      <c r="S172" s="230">
        <f>NPV(DiscountRate,$C168:S168)+$B168</f>
        <v>10920330.877670139</v>
      </c>
      <c r="T172" s="230">
        <f>NPV(DiscountRate,$C168:T168)+$B168</f>
        <v>11817490.379864015</v>
      </c>
      <c r="U172" s="230">
        <f>NPV(DiscountRate,$C168:U168)+$B168</f>
        <v>12652790.191958226</v>
      </c>
      <c r="V172" s="230">
        <f>NPV(DiscountRate,$C168:V168)+$B168</f>
        <v>13430434.922502175</v>
      </c>
      <c r="W172" s="230">
        <f>NPV(DiscountRate,$C168:W168)+$B168</f>
        <v>14152231.336408094</v>
      </c>
      <c r="X172" s="230">
        <f>NPV(DiscountRate,$C168:X168)+$B168</f>
        <v>14821357.183210231</v>
      </c>
      <c r="Y172" s="230">
        <f>NPV(DiscountRate,$C168:Y168)+$B168</f>
        <v>15442687.449231572</v>
      </c>
      <c r="Z172" s="230">
        <f>NPV(DiscountRate,$C168:Z168)+$B168</f>
        <v>16062438.402704254</v>
      </c>
      <c r="AA172" s="230">
        <f>NPV(DiscountRate,$C168:AA168)+$B168</f>
        <v>16650865.352163203</v>
      </c>
      <c r="AB172" s="230">
        <f>NPV(DiscountRate,$C168:AB168)+$B168</f>
        <v>17173607.077484198</v>
      </c>
      <c r="AC172" s="230">
        <f>NPV(DiscountRate,$C168:AC168)+$B168</f>
        <v>17645845.034192555</v>
      </c>
      <c r="AD172" s="230">
        <f>NPV(DiscountRate,$C168:AD168)+$B168</f>
        <v>18084258.719472572</v>
      </c>
      <c r="AE172" s="230">
        <f>NPV(DiscountRate,$C168:AE168)+$B168</f>
        <v>18482847.444253728</v>
      </c>
      <c r="AF172" s="230">
        <f>NPV(DiscountRate,$C168:AF168)+$B168</f>
        <v>18845082.760173142</v>
      </c>
      <c r="AG172" s="230">
        <f>NPV(DiscountRate,$C168:AG168)+$B168</f>
        <v>19181340.183335893</v>
      </c>
      <c r="AH172" s="230">
        <f>NPV(DiscountRate,$C168:AH168)+$B168</f>
        <v>19493459.98939196</v>
      </c>
      <c r="AI172" s="230">
        <f>NPV(DiscountRate,$C168:AI168)+$B168</f>
        <v>19783153.364395566</v>
      </c>
      <c r="AJ172" s="230">
        <f>NPV(DiscountRate,$C168:AJ168)+$B168</f>
        <v>20052011.385830857</v>
      </c>
      <c r="AK172" s="230">
        <f>NPV(DiscountRate,$C168:AK168)+$B168</f>
        <v>20301513.383294865</v>
      </c>
      <c r="AL172" s="230">
        <f>NPV(DiscountRate,$C168:AL168)+$B168</f>
        <v>20553373.844290048</v>
      </c>
      <c r="AM172" s="230">
        <f>NPV(DiscountRate,$C168:AM168)+$B168</f>
        <v>20808196.255767763</v>
      </c>
      <c r="AN172" s="230">
        <f>NPV(DiscountRate,$C168:AN168)+$B168</f>
        <v>21033179.650557652</v>
      </c>
      <c r="AO172" s="230">
        <f>NPV(DiscountRate,$C168:AO168)+$B168</f>
        <v>21235465.160655566</v>
      </c>
      <c r="AP172" s="230">
        <f>NPV(DiscountRate,$C168:AP168)+$B168</f>
        <v>21536862.739334591</v>
      </c>
    </row>
    <row r="173" spans="1:42" x14ac:dyDescent="0.2">
      <c r="A173" s="163"/>
      <c r="B173" s="135"/>
      <c r="C173" s="135"/>
      <c r="D173" s="135"/>
      <c r="E173" s="135"/>
      <c r="F173" s="135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</row>
    <row r="174" spans="1:42" x14ac:dyDescent="0.2">
      <c r="A174" s="20" t="s">
        <v>289</v>
      </c>
      <c r="B174" s="179">
        <f>SUM(C174:AP174)</f>
        <v>20</v>
      </c>
      <c r="C174" s="135">
        <f t="shared" ref="C174:AP174" si="90">IF(AND(B171&lt;SLReturnTarget,C171&gt;=SLReturnTarget),C$2,0)</f>
        <v>0</v>
      </c>
      <c r="D174" s="135">
        <f t="shared" si="90"/>
        <v>0</v>
      </c>
      <c r="E174" s="135">
        <f t="shared" si="90"/>
        <v>0</v>
      </c>
      <c r="F174" s="135">
        <f t="shared" si="90"/>
        <v>0</v>
      </c>
      <c r="G174" s="135">
        <f t="shared" si="90"/>
        <v>0</v>
      </c>
      <c r="H174" s="135">
        <f t="shared" si="90"/>
        <v>0</v>
      </c>
      <c r="I174" s="135">
        <f t="shared" si="90"/>
        <v>0</v>
      </c>
      <c r="J174" s="135">
        <f t="shared" si="90"/>
        <v>0</v>
      </c>
      <c r="K174" s="135">
        <f t="shared" si="90"/>
        <v>0</v>
      </c>
      <c r="L174" s="135">
        <f t="shared" si="90"/>
        <v>0</v>
      </c>
      <c r="M174" s="135">
        <f t="shared" si="90"/>
        <v>0</v>
      </c>
      <c r="N174" s="135">
        <f t="shared" si="90"/>
        <v>0</v>
      </c>
      <c r="O174" s="135">
        <f t="shared" si="90"/>
        <v>0</v>
      </c>
      <c r="P174" s="135">
        <f t="shared" si="90"/>
        <v>0</v>
      </c>
      <c r="Q174" s="135">
        <f t="shared" si="90"/>
        <v>0</v>
      </c>
      <c r="R174" s="135">
        <f t="shared" si="90"/>
        <v>0</v>
      </c>
      <c r="S174" s="135">
        <f t="shared" si="90"/>
        <v>0</v>
      </c>
      <c r="T174" s="135">
        <f t="shared" si="90"/>
        <v>0</v>
      </c>
      <c r="U174" s="135">
        <f t="shared" si="90"/>
        <v>0</v>
      </c>
      <c r="V174" s="135">
        <f t="shared" si="90"/>
        <v>20</v>
      </c>
      <c r="W174" s="135">
        <f t="shared" si="90"/>
        <v>0</v>
      </c>
      <c r="X174" s="135">
        <f t="shared" si="90"/>
        <v>0</v>
      </c>
      <c r="Y174" s="135">
        <f t="shared" si="90"/>
        <v>0</v>
      </c>
      <c r="Z174" s="135">
        <f t="shared" si="90"/>
        <v>0</v>
      </c>
      <c r="AA174" s="135">
        <f t="shared" si="90"/>
        <v>0</v>
      </c>
      <c r="AB174" s="135">
        <f t="shared" si="90"/>
        <v>0</v>
      </c>
      <c r="AC174" s="135">
        <f t="shared" si="90"/>
        <v>0</v>
      </c>
      <c r="AD174" s="135">
        <f t="shared" si="90"/>
        <v>0</v>
      </c>
      <c r="AE174" s="135">
        <f t="shared" si="90"/>
        <v>0</v>
      </c>
      <c r="AF174" s="135">
        <f t="shared" si="90"/>
        <v>0</v>
      </c>
      <c r="AG174" s="135">
        <f t="shared" si="90"/>
        <v>0</v>
      </c>
      <c r="AH174" s="135">
        <f t="shared" si="90"/>
        <v>0</v>
      </c>
      <c r="AI174" s="135">
        <f t="shared" si="90"/>
        <v>0</v>
      </c>
      <c r="AJ174" s="135">
        <f t="shared" si="90"/>
        <v>0</v>
      </c>
      <c r="AK174" s="135">
        <f t="shared" si="90"/>
        <v>0</v>
      </c>
      <c r="AL174" s="135">
        <f t="shared" si="90"/>
        <v>0</v>
      </c>
      <c r="AM174" s="135">
        <f t="shared" si="90"/>
        <v>0</v>
      </c>
      <c r="AN174" s="135">
        <f t="shared" si="90"/>
        <v>0</v>
      </c>
      <c r="AO174" s="135">
        <f t="shared" si="90"/>
        <v>0</v>
      </c>
      <c r="AP174" s="135">
        <f t="shared" si="90"/>
        <v>0</v>
      </c>
    </row>
    <row r="175" spans="1:42" x14ac:dyDescent="0.2">
      <c r="B175" s="135"/>
      <c r="C175" s="135"/>
      <c r="D175" s="135"/>
      <c r="E175" s="135"/>
      <c r="F175" s="135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</row>
    <row r="176" spans="1:42" s="101" customFormat="1" x14ac:dyDescent="0.2">
      <c r="A176" s="178" t="s">
        <v>365</v>
      </c>
      <c r="B176" s="181"/>
      <c r="C176" s="181"/>
      <c r="D176" s="181"/>
      <c r="E176" s="181"/>
      <c r="F176" s="181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</row>
    <row r="177" spans="1:42" s="101" customFormat="1" x14ac:dyDescent="0.2">
      <c r="A177" s="243" t="s">
        <v>389</v>
      </c>
      <c r="B177" s="124">
        <f>-'Inputs &amp; Results'!D213</f>
        <v>-3500765.4423139435</v>
      </c>
      <c r="C177" s="124">
        <f t="shared" ref="C177:AP177" si="91">C108-C138</f>
        <v>0</v>
      </c>
      <c r="D177" s="124">
        <f t="shared" si="91"/>
        <v>0</v>
      </c>
      <c r="E177" s="124">
        <f t="shared" si="91"/>
        <v>0</v>
      </c>
      <c r="F177" s="124">
        <f t="shared" si="91"/>
        <v>0</v>
      </c>
      <c r="G177" s="124">
        <f t="shared" si="91"/>
        <v>0</v>
      </c>
      <c r="H177" s="124">
        <f t="shared" si="91"/>
        <v>0</v>
      </c>
      <c r="I177" s="124">
        <f t="shared" si="91"/>
        <v>0</v>
      </c>
      <c r="J177" s="124">
        <f t="shared" si="91"/>
        <v>0</v>
      </c>
      <c r="K177" s="124">
        <f t="shared" si="91"/>
        <v>0</v>
      </c>
      <c r="L177" s="124">
        <f t="shared" si="91"/>
        <v>0</v>
      </c>
      <c r="M177" s="124">
        <f t="shared" si="91"/>
        <v>0</v>
      </c>
      <c r="N177" s="124">
        <f t="shared" si="91"/>
        <v>0</v>
      </c>
      <c r="O177" s="124">
        <f t="shared" si="91"/>
        <v>0</v>
      </c>
      <c r="P177" s="124">
        <f t="shared" si="91"/>
        <v>0</v>
      </c>
      <c r="Q177" s="124">
        <f t="shared" si="91"/>
        <v>0</v>
      </c>
      <c r="R177" s="124">
        <f t="shared" si="91"/>
        <v>0</v>
      </c>
      <c r="S177" s="124">
        <f t="shared" si="91"/>
        <v>0</v>
      </c>
      <c r="T177" s="124">
        <f t="shared" si="91"/>
        <v>0</v>
      </c>
      <c r="U177" s="124">
        <f t="shared" si="91"/>
        <v>0</v>
      </c>
      <c r="V177" s="124">
        <f t="shared" si="91"/>
        <v>0</v>
      </c>
      <c r="W177" s="124">
        <f t="shared" si="91"/>
        <v>0</v>
      </c>
      <c r="X177" s="124">
        <f t="shared" si="91"/>
        <v>0</v>
      </c>
      <c r="Y177" s="124">
        <f t="shared" si="91"/>
        <v>0</v>
      </c>
      <c r="Z177" s="124">
        <f t="shared" si="91"/>
        <v>0</v>
      </c>
      <c r="AA177" s="124">
        <f t="shared" si="91"/>
        <v>0</v>
      </c>
      <c r="AB177" s="124">
        <f t="shared" si="91"/>
        <v>0</v>
      </c>
      <c r="AC177" s="124">
        <f t="shared" si="91"/>
        <v>0</v>
      </c>
      <c r="AD177" s="124">
        <f t="shared" si="91"/>
        <v>0</v>
      </c>
      <c r="AE177" s="124">
        <f t="shared" si="91"/>
        <v>0</v>
      </c>
      <c r="AF177" s="124">
        <f t="shared" si="91"/>
        <v>0</v>
      </c>
      <c r="AG177" s="124">
        <f t="shared" si="91"/>
        <v>0</v>
      </c>
      <c r="AH177" s="124">
        <f t="shared" si="91"/>
        <v>0</v>
      </c>
      <c r="AI177" s="124">
        <f t="shared" si="91"/>
        <v>0</v>
      </c>
      <c r="AJ177" s="124">
        <f t="shared" si="91"/>
        <v>0</v>
      </c>
      <c r="AK177" s="124">
        <f t="shared" si="91"/>
        <v>0</v>
      </c>
      <c r="AL177" s="124">
        <f t="shared" si="91"/>
        <v>0</v>
      </c>
      <c r="AM177" s="124">
        <f t="shared" si="91"/>
        <v>0</v>
      </c>
      <c r="AN177" s="124">
        <f t="shared" si="91"/>
        <v>0</v>
      </c>
      <c r="AO177" s="124">
        <f t="shared" si="91"/>
        <v>0</v>
      </c>
      <c r="AP177" s="124">
        <f t="shared" si="91"/>
        <v>0</v>
      </c>
    </row>
    <row r="178" spans="1:42" x14ac:dyDescent="0.2">
      <c r="A178" s="163" t="s">
        <v>403</v>
      </c>
      <c r="B178" s="169">
        <f>'Inputs &amp; Results'!D171</f>
        <v>1206814.5</v>
      </c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</row>
    <row r="179" spans="1:42" s="101" customFormat="1" x14ac:dyDescent="0.2">
      <c r="A179" s="243" t="s">
        <v>363</v>
      </c>
      <c r="B179" s="124">
        <f t="shared" ref="B179:AP179" si="92">(-B651-B683-B715)+B68</f>
        <v>0</v>
      </c>
      <c r="C179" s="124">
        <f t="shared" si="92"/>
        <v>0</v>
      </c>
      <c r="D179" s="124">
        <f t="shared" si="92"/>
        <v>0</v>
      </c>
      <c r="E179" s="124">
        <f t="shared" si="92"/>
        <v>0</v>
      </c>
      <c r="F179" s="124">
        <f t="shared" si="92"/>
        <v>0</v>
      </c>
      <c r="G179" s="124">
        <f t="shared" si="92"/>
        <v>0</v>
      </c>
      <c r="H179" s="124">
        <f t="shared" si="92"/>
        <v>0</v>
      </c>
      <c r="I179" s="124">
        <f t="shared" si="92"/>
        <v>0</v>
      </c>
      <c r="J179" s="124">
        <f t="shared" si="92"/>
        <v>0</v>
      </c>
      <c r="K179" s="124">
        <f t="shared" si="92"/>
        <v>0</v>
      </c>
      <c r="L179" s="124">
        <f t="shared" si="92"/>
        <v>0</v>
      </c>
      <c r="M179" s="124">
        <f t="shared" si="92"/>
        <v>0</v>
      </c>
      <c r="N179" s="124">
        <f t="shared" si="92"/>
        <v>0</v>
      </c>
      <c r="O179" s="124">
        <f t="shared" si="92"/>
        <v>0</v>
      </c>
      <c r="P179" s="124">
        <f t="shared" si="92"/>
        <v>0</v>
      </c>
      <c r="Q179" s="124">
        <f t="shared" si="92"/>
        <v>0</v>
      </c>
      <c r="R179" s="124">
        <f t="shared" si="92"/>
        <v>0</v>
      </c>
      <c r="S179" s="124">
        <f t="shared" si="92"/>
        <v>0</v>
      </c>
      <c r="T179" s="124">
        <f t="shared" si="92"/>
        <v>0</v>
      </c>
      <c r="U179" s="124">
        <f t="shared" si="92"/>
        <v>0</v>
      </c>
      <c r="V179" s="124">
        <f t="shared" si="92"/>
        <v>0</v>
      </c>
      <c r="W179" s="124">
        <f t="shared" si="92"/>
        <v>0</v>
      </c>
      <c r="X179" s="124">
        <f t="shared" si="92"/>
        <v>0</v>
      </c>
      <c r="Y179" s="124">
        <f t="shared" si="92"/>
        <v>0</v>
      </c>
      <c r="Z179" s="124">
        <f t="shared" si="92"/>
        <v>0</v>
      </c>
      <c r="AA179" s="124">
        <f t="shared" si="92"/>
        <v>0</v>
      </c>
      <c r="AB179" s="124">
        <f t="shared" si="92"/>
        <v>0</v>
      </c>
      <c r="AC179" s="124">
        <f t="shared" si="92"/>
        <v>0</v>
      </c>
      <c r="AD179" s="124">
        <f t="shared" si="92"/>
        <v>0</v>
      </c>
      <c r="AE179" s="124">
        <f t="shared" si="92"/>
        <v>0</v>
      </c>
      <c r="AF179" s="124">
        <f t="shared" si="92"/>
        <v>0</v>
      </c>
      <c r="AG179" s="124">
        <f t="shared" si="92"/>
        <v>0</v>
      </c>
      <c r="AH179" s="124">
        <f t="shared" si="92"/>
        <v>0</v>
      </c>
      <c r="AI179" s="124">
        <f t="shared" si="92"/>
        <v>0</v>
      </c>
      <c r="AJ179" s="124">
        <f t="shared" si="92"/>
        <v>0</v>
      </c>
      <c r="AK179" s="124">
        <f t="shared" si="92"/>
        <v>0</v>
      </c>
      <c r="AL179" s="124">
        <f t="shared" si="92"/>
        <v>0</v>
      </c>
      <c r="AM179" s="124">
        <f t="shared" si="92"/>
        <v>0</v>
      </c>
      <c r="AN179" s="124">
        <f t="shared" si="92"/>
        <v>0</v>
      </c>
      <c r="AO179" s="124">
        <f t="shared" si="92"/>
        <v>0</v>
      </c>
      <c r="AP179" s="124">
        <f t="shared" si="92"/>
        <v>0</v>
      </c>
    </row>
    <row r="180" spans="1:42" s="101" customFormat="1" x14ac:dyDescent="0.2">
      <c r="A180" s="243" t="s">
        <v>361</v>
      </c>
      <c r="B180" s="124">
        <v>0</v>
      </c>
      <c r="C180" s="124">
        <f t="shared" ref="C180:AP180" si="93">-C639</f>
        <v>0</v>
      </c>
      <c r="D180" s="124">
        <f t="shared" si="93"/>
        <v>0</v>
      </c>
      <c r="E180" s="124">
        <f t="shared" si="93"/>
        <v>0</v>
      </c>
      <c r="F180" s="124">
        <f t="shared" si="93"/>
        <v>0</v>
      </c>
      <c r="G180" s="124">
        <f t="shared" si="93"/>
        <v>0</v>
      </c>
      <c r="H180" s="124">
        <f t="shared" si="93"/>
        <v>0</v>
      </c>
      <c r="I180" s="124">
        <f t="shared" si="93"/>
        <v>0</v>
      </c>
      <c r="J180" s="124">
        <f t="shared" si="93"/>
        <v>0</v>
      </c>
      <c r="K180" s="124">
        <f t="shared" si="93"/>
        <v>0</v>
      </c>
      <c r="L180" s="124">
        <f t="shared" si="93"/>
        <v>0</v>
      </c>
      <c r="M180" s="124">
        <f t="shared" si="93"/>
        <v>0</v>
      </c>
      <c r="N180" s="124">
        <f t="shared" si="93"/>
        <v>0</v>
      </c>
      <c r="O180" s="124">
        <f t="shared" si="93"/>
        <v>0</v>
      </c>
      <c r="P180" s="124">
        <f t="shared" si="93"/>
        <v>0</v>
      </c>
      <c r="Q180" s="124">
        <f t="shared" si="93"/>
        <v>0</v>
      </c>
      <c r="R180" s="124">
        <f t="shared" si="93"/>
        <v>0</v>
      </c>
      <c r="S180" s="124">
        <f t="shared" si="93"/>
        <v>0</v>
      </c>
      <c r="T180" s="124">
        <f t="shared" si="93"/>
        <v>0</v>
      </c>
      <c r="U180" s="124">
        <f t="shared" si="93"/>
        <v>0</v>
      </c>
      <c r="V180" s="124">
        <f t="shared" si="93"/>
        <v>0</v>
      </c>
      <c r="W180" s="124">
        <f t="shared" si="93"/>
        <v>0</v>
      </c>
      <c r="X180" s="124">
        <f t="shared" si="93"/>
        <v>0</v>
      </c>
      <c r="Y180" s="124">
        <f t="shared" si="93"/>
        <v>0</v>
      </c>
      <c r="Z180" s="124">
        <f t="shared" si="93"/>
        <v>0</v>
      </c>
      <c r="AA180" s="124">
        <f t="shared" si="93"/>
        <v>0</v>
      </c>
      <c r="AB180" s="124">
        <f t="shared" si="93"/>
        <v>0</v>
      </c>
      <c r="AC180" s="124">
        <f t="shared" si="93"/>
        <v>0</v>
      </c>
      <c r="AD180" s="124">
        <f t="shared" si="93"/>
        <v>0</v>
      </c>
      <c r="AE180" s="124">
        <f t="shared" si="93"/>
        <v>0</v>
      </c>
      <c r="AF180" s="124">
        <f t="shared" si="93"/>
        <v>0</v>
      </c>
      <c r="AG180" s="124">
        <f t="shared" si="93"/>
        <v>0</v>
      </c>
      <c r="AH180" s="124">
        <f t="shared" si="93"/>
        <v>0</v>
      </c>
      <c r="AI180" s="124">
        <f t="shared" si="93"/>
        <v>0</v>
      </c>
      <c r="AJ180" s="124">
        <f t="shared" si="93"/>
        <v>0</v>
      </c>
      <c r="AK180" s="124">
        <f t="shared" si="93"/>
        <v>0</v>
      </c>
      <c r="AL180" s="124">
        <f t="shared" si="93"/>
        <v>0</v>
      </c>
      <c r="AM180" s="124">
        <f t="shared" si="93"/>
        <v>0</v>
      </c>
      <c r="AN180" s="124">
        <f t="shared" si="93"/>
        <v>0</v>
      </c>
      <c r="AO180" s="124">
        <f t="shared" si="93"/>
        <v>0</v>
      </c>
      <c r="AP180" s="124">
        <f t="shared" si="93"/>
        <v>496451.01079080044</v>
      </c>
    </row>
    <row r="181" spans="1:42" s="101" customFormat="1" x14ac:dyDescent="0.2">
      <c r="A181" s="243" t="s">
        <v>362</v>
      </c>
      <c r="B181" s="124">
        <v>0</v>
      </c>
      <c r="C181" s="124">
        <f t="shared" ref="C181:AP181" si="94">-C645</f>
        <v>0</v>
      </c>
      <c r="D181" s="124">
        <f t="shared" si="94"/>
        <v>0</v>
      </c>
      <c r="E181" s="124">
        <f t="shared" si="94"/>
        <v>0</v>
      </c>
      <c r="F181" s="124">
        <f t="shared" si="94"/>
        <v>0</v>
      </c>
      <c r="G181" s="124">
        <f t="shared" si="94"/>
        <v>0</v>
      </c>
      <c r="H181" s="124">
        <f t="shared" si="94"/>
        <v>0</v>
      </c>
      <c r="I181" s="124">
        <f t="shared" si="94"/>
        <v>0</v>
      </c>
      <c r="J181" s="124">
        <f t="shared" si="94"/>
        <v>0</v>
      </c>
      <c r="K181" s="124">
        <f t="shared" si="94"/>
        <v>0</v>
      </c>
      <c r="L181" s="124">
        <f t="shared" si="94"/>
        <v>0</v>
      </c>
      <c r="M181" s="124">
        <f t="shared" si="94"/>
        <v>0</v>
      </c>
      <c r="N181" s="124">
        <f t="shared" si="94"/>
        <v>0</v>
      </c>
      <c r="O181" s="124">
        <f t="shared" si="94"/>
        <v>0</v>
      </c>
      <c r="P181" s="124">
        <f t="shared" si="94"/>
        <v>0</v>
      </c>
      <c r="Q181" s="124">
        <f t="shared" si="94"/>
        <v>0</v>
      </c>
      <c r="R181" s="124">
        <f t="shared" si="94"/>
        <v>0</v>
      </c>
      <c r="S181" s="124">
        <f t="shared" si="94"/>
        <v>0</v>
      </c>
      <c r="T181" s="124">
        <f t="shared" si="94"/>
        <v>0</v>
      </c>
      <c r="U181" s="124">
        <f t="shared" si="94"/>
        <v>0</v>
      </c>
      <c r="V181" s="124">
        <f t="shared" si="94"/>
        <v>0</v>
      </c>
      <c r="W181" s="124">
        <f t="shared" si="94"/>
        <v>0</v>
      </c>
      <c r="X181" s="124">
        <f t="shared" si="94"/>
        <v>0</v>
      </c>
      <c r="Y181" s="124">
        <f t="shared" si="94"/>
        <v>0</v>
      </c>
      <c r="Z181" s="124">
        <f t="shared" si="94"/>
        <v>0</v>
      </c>
      <c r="AA181" s="124">
        <f t="shared" si="94"/>
        <v>0</v>
      </c>
      <c r="AB181" s="124">
        <f t="shared" si="94"/>
        <v>0</v>
      </c>
      <c r="AC181" s="124">
        <f t="shared" si="94"/>
        <v>0</v>
      </c>
      <c r="AD181" s="124">
        <f t="shared" si="94"/>
        <v>0</v>
      </c>
      <c r="AE181" s="124">
        <f t="shared" si="94"/>
        <v>0</v>
      </c>
      <c r="AF181" s="124">
        <f t="shared" si="94"/>
        <v>0</v>
      </c>
      <c r="AG181" s="124">
        <f t="shared" si="94"/>
        <v>0</v>
      </c>
      <c r="AH181" s="124">
        <f t="shared" si="94"/>
        <v>0</v>
      </c>
      <c r="AI181" s="124">
        <f t="shared" si="94"/>
        <v>0</v>
      </c>
      <c r="AJ181" s="124">
        <f t="shared" si="94"/>
        <v>0</v>
      </c>
      <c r="AK181" s="124">
        <f t="shared" si="94"/>
        <v>0</v>
      </c>
      <c r="AL181" s="124">
        <f t="shared" si="94"/>
        <v>0</v>
      </c>
      <c r="AM181" s="124">
        <f t="shared" si="94"/>
        <v>0</v>
      </c>
      <c r="AN181" s="124">
        <f t="shared" si="94"/>
        <v>0</v>
      </c>
      <c r="AO181" s="124">
        <f t="shared" si="94"/>
        <v>0</v>
      </c>
      <c r="AP181" s="124">
        <f t="shared" si="94"/>
        <v>3113558.5054389434</v>
      </c>
    </row>
    <row r="182" spans="1:42" s="101" customFormat="1" x14ac:dyDescent="0.2">
      <c r="A182" s="243" t="s">
        <v>381</v>
      </c>
      <c r="B182" s="124">
        <f>B750</f>
        <v>0</v>
      </c>
      <c r="C182" s="124">
        <f t="shared" ref="C182:AP182" si="95">C750</f>
        <v>54487.273845181517</v>
      </c>
      <c r="D182" s="124">
        <f t="shared" si="95"/>
        <v>54487.273845181517</v>
      </c>
      <c r="E182" s="124">
        <f t="shared" si="95"/>
        <v>54487.273845181517</v>
      </c>
      <c r="F182" s="124">
        <f t="shared" si="95"/>
        <v>54487.273845181517</v>
      </c>
      <c r="G182" s="124">
        <f t="shared" si="95"/>
        <v>54487.273845181517</v>
      </c>
      <c r="H182" s="124">
        <f t="shared" si="95"/>
        <v>54487.273845181517</v>
      </c>
      <c r="I182" s="124">
        <f t="shared" si="95"/>
        <v>54487.273845181517</v>
      </c>
      <c r="J182" s="124">
        <f t="shared" si="95"/>
        <v>54487.273845181517</v>
      </c>
      <c r="K182" s="124">
        <f t="shared" si="95"/>
        <v>54487.273845181517</v>
      </c>
      <c r="L182" s="124">
        <f t="shared" si="95"/>
        <v>54487.273845181517</v>
      </c>
      <c r="M182" s="124">
        <f t="shared" si="95"/>
        <v>54487.273845181517</v>
      </c>
      <c r="N182" s="124">
        <f t="shared" si="95"/>
        <v>54487.273845181517</v>
      </c>
      <c r="O182" s="124">
        <f t="shared" si="95"/>
        <v>54487.273845181517</v>
      </c>
      <c r="P182" s="124">
        <f t="shared" si="95"/>
        <v>54487.273845181517</v>
      </c>
      <c r="Q182" s="124">
        <f t="shared" si="95"/>
        <v>54487.273845181517</v>
      </c>
      <c r="R182" s="124">
        <f t="shared" si="95"/>
        <v>54487.273845181517</v>
      </c>
      <c r="S182" s="124">
        <f t="shared" si="95"/>
        <v>54487.273845181517</v>
      </c>
      <c r="T182" s="124">
        <f t="shared" si="95"/>
        <v>54487.273845181517</v>
      </c>
      <c r="U182" s="124">
        <f t="shared" si="95"/>
        <v>54487.273845181517</v>
      </c>
      <c r="V182" s="124">
        <f t="shared" si="95"/>
        <v>54487.273845181517</v>
      </c>
      <c r="W182" s="124">
        <f t="shared" si="95"/>
        <v>54487.273845181517</v>
      </c>
      <c r="X182" s="124">
        <f t="shared" si="95"/>
        <v>54487.273845181517</v>
      </c>
      <c r="Y182" s="124">
        <f t="shared" si="95"/>
        <v>54487.273845181517</v>
      </c>
      <c r="Z182" s="124">
        <f t="shared" si="95"/>
        <v>54487.273845181517</v>
      </c>
      <c r="AA182" s="124">
        <f t="shared" si="95"/>
        <v>54487.273845181517</v>
      </c>
      <c r="AB182" s="124">
        <f t="shared" si="95"/>
        <v>54487.273845181517</v>
      </c>
      <c r="AC182" s="124">
        <f t="shared" si="95"/>
        <v>54487.273845181517</v>
      </c>
      <c r="AD182" s="124">
        <f t="shared" si="95"/>
        <v>54487.273845181517</v>
      </c>
      <c r="AE182" s="124">
        <f t="shared" si="95"/>
        <v>54487.273845181517</v>
      </c>
      <c r="AF182" s="124">
        <f t="shared" si="95"/>
        <v>54487.273845181517</v>
      </c>
      <c r="AG182" s="124">
        <f t="shared" si="95"/>
        <v>54487.273845181517</v>
      </c>
      <c r="AH182" s="124">
        <f t="shared" si="95"/>
        <v>54487.273845181517</v>
      </c>
      <c r="AI182" s="124">
        <f t="shared" si="95"/>
        <v>54487.273845181517</v>
      </c>
      <c r="AJ182" s="124">
        <f t="shared" si="95"/>
        <v>54487.273845181517</v>
      </c>
      <c r="AK182" s="124">
        <f t="shared" si="95"/>
        <v>54487.273845181517</v>
      </c>
      <c r="AL182" s="124">
        <f t="shared" si="95"/>
        <v>54487.273845181517</v>
      </c>
      <c r="AM182" s="124">
        <f t="shared" si="95"/>
        <v>54487.273845181517</v>
      </c>
      <c r="AN182" s="124">
        <f t="shared" si="95"/>
        <v>54487.273845181517</v>
      </c>
      <c r="AO182" s="124">
        <f t="shared" si="95"/>
        <v>54487.273845181517</v>
      </c>
      <c r="AP182" s="124">
        <f t="shared" si="95"/>
        <v>54487.273845181517</v>
      </c>
    </row>
    <row r="183" spans="1:42" s="101" customFormat="1" x14ac:dyDescent="0.2">
      <c r="A183" s="243" t="s">
        <v>404</v>
      </c>
      <c r="B183" s="186">
        <f>B41</f>
        <v>0</v>
      </c>
      <c r="C183" s="186">
        <f t="shared" ref="C183:AP183" si="96">C41</f>
        <v>400000</v>
      </c>
      <c r="D183" s="186">
        <f t="shared" si="96"/>
        <v>408000</v>
      </c>
      <c r="E183" s="186">
        <f t="shared" si="96"/>
        <v>416160</v>
      </c>
      <c r="F183" s="186">
        <f t="shared" si="96"/>
        <v>424483.19999999995</v>
      </c>
      <c r="G183" s="186">
        <f t="shared" si="96"/>
        <v>432972.864</v>
      </c>
      <c r="H183" s="186">
        <f t="shared" si="96"/>
        <v>441632.32128000003</v>
      </c>
      <c r="I183" s="186">
        <f t="shared" si="96"/>
        <v>450464.96770560002</v>
      </c>
      <c r="J183" s="186">
        <f t="shared" si="96"/>
        <v>459474.26705971191</v>
      </c>
      <c r="K183" s="186">
        <f t="shared" si="96"/>
        <v>468663.75240090623</v>
      </c>
      <c r="L183" s="186">
        <f t="shared" si="96"/>
        <v>478037.02744892432</v>
      </c>
      <c r="M183" s="186">
        <f t="shared" si="96"/>
        <v>487597.76799790282</v>
      </c>
      <c r="N183" s="186">
        <f t="shared" si="96"/>
        <v>497349.72335786081</v>
      </c>
      <c r="O183" s="186">
        <f t="shared" si="96"/>
        <v>507296.7178250181</v>
      </c>
      <c r="P183" s="186">
        <f t="shared" si="96"/>
        <v>517442.65218151844</v>
      </c>
      <c r="Q183" s="186">
        <f t="shared" si="96"/>
        <v>527791.50522514887</v>
      </c>
      <c r="R183" s="186">
        <f t="shared" si="96"/>
        <v>538347.33532965172</v>
      </c>
      <c r="S183" s="186">
        <f t="shared" si="96"/>
        <v>549114.28203624487</v>
      </c>
      <c r="T183" s="186">
        <f t="shared" si="96"/>
        <v>560096.5676769698</v>
      </c>
      <c r="U183" s="186">
        <f t="shared" si="96"/>
        <v>571298.49903050903</v>
      </c>
      <c r="V183" s="186">
        <f t="shared" si="96"/>
        <v>582724.46901111922</v>
      </c>
      <c r="W183" s="186">
        <f t="shared" si="96"/>
        <v>594378.95839134173</v>
      </c>
      <c r="X183" s="186">
        <f t="shared" si="96"/>
        <v>606266.53755916853</v>
      </c>
      <c r="Y183" s="186">
        <f t="shared" si="96"/>
        <v>618391.86831035186</v>
      </c>
      <c r="Z183" s="186">
        <f t="shared" si="96"/>
        <v>630759.70567655878</v>
      </c>
      <c r="AA183" s="186">
        <f t="shared" si="96"/>
        <v>643374.89979009004</v>
      </c>
      <c r="AB183" s="186">
        <f t="shared" si="96"/>
        <v>656242.39778589178</v>
      </c>
      <c r="AC183" s="186">
        <f t="shared" si="96"/>
        <v>669367.24574160972</v>
      </c>
      <c r="AD183" s="186">
        <f t="shared" si="96"/>
        <v>682754.59065644175</v>
      </c>
      <c r="AE183" s="186">
        <f t="shared" si="96"/>
        <v>696409.68246957078</v>
      </c>
      <c r="AF183" s="186">
        <f t="shared" si="96"/>
        <v>710337.87611896207</v>
      </c>
      <c r="AG183" s="186">
        <f t="shared" si="96"/>
        <v>724544.63364134135</v>
      </c>
      <c r="AH183" s="186">
        <f t="shared" si="96"/>
        <v>739035.526314168</v>
      </c>
      <c r="AI183" s="186">
        <f t="shared" si="96"/>
        <v>753816.2368404516</v>
      </c>
      <c r="AJ183" s="186">
        <f t="shared" si="96"/>
        <v>768892.56157726061</v>
      </c>
      <c r="AK183" s="186">
        <f t="shared" si="96"/>
        <v>784270.41280880582</v>
      </c>
      <c r="AL183" s="186">
        <f t="shared" si="96"/>
        <v>799955.82106498186</v>
      </c>
      <c r="AM183" s="186">
        <f t="shared" si="96"/>
        <v>815954.9374862815</v>
      </c>
      <c r="AN183" s="186">
        <f t="shared" si="96"/>
        <v>832274.03623600723</v>
      </c>
      <c r="AO183" s="186">
        <f t="shared" si="96"/>
        <v>848919.5169607274</v>
      </c>
      <c r="AP183" s="186">
        <f t="shared" si="96"/>
        <v>865897.90729994164</v>
      </c>
    </row>
    <row r="184" spans="1:42" s="101" customFormat="1" x14ac:dyDescent="0.2">
      <c r="A184" s="243" t="s">
        <v>53</v>
      </c>
      <c r="B184" s="181">
        <f t="shared" ref="B184:AP184" si="97">SUM(B177:B183)</f>
        <v>-2293950.9423139435</v>
      </c>
      <c r="C184" s="181">
        <f t="shared" si="97"/>
        <v>454487.27384518151</v>
      </c>
      <c r="D184" s="181">
        <f t="shared" si="97"/>
        <v>462487.27384518151</v>
      </c>
      <c r="E184" s="181">
        <f t="shared" si="97"/>
        <v>470647.27384518151</v>
      </c>
      <c r="F184" s="181">
        <f t="shared" si="97"/>
        <v>478970.47384518146</v>
      </c>
      <c r="G184" s="181">
        <f t="shared" si="97"/>
        <v>487460.13784518151</v>
      </c>
      <c r="H184" s="181">
        <f t="shared" si="97"/>
        <v>496119.59512518154</v>
      </c>
      <c r="I184" s="181">
        <f t="shared" si="97"/>
        <v>504952.24155078153</v>
      </c>
      <c r="J184" s="181">
        <f t="shared" si="97"/>
        <v>513961.54090489342</v>
      </c>
      <c r="K184" s="181">
        <f t="shared" si="97"/>
        <v>523151.02624608774</v>
      </c>
      <c r="L184" s="181">
        <f t="shared" si="97"/>
        <v>532524.30129410583</v>
      </c>
      <c r="M184" s="181">
        <f t="shared" si="97"/>
        <v>542085.04184308439</v>
      </c>
      <c r="N184" s="181">
        <f t="shared" si="97"/>
        <v>551836.99720304238</v>
      </c>
      <c r="O184" s="181">
        <f t="shared" si="97"/>
        <v>561783.99167019967</v>
      </c>
      <c r="P184" s="181">
        <f t="shared" si="97"/>
        <v>571929.92602669995</v>
      </c>
      <c r="Q184" s="181">
        <f t="shared" si="97"/>
        <v>582278.77907033043</v>
      </c>
      <c r="R184" s="181">
        <f t="shared" si="97"/>
        <v>592834.60917483328</v>
      </c>
      <c r="S184" s="181">
        <f t="shared" si="97"/>
        <v>603601.55588142644</v>
      </c>
      <c r="T184" s="181">
        <f t="shared" si="97"/>
        <v>614583.84152215137</v>
      </c>
      <c r="U184" s="181">
        <f t="shared" si="97"/>
        <v>625785.7728756906</v>
      </c>
      <c r="V184" s="181">
        <f t="shared" si="97"/>
        <v>637211.74285630079</v>
      </c>
      <c r="W184" s="181">
        <f t="shared" si="97"/>
        <v>648866.2322365233</v>
      </c>
      <c r="X184" s="181">
        <f t="shared" si="97"/>
        <v>660753.8114043501</v>
      </c>
      <c r="Y184" s="181">
        <f t="shared" si="97"/>
        <v>672879.14215553342</v>
      </c>
      <c r="Z184" s="181">
        <f t="shared" si="97"/>
        <v>685246.97952174034</v>
      </c>
      <c r="AA184" s="181">
        <f t="shared" si="97"/>
        <v>697862.17363527161</v>
      </c>
      <c r="AB184" s="181">
        <f t="shared" si="97"/>
        <v>710729.67163107335</v>
      </c>
      <c r="AC184" s="181">
        <f t="shared" si="97"/>
        <v>723854.51958679128</v>
      </c>
      <c r="AD184" s="181">
        <f t="shared" si="97"/>
        <v>737241.86450162332</v>
      </c>
      <c r="AE184" s="181">
        <f t="shared" si="97"/>
        <v>750896.95631475234</v>
      </c>
      <c r="AF184" s="181">
        <f t="shared" si="97"/>
        <v>764825.14996414364</v>
      </c>
      <c r="AG184" s="181">
        <f t="shared" si="97"/>
        <v>779031.90748652292</v>
      </c>
      <c r="AH184" s="181">
        <f t="shared" si="97"/>
        <v>793522.80015934957</v>
      </c>
      <c r="AI184" s="181">
        <f t="shared" si="97"/>
        <v>808303.51068563317</v>
      </c>
      <c r="AJ184" s="181">
        <f t="shared" si="97"/>
        <v>823379.83542244218</v>
      </c>
      <c r="AK184" s="181">
        <f t="shared" si="97"/>
        <v>838757.68665398739</v>
      </c>
      <c r="AL184" s="181">
        <f t="shared" si="97"/>
        <v>854443.09491016343</v>
      </c>
      <c r="AM184" s="181">
        <f t="shared" si="97"/>
        <v>870442.21133146307</v>
      </c>
      <c r="AN184" s="181">
        <f t="shared" si="97"/>
        <v>886761.3100811888</v>
      </c>
      <c r="AO184" s="181">
        <f t="shared" si="97"/>
        <v>903406.79080590897</v>
      </c>
      <c r="AP184" s="181">
        <f t="shared" si="97"/>
        <v>4530394.6973748673</v>
      </c>
    </row>
    <row r="185" spans="1:42" s="101" customFormat="1" x14ac:dyDescent="0.2">
      <c r="A185" s="243"/>
      <c r="B185" s="181"/>
      <c r="C185" s="181"/>
      <c r="D185" s="181"/>
      <c r="E185" s="181"/>
      <c r="F185" s="181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</row>
    <row r="186" spans="1:42" s="101" customFormat="1" x14ac:dyDescent="0.2">
      <c r="A186" s="243" t="s">
        <v>323</v>
      </c>
      <c r="B186" s="244" t="str">
        <f>IF(ISERROR(IRR($B184:B184)),"N/A",ROUND(IRR($B184:B184),4))</f>
        <v>N/A</v>
      </c>
      <c r="C186" s="244">
        <f>IF(ISERROR(IRR($B184:C184)),"N/A",ROUND(IRR($B184:C184),4))</f>
        <v>-0.80189999999999995</v>
      </c>
      <c r="D186" s="244">
        <f>IF(ISERROR(IRR($B184:D184)),"N/A",ROUND(IRR($B184:D184),4))</f>
        <v>-0.44109999999999999</v>
      </c>
      <c r="E186" s="244">
        <f>IF(ISERROR(IRR($B184:E184)),"N/A",ROUND(IRR($B184:E184),4))</f>
        <v>-0.2137</v>
      </c>
      <c r="F186" s="244">
        <f>IF(ISERROR(IRR($B184:F184)),"N/A",ROUND(IRR($B184:F184),4))</f>
        <v>-7.6999999999999999E-2</v>
      </c>
      <c r="G186" s="244">
        <f>IF(ISERROR(IRR($B184:G184)),"N/A",ROUND(IRR($B184:G184),4))</f>
        <v>8.6E-3</v>
      </c>
      <c r="H186" s="244">
        <f>IF(ISERROR(IRR($B184:H184)),"N/A",ROUND(IRR($B184:H184),4))</f>
        <v>6.4799999999999996E-2</v>
      </c>
      <c r="I186" s="244">
        <f>IF(ISERROR(IRR($B184:I184)),"N/A",ROUND(IRR($B184:I184),4))</f>
        <v>0.1031</v>
      </c>
      <c r="J186" s="244">
        <f>IF(ISERROR(IRR($B184:J184)),"N/A",ROUND(IRR($B184:J184),4))</f>
        <v>0.13020000000000001</v>
      </c>
      <c r="K186" s="244">
        <f>IF(ISERROR(IRR($B184:K184)),"N/A",ROUND(IRR($B184:K184),4))</f>
        <v>0.1497</v>
      </c>
      <c r="L186" s="244">
        <f>IF(ISERROR(IRR($B184:L184)),"N/A",ROUND(IRR($B184:L184),4))</f>
        <v>0.16420000000000001</v>
      </c>
      <c r="M186" s="244">
        <f>IF(ISERROR(IRR($B184:M184)),"N/A",ROUND(IRR($B184:M184),4))</f>
        <v>0.17510000000000001</v>
      </c>
      <c r="N186" s="244">
        <f>IF(ISERROR(IRR($B184:N184)),"N/A",ROUND(IRR($B184:N184),4))</f>
        <v>0.18340000000000001</v>
      </c>
      <c r="O186" s="244">
        <f>IF(ISERROR(IRR($B184:O184)),"N/A",ROUND(IRR($B184:O184),4))</f>
        <v>0.18990000000000001</v>
      </c>
      <c r="P186" s="244">
        <f>IF(ISERROR(IRR($B184:P184)),"N/A",ROUND(IRR($B184:P184),4))</f>
        <v>0.19489999999999999</v>
      </c>
      <c r="Q186" s="244">
        <f>IF(ISERROR(IRR($B184:Q184)),"N/A",ROUND(IRR($B184:Q184),4))</f>
        <v>0.19889999999999999</v>
      </c>
      <c r="R186" s="244">
        <f>IF(ISERROR(IRR($B184:R184)),"N/A",ROUND(IRR($B184:R184),4))</f>
        <v>0.20200000000000001</v>
      </c>
      <c r="S186" s="244">
        <f>IF(ISERROR(IRR($B184:S184)),"N/A",ROUND(IRR($B184:S184),4))</f>
        <v>0.2046</v>
      </c>
      <c r="T186" s="244">
        <f>IF(ISERROR(IRR($B184:T184)),"N/A",ROUND(IRR($B184:T184),4))</f>
        <v>0.20660000000000001</v>
      </c>
      <c r="U186" s="244">
        <f>IF(ISERROR(IRR($B184:U184)),"N/A",ROUND(IRR($B184:U184),4))</f>
        <v>0.20830000000000001</v>
      </c>
      <c r="V186" s="244">
        <f>IF(ISERROR(IRR($B184:V184)),"N/A",ROUND(IRR($B184:V184),4))</f>
        <v>0.20960000000000001</v>
      </c>
      <c r="W186" s="244">
        <f>IF(ISERROR(IRR($B184:W184)),"N/A",ROUND(IRR($B184:W184),4))</f>
        <v>0.2107</v>
      </c>
      <c r="X186" s="244">
        <f>IF(ISERROR(IRR($B184:X184)),"N/A",ROUND(IRR($B184:X184),4))</f>
        <v>0.21160000000000001</v>
      </c>
      <c r="Y186" s="244">
        <f>IF(ISERROR(IRR($B184:Y184)),"N/A",ROUND(IRR($B184:Y184),4))</f>
        <v>0.21240000000000001</v>
      </c>
      <c r="Z186" s="244">
        <f>IF(ISERROR(IRR($B184:Z184)),"N/A",ROUND(IRR($B184:Z184),4))</f>
        <v>0.21299999999999999</v>
      </c>
      <c r="AA186" s="244">
        <f>IF(ISERROR(IRR($B184:AA184)),"N/A",ROUND(IRR($B184:AA184),4))</f>
        <v>0.2135</v>
      </c>
      <c r="AB186" s="244">
        <f>IF(ISERROR(IRR($B184:AB184)),"N/A",ROUND(IRR($B184:AB184),4))</f>
        <v>0.21390000000000001</v>
      </c>
      <c r="AC186" s="244">
        <f>IF(ISERROR(IRR($B184:AC184)),"N/A",ROUND(IRR($B184:AC184),4))</f>
        <v>0.2142</v>
      </c>
      <c r="AD186" s="244">
        <f>IF(ISERROR(IRR($B184:AD184)),"N/A",ROUND(IRR($B184:AD184),4))</f>
        <v>0.2145</v>
      </c>
      <c r="AE186" s="244">
        <f>IF(ISERROR(IRR($B184:AE184)),"N/A",ROUND(IRR($B184:AE184),4))</f>
        <v>0.2147</v>
      </c>
      <c r="AF186" s="244">
        <f>IF(ISERROR(IRR($B184:AF184)),"N/A",ROUND(IRR($B184:AF184),4))</f>
        <v>0.21490000000000001</v>
      </c>
      <c r="AG186" s="244">
        <f>IF(ISERROR(IRR($B184:AG184)),"N/A",ROUND(IRR($B184:AG184),4))</f>
        <v>0.21510000000000001</v>
      </c>
      <c r="AH186" s="244">
        <f>IF(ISERROR(IRR($B184:AH184)),"N/A",ROUND(IRR($B184:AH184),4))</f>
        <v>0.2152</v>
      </c>
      <c r="AI186" s="244">
        <f>IF(ISERROR(IRR($B184:AI184)),"N/A",ROUND(IRR($B184:AI184),4))</f>
        <v>0.21529999999999999</v>
      </c>
      <c r="AJ186" s="244">
        <f>IF(ISERROR(IRR($B184:AJ184)),"N/A",ROUND(IRR($B184:AJ184),4))</f>
        <v>0.21540000000000001</v>
      </c>
      <c r="AK186" s="244">
        <f>IF(ISERROR(IRR($B184:AK184)),"N/A",ROUND(IRR($B184:AK184),4))</f>
        <v>0.2155</v>
      </c>
      <c r="AL186" s="244">
        <f>IF(ISERROR(IRR($B184:AL184)),"N/A",ROUND(IRR($B184:AL184),4))</f>
        <v>0.21560000000000001</v>
      </c>
      <c r="AM186" s="244">
        <f>IF(ISERROR(IRR($B184:AM184)),"N/A",ROUND(IRR($B184:AM184),4))</f>
        <v>0.21560000000000001</v>
      </c>
      <c r="AN186" s="244">
        <f>IF(ISERROR(IRR($B184:AN184)),"N/A",ROUND(IRR($B184:AN184),4))</f>
        <v>0.2157</v>
      </c>
      <c r="AO186" s="244">
        <f>IF(ISERROR(IRR($B184:AO184)),"N/A",ROUND(IRR($B184:AO184),4))</f>
        <v>0.2157</v>
      </c>
      <c r="AP186" s="244">
        <f>IF(ISERROR(IRR($B184:AP184)),"N/A",ROUND(IRR($B184:AP184),4))</f>
        <v>0.21590000000000001</v>
      </c>
    </row>
    <row r="187" spans="1:42" s="101" customFormat="1" x14ac:dyDescent="0.2">
      <c r="A187" s="243" t="s">
        <v>324</v>
      </c>
      <c r="B187" s="245">
        <f>B184</f>
        <v>-2293950.9423139435</v>
      </c>
      <c r="C187" s="245">
        <f>NPV(DiscountRate,$C184:C184)+$B184</f>
        <v>-1873129.392457294</v>
      </c>
      <c r="D187" s="245">
        <f>NPV(DiscountRate,$C184:D184)+$B184</f>
        <v>-1476621.0986942784</v>
      </c>
      <c r="E187" s="245">
        <f>NPV(DiscountRate,$C184:E184)+$B184</f>
        <v>-1103006.1185677245</v>
      </c>
      <c r="F187" s="245">
        <f>NPV(DiscountRate,$C184:F184)+$B184</f>
        <v>-750948.52168345335</v>
      </c>
      <c r="G187" s="245">
        <f>NPV(DiscountRate,$C184:G184)+$B184</f>
        <v>-419191.3426422656</v>
      </c>
      <c r="H187" s="245">
        <f>NPV(DiscountRate,$C184:H184)+$B184</f>
        <v>-106551.84249283327</v>
      </c>
      <c r="I187" s="245">
        <f>NPV(DiscountRate,$C184:I184)+$B184</f>
        <v>188082.94051813288</v>
      </c>
      <c r="J187" s="245">
        <f>NPV(DiscountRate,$C184:J184)+$B184</f>
        <v>465760.36889973609</v>
      </c>
      <c r="K187" s="245">
        <f>NPV(DiscountRate,$C184:K184)+$B184</f>
        <v>727466.1294331043</v>
      </c>
      <c r="L187" s="245">
        <f>NPV(DiscountRate,$C184:L184)+$B184</f>
        <v>974127.91803938057</v>
      </c>
      <c r="M187" s="245">
        <f>NPV(DiscountRate,$C184:M184)+$B184</f>
        <v>1206618.9007892236</v>
      </c>
      <c r="N187" s="245">
        <f>NPV(DiscountRate,$C184:N184)+$B184</f>
        <v>1425760.9649084411</v>
      </c>
      <c r="O187" s="245">
        <f>NPV(DiscountRate,$C184:O184)+$B184</f>
        <v>1632327.7727596462</v>
      </c>
      <c r="P187" s="245">
        <f>NPV(DiscountRate,$C184:P184)+$B184</f>
        <v>1827047.6309614521</v>
      </c>
      <c r="Q187" s="245">
        <f>NPV(DiscountRate,$C184:Q184)+$B184</f>
        <v>2010606.1860410399</v>
      </c>
      <c r="R187" s="245">
        <f>NPV(DiscountRate,$C184:R184)+$B184</f>
        <v>2183648.9572994304</v>
      </c>
      <c r="S187" s="245">
        <f>NPV(DiscountRate,$C184:S184)+$B184</f>
        <v>2346783.716898303</v>
      </c>
      <c r="T187" s="245">
        <f>NPV(DiscountRate,$C184:T184)+$B184</f>
        <v>2500582.7265496585</v>
      </c>
      <c r="U187" s="245">
        <f>NPV(DiscountRate,$C184:U184)+$B184</f>
        <v>2645584.8396022548</v>
      </c>
      <c r="V187" s="245">
        <f>NPV(DiscountRate,$C184:V184)+$B184</f>
        <v>2782297.476768889</v>
      </c>
      <c r="W187" s="245">
        <f>NPV(DiscountRate,$C184:W184)+$B184</f>
        <v>2911198.4832238615</v>
      </c>
      <c r="X187" s="245">
        <f>NPV(DiscountRate,$C184:X184)+$B184</f>
        <v>3032737.8743179985</v>
      </c>
      <c r="Y187" s="245">
        <f>NPV(DiscountRate,$C184:Y184)+$B184</f>
        <v>3147339.4767073137</v>
      </c>
      <c r="Z187" s="245">
        <f>NPV(DiscountRate,$C184:Z184)+$B184</f>
        <v>3255402.4712687931</v>
      </c>
      <c r="AA187" s="245">
        <f>NPV(DiscountRate,$C184:AA184)+$B184</f>
        <v>3357302.8437809874</v>
      </c>
      <c r="AB187" s="245">
        <f>NPV(DiscountRate,$C184:AB184)+$B184</f>
        <v>3453394.7489763689</v>
      </c>
      <c r="AC187" s="245">
        <f>NPV(DiscountRate,$C184:AC184)+$B184</f>
        <v>3544011.7932251743</v>
      </c>
      <c r="AD187" s="245">
        <f>NPV(DiscountRate,$C184:AD184)+$B184</f>
        <v>3629468.2407851066</v>
      </c>
      <c r="AE187" s="245">
        <f>NPV(DiscountRate,$C184:AE184)+$B184</f>
        <v>3710060.1482464974</v>
      </c>
      <c r="AF187" s="245">
        <f>NPV(DiscountRate,$C184:AF184)+$B184</f>
        <v>3786066.4315169356</v>
      </c>
      <c r="AG187" s="245">
        <f>NPV(DiscountRate,$C184:AG184)+$B184</f>
        <v>3857749.8694217452</v>
      </c>
      <c r="AH187" s="245">
        <f>NPV(DiscountRate,$C184:AH184)+$B184</f>
        <v>3925358.0477458923</v>
      </c>
      <c r="AI187" s="245">
        <f>NPV(DiscountRate,$C184:AI184)+$B184</f>
        <v>3989124.2473078384</v>
      </c>
      <c r="AJ187" s="245">
        <f>NPV(DiscountRate,$C184:AJ184)+$B184</f>
        <v>4049268.2794355047</v>
      </c>
      <c r="AK187" s="245">
        <f>NPV(DiscountRate,$C184:AK184)+$B184</f>
        <v>4105997.272007979</v>
      </c>
      <c r="AL187" s="245">
        <f>NPV(DiscountRate,$C184:AL184)+$B184</f>
        <v>4159506.409032918</v>
      </c>
      <c r="AM187" s="245">
        <f>NPV(DiscountRate,$C184:AM184)+$B184</f>
        <v>4209979.6265480798</v>
      </c>
      <c r="AN187" s="245">
        <f>NPV(DiscountRate,$C184:AN184)+$B184</f>
        <v>4257590.267465122</v>
      </c>
      <c r="AO187" s="245">
        <f>NPV(DiscountRate,$C184:AO184)+$B184</f>
        <v>4302501.6978141908</v>
      </c>
      <c r="AP187" s="245">
        <f>NPV(DiscountRate,$C184:AP184)+$B184</f>
        <v>4511039.9939530604</v>
      </c>
    </row>
    <row r="188" spans="1:42" s="101" customFormat="1" x14ac:dyDescent="0.2">
      <c r="A188" s="243"/>
      <c r="B188" s="181"/>
      <c r="C188" s="181"/>
      <c r="D188" s="181"/>
      <c r="E188" s="181"/>
      <c r="F188" s="181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</row>
    <row r="189" spans="1:42" s="101" customFormat="1" x14ac:dyDescent="0.2">
      <c r="A189" s="243" t="s">
        <v>201</v>
      </c>
      <c r="B189" s="262">
        <f>IF(ISERROR(IRR(B184:AP184)),"N/A",IRR(B184:AP184))</f>
        <v>0.21588421372003719</v>
      </c>
      <c r="C189" s="181"/>
      <c r="D189" s="181"/>
      <c r="E189" s="181"/>
      <c r="F189" s="181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</row>
    <row r="190" spans="1:42" s="101" customFormat="1" x14ac:dyDescent="0.2">
      <c r="A190" s="243" t="s">
        <v>202</v>
      </c>
      <c r="B190" s="263">
        <f>NPV(DiscountRate,$C184:$AP184)+B184</f>
        <v>4511039.9939530604</v>
      </c>
      <c r="C190" s="181"/>
      <c r="D190" s="181"/>
      <c r="E190" s="181"/>
      <c r="F190" s="181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</row>
    <row r="191" spans="1:42" s="101" customFormat="1" x14ac:dyDescent="0.2">
      <c r="A191" s="25"/>
      <c r="B191" s="181"/>
      <c r="C191" s="181"/>
      <c r="D191" s="181"/>
      <c r="E191" s="181"/>
      <c r="F191" s="181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</row>
    <row r="192" spans="1:42" s="101" customFormat="1" x14ac:dyDescent="0.2">
      <c r="A192" s="250" t="s">
        <v>366</v>
      </c>
      <c r="B192" s="181"/>
      <c r="C192" s="181"/>
      <c r="D192" s="181"/>
      <c r="E192" s="181"/>
      <c r="F192" s="181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</row>
    <row r="193" spans="1:42" s="101" customFormat="1" x14ac:dyDescent="0.2">
      <c r="A193" s="180" t="s">
        <v>204</v>
      </c>
      <c r="B193" s="181"/>
      <c r="C193" s="181"/>
      <c r="D193" s="181"/>
      <c r="E193" s="181"/>
      <c r="F193" s="181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</row>
    <row r="194" spans="1:42" s="101" customFormat="1" x14ac:dyDescent="0.2">
      <c r="A194" s="234" t="s">
        <v>389</v>
      </c>
      <c r="B194" s="124">
        <f>B177</f>
        <v>-3500765.4423139435</v>
      </c>
      <c r="C194" s="124">
        <f t="shared" ref="C194:AP194" si="98">C108-C150</f>
        <v>0</v>
      </c>
      <c r="D194" s="124">
        <f t="shared" si="98"/>
        <v>0</v>
      </c>
      <c r="E194" s="124">
        <f t="shared" si="98"/>
        <v>0</v>
      </c>
      <c r="F194" s="124">
        <f t="shared" si="98"/>
        <v>0</v>
      </c>
      <c r="G194" s="124">
        <f t="shared" si="98"/>
        <v>0</v>
      </c>
      <c r="H194" s="124">
        <f t="shared" si="98"/>
        <v>0</v>
      </c>
      <c r="I194" s="124">
        <f t="shared" si="98"/>
        <v>0</v>
      </c>
      <c r="J194" s="124">
        <f t="shared" si="98"/>
        <v>0</v>
      </c>
      <c r="K194" s="124">
        <f t="shared" si="98"/>
        <v>0</v>
      </c>
      <c r="L194" s="124">
        <f t="shared" si="98"/>
        <v>0</v>
      </c>
      <c r="M194" s="124">
        <f t="shared" si="98"/>
        <v>0</v>
      </c>
      <c r="N194" s="124">
        <f t="shared" si="98"/>
        <v>0</v>
      </c>
      <c r="O194" s="124">
        <f t="shared" si="98"/>
        <v>0</v>
      </c>
      <c r="P194" s="124">
        <f t="shared" si="98"/>
        <v>0</v>
      </c>
      <c r="Q194" s="124">
        <f t="shared" si="98"/>
        <v>0</v>
      </c>
      <c r="R194" s="124">
        <f t="shared" si="98"/>
        <v>0</v>
      </c>
      <c r="S194" s="124">
        <f t="shared" si="98"/>
        <v>0</v>
      </c>
      <c r="T194" s="124">
        <f t="shared" si="98"/>
        <v>0</v>
      </c>
      <c r="U194" s="124">
        <f t="shared" si="98"/>
        <v>0</v>
      </c>
      <c r="V194" s="124">
        <f t="shared" si="98"/>
        <v>0</v>
      </c>
      <c r="W194" s="124">
        <f t="shared" si="98"/>
        <v>0</v>
      </c>
      <c r="X194" s="124">
        <f t="shared" si="98"/>
        <v>0</v>
      </c>
      <c r="Y194" s="124">
        <f t="shared" si="98"/>
        <v>0</v>
      </c>
      <c r="Z194" s="124">
        <f t="shared" si="98"/>
        <v>0</v>
      </c>
      <c r="AA194" s="124">
        <f t="shared" si="98"/>
        <v>0</v>
      </c>
      <c r="AB194" s="124">
        <f t="shared" si="98"/>
        <v>0</v>
      </c>
      <c r="AC194" s="124">
        <f t="shared" si="98"/>
        <v>0</v>
      </c>
      <c r="AD194" s="124">
        <f t="shared" si="98"/>
        <v>0</v>
      </c>
      <c r="AE194" s="124">
        <f t="shared" si="98"/>
        <v>0</v>
      </c>
      <c r="AF194" s="124">
        <f t="shared" si="98"/>
        <v>0</v>
      </c>
      <c r="AG194" s="124">
        <f t="shared" si="98"/>
        <v>0</v>
      </c>
      <c r="AH194" s="124">
        <f t="shared" si="98"/>
        <v>0</v>
      </c>
      <c r="AI194" s="124">
        <f t="shared" si="98"/>
        <v>0</v>
      </c>
      <c r="AJ194" s="124">
        <f t="shared" si="98"/>
        <v>0</v>
      </c>
      <c r="AK194" s="124">
        <f t="shared" si="98"/>
        <v>0</v>
      </c>
      <c r="AL194" s="124">
        <f t="shared" si="98"/>
        <v>0</v>
      </c>
      <c r="AM194" s="124">
        <f t="shared" si="98"/>
        <v>0</v>
      </c>
      <c r="AN194" s="124">
        <f t="shared" si="98"/>
        <v>0</v>
      </c>
      <c r="AO194" s="124">
        <f t="shared" si="98"/>
        <v>0</v>
      </c>
      <c r="AP194" s="124">
        <f t="shared" si="98"/>
        <v>0</v>
      </c>
    </row>
    <row r="195" spans="1:42" s="101" customFormat="1" x14ac:dyDescent="0.2">
      <c r="A195" s="167" t="s">
        <v>403</v>
      </c>
      <c r="B195" s="124">
        <f>'Inputs &amp; Results'!D171</f>
        <v>1206814.5</v>
      </c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</row>
    <row r="196" spans="1:42" s="101" customFormat="1" x14ac:dyDescent="0.2">
      <c r="A196" s="234" t="s">
        <v>363</v>
      </c>
      <c r="B196" s="124">
        <f>B179</f>
        <v>0</v>
      </c>
      <c r="C196" s="124">
        <f t="shared" ref="C196:AP196" si="99">C179</f>
        <v>0</v>
      </c>
      <c r="D196" s="124">
        <f t="shared" si="99"/>
        <v>0</v>
      </c>
      <c r="E196" s="124">
        <f t="shared" si="99"/>
        <v>0</v>
      </c>
      <c r="F196" s="124">
        <f t="shared" si="99"/>
        <v>0</v>
      </c>
      <c r="G196" s="124">
        <f t="shared" si="99"/>
        <v>0</v>
      </c>
      <c r="H196" s="124">
        <f t="shared" si="99"/>
        <v>0</v>
      </c>
      <c r="I196" s="124">
        <f t="shared" si="99"/>
        <v>0</v>
      </c>
      <c r="J196" s="124">
        <f t="shared" si="99"/>
        <v>0</v>
      </c>
      <c r="K196" s="124">
        <f t="shared" si="99"/>
        <v>0</v>
      </c>
      <c r="L196" s="124">
        <f t="shared" si="99"/>
        <v>0</v>
      </c>
      <c r="M196" s="124">
        <f t="shared" si="99"/>
        <v>0</v>
      </c>
      <c r="N196" s="124">
        <f t="shared" si="99"/>
        <v>0</v>
      </c>
      <c r="O196" s="124">
        <f t="shared" si="99"/>
        <v>0</v>
      </c>
      <c r="P196" s="124">
        <f t="shared" si="99"/>
        <v>0</v>
      </c>
      <c r="Q196" s="124">
        <f t="shared" si="99"/>
        <v>0</v>
      </c>
      <c r="R196" s="124">
        <f t="shared" si="99"/>
        <v>0</v>
      </c>
      <c r="S196" s="124">
        <f t="shared" si="99"/>
        <v>0</v>
      </c>
      <c r="T196" s="124">
        <f t="shared" si="99"/>
        <v>0</v>
      </c>
      <c r="U196" s="124">
        <f t="shared" si="99"/>
        <v>0</v>
      </c>
      <c r="V196" s="124">
        <f t="shared" si="99"/>
        <v>0</v>
      </c>
      <c r="W196" s="124">
        <f t="shared" si="99"/>
        <v>0</v>
      </c>
      <c r="X196" s="124">
        <f t="shared" si="99"/>
        <v>0</v>
      </c>
      <c r="Y196" s="124">
        <f t="shared" si="99"/>
        <v>0</v>
      </c>
      <c r="Z196" s="124">
        <f t="shared" si="99"/>
        <v>0</v>
      </c>
      <c r="AA196" s="124">
        <f t="shared" si="99"/>
        <v>0</v>
      </c>
      <c r="AB196" s="124">
        <f t="shared" si="99"/>
        <v>0</v>
      </c>
      <c r="AC196" s="124">
        <f t="shared" si="99"/>
        <v>0</v>
      </c>
      <c r="AD196" s="124">
        <f t="shared" si="99"/>
        <v>0</v>
      </c>
      <c r="AE196" s="124">
        <f t="shared" si="99"/>
        <v>0</v>
      </c>
      <c r="AF196" s="124">
        <f t="shared" si="99"/>
        <v>0</v>
      </c>
      <c r="AG196" s="124">
        <f t="shared" si="99"/>
        <v>0</v>
      </c>
      <c r="AH196" s="124">
        <f t="shared" si="99"/>
        <v>0</v>
      </c>
      <c r="AI196" s="124">
        <f t="shared" si="99"/>
        <v>0</v>
      </c>
      <c r="AJ196" s="124">
        <f t="shared" si="99"/>
        <v>0</v>
      </c>
      <c r="AK196" s="124">
        <f t="shared" si="99"/>
        <v>0</v>
      </c>
      <c r="AL196" s="124">
        <f t="shared" si="99"/>
        <v>0</v>
      </c>
      <c r="AM196" s="124">
        <f t="shared" si="99"/>
        <v>0</v>
      </c>
      <c r="AN196" s="124">
        <f t="shared" si="99"/>
        <v>0</v>
      </c>
      <c r="AO196" s="124">
        <f t="shared" si="99"/>
        <v>0</v>
      </c>
      <c r="AP196" s="124">
        <f t="shared" si="99"/>
        <v>0</v>
      </c>
    </row>
    <row r="197" spans="1:42" s="101" customFormat="1" x14ac:dyDescent="0.2">
      <c r="A197" s="234" t="s">
        <v>361</v>
      </c>
      <c r="B197" s="124">
        <v>0</v>
      </c>
      <c r="C197" s="124">
        <f t="shared" ref="C197:AP197" si="100">C180</f>
        <v>0</v>
      </c>
      <c r="D197" s="124">
        <f t="shared" si="100"/>
        <v>0</v>
      </c>
      <c r="E197" s="124">
        <f t="shared" si="100"/>
        <v>0</v>
      </c>
      <c r="F197" s="124">
        <f t="shared" si="100"/>
        <v>0</v>
      </c>
      <c r="G197" s="124">
        <f t="shared" si="100"/>
        <v>0</v>
      </c>
      <c r="H197" s="124">
        <f t="shared" si="100"/>
        <v>0</v>
      </c>
      <c r="I197" s="124">
        <f t="shared" si="100"/>
        <v>0</v>
      </c>
      <c r="J197" s="124">
        <f t="shared" si="100"/>
        <v>0</v>
      </c>
      <c r="K197" s="124">
        <f t="shared" si="100"/>
        <v>0</v>
      </c>
      <c r="L197" s="124">
        <f t="shared" si="100"/>
        <v>0</v>
      </c>
      <c r="M197" s="124">
        <f t="shared" si="100"/>
        <v>0</v>
      </c>
      <c r="N197" s="124">
        <f t="shared" si="100"/>
        <v>0</v>
      </c>
      <c r="O197" s="124">
        <f t="shared" si="100"/>
        <v>0</v>
      </c>
      <c r="P197" s="124">
        <f t="shared" si="100"/>
        <v>0</v>
      </c>
      <c r="Q197" s="124">
        <f t="shared" si="100"/>
        <v>0</v>
      </c>
      <c r="R197" s="124">
        <f t="shared" si="100"/>
        <v>0</v>
      </c>
      <c r="S197" s="124">
        <f t="shared" si="100"/>
        <v>0</v>
      </c>
      <c r="T197" s="124">
        <f t="shared" si="100"/>
        <v>0</v>
      </c>
      <c r="U197" s="124">
        <f t="shared" si="100"/>
        <v>0</v>
      </c>
      <c r="V197" s="124">
        <f t="shared" si="100"/>
        <v>0</v>
      </c>
      <c r="W197" s="124">
        <f t="shared" si="100"/>
        <v>0</v>
      </c>
      <c r="X197" s="124">
        <f t="shared" si="100"/>
        <v>0</v>
      </c>
      <c r="Y197" s="124">
        <f t="shared" si="100"/>
        <v>0</v>
      </c>
      <c r="Z197" s="124">
        <f t="shared" si="100"/>
        <v>0</v>
      </c>
      <c r="AA197" s="124">
        <f t="shared" si="100"/>
        <v>0</v>
      </c>
      <c r="AB197" s="124">
        <f t="shared" si="100"/>
        <v>0</v>
      </c>
      <c r="AC197" s="124">
        <f t="shared" si="100"/>
        <v>0</v>
      </c>
      <c r="AD197" s="124">
        <f t="shared" si="100"/>
        <v>0</v>
      </c>
      <c r="AE197" s="124">
        <f t="shared" si="100"/>
        <v>0</v>
      </c>
      <c r="AF197" s="124">
        <f t="shared" si="100"/>
        <v>0</v>
      </c>
      <c r="AG197" s="124">
        <f t="shared" si="100"/>
        <v>0</v>
      </c>
      <c r="AH197" s="124">
        <f t="shared" si="100"/>
        <v>0</v>
      </c>
      <c r="AI197" s="124">
        <f t="shared" si="100"/>
        <v>0</v>
      </c>
      <c r="AJ197" s="124">
        <f t="shared" si="100"/>
        <v>0</v>
      </c>
      <c r="AK197" s="124">
        <f t="shared" si="100"/>
        <v>0</v>
      </c>
      <c r="AL197" s="124">
        <f t="shared" si="100"/>
        <v>0</v>
      </c>
      <c r="AM197" s="124">
        <f t="shared" si="100"/>
        <v>0</v>
      </c>
      <c r="AN197" s="124">
        <f t="shared" si="100"/>
        <v>0</v>
      </c>
      <c r="AO197" s="124">
        <f t="shared" si="100"/>
        <v>0</v>
      </c>
      <c r="AP197" s="124">
        <f t="shared" si="100"/>
        <v>496451.01079080044</v>
      </c>
    </row>
    <row r="198" spans="1:42" s="101" customFormat="1" x14ac:dyDescent="0.2">
      <c r="A198" s="234" t="s">
        <v>362</v>
      </c>
      <c r="B198" s="124">
        <v>0</v>
      </c>
      <c r="C198" s="124">
        <f t="shared" ref="C198:AP198" si="101">C181</f>
        <v>0</v>
      </c>
      <c r="D198" s="124">
        <f t="shared" si="101"/>
        <v>0</v>
      </c>
      <c r="E198" s="124">
        <f t="shared" si="101"/>
        <v>0</v>
      </c>
      <c r="F198" s="124">
        <f t="shared" si="101"/>
        <v>0</v>
      </c>
      <c r="G198" s="124">
        <f t="shared" si="101"/>
        <v>0</v>
      </c>
      <c r="H198" s="124">
        <f t="shared" si="101"/>
        <v>0</v>
      </c>
      <c r="I198" s="124">
        <f t="shared" si="101"/>
        <v>0</v>
      </c>
      <c r="J198" s="124">
        <f t="shared" si="101"/>
        <v>0</v>
      </c>
      <c r="K198" s="124">
        <f t="shared" si="101"/>
        <v>0</v>
      </c>
      <c r="L198" s="124">
        <f t="shared" si="101"/>
        <v>0</v>
      </c>
      <c r="M198" s="124">
        <f t="shared" si="101"/>
        <v>0</v>
      </c>
      <c r="N198" s="124">
        <f t="shared" si="101"/>
        <v>0</v>
      </c>
      <c r="O198" s="124">
        <f t="shared" si="101"/>
        <v>0</v>
      </c>
      <c r="P198" s="124">
        <f t="shared" si="101"/>
        <v>0</v>
      </c>
      <c r="Q198" s="124">
        <f t="shared" si="101"/>
        <v>0</v>
      </c>
      <c r="R198" s="124">
        <f t="shared" si="101"/>
        <v>0</v>
      </c>
      <c r="S198" s="124">
        <f t="shared" si="101"/>
        <v>0</v>
      </c>
      <c r="T198" s="124">
        <f t="shared" si="101"/>
        <v>0</v>
      </c>
      <c r="U198" s="124">
        <f t="shared" si="101"/>
        <v>0</v>
      </c>
      <c r="V198" s="124">
        <f t="shared" si="101"/>
        <v>0</v>
      </c>
      <c r="W198" s="124">
        <f t="shared" si="101"/>
        <v>0</v>
      </c>
      <c r="X198" s="124">
        <f t="shared" si="101"/>
        <v>0</v>
      </c>
      <c r="Y198" s="124">
        <f t="shared" si="101"/>
        <v>0</v>
      </c>
      <c r="Z198" s="124">
        <f t="shared" si="101"/>
        <v>0</v>
      </c>
      <c r="AA198" s="124">
        <f t="shared" si="101"/>
        <v>0</v>
      </c>
      <c r="AB198" s="124">
        <f t="shared" si="101"/>
        <v>0</v>
      </c>
      <c r="AC198" s="124">
        <f t="shared" si="101"/>
        <v>0</v>
      </c>
      <c r="AD198" s="124">
        <f t="shared" si="101"/>
        <v>0</v>
      </c>
      <c r="AE198" s="124">
        <f t="shared" si="101"/>
        <v>0</v>
      </c>
      <c r="AF198" s="124">
        <f t="shared" si="101"/>
        <v>0</v>
      </c>
      <c r="AG198" s="124">
        <f t="shared" si="101"/>
        <v>0</v>
      </c>
      <c r="AH198" s="124">
        <f t="shared" si="101"/>
        <v>0</v>
      </c>
      <c r="AI198" s="124">
        <f t="shared" si="101"/>
        <v>0</v>
      </c>
      <c r="AJ198" s="124">
        <f t="shared" si="101"/>
        <v>0</v>
      </c>
      <c r="AK198" s="124">
        <f t="shared" si="101"/>
        <v>0</v>
      </c>
      <c r="AL198" s="124">
        <f t="shared" si="101"/>
        <v>0</v>
      </c>
      <c r="AM198" s="124">
        <f t="shared" si="101"/>
        <v>0</v>
      </c>
      <c r="AN198" s="124">
        <f t="shared" si="101"/>
        <v>0</v>
      </c>
      <c r="AO198" s="124">
        <f t="shared" si="101"/>
        <v>0</v>
      </c>
      <c r="AP198" s="124">
        <f t="shared" si="101"/>
        <v>3113558.5054389434</v>
      </c>
    </row>
    <row r="199" spans="1:42" s="101" customFormat="1" x14ac:dyDescent="0.2">
      <c r="A199" s="234" t="s">
        <v>381</v>
      </c>
      <c r="B199" s="124">
        <f>B182</f>
        <v>0</v>
      </c>
      <c r="C199" s="124">
        <f t="shared" ref="C199:AP199" si="102">C182</f>
        <v>54487.273845181517</v>
      </c>
      <c r="D199" s="124">
        <f t="shared" si="102"/>
        <v>54487.273845181517</v>
      </c>
      <c r="E199" s="124">
        <f t="shared" si="102"/>
        <v>54487.273845181517</v>
      </c>
      <c r="F199" s="124">
        <f t="shared" si="102"/>
        <v>54487.273845181517</v>
      </c>
      <c r="G199" s="124">
        <f t="shared" si="102"/>
        <v>54487.273845181517</v>
      </c>
      <c r="H199" s="124">
        <f t="shared" si="102"/>
        <v>54487.273845181517</v>
      </c>
      <c r="I199" s="124">
        <f t="shared" si="102"/>
        <v>54487.273845181517</v>
      </c>
      <c r="J199" s="124">
        <f t="shared" si="102"/>
        <v>54487.273845181517</v>
      </c>
      <c r="K199" s="124">
        <f t="shared" si="102"/>
        <v>54487.273845181517</v>
      </c>
      <c r="L199" s="124">
        <f t="shared" si="102"/>
        <v>54487.273845181517</v>
      </c>
      <c r="M199" s="124">
        <f t="shared" si="102"/>
        <v>54487.273845181517</v>
      </c>
      <c r="N199" s="124">
        <f t="shared" si="102"/>
        <v>54487.273845181517</v>
      </c>
      <c r="O199" s="124">
        <f t="shared" si="102"/>
        <v>54487.273845181517</v>
      </c>
      <c r="P199" s="124">
        <f t="shared" si="102"/>
        <v>54487.273845181517</v>
      </c>
      <c r="Q199" s="124">
        <f t="shared" si="102"/>
        <v>54487.273845181517</v>
      </c>
      <c r="R199" s="124">
        <f t="shared" si="102"/>
        <v>54487.273845181517</v>
      </c>
      <c r="S199" s="124">
        <f t="shared" si="102"/>
        <v>54487.273845181517</v>
      </c>
      <c r="T199" s="124">
        <f t="shared" si="102"/>
        <v>54487.273845181517</v>
      </c>
      <c r="U199" s="124">
        <f t="shared" si="102"/>
        <v>54487.273845181517</v>
      </c>
      <c r="V199" s="124">
        <f t="shared" si="102"/>
        <v>54487.273845181517</v>
      </c>
      <c r="W199" s="124">
        <f t="shared" si="102"/>
        <v>54487.273845181517</v>
      </c>
      <c r="X199" s="124">
        <f t="shared" si="102"/>
        <v>54487.273845181517</v>
      </c>
      <c r="Y199" s="124">
        <f t="shared" si="102"/>
        <v>54487.273845181517</v>
      </c>
      <c r="Z199" s="124">
        <f t="shared" si="102"/>
        <v>54487.273845181517</v>
      </c>
      <c r="AA199" s="124">
        <f t="shared" si="102"/>
        <v>54487.273845181517</v>
      </c>
      <c r="AB199" s="124">
        <f t="shared" si="102"/>
        <v>54487.273845181517</v>
      </c>
      <c r="AC199" s="124">
        <f t="shared" si="102"/>
        <v>54487.273845181517</v>
      </c>
      <c r="AD199" s="124">
        <f t="shared" si="102"/>
        <v>54487.273845181517</v>
      </c>
      <c r="AE199" s="124">
        <f t="shared" si="102"/>
        <v>54487.273845181517</v>
      </c>
      <c r="AF199" s="124">
        <f t="shared" si="102"/>
        <v>54487.273845181517</v>
      </c>
      <c r="AG199" s="124">
        <f t="shared" si="102"/>
        <v>54487.273845181517</v>
      </c>
      <c r="AH199" s="124">
        <f t="shared" si="102"/>
        <v>54487.273845181517</v>
      </c>
      <c r="AI199" s="124">
        <f t="shared" si="102"/>
        <v>54487.273845181517</v>
      </c>
      <c r="AJ199" s="124">
        <f t="shared" si="102"/>
        <v>54487.273845181517</v>
      </c>
      <c r="AK199" s="124">
        <f t="shared" si="102"/>
        <v>54487.273845181517</v>
      </c>
      <c r="AL199" s="124">
        <f t="shared" si="102"/>
        <v>54487.273845181517</v>
      </c>
      <c r="AM199" s="124">
        <f t="shared" si="102"/>
        <v>54487.273845181517</v>
      </c>
      <c r="AN199" s="124">
        <f t="shared" si="102"/>
        <v>54487.273845181517</v>
      </c>
      <c r="AO199" s="124">
        <f t="shared" si="102"/>
        <v>54487.273845181517</v>
      </c>
      <c r="AP199" s="124">
        <f t="shared" si="102"/>
        <v>54487.273845181517</v>
      </c>
    </row>
    <row r="200" spans="1:42" s="101" customFormat="1" x14ac:dyDescent="0.2">
      <c r="A200" s="234" t="s">
        <v>404</v>
      </c>
      <c r="B200" s="186">
        <f>B183</f>
        <v>0</v>
      </c>
      <c r="C200" s="186">
        <f t="shared" ref="C200:AP200" si="103">C183</f>
        <v>400000</v>
      </c>
      <c r="D200" s="186">
        <f t="shared" si="103"/>
        <v>408000</v>
      </c>
      <c r="E200" s="186">
        <f t="shared" si="103"/>
        <v>416160</v>
      </c>
      <c r="F200" s="186">
        <f t="shared" si="103"/>
        <v>424483.19999999995</v>
      </c>
      <c r="G200" s="186">
        <f t="shared" si="103"/>
        <v>432972.864</v>
      </c>
      <c r="H200" s="186">
        <f t="shared" si="103"/>
        <v>441632.32128000003</v>
      </c>
      <c r="I200" s="186">
        <f t="shared" si="103"/>
        <v>450464.96770560002</v>
      </c>
      <c r="J200" s="186">
        <f t="shared" si="103"/>
        <v>459474.26705971191</v>
      </c>
      <c r="K200" s="186">
        <f t="shared" si="103"/>
        <v>468663.75240090623</v>
      </c>
      <c r="L200" s="186">
        <f t="shared" si="103"/>
        <v>478037.02744892432</v>
      </c>
      <c r="M200" s="186">
        <f t="shared" si="103"/>
        <v>487597.76799790282</v>
      </c>
      <c r="N200" s="186">
        <f t="shared" si="103"/>
        <v>497349.72335786081</v>
      </c>
      <c r="O200" s="186">
        <f t="shared" si="103"/>
        <v>507296.7178250181</v>
      </c>
      <c r="P200" s="186">
        <f t="shared" si="103"/>
        <v>517442.65218151844</v>
      </c>
      <c r="Q200" s="186">
        <f t="shared" si="103"/>
        <v>527791.50522514887</v>
      </c>
      <c r="R200" s="186">
        <f t="shared" si="103"/>
        <v>538347.33532965172</v>
      </c>
      <c r="S200" s="186">
        <f t="shared" si="103"/>
        <v>549114.28203624487</v>
      </c>
      <c r="T200" s="186">
        <f t="shared" si="103"/>
        <v>560096.5676769698</v>
      </c>
      <c r="U200" s="186">
        <f t="shared" si="103"/>
        <v>571298.49903050903</v>
      </c>
      <c r="V200" s="186">
        <f t="shared" si="103"/>
        <v>582724.46901111922</v>
      </c>
      <c r="W200" s="186">
        <f t="shared" si="103"/>
        <v>594378.95839134173</v>
      </c>
      <c r="X200" s="186">
        <f t="shared" si="103"/>
        <v>606266.53755916853</v>
      </c>
      <c r="Y200" s="186">
        <f t="shared" si="103"/>
        <v>618391.86831035186</v>
      </c>
      <c r="Z200" s="186">
        <f t="shared" si="103"/>
        <v>630759.70567655878</v>
      </c>
      <c r="AA200" s="186">
        <f t="shared" si="103"/>
        <v>643374.89979009004</v>
      </c>
      <c r="AB200" s="186">
        <f t="shared" si="103"/>
        <v>656242.39778589178</v>
      </c>
      <c r="AC200" s="186">
        <f t="shared" si="103"/>
        <v>669367.24574160972</v>
      </c>
      <c r="AD200" s="186">
        <f t="shared" si="103"/>
        <v>682754.59065644175</v>
      </c>
      <c r="AE200" s="186">
        <f t="shared" si="103"/>
        <v>696409.68246957078</v>
      </c>
      <c r="AF200" s="186">
        <f t="shared" si="103"/>
        <v>710337.87611896207</v>
      </c>
      <c r="AG200" s="186">
        <f t="shared" si="103"/>
        <v>724544.63364134135</v>
      </c>
      <c r="AH200" s="186">
        <f t="shared" si="103"/>
        <v>739035.526314168</v>
      </c>
      <c r="AI200" s="186">
        <f t="shared" si="103"/>
        <v>753816.2368404516</v>
      </c>
      <c r="AJ200" s="186">
        <f t="shared" si="103"/>
        <v>768892.56157726061</v>
      </c>
      <c r="AK200" s="186">
        <f t="shared" si="103"/>
        <v>784270.41280880582</v>
      </c>
      <c r="AL200" s="186">
        <f t="shared" si="103"/>
        <v>799955.82106498186</v>
      </c>
      <c r="AM200" s="186">
        <f t="shared" si="103"/>
        <v>815954.9374862815</v>
      </c>
      <c r="AN200" s="186">
        <f t="shared" si="103"/>
        <v>832274.03623600723</v>
      </c>
      <c r="AO200" s="186">
        <f t="shared" si="103"/>
        <v>848919.5169607274</v>
      </c>
      <c r="AP200" s="186">
        <f t="shared" si="103"/>
        <v>865897.90729994164</v>
      </c>
    </row>
    <row r="201" spans="1:42" x14ac:dyDescent="0.2">
      <c r="A201" s="167" t="s">
        <v>205</v>
      </c>
      <c r="B201" s="135">
        <f t="shared" ref="B201:AP201" si="104">SUM(B194:B200)</f>
        <v>-2293950.9423139435</v>
      </c>
      <c r="C201" s="135">
        <f t="shared" si="104"/>
        <v>454487.27384518151</v>
      </c>
      <c r="D201" s="135">
        <f t="shared" si="104"/>
        <v>462487.27384518151</v>
      </c>
      <c r="E201" s="135">
        <f t="shared" si="104"/>
        <v>470647.27384518151</v>
      </c>
      <c r="F201" s="135">
        <f t="shared" si="104"/>
        <v>478970.47384518146</v>
      </c>
      <c r="G201" s="135">
        <f t="shared" si="104"/>
        <v>487460.13784518151</v>
      </c>
      <c r="H201" s="135">
        <f t="shared" si="104"/>
        <v>496119.59512518154</v>
      </c>
      <c r="I201" s="135">
        <f t="shared" si="104"/>
        <v>504952.24155078153</v>
      </c>
      <c r="J201" s="135">
        <f t="shared" si="104"/>
        <v>513961.54090489342</v>
      </c>
      <c r="K201" s="135">
        <f t="shared" si="104"/>
        <v>523151.02624608774</v>
      </c>
      <c r="L201" s="135">
        <f t="shared" si="104"/>
        <v>532524.30129410583</v>
      </c>
      <c r="M201" s="135">
        <f t="shared" si="104"/>
        <v>542085.04184308439</v>
      </c>
      <c r="N201" s="135">
        <f t="shared" si="104"/>
        <v>551836.99720304238</v>
      </c>
      <c r="O201" s="135">
        <f t="shared" si="104"/>
        <v>561783.99167019967</v>
      </c>
      <c r="P201" s="135">
        <f t="shared" si="104"/>
        <v>571929.92602669995</v>
      </c>
      <c r="Q201" s="135">
        <f t="shared" si="104"/>
        <v>582278.77907033043</v>
      </c>
      <c r="R201" s="135">
        <f t="shared" si="104"/>
        <v>592834.60917483328</v>
      </c>
      <c r="S201" s="135">
        <f t="shared" si="104"/>
        <v>603601.55588142644</v>
      </c>
      <c r="T201" s="135">
        <f t="shared" si="104"/>
        <v>614583.84152215137</v>
      </c>
      <c r="U201" s="135">
        <f t="shared" si="104"/>
        <v>625785.7728756906</v>
      </c>
      <c r="V201" s="135">
        <f t="shared" si="104"/>
        <v>637211.74285630079</v>
      </c>
      <c r="W201" s="135">
        <f t="shared" si="104"/>
        <v>648866.2322365233</v>
      </c>
      <c r="X201" s="135">
        <f t="shared" si="104"/>
        <v>660753.8114043501</v>
      </c>
      <c r="Y201" s="135">
        <f t="shared" si="104"/>
        <v>672879.14215553342</v>
      </c>
      <c r="Z201" s="135">
        <f t="shared" si="104"/>
        <v>685246.97952174034</v>
      </c>
      <c r="AA201" s="135">
        <f t="shared" si="104"/>
        <v>697862.17363527161</v>
      </c>
      <c r="AB201" s="135">
        <f t="shared" si="104"/>
        <v>710729.67163107335</v>
      </c>
      <c r="AC201" s="135">
        <f t="shared" si="104"/>
        <v>723854.51958679128</v>
      </c>
      <c r="AD201" s="135">
        <f t="shared" si="104"/>
        <v>737241.86450162332</v>
      </c>
      <c r="AE201" s="135">
        <f t="shared" si="104"/>
        <v>750896.95631475234</v>
      </c>
      <c r="AF201" s="135">
        <f t="shared" si="104"/>
        <v>764825.14996414364</v>
      </c>
      <c r="AG201" s="135">
        <f t="shared" si="104"/>
        <v>779031.90748652292</v>
      </c>
      <c r="AH201" s="135">
        <f t="shared" si="104"/>
        <v>793522.80015934957</v>
      </c>
      <c r="AI201" s="135">
        <f t="shared" si="104"/>
        <v>808303.51068563317</v>
      </c>
      <c r="AJ201" s="135">
        <f t="shared" si="104"/>
        <v>823379.83542244218</v>
      </c>
      <c r="AK201" s="135">
        <f t="shared" si="104"/>
        <v>838757.68665398739</v>
      </c>
      <c r="AL201" s="135">
        <f t="shared" si="104"/>
        <v>854443.09491016343</v>
      </c>
      <c r="AM201" s="135">
        <f t="shared" si="104"/>
        <v>870442.21133146307</v>
      </c>
      <c r="AN201" s="135">
        <f t="shared" si="104"/>
        <v>886761.3100811888</v>
      </c>
      <c r="AO201" s="135">
        <f t="shared" si="104"/>
        <v>903406.79080590897</v>
      </c>
      <c r="AP201" s="135">
        <f t="shared" si="104"/>
        <v>4530394.6973748673</v>
      </c>
    </row>
    <row r="202" spans="1:42" x14ac:dyDescent="0.2">
      <c r="A202" s="163" t="s">
        <v>344</v>
      </c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</row>
    <row r="203" spans="1:42" x14ac:dyDescent="0.2">
      <c r="A203" s="167" t="s">
        <v>37</v>
      </c>
      <c r="B203" s="124">
        <f>B293</f>
        <v>0</v>
      </c>
      <c r="C203" s="169">
        <f>C293</f>
        <v>-38341.464323994755</v>
      </c>
      <c r="D203" s="169">
        <f t="shared" ref="D203:AP203" si="105">D293</f>
        <v>-38786.09702462062</v>
      </c>
      <c r="E203" s="169">
        <f t="shared" si="105"/>
        <v>-39239.623126659833</v>
      </c>
      <c r="F203" s="169">
        <f t="shared" si="105"/>
        <v>-39702.220583221031</v>
      </c>
      <c r="G203" s="169">
        <f t="shared" si="105"/>
        <v>-40174.070909335889</v>
      </c>
      <c r="H203" s="169">
        <f t="shared" si="105"/>
        <v>-40655.359253276183</v>
      </c>
      <c r="I203" s="169">
        <f t="shared" si="105"/>
        <v>-41146.274469298231</v>
      </c>
      <c r="J203" s="169">
        <f t="shared" si="105"/>
        <v>-41647.009191845005</v>
      </c>
      <c r="K203" s="169">
        <f t="shared" si="105"/>
        <v>-42157.759911233821</v>
      </c>
      <c r="L203" s="169">
        <f t="shared" si="105"/>
        <v>-42678.727050860238</v>
      </c>
      <c r="M203" s="169">
        <f t="shared" si="105"/>
        <v>-43210.115045948209</v>
      </c>
      <c r="N203" s="169">
        <f t="shared" si="105"/>
        <v>-43752.132423877178</v>
      </c>
      <c r="O203" s="169">
        <f t="shared" si="105"/>
        <v>-46945.315208308333</v>
      </c>
      <c r="P203" s="169">
        <f t="shared" si="105"/>
        <v>-47509.233714000606</v>
      </c>
      <c r="Q203" s="169">
        <f t="shared" si="105"/>
        <v>-48084.432565203584</v>
      </c>
      <c r="R203" s="169">
        <f t="shared" si="105"/>
        <v>-48671.137493855</v>
      </c>
      <c r="S203" s="169">
        <f t="shared" si="105"/>
        <v>-49269.578750470573</v>
      </c>
      <c r="T203" s="169">
        <f t="shared" si="105"/>
        <v>-49879.991194621602</v>
      </c>
      <c r="U203" s="169">
        <f t="shared" si="105"/>
        <v>-50502.614387222733</v>
      </c>
      <c r="V203" s="169">
        <f t="shared" si="105"/>
        <v>-51137.692684670496</v>
      </c>
      <c r="W203" s="169">
        <f t="shared" si="105"/>
        <v>-52179.57569502158</v>
      </c>
      <c r="X203" s="169">
        <f t="shared" si="105"/>
        <v>-52840.316935314171</v>
      </c>
      <c r="Y203" s="169">
        <f t="shared" si="105"/>
        <v>-53514.276092413384</v>
      </c>
      <c r="Z203" s="169">
        <f t="shared" si="105"/>
        <v>-54201.717684295414</v>
      </c>
      <c r="AA203" s="169">
        <f t="shared" si="105"/>
        <v>-58059.730066698488</v>
      </c>
      <c r="AB203" s="169">
        <f t="shared" si="105"/>
        <v>-58774.951368976712</v>
      </c>
      <c r="AC203" s="169">
        <f t="shared" si="105"/>
        <v>-59504.48085752398</v>
      </c>
      <c r="AD203" s="169">
        <f t="shared" si="105"/>
        <v>-60248.604875917765</v>
      </c>
      <c r="AE203" s="169">
        <f t="shared" si="105"/>
        <v>-61007.615499996842</v>
      </c>
      <c r="AF203" s="169">
        <f t="shared" si="105"/>
        <v>-61781.81065264628</v>
      </c>
      <c r="AG203" s="169">
        <f t="shared" si="105"/>
        <v>-62571.4942208844</v>
      </c>
      <c r="AH203" s="169">
        <f t="shared" si="105"/>
        <v>-63376.976175292555</v>
      </c>
      <c r="AI203" s="169">
        <f t="shared" si="105"/>
        <v>-64198.572691838832</v>
      </c>
      <c r="AJ203" s="169">
        <f t="shared" si="105"/>
        <v>-65036.606276141116</v>
      </c>
      <c r="AK203" s="169">
        <f t="shared" si="105"/>
        <v>-65891.405890219365</v>
      </c>
      <c r="AL203" s="169">
        <f t="shared" si="105"/>
        <v>-66763.307081787483</v>
      </c>
      <c r="AM203" s="169">
        <f t="shared" si="105"/>
        <v>-48358.178677017975</v>
      </c>
      <c r="AN203" s="169">
        <f t="shared" si="105"/>
        <v>-49265.316671529188</v>
      </c>
      <c r="AO203" s="169">
        <f t="shared" si="105"/>
        <v>-50190.603732906806</v>
      </c>
      <c r="AP203" s="169">
        <f t="shared" si="105"/>
        <v>-50621.184962981773</v>
      </c>
    </row>
    <row r="204" spans="1:42" x14ac:dyDescent="0.2">
      <c r="A204" s="167" t="s">
        <v>36</v>
      </c>
      <c r="B204" s="186">
        <f>B310</f>
        <v>0</v>
      </c>
      <c r="C204" s="170">
        <f>C310</f>
        <v>-230571.62409384118</v>
      </c>
      <c r="D204" s="170">
        <f t="shared" ref="D204:AP204" si="106">D310</f>
        <v>-233245.48347078671</v>
      </c>
      <c r="E204" s="170">
        <f t="shared" si="106"/>
        <v>-235972.824529868</v>
      </c>
      <c r="F204" s="170">
        <f t="shared" si="106"/>
        <v>-238754.71741637008</v>
      </c>
      <c r="G204" s="170">
        <f t="shared" si="106"/>
        <v>-241592.25369568809</v>
      </c>
      <c r="H204" s="170">
        <f t="shared" si="106"/>
        <v>-244486.5467822018</v>
      </c>
      <c r="I204" s="170">
        <f t="shared" si="106"/>
        <v>-247438.73237673432</v>
      </c>
      <c r="J204" s="170">
        <f t="shared" si="106"/>
        <v>-250449.96891277703</v>
      </c>
      <c r="K204" s="170">
        <f t="shared" si="106"/>
        <v>-253521.438011647</v>
      </c>
      <c r="L204" s="170">
        <f t="shared" si="106"/>
        <v>-256654.34494676406</v>
      </c>
      <c r="M204" s="170">
        <f t="shared" si="106"/>
        <v>-259849.9191172249</v>
      </c>
      <c r="N204" s="170">
        <f t="shared" si="106"/>
        <v>-263109.41453086137</v>
      </c>
      <c r="O204" s="170">
        <f t="shared" si="106"/>
        <v>-282312.05463905423</v>
      </c>
      <c r="P204" s="170">
        <f t="shared" si="106"/>
        <v>-285703.25547101273</v>
      </c>
      <c r="Q204" s="170">
        <f t="shared" si="106"/>
        <v>-289162.29219892877</v>
      </c>
      <c r="R204" s="170">
        <f t="shared" si="106"/>
        <v>-292690.52229259163</v>
      </c>
      <c r="S204" s="170">
        <f t="shared" si="106"/>
        <v>-296289.33039487526</v>
      </c>
      <c r="T204" s="170">
        <f t="shared" si="106"/>
        <v>-299960.12886583805</v>
      </c>
      <c r="U204" s="170">
        <f t="shared" si="106"/>
        <v>-303704.35833770764</v>
      </c>
      <c r="V204" s="170">
        <f t="shared" si="106"/>
        <v>-307523.48828099575</v>
      </c>
      <c r="W204" s="170">
        <f t="shared" si="106"/>
        <v>-313788.99383869796</v>
      </c>
      <c r="X204" s="170">
        <f t="shared" si="106"/>
        <v>-317762.4513882756</v>
      </c>
      <c r="Y204" s="170">
        <f t="shared" si="106"/>
        <v>-321815.39668301318</v>
      </c>
      <c r="Z204" s="170">
        <f t="shared" si="106"/>
        <v>-325949.42043783108</v>
      </c>
      <c r="AA204" s="170">
        <f t="shared" si="106"/>
        <v>-349150.10399200954</v>
      </c>
      <c r="AB204" s="170">
        <f t="shared" si="106"/>
        <v>-353451.18482343724</v>
      </c>
      <c r="AC204" s="170">
        <f t="shared" si="106"/>
        <v>-357838.30988411012</v>
      </c>
      <c r="AD204" s="170">
        <f t="shared" si="106"/>
        <v>-362313.20114017819</v>
      </c>
      <c r="AE204" s="170">
        <f t="shared" si="106"/>
        <v>-366877.61502952647</v>
      </c>
      <c r="AF204" s="170">
        <f t="shared" si="106"/>
        <v>-371533.34315205016</v>
      </c>
      <c r="AG204" s="170">
        <f t="shared" si="106"/>
        <v>-376282.21297377296</v>
      </c>
      <c r="AH204" s="170">
        <f t="shared" si="106"/>
        <v>-381126.08854505472</v>
      </c>
      <c r="AI204" s="170">
        <f t="shared" si="106"/>
        <v>-386066.87123319448</v>
      </c>
      <c r="AJ204" s="170">
        <f t="shared" si="106"/>
        <v>-391106.50046970317</v>
      </c>
      <c r="AK204" s="170">
        <f t="shared" si="106"/>
        <v>-396246.95451254642</v>
      </c>
      <c r="AL204" s="170">
        <f t="shared" si="106"/>
        <v>-401490.25122365833</v>
      </c>
      <c r="AM204" s="170">
        <f t="shared" si="106"/>
        <v>-290808.50177133986</v>
      </c>
      <c r="AN204" s="170">
        <f t="shared" si="106"/>
        <v>-296263.6998019687</v>
      </c>
      <c r="AO204" s="170">
        <f t="shared" si="106"/>
        <v>-301828.03972107137</v>
      </c>
      <c r="AP204" s="170">
        <f t="shared" si="106"/>
        <v>-304417.39866374951</v>
      </c>
    </row>
    <row r="205" spans="1:42" x14ac:dyDescent="0.2">
      <c r="A205" s="167" t="s">
        <v>53</v>
      </c>
      <c r="B205" s="177">
        <f>SUM(B203:B204)</f>
        <v>0</v>
      </c>
      <c r="C205" s="177">
        <f>SUM(C203:C204)</f>
        <v>-268913.08841783594</v>
      </c>
      <c r="D205" s="177">
        <f>SUM(D203:D204)</f>
        <v>-272031.58049540734</v>
      </c>
      <c r="E205" s="177">
        <f t="shared" ref="E205:AP205" si="107">SUM(E203:E204)</f>
        <v>-275212.44765652786</v>
      </c>
      <c r="F205" s="177">
        <f t="shared" si="107"/>
        <v>-278456.93799959111</v>
      </c>
      <c r="G205" s="177">
        <f t="shared" si="107"/>
        <v>-281766.32460502395</v>
      </c>
      <c r="H205" s="177">
        <f t="shared" si="107"/>
        <v>-285141.90603547799</v>
      </c>
      <c r="I205" s="177">
        <f t="shared" si="107"/>
        <v>-288585.00684603257</v>
      </c>
      <c r="J205" s="177">
        <f t="shared" si="107"/>
        <v>-292096.97810462205</v>
      </c>
      <c r="K205" s="177">
        <f t="shared" si="107"/>
        <v>-295679.19792288082</v>
      </c>
      <c r="L205" s="177">
        <f t="shared" si="107"/>
        <v>-299333.0719976243</v>
      </c>
      <c r="M205" s="177">
        <f t="shared" si="107"/>
        <v>-303060.03416317311</v>
      </c>
      <c r="N205" s="177">
        <f t="shared" si="107"/>
        <v>-306861.54695473856</v>
      </c>
      <c r="O205" s="177">
        <f t="shared" si="107"/>
        <v>-329257.36984736257</v>
      </c>
      <c r="P205" s="177">
        <f t="shared" si="107"/>
        <v>-333212.48918501334</v>
      </c>
      <c r="Q205" s="177">
        <f t="shared" si="107"/>
        <v>-337246.72476413235</v>
      </c>
      <c r="R205" s="177">
        <f t="shared" si="107"/>
        <v>-341361.6597864466</v>
      </c>
      <c r="S205" s="177">
        <f t="shared" si="107"/>
        <v>-345558.90914534585</v>
      </c>
      <c r="T205" s="177">
        <f t="shared" si="107"/>
        <v>-349840.12006045965</v>
      </c>
      <c r="U205" s="177">
        <f t="shared" si="107"/>
        <v>-354206.97272493038</v>
      </c>
      <c r="V205" s="177">
        <f t="shared" si="107"/>
        <v>-358661.18096566625</v>
      </c>
      <c r="W205" s="177">
        <f t="shared" si="107"/>
        <v>-365968.56953371956</v>
      </c>
      <c r="X205" s="177">
        <f t="shared" si="107"/>
        <v>-370602.76832358976</v>
      </c>
      <c r="Y205" s="177">
        <f t="shared" si="107"/>
        <v>-375329.67277542659</v>
      </c>
      <c r="Z205" s="177">
        <f t="shared" si="107"/>
        <v>-380151.13812212652</v>
      </c>
      <c r="AA205" s="177">
        <f t="shared" si="107"/>
        <v>-407209.83405870805</v>
      </c>
      <c r="AB205" s="177">
        <f t="shared" si="107"/>
        <v>-412226.13619241398</v>
      </c>
      <c r="AC205" s="177">
        <f t="shared" si="107"/>
        <v>-417342.79074163409</v>
      </c>
      <c r="AD205" s="177">
        <f t="shared" si="107"/>
        <v>-422561.80601609597</v>
      </c>
      <c r="AE205" s="177">
        <f t="shared" si="107"/>
        <v>-427885.23052952334</v>
      </c>
      <c r="AF205" s="177">
        <f t="shared" si="107"/>
        <v>-433315.15380469646</v>
      </c>
      <c r="AG205" s="177">
        <f t="shared" si="107"/>
        <v>-438853.70719465736</v>
      </c>
      <c r="AH205" s="177">
        <f t="shared" si="107"/>
        <v>-444503.06472034729</v>
      </c>
      <c r="AI205" s="177">
        <f t="shared" si="107"/>
        <v>-450265.44392503332</v>
      </c>
      <c r="AJ205" s="177">
        <f t="shared" si="107"/>
        <v>-456143.1067458443</v>
      </c>
      <c r="AK205" s="177">
        <f t="shared" si="107"/>
        <v>-462138.3604027658</v>
      </c>
      <c r="AL205" s="177">
        <f t="shared" si="107"/>
        <v>-468253.55830544583</v>
      </c>
      <c r="AM205" s="177">
        <f t="shared" si="107"/>
        <v>-339166.68044835783</v>
      </c>
      <c r="AN205" s="177">
        <f t="shared" si="107"/>
        <v>-345529.0164734979</v>
      </c>
      <c r="AO205" s="177">
        <f t="shared" si="107"/>
        <v>-352018.64345397818</v>
      </c>
      <c r="AP205" s="177">
        <f t="shared" si="107"/>
        <v>-355038.5836267313</v>
      </c>
    </row>
    <row r="206" spans="1:42" x14ac:dyDescent="0.2">
      <c r="A206" s="163" t="s">
        <v>314</v>
      </c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</row>
    <row r="207" spans="1:42" x14ac:dyDescent="0.2">
      <c r="A207" s="167" t="s">
        <v>37</v>
      </c>
      <c r="B207" s="124">
        <v>0</v>
      </c>
      <c r="C207" s="169">
        <f>B195*-StateTax</f>
        <v>-66374.797500000001</v>
      </c>
      <c r="D207" s="169">
        <v>0</v>
      </c>
      <c r="E207" s="169">
        <v>0</v>
      </c>
      <c r="F207" s="169">
        <v>0</v>
      </c>
      <c r="G207" s="169">
        <v>0</v>
      </c>
      <c r="H207" s="169">
        <v>0</v>
      </c>
      <c r="I207" s="169">
        <v>0</v>
      </c>
      <c r="J207" s="169">
        <v>0</v>
      </c>
      <c r="K207" s="169">
        <v>0</v>
      </c>
      <c r="L207" s="169">
        <v>0</v>
      </c>
      <c r="M207" s="169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169">
        <v>0</v>
      </c>
      <c r="V207" s="169">
        <v>0</v>
      </c>
      <c r="W207" s="169">
        <v>0</v>
      </c>
      <c r="X207" s="169">
        <v>0</v>
      </c>
      <c r="Y207" s="169">
        <v>0</v>
      </c>
      <c r="Z207" s="169">
        <v>0</v>
      </c>
      <c r="AA207" s="169">
        <v>0</v>
      </c>
      <c r="AB207" s="169">
        <v>0</v>
      </c>
      <c r="AC207" s="169">
        <v>0</v>
      </c>
      <c r="AD207" s="169">
        <v>0</v>
      </c>
      <c r="AE207" s="169">
        <v>0</v>
      </c>
      <c r="AF207" s="169">
        <v>0</v>
      </c>
      <c r="AG207" s="169">
        <v>0</v>
      </c>
      <c r="AH207" s="169">
        <v>0</v>
      </c>
      <c r="AI207" s="169">
        <v>0</v>
      </c>
      <c r="AJ207" s="169">
        <v>0</v>
      </c>
      <c r="AK207" s="169">
        <v>0</v>
      </c>
      <c r="AL207" s="169">
        <v>0</v>
      </c>
      <c r="AM207" s="169">
        <v>0</v>
      </c>
      <c r="AN207" s="169">
        <v>0</v>
      </c>
      <c r="AO207" s="169">
        <v>0</v>
      </c>
      <c r="AP207" s="169">
        <v>0</v>
      </c>
    </row>
    <row r="208" spans="1:42" x14ac:dyDescent="0.2">
      <c r="A208" s="167" t="s">
        <v>36</v>
      </c>
      <c r="B208" s="186">
        <v>0</v>
      </c>
      <c r="C208" s="170">
        <f>(B195+C207)*-FedTax</f>
        <v>-399153.89587499993</v>
      </c>
      <c r="D208" s="170">
        <v>0</v>
      </c>
      <c r="E208" s="170">
        <v>0</v>
      </c>
      <c r="F208" s="170">
        <v>0</v>
      </c>
      <c r="G208" s="170">
        <v>0</v>
      </c>
      <c r="H208" s="170">
        <v>0</v>
      </c>
      <c r="I208" s="170">
        <v>0</v>
      </c>
      <c r="J208" s="170">
        <v>0</v>
      </c>
      <c r="K208" s="170">
        <v>0</v>
      </c>
      <c r="L208" s="170">
        <v>0</v>
      </c>
      <c r="M208" s="170">
        <v>0</v>
      </c>
      <c r="N208" s="170">
        <v>0</v>
      </c>
      <c r="O208" s="170">
        <v>0</v>
      </c>
      <c r="P208" s="170">
        <v>0</v>
      </c>
      <c r="Q208" s="170">
        <v>0</v>
      </c>
      <c r="R208" s="170">
        <v>0</v>
      </c>
      <c r="S208" s="170">
        <v>0</v>
      </c>
      <c r="T208" s="170">
        <v>0</v>
      </c>
      <c r="U208" s="170">
        <v>0</v>
      </c>
      <c r="V208" s="170">
        <v>0</v>
      </c>
      <c r="W208" s="170">
        <v>0</v>
      </c>
      <c r="X208" s="170">
        <v>0</v>
      </c>
      <c r="Y208" s="170">
        <v>0</v>
      </c>
      <c r="Z208" s="170">
        <v>0</v>
      </c>
      <c r="AA208" s="170">
        <v>0</v>
      </c>
      <c r="AB208" s="170">
        <v>0</v>
      </c>
      <c r="AC208" s="170">
        <v>0</v>
      </c>
      <c r="AD208" s="170">
        <v>0</v>
      </c>
      <c r="AE208" s="170">
        <v>0</v>
      </c>
      <c r="AF208" s="170">
        <v>0</v>
      </c>
      <c r="AG208" s="170">
        <v>0</v>
      </c>
      <c r="AH208" s="170">
        <v>0</v>
      </c>
      <c r="AI208" s="170">
        <v>0</v>
      </c>
      <c r="AJ208" s="170">
        <v>0</v>
      </c>
      <c r="AK208" s="170">
        <v>0</v>
      </c>
      <c r="AL208" s="170">
        <v>0</v>
      </c>
      <c r="AM208" s="170">
        <v>0</v>
      </c>
      <c r="AN208" s="170">
        <v>0</v>
      </c>
      <c r="AO208" s="170">
        <v>0</v>
      </c>
      <c r="AP208" s="170">
        <v>0</v>
      </c>
    </row>
    <row r="209" spans="1:42" x14ac:dyDescent="0.2">
      <c r="A209" s="167" t="s">
        <v>53</v>
      </c>
      <c r="B209" s="177">
        <f>SUM(B207:B208)</f>
        <v>0</v>
      </c>
      <c r="C209" s="177">
        <f>SUM(C207:C208)</f>
        <v>-465528.69337499992</v>
      </c>
      <c r="D209" s="177">
        <f>SUM(D207:D208)</f>
        <v>0</v>
      </c>
      <c r="E209" s="177">
        <f t="shared" ref="E209:AP209" si="108">SUM(E207:E208)</f>
        <v>0</v>
      </c>
      <c r="F209" s="177">
        <f t="shared" si="108"/>
        <v>0</v>
      </c>
      <c r="G209" s="177">
        <f t="shared" si="108"/>
        <v>0</v>
      </c>
      <c r="H209" s="177">
        <f t="shared" si="108"/>
        <v>0</v>
      </c>
      <c r="I209" s="177">
        <f t="shared" si="108"/>
        <v>0</v>
      </c>
      <c r="J209" s="177">
        <f t="shared" si="108"/>
        <v>0</v>
      </c>
      <c r="K209" s="177">
        <f t="shared" si="108"/>
        <v>0</v>
      </c>
      <c r="L209" s="177">
        <f t="shared" si="108"/>
        <v>0</v>
      </c>
      <c r="M209" s="177">
        <f t="shared" si="108"/>
        <v>0</v>
      </c>
      <c r="N209" s="177">
        <f t="shared" si="108"/>
        <v>0</v>
      </c>
      <c r="O209" s="177">
        <f t="shared" si="108"/>
        <v>0</v>
      </c>
      <c r="P209" s="177">
        <f t="shared" si="108"/>
        <v>0</v>
      </c>
      <c r="Q209" s="177">
        <f t="shared" si="108"/>
        <v>0</v>
      </c>
      <c r="R209" s="177">
        <f t="shared" si="108"/>
        <v>0</v>
      </c>
      <c r="S209" s="177">
        <f t="shared" si="108"/>
        <v>0</v>
      </c>
      <c r="T209" s="177">
        <f t="shared" si="108"/>
        <v>0</v>
      </c>
      <c r="U209" s="177">
        <f t="shared" si="108"/>
        <v>0</v>
      </c>
      <c r="V209" s="177">
        <f t="shared" si="108"/>
        <v>0</v>
      </c>
      <c r="W209" s="177">
        <f t="shared" si="108"/>
        <v>0</v>
      </c>
      <c r="X209" s="177">
        <f t="shared" si="108"/>
        <v>0</v>
      </c>
      <c r="Y209" s="177">
        <f t="shared" si="108"/>
        <v>0</v>
      </c>
      <c r="Z209" s="177">
        <f t="shared" si="108"/>
        <v>0</v>
      </c>
      <c r="AA209" s="177">
        <f t="shared" si="108"/>
        <v>0</v>
      </c>
      <c r="AB209" s="177">
        <f t="shared" si="108"/>
        <v>0</v>
      </c>
      <c r="AC209" s="177">
        <f t="shared" si="108"/>
        <v>0</v>
      </c>
      <c r="AD209" s="177">
        <f t="shared" si="108"/>
        <v>0</v>
      </c>
      <c r="AE209" s="177">
        <f t="shared" si="108"/>
        <v>0</v>
      </c>
      <c r="AF209" s="177">
        <f t="shared" si="108"/>
        <v>0</v>
      </c>
      <c r="AG209" s="177">
        <f t="shared" si="108"/>
        <v>0</v>
      </c>
      <c r="AH209" s="177">
        <f t="shared" si="108"/>
        <v>0</v>
      </c>
      <c r="AI209" s="177">
        <f t="shared" si="108"/>
        <v>0</v>
      </c>
      <c r="AJ209" s="177">
        <f t="shared" si="108"/>
        <v>0</v>
      </c>
      <c r="AK209" s="177">
        <f t="shared" si="108"/>
        <v>0</v>
      </c>
      <c r="AL209" s="177">
        <f t="shared" si="108"/>
        <v>0</v>
      </c>
      <c r="AM209" s="177">
        <f t="shared" si="108"/>
        <v>0</v>
      </c>
      <c r="AN209" s="177">
        <f t="shared" si="108"/>
        <v>0</v>
      </c>
      <c r="AO209" s="177">
        <f t="shared" si="108"/>
        <v>0</v>
      </c>
      <c r="AP209" s="177">
        <f t="shared" si="108"/>
        <v>0</v>
      </c>
    </row>
    <row r="210" spans="1:42" x14ac:dyDescent="0.2">
      <c r="A210" s="163" t="s">
        <v>53</v>
      </c>
      <c r="B210" s="135">
        <f>B201+B205+B209</f>
        <v>-2293950.9423139435</v>
      </c>
      <c r="C210" s="135">
        <f t="shared" ref="C210:AP210" si="109">C201+C205+C209</f>
        <v>-279954.50794765435</v>
      </c>
      <c r="D210" s="135">
        <f t="shared" si="109"/>
        <v>190455.69334977417</v>
      </c>
      <c r="E210" s="135">
        <f t="shared" si="109"/>
        <v>195434.82618865365</v>
      </c>
      <c r="F210" s="135">
        <f t="shared" si="109"/>
        <v>200513.53584559035</v>
      </c>
      <c r="G210" s="135">
        <f t="shared" si="109"/>
        <v>205693.81324015756</v>
      </c>
      <c r="H210" s="135">
        <f t="shared" si="109"/>
        <v>210977.68908970355</v>
      </c>
      <c r="I210" s="135">
        <f t="shared" si="109"/>
        <v>216367.23470474896</v>
      </c>
      <c r="J210" s="135">
        <f t="shared" si="109"/>
        <v>221864.56280027138</v>
      </c>
      <c r="K210" s="135">
        <f t="shared" si="109"/>
        <v>227471.82832320692</v>
      </c>
      <c r="L210" s="135">
        <f t="shared" si="109"/>
        <v>233191.22929648153</v>
      </c>
      <c r="M210" s="135">
        <f t="shared" si="109"/>
        <v>239025.00767991127</v>
      </c>
      <c r="N210" s="135">
        <f t="shared" si="109"/>
        <v>244975.45024830382</v>
      </c>
      <c r="O210" s="135">
        <f t="shared" si="109"/>
        <v>232526.6218228371</v>
      </c>
      <c r="P210" s="135">
        <f t="shared" si="109"/>
        <v>238717.43684168661</v>
      </c>
      <c r="Q210" s="135">
        <f t="shared" si="109"/>
        <v>245032.05430619809</v>
      </c>
      <c r="R210" s="135">
        <f t="shared" si="109"/>
        <v>251472.94938838668</v>
      </c>
      <c r="S210" s="135">
        <f t="shared" si="109"/>
        <v>258042.64673608058</v>
      </c>
      <c r="T210" s="135">
        <f t="shared" si="109"/>
        <v>264743.72146169172</v>
      </c>
      <c r="U210" s="135">
        <f t="shared" si="109"/>
        <v>271578.80015076022</v>
      </c>
      <c r="V210" s="135">
        <f t="shared" si="109"/>
        <v>278550.56189063453</v>
      </c>
      <c r="W210" s="135">
        <f t="shared" si="109"/>
        <v>282897.66270280373</v>
      </c>
      <c r="X210" s="135">
        <f t="shared" si="109"/>
        <v>290151.04308076034</v>
      </c>
      <c r="Y210" s="135">
        <f t="shared" si="109"/>
        <v>297549.46938010684</v>
      </c>
      <c r="Z210" s="135">
        <f t="shared" si="109"/>
        <v>305095.84139961383</v>
      </c>
      <c r="AA210" s="135">
        <f t="shared" si="109"/>
        <v>290652.33957656357</v>
      </c>
      <c r="AB210" s="135">
        <f t="shared" si="109"/>
        <v>298503.53543865937</v>
      </c>
      <c r="AC210" s="135">
        <f t="shared" si="109"/>
        <v>306511.72884515719</v>
      </c>
      <c r="AD210" s="135">
        <f t="shared" si="109"/>
        <v>314680.05848552735</v>
      </c>
      <c r="AE210" s="135">
        <f t="shared" si="109"/>
        <v>323011.72578522901</v>
      </c>
      <c r="AF210" s="135">
        <f t="shared" si="109"/>
        <v>331509.99615944718</v>
      </c>
      <c r="AG210" s="135">
        <f t="shared" si="109"/>
        <v>340178.20029186556</v>
      </c>
      <c r="AH210" s="135">
        <f t="shared" si="109"/>
        <v>349019.73543900228</v>
      </c>
      <c r="AI210" s="135">
        <f t="shared" si="109"/>
        <v>358038.06676059985</v>
      </c>
      <c r="AJ210" s="135">
        <f t="shared" si="109"/>
        <v>367236.72867659788</v>
      </c>
      <c r="AK210" s="135">
        <f t="shared" si="109"/>
        <v>376619.32625122159</v>
      </c>
      <c r="AL210" s="135">
        <f t="shared" si="109"/>
        <v>386189.53660471761</v>
      </c>
      <c r="AM210" s="135">
        <f t="shared" si="109"/>
        <v>531275.53088310524</v>
      </c>
      <c r="AN210" s="135">
        <f t="shared" si="109"/>
        <v>541232.29360769084</v>
      </c>
      <c r="AO210" s="135">
        <f t="shared" si="109"/>
        <v>551388.14735193085</v>
      </c>
      <c r="AP210" s="135">
        <f t="shared" si="109"/>
        <v>4175356.113748136</v>
      </c>
    </row>
    <row r="211" spans="1:42" x14ac:dyDescent="0.2">
      <c r="A211" s="167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</row>
    <row r="212" spans="1:42" s="101" customFormat="1" x14ac:dyDescent="0.2">
      <c r="A212" s="163" t="s">
        <v>323</v>
      </c>
      <c r="B212" s="244" t="str">
        <f>IF(ISERROR(IRR($B210:B210)),"N/A",ROUND(IRR($B210:B210),4))</f>
        <v>N/A</v>
      </c>
      <c r="C212" s="244" t="str">
        <f>IF(ISERROR(IRR($B210:C210)),"N/A",ROUND(IRR($B210:C210),4))</f>
        <v>N/A</v>
      </c>
      <c r="D212" s="244">
        <f>IF(ISERROR(IRR($B210:D210)),"N/A",ROUND(IRR($B210:D210),4))</f>
        <v>-0.76649999999999996</v>
      </c>
      <c r="E212" s="244">
        <f>IF(ISERROR(IRR($B210:E210)),"N/A",ROUND(IRR($B210:E210),4))</f>
        <v>-0.53969999999999996</v>
      </c>
      <c r="F212" s="244">
        <f>IF(ISERROR(IRR($B210:F210)),"N/A",ROUND(IRR($B210:F210),4))</f>
        <v>-0.38529999999999998</v>
      </c>
      <c r="G212" s="244">
        <f>IF(ISERROR(IRR($B210:G210)),"N/A",ROUND(IRR($B210:G210),4))</f>
        <v>-0.27879999999999999</v>
      </c>
      <c r="H212" s="244">
        <f>IF(ISERROR(IRR($B210:H210)),"N/A",ROUND(IRR($B210:H210),4))</f>
        <v>-0.20300000000000001</v>
      </c>
      <c r="I212" s="244">
        <f>IF(ISERROR(IRR($B210:I210)),"N/A",ROUND(IRR($B210:I210),4))</f>
        <v>-0.14729999999999999</v>
      </c>
      <c r="J212" s="244">
        <f>IF(ISERROR(IRR($B210:J210)),"N/A",ROUND(IRR($B210:J210),4))</f>
        <v>-0.10539999999999999</v>
      </c>
      <c r="K212" s="244">
        <f>IF(ISERROR(IRR($B210:K210)),"N/A",ROUND(IRR($B210:K210),4))</f>
        <v>-7.2999999999999995E-2</v>
      </c>
      <c r="L212" s="244">
        <f>IF(ISERROR(IRR($B210:L210)),"N/A",ROUND(IRR($B210:L210),4))</f>
        <v>-4.7500000000000001E-2</v>
      </c>
      <c r="M212" s="244">
        <f>IF(ISERROR(IRR($B210:M210)),"N/A",ROUND(IRR($B210:M210),4))</f>
        <v>-2.7099999999999999E-2</v>
      </c>
      <c r="N212" s="244">
        <f>IF(ISERROR(IRR($B210:N210)),"N/A",ROUND(IRR($B210:N210),4))</f>
        <v>-1.0500000000000001E-2</v>
      </c>
      <c r="O212" s="244">
        <f>IF(ISERROR(IRR($B210:O210)),"N/A",ROUND(IRR($B210:O210),4))</f>
        <v>2.3E-3</v>
      </c>
      <c r="P212" s="244">
        <f>IF(ISERROR(IRR($B210:P210)),"N/A",ROUND(IRR($B210:P210),4))</f>
        <v>1.2999999999999999E-2</v>
      </c>
      <c r="Q212" s="244">
        <f>IF(ISERROR(IRR($B210:Q210)),"N/A",ROUND(IRR($B210:Q210),4))</f>
        <v>2.2100000000000002E-2</v>
      </c>
      <c r="R212" s="244">
        <f>IF(ISERROR(IRR($B210:R210)),"N/A",ROUND(IRR($B210:R210),4))</f>
        <v>2.9899999999999999E-2</v>
      </c>
      <c r="S212" s="244">
        <f>IF(ISERROR(IRR($B210:S210)),"N/A",ROUND(IRR($B210:S210),4))</f>
        <v>3.6600000000000001E-2</v>
      </c>
      <c r="T212" s="244">
        <f>IF(ISERROR(IRR($B210:T210)),"N/A",ROUND(IRR($B210:T210),4))</f>
        <v>4.24E-2</v>
      </c>
      <c r="U212" s="244">
        <f>IF(ISERROR(IRR($B210:U210)),"N/A",ROUND(IRR($B210:U210),4))</f>
        <v>4.7500000000000001E-2</v>
      </c>
      <c r="V212" s="244">
        <f>IF(ISERROR(IRR($B210:V210)),"N/A",ROUND(IRR($B210:V210),4))</f>
        <v>5.1900000000000002E-2</v>
      </c>
      <c r="W212" s="244">
        <f>IF(ISERROR(IRR($B210:W210)),"N/A",ROUND(IRR($B210:W210),4))</f>
        <v>5.57E-2</v>
      </c>
      <c r="X212" s="244">
        <f>IF(ISERROR(IRR($B210:X210)),"N/A",ROUND(IRR($B210:X210),4))</f>
        <v>5.91E-2</v>
      </c>
      <c r="Y212" s="244">
        <f>IF(ISERROR(IRR($B210:Y210)),"N/A",ROUND(IRR($B210:Y210),4))</f>
        <v>6.2100000000000002E-2</v>
      </c>
      <c r="Z212" s="244">
        <f>IF(ISERROR(IRR($B210:Z210)),"N/A",ROUND(IRR($B210:Z210),4))</f>
        <v>6.4699999999999994E-2</v>
      </c>
      <c r="AA212" s="244">
        <f>IF(ISERROR(IRR($B210:AA210)),"N/A",ROUND(IRR($B210:AA210),4))</f>
        <v>6.6900000000000001E-2</v>
      </c>
      <c r="AB212" s="244">
        <f>IF(ISERROR(IRR($B210:AB210)),"N/A",ROUND(IRR($B210:AB210),4))</f>
        <v>6.8900000000000003E-2</v>
      </c>
      <c r="AC212" s="244">
        <f>IF(ISERROR(IRR($B210:AC210)),"N/A",ROUND(IRR($B210:AC210),4))</f>
        <v>7.0699999999999999E-2</v>
      </c>
      <c r="AD212" s="244">
        <f>IF(ISERROR(IRR($B210:AD210)),"N/A",ROUND(IRR($B210:AD210),4))</f>
        <v>7.2300000000000003E-2</v>
      </c>
      <c r="AE212" s="244">
        <f>IF(ISERROR(IRR($B210:AE210)),"N/A",ROUND(IRR($B210:AE210),4))</f>
        <v>7.3800000000000004E-2</v>
      </c>
      <c r="AF212" s="244">
        <f>IF(ISERROR(IRR($B210:AF210)),"N/A",ROUND(IRR($B210:AF210),4))</f>
        <v>7.51E-2</v>
      </c>
      <c r="AG212" s="244">
        <f>IF(ISERROR(IRR($B210:AG210)),"N/A",ROUND(IRR($B210:AG210),4))</f>
        <v>7.6300000000000007E-2</v>
      </c>
      <c r="AH212" s="244">
        <f>IF(ISERROR(IRR($B210:AH210)),"N/A",ROUND(IRR($B210:AH210),4))</f>
        <v>7.7399999999999997E-2</v>
      </c>
      <c r="AI212" s="244">
        <f>IF(ISERROR(IRR($B210:AI210)),"N/A",ROUND(IRR($B210:AI210),4))</f>
        <v>7.8399999999999997E-2</v>
      </c>
      <c r="AJ212" s="244">
        <f>IF(ISERROR(IRR($B210:AJ210)),"N/A",ROUND(IRR($B210:AJ210),4))</f>
        <v>7.9299999999999995E-2</v>
      </c>
      <c r="AK212" s="244">
        <f>IF(ISERROR(IRR($B210:AK210)),"N/A",ROUND(IRR($B210:AK210),4))</f>
        <v>8.0100000000000005E-2</v>
      </c>
      <c r="AL212" s="244">
        <f>IF(ISERROR(IRR($B210:AL210)),"N/A",ROUND(IRR($B210:AL210),4))</f>
        <v>8.09E-2</v>
      </c>
      <c r="AM212" s="244">
        <f>IF(ISERROR(IRR($B210:AM210)),"N/A",ROUND(IRR($B210:AM210),4))</f>
        <v>8.1799999999999998E-2</v>
      </c>
      <c r="AN212" s="244">
        <f>IF(ISERROR(IRR($B210:AN210)),"N/A",ROUND(IRR($B210:AN210),4))</f>
        <v>8.2699999999999996E-2</v>
      </c>
      <c r="AO212" s="244">
        <f>IF(ISERROR(IRR($B210:AO210)),"N/A",ROUND(IRR($B210:AO210),4))</f>
        <v>8.3400000000000002E-2</v>
      </c>
      <c r="AP212" s="244">
        <f>IF(ISERROR(IRR($B210:AP210)),"N/A",ROUND(IRR($B210:AP210),4))</f>
        <v>8.7999999999999995E-2</v>
      </c>
    </row>
    <row r="213" spans="1:42" s="101" customFormat="1" x14ac:dyDescent="0.2">
      <c r="A213" s="163" t="s">
        <v>324</v>
      </c>
      <c r="B213" s="245">
        <f>B210</f>
        <v>-2293950.9423139435</v>
      </c>
      <c r="C213" s="245">
        <f>NPV(DiscountRate,$C210:C210)+$B210</f>
        <v>-2553168.0793025121</v>
      </c>
      <c r="D213" s="245">
        <f>NPV(DiscountRate,$C210:D210)+$B210</f>
        <v>-2389883.0198462587</v>
      </c>
      <c r="E213" s="245">
        <f>NPV(DiscountRate,$C210:E210)+$B210</f>
        <v>-2234740.5537995324</v>
      </c>
      <c r="F213" s="245">
        <f>NPV(DiscountRate,$C210:F210)+$B210</f>
        <v>-2087357.1190632519</v>
      </c>
      <c r="G213" s="245">
        <f>NPV(DiscountRate,$C210:G210)+$B210</f>
        <v>-1947365.3660382018</v>
      </c>
      <c r="H213" s="245">
        <f>NPV(DiscountRate,$C210:H210)+$B210</f>
        <v>-1814413.6344238836</v>
      </c>
      <c r="I213" s="245">
        <f>NPV(DiscountRate,$C210:I210)+$B210</f>
        <v>-1688165.4311242346</v>
      </c>
      <c r="J213" s="245">
        <f>NPV(DiscountRate,$C210:J210)+$B210</f>
        <v>-1568298.9112696135</v>
      </c>
      <c r="K213" s="245">
        <f>NPV(DiscountRate,$C210:K210)+$B210</f>
        <v>-1454506.3640994248</v>
      </c>
      <c r="L213" s="245">
        <f>NPV(DiscountRate,$C210:L210)+$B210</f>
        <v>-1346493.7052108322</v>
      </c>
      <c r="M213" s="245">
        <f>NPV(DiscountRate,$C210:M210)+$B210</f>
        <v>-1243979.9764638632</v>
      </c>
      <c r="N213" s="245">
        <f>NPV(DiscountRate,$C210:N210)+$B210</f>
        <v>-1146696.8546397651</v>
      </c>
      <c r="O213" s="245">
        <f>NPV(DiscountRate,$C210:O210)+$B210</f>
        <v>-1061197.2983644672</v>
      </c>
      <c r="P213" s="245">
        <f>NPV(DiscountRate,$C210:P210)+$B210</f>
        <v>-979923.31122580194</v>
      </c>
      <c r="Q213" s="245">
        <f>NPV(DiscountRate,$C210:Q210)+$B210</f>
        <v>-902678.98865502141</v>
      </c>
      <c r="R213" s="245">
        <f>NPV(DiscountRate,$C210:R210)+$B210</f>
        <v>-829276.43187909946</v>
      </c>
      <c r="S213" s="245">
        <f>NPV(DiscountRate,$C210:S210)+$B210</f>
        <v>-759535.51631754846</v>
      </c>
      <c r="T213" s="245">
        <f>NPV(DiscountRate,$C210:T210)+$B210</f>
        <v>-693283.65705717937</v>
      </c>
      <c r="U213" s="245">
        <f>NPV(DiscountRate,$C210:U210)+$B210</f>
        <v>-630355.57273658598</v>
      </c>
      <c r="V213" s="245">
        <f>NPV(DiscountRate,$C210:V210)+$B210</f>
        <v>-570593.04901155783</v>
      </c>
      <c r="W213" s="245">
        <f>NPV(DiscountRate,$C210:W210)+$B210</f>
        <v>-514393.80233407277</v>
      </c>
      <c r="X213" s="245">
        <f>NPV(DiscountRate,$C210:X210)+$B210</f>
        <v>-461023.27235345333</v>
      </c>
      <c r="Y213" s="245">
        <f>NPV(DiscountRate,$C210:Y210)+$B210</f>
        <v>-410346.04988551629</v>
      </c>
      <c r="Z213" s="245">
        <f>NPV(DiscountRate,$C210:Z210)+$B210</f>
        <v>-362232.63788199704</v>
      </c>
      <c r="AA213" s="245">
        <f>NPV(DiscountRate,$C210:AA210)+$B210</f>
        <v>-319792.19219899061</v>
      </c>
      <c r="AB213" s="245">
        <f>NPV(DiscountRate,$C210:AB210)+$B210</f>
        <v>-279433.98770468426</v>
      </c>
      <c r="AC213" s="245">
        <f>NPV(DiscountRate,$C210:AC210)+$B210</f>
        <v>-241062.75958636752</v>
      </c>
      <c r="AD213" s="245">
        <f>NPV(DiscountRate,$C210:AD210)+$B210</f>
        <v>-204587.02318159421</v>
      </c>
      <c r="AE213" s="245">
        <f>NPV(DiscountRate,$C210:AE210)+$B210</f>
        <v>-169918.97599548288</v>
      </c>
      <c r="AF213" s="245">
        <f>NPV(DiscountRate,$C210:AF210)+$B210</f>
        <v>-136974.39686356205</v>
      </c>
      <c r="AG213" s="245">
        <f>NPV(DiscountRate,$C210:AG210)+$B210</f>
        <v>-105672.54303337913</v>
      </c>
      <c r="AH213" s="245">
        <f>NPV(DiscountRate,$C210:AH210)+$B210</f>
        <v>-75936.045849595219</v>
      </c>
      <c r="AI213" s="245">
        <f>NPV(DiscountRate,$C210:AI210)+$B210</f>
        <v>-47690.805647107773</v>
      </c>
      <c r="AJ213" s="245">
        <f>NPV(DiscountRate,$C210:AJ210)+$B210</f>
        <v>-20865.886384113226</v>
      </c>
      <c r="AK213" s="245">
        <f>NPV(DiscountRate,$C210:AK210)+$B210</f>
        <v>4606.5895186555572</v>
      </c>
      <c r="AL213" s="245">
        <f>NPV(DiscountRate,$C210:AL210)+$B210</f>
        <v>28791.545725659933</v>
      </c>
      <c r="AM213" s="245">
        <f>NPV(DiscountRate,$C210:AM210)+$B210</f>
        <v>59597.939397363923</v>
      </c>
      <c r="AN213" s="245">
        <f>NPV(DiscountRate,$C210:AN210)+$B210</f>
        <v>88656.961358192842</v>
      </c>
      <c r="AO213" s="245">
        <f>NPV(DiscountRate,$C210:AO210)+$B210</f>
        <v>116068.34527418856</v>
      </c>
      <c r="AP213" s="245">
        <f>NPV(DiscountRate,$C210:AP210)+$B210</f>
        <v>308263.88405110408</v>
      </c>
    </row>
    <row r="214" spans="1:42" s="101" customFormat="1" x14ac:dyDescent="0.2">
      <c r="A214" s="234"/>
      <c r="B214" s="181"/>
      <c r="C214" s="181"/>
      <c r="D214" s="181"/>
      <c r="E214" s="181"/>
      <c r="F214" s="181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</row>
    <row r="215" spans="1:42" x14ac:dyDescent="0.2">
      <c r="A215" s="163" t="s">
        <v>221</v>
      </c>
      <c r="B215" s="241">
        <f>IF(ISERROR(IRR(B210:AP210)),"N/A",IRR(B210:AP210))</f>
        <v>8.8007741108900417E-2</v>
      </c>
      <c r="C215" s="135"/>
      <c r="D215" s="135"/>
      <c r="E215" s="135"/>
      <c r="F215" s="135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</row>
    <row r="216" spans="1:42" x14ac:dyDescent="0.2">
      <c r="A216" s="163" t="s">
        <v>202</v>
      </c>
      <c r="B216" s="179">
        <f>NPV(DiscountRate,$C210:$AP210)+B210</f>
        <v>308263.88405110408</v>
      </c>
      <c r="C216" s="135"/>
      <c r="D216" s="135"/>
      <c r="E216" s="135"/>
      <c r="F216" s="135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</row>
    <row r="217" spans="1:42" x14ac:dyDescent="0.2"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69"/>
      <c r="AO217" s="169"/>
      <c r="AP217" s="169"/>
    </row>
    <row r="218" spans="1:42" s="101" customFormat="1" x14ac:dyDescent="0.2">
      <c r="A218" s="162" t="s">
        <v>340</v>
      </c>
      <c r="B218" s="25"/>
    </row>
    <row r="219" spans="1:42" s="101" customFormat="1" x14ac:dyDescent="0.2">
      <c r="A219" s="178" t="s">
        <v>336</v>
      </c>
      <c r="B219" s="25"/>
    </row>
    <row r="220" spans="1:42" s="101" customFormat="1" x14ac:dyDescent="0.2">
      <c r="A220" s="25" t="s">
        <v>337</v>
      </c>
      <c r="C220" s="181">
        <f t="shared" ref="C220:AP220" si="110">C76</f>
        <v>5337528.8664667597</v>
      </c>
      <c r="D220" s="181">
        <f t="shared" si="110"/>
        <v>5372643.7982446523</v>
      </c>
      <c r="E220" s="181">
        <f t="shared" si="110"/>
        <v>5407595.3819082063</v>
      </c>
      <c r="F220" s="181">
        <f t="shared" si="110"/>
        <v>5442377.8336725207</v>
      </c>
      <c r="G220" s="181">
        <f t="shared" si="110"/>
        <v>5476985.2386409743</v>
      </c>
      <c r="H220" s="181">
        <f t="shared" si="110"/>
        <v>5511411.5480174404</v>
      </c>
      <c r="I220" s="181">
        <f t="shared" si="110"/>
        <v>5545650.5762596531</v>
      </c>
      <c r="J220" s="181">
        <f t="shared" si="110"/>
        <v>5579695.9981723577</v>
      </c>
      <c r="K220" s="181">
        <f t="shared" si="110"/>
        <v>5613541.3459390793</v>
      </c>
      <c r="L220" s="181">
        <f t="shared" si="110"/>
        <v>5647180.0060910769</v>
      </c>
      <c r="M220" s="181">
        <f t="shared" si="110"/>
        <v>5680605.2164122928</v>
      </c>
      <c r="N220" s="181">
        <f t="shared" si="110"/>
        <v>5713810.06277881</v>
      </c>
      <c r="O220" s="181">
        <f t="shared" si="110"/>
        <v>5647246.3313349579</v>
      </c>
      <c r="P220" s="181">
        <f t="shared" si="110"/>
        <v>5680829.186459139</v>
      </c>
      <c r="Q220" s="181">
        <f t="shared" si="110"/>
        <v>5714169.9911934873</v>
      </c>
      <c r="R220" s="181">
        <f t="shared" si="110"/>
        <v>5747261.1908192979</v>
      </c>
      <c r="S220" s="181">
        <f t="shared" si="110"/>
        <v>5780095.0618760586</v>
      </c>
      <c r="T220" s="181">
        <f t="shared" si="110"/>
        <v>5812663.708577957</v>
      </c>
      <c r="U220" s="181">
        <f t="shared" si="110"/>
        <v>5844959.0591546539</v>
      </c>
      <c r="V220" s="181">
        <f t="shared" si="110"/>
        <v>5876972.8621145422</v>
      </c>
      <c r="W220" s="181">
        <f t="shared" si="110"/>
        <v>5901531.2213352062</v>
      </c>
      <c r="X220" s="181">
        <f t="shared" si="110"/>
        <v>5918750.9099234687</v>
      </c>
      <c r="Y220" s="181">
        <f t="shared" si="110"/>
        <v>5935663.1795289228</v>
      </c>
      <c r="Z220" s="181">
        <f t="shared" si="110"/>
        <v>5952259.0208005067</v>
      </c>
      <c r="AA220" s="181">
        <f t="shared" si="110"/>
        <v>5849516.0234740619</v>
      </c>
      <c r="AB220" s="181">
        <f t="shared" si="110"/>
        <v>5866455.6195494765</v>
      </c>
      <c r="AC220" s="181">
        <f t="shared" si="110"/>
        <v>5883050.5444467915</v>
      </c>
      <c r="AD220" s="181">
        <f t="shared" si="110"/>
        <v>5899290.9645290347</v>
      </c>
      <c r="AE220" s="181">
        <f t="shared" si="110"/>
        <v>5915166.829038702</v>
      </c>
      <c r="AF220" s="181">
        <f t="shared" si="110"/>
        <v>5930667.8654898768</v>
      </c>
      <c r="AG220" s="181">
        <f t="shared" si="110"/>
        <v>5945783.5749627193</v>
      </c>
      <c r="AH220" s="181">
        <f t="shared" si="110"/>
        <v>5960503.2272982048</v>
      </c>
      <c r="AI220" s="181">
        <f t="shared" si="110"/>
        <v>5974815.8561910447</v>
      </c>
      <c r="AJ220" s="181">
        <f t="shared" si="110"/>
        <v>5988710.2541785147</v>
      </c>
      <c r="AK220" s="181">
        <f t="shared" si="110"/>
        <v>6002174.967523111</v>
      </c>
      <c r="AL220" s="181">
        <f t="shared" si="110"/>
        <v>6015198.2909866348</v>
      </c>
      <c r="AM220" s="181">
        <f t="shared" si="110"/>
        <v>6304907.0628007827</v>
      </c>
      <c r="AN220" s="181">
        <f t="shared" si="110"/>
        <v>6310872.3073483063</v>
      </c>
      <c r="AO220" s="181">
        <f t="shared" si="110"/>
        <v>6316359.4833604572</v>
      </c>
      <c r="AP220" s="181">
        <f t="shared" si="110"/>
        <v>6330687.0638877908</v>
      </c>
    </row>
    <row r="221" spans="1:42" s="101" customFormat="1" x14ac:dyDescent="0.2">
      <c r="A221" s="25" t="s">
        <v>359</v>
      </c>
      <c r="C221" s="181">
        <f t="shared" ref="C221:AP221" si="111">C19</f>
        <v>0</v>
      </c>
      <c r="D221" s="181">
        <f t="shared" si="111"/>
        <v>0</v>
      </c>
      <c r="E221" s="181">
        <f t="shared" si="111"/>
        <v>0</v>
      </c>
      <c r="F221" s="181">
        <f t="shared" si="111"/>
        <v>0</v>
      </c>
      <c r="G221" s="181">
        <f t="shared" si="111"/>
        <v>0</v>
      </c>
      <c r="H221" s="181">
        <f t="shared" si="111"/>
        <v>0</v>
      </c>
      <c r="I221" s="181">
        <f t="shared" si="111"/>
        <v>0</v>
      </c>
      <c r="J221" s="181">
        <f t="shared" si="111"/>
        <v>0</v>
      </c>
      <c r="K221" s="181">
        <f t="shared" si="111"/>
        <v>0</v>
      </c>
      <c r="L221" s="181">
        <f t="shared" si="111"/>
        <v>0</v>
      </c>
      <c r="M221" s="181">
        <f t="shared" si="111"/>
        <v>0</v>
      </c>
      <c r="N221" s="181">
        <f t="shared" si="111"/>
        <v>0</v>
      </c>
      <c r="O221" s="181">
        <f t="shared" si="111"/>
        <v>0</v>
      </c>
      <c r="P221" s="181">
        <f t="shared" si="111"/>
        <v>0</v>
      </c>
      <c r="Q221" s="181">
        <f t="shared" si="111"/>
        <v>0</v>
      </c>
      <c r="R221" s="181">
        <f t="shared" si="111"/>
        <v>0</v>
      </c>
      <c r="S221" s="181">
        <f t="shared" si="111"/>
        <v>0</v>
      </c>
      <c r="T221" s="181">
        <f t="shared" si="111"/>
        <v>0</v>
      </c>
      <c r="U221" s="181">
        <f t="shared" si="111"/>
        <v>0</v>
      </c>
      <c r="V221" s="181">
        <f t="shared" si="111"/>
        <v>0</v>
      </c>
      <c r="W221" s="181">
        <f t="shared" si="111"/>
        <v>0</v>
      </c>
      <c r="X221" s="181">
        <f t="shared" si="111"/>
        <v>0</v>
      </c>
      <c r="Y221" s="181">
        <f t="shared" si="111"/>
        <v>0</v>
      </c>
      <c r="Z221" s="181">
        <f t="shared" si="111"/>
        <v>0</v>
      </c>
      <c r="AA221" s="181">
        <f t="shared" si="111"/>
        <v>0</v>
      </c>
      <c r="AB221" s="181">
        <f t="shared" si="111"/>
        <v>0</v>
      </c>
      <c r="AC221" s="181">
        <f t="shared" si="111"/>
        <v>0</v>
      </c>
      <c r="AD221" s="181">
        <f t="shared" si="111"/>
        <v>0</v>
      </c>
      <c r="AE221" s="181">
        <f t="shared" si="111"/>
        <v>0</v>
      </c>
      <c r="AF221" s="181">
        <f t="shared" si="111"/>
        <v>0</v>
      </c>
      <c r="AG221" s="181">
        <f t="shared" si="111"/>
        <v>0</v>
      </c>
      <c r="AH221" s="181">
        <f t="shared" si="111"/>
        <v>0</v>
      </c>
      <c r="AI221" s="181">
        <f t="shared" si="111"/>
        <v>0</v>
      </c>
      <c r="AJ221" s="181">
        <f t="shared" si="111"/>
        <v>0</v>
      </c>
      <c r="AK221" s="181">
        <f t="shared" si="111"/>
        <v>0</v>
      </c>
      <c r="AL221" s="181">
        <f t="shared" si="111"/>
        <v>0</v>
      </c>
      <c r="AM221" s="181">
        <f t="shared" si="111"/>
        <v>0</v>
      </c>
      <c r="AN221" s="181">
        <f t="shared" si="111"/>
        <v>0</v>
      </c>
      <c r="AO221" s="181">
        <f t="shared" si="111"/>
        <v>0</v>
      </c>
      <c r="AP221" s="181">
        <f t="shared" si="111"/>
        <v>4022715</v>
      </c>
    </row>
    <row r="222" spans="1:42" s="25" customFormat="1" x14ac:dyDescent="0.2">
      <c r="A222" s="25" t="s">
        <v>116</v>
      </c>
      <c r="B222" s="101"/>
      <c r="C222" s="186">
        <f t="shared" ref="C222:AP222" si="112">IF(C$2&lt;=AnalysisPeriod,-C363-C393-C419-C445,0)</f>
        <v>-7051395.1421035677</v>
      </c>
      <c r="D222" s="186">
        <f t="shared" si="112"/>
        <v>-11308242.15671951</v>
      </c>
      <c r="E222" s="186">
        <f t="shared" si="112"/>
        <v>-6835889.2213551365</v>
      </c>
      <c r="F222" s="186">
        <f t="shared" si="112"/>
        <v>-4150662.6361150094</v>
      </c>
      <c r="G222" s="186">
        <f t="shared" si="112"/>
        <v>-4145671.8700558846</v>
      </c>
      <c r="H222" s="186">
        <f t="shared" si="112"/>
        <v>-2131346.8364781346</v>
      </c>
      <c r="I222" s="186">
        <f t="shared" si="112"/>
        <v>-119419.96321450961</v>
      </c>
      <c r="J222" s="186">
        <f t="shared" si="112"/>
        <v>-119355.14807088462</v>
      </c>
      <c r="K222" s="186">
        <f t="shared" si="112"/>
        <v>-119484.77835813462</v>
      </c>
      <c r="L222" s="186">
        <f t="shared" si="112"/>
        <v>-119355.14807088462</v>
      </c>
      <c r="M222" s="186">
        <f t="shared" si="112"/>
        <v>-119484.77835813462</v>
      </c>
      <c r="N222" s="186">
        <f t="shared" si="112"/>
        <v>-708329.61677114747</v>
      </c>
      <c r="O222" s="186">
        <f t="shared" si="112"/>
        <v>-1061843.9282785552</v>
      </c>
      <c r="P222" s="186">
        <f t="shared" si="112"/>
        <v>-684770.638023137</v>
      </c>
      <c r="Q222" s="186">
        <f t="shared" si="112"/>
        <v>-458734.07232948596</v>
      </c>
      <c r="R222" s="186">
        <f t="shared" si="112"/>
        <v>-417900.53184573597</v>
      </c>
      <c r="S222" s="186">
        <f t="shared" si="112"/>
        <v>-207571.97466356028</v>
      </c>
      <c r="T222" s="186">
        <f t="shared" si="112"/>
        <v>-37947.327677884619</v>
      </c>
      <c r="U222" s="186">
        <f t="shared" si="112"/>
        <v>-37947.327677884619</v>
      </c>
      <c r="V222" s="186">
        <f t="shared" si="112"/>
        <v>-37947.327677884619</v>
      </c>
      <c r="W222" s="186">
        <f t="shared" si="112"/>
        <v>-21743.541771634616</v>
      </c>
      <c r="X222" s="186">
        <f t="shared" si="112"/>
        <v>-5539.7558653846154</v>
      </c>
      <c r="Y222" s="186">
        <f t="shared" si="112"/>
        <v>-5539.7558653846154</v>
      </c>
      <c r="Z222" s="186">
        <f t="shared" si="112"/>
        <v>-709728.33317032084</v>
      </c>
      <c r="AA222" s="186">
        <f t="shared" si="112"/>
        <v>-1132241.4795532825</v>
      </c>
      <c r="AB222" s="186">
        <f t="shared" si="112"/>
        <v>-681560.79007812333</v>
      </c>
      <c r="AC222" s="186">
        <f t="shared" si="112"/>
        <v>-411152.37639302784</v>
      </c>
      <c r="AD222" s="186">
        <f t="shared" si="112"/>
        <v>-411152.37639302784</v>
      </c>
      <c r="AE222" s="186">
        <f t="shared" si="112"/>
        <v>-208346.06612920624</v>
      </c>
      <c r="AF222" s="186">
        <f t="shared" si="112"/>
        <v>-5539.7558653846154</v>
      </c>
      <c r="AG222" s="186">
        <f t="shared" si="112"/>
        <v>-5539.7558653846154</v>
      </c>
      <c r="AH222" s="186">
        <f t="shared" si="112"/>
        <v>-5539.7558653846154</v>
      </c>
      <c r="AI222" s="186">
        <f t="shared" si="112"/>
        <v>-5539.7558653846154</v>
      </c>
      <c r="AJ222" s="186">
        <f t="shared" si="112"/>
        <v>-5539.7558653846154</v>
      </c>
      <c r="AK222" s="186">
        <f t="shared" si="112"/>
        <v>-5539.7558653846154</v>
      </c>
      <c r="AL222" s="186">
        <f t="shared" si="112"/>
        <v>-847480.41502681118</v>
      </c>
      <c r="AM222" s="186">
        <f t="shared" si="112"/>
        <v>-1352644.8105236669</v>
      </c>
      <c r="AN222" s="186">
        <f t="shared" si="112"/>
        <v>-813802.7886603541</v>
      </c>
      <c r="AO222" s="186">
        <f t="shared" si="112"/>
        <v>-490497.57554236625</v>
      </c>
      <c r="AP222" s="186">
        <f t="shared" si="112"/>
        <v>-487727.69760967395</v>
      </c>
    </row>
    <row r="223" spans="1:42" s="101" customFormat="1" x14ac:dyDescent="0.2">
      <c r="A223" s="25" t="s">
        <v>114</v>
      </c>
      <c r="B223" s="124"/>
      <c r="C223" s="181">
        <f>SUM(C220:C222)</f>
        <v>-1713866.275636808</v>
      </c>
      <c r="D223" s="181">
        <f t="shared" ref="D223:AP223" si="113">SUM(D220:D222)</f>
        <v>-5935598.3584748572</v>
      </c>
      <c r="E223" s="181">
        <f t="shared" si="113"/>
        <v>-1428293.8394469302</v>
      </c>
      <c r="F223" s="181">
        <f t="shared" si="113"/>
        <v>1291715.1975575113</v>
      </c>
      <c r="G223" s="181">
        <f t="shared" si="113"/>
        <v>1331313.3685850897</v>
      </c>
      <c r="H223" s="181">
        <f t="shared" si="113"/>
        <v>3380064.7115393057</v>
      </c>
      <c r="I223" s="181">
        <f t="shared" si="113"/>
        <v>5426230.6130451439</v>
      </c>
      <c r="J223" s="181">
        <f t="shared" si="113"/>
        <v>5460340.8501014728</v>
      </c>
      <c r="K223" s="181">
        <f t="shared" si="113"/>
        <v>5494056.5675809449</v>
      </c>
      <c r="L223" s="181">
        <f t="shared" si="113"/>
        <v>5527824.858020192</v>
      </c>
      <c r="M223" s="181">
        <f t="shared" si="113"/>
        <v>5561120.4380541584</v>
      </c>
      <c r="N223" s="181">
        <f t="shared" si="113"/>
        <v>5005480.4460076625</v>
      </c>
      <c r="O223" s="181">
        <f t="shared" si="113"/>
        <v>4585402.4030564027</v>
      </c>
      <c r="P223" s="181">
        <f t="shared" si="113"/>
        <v>4996058.5484360019</v>
      </c>
      <c r="Q223" s="181">
        <f t="shared" si="113"/>
        <v>5255435.9188640015</v>
      </c>
      <c r="R223" s="181">
        <f t="shared" si="113"/>
        <v>5329360.6589735616</v>
      </c>
      <c r="S223" s="181">
        <f t="shared" si="113"/>
        <v>5572523.0872124983</v>
      </c>
      <c r="T223" s="181">
        <f t="shared" si="113"/>
        <v>5774716.3809000719</v>
      </c>
      <c r="U223" s="181">
        <f t="shared" si="113"/>
        <v>5807011.7314767689</v>
      </c>
      <c r="V223" s="181">
        <f t="shared" si="113"/>
        <v>5839025.5344366571</v>
      </c>
      <c r="W223" s="181">
        <f t="shared" si="113"/>
        <v>5879787.6795635717</v>
      </c>
      <c r="X223" s="181">
        <f t="shared" si="113"/>
        <v>5913211.1540580839</v>
      </c>
      <c r="Y223" s="181">
        <f t="shared" si="113"/>
        <v>5930123.4236635379</v>
      </c>
      <c r="Z223" s="181">
        <f t="shared" si="113"/>
        <v>5242530.6876301859</v>
      </c>
      <c r="AA223" s="181">
        <f t="shared" si="113"/>
        <v>4717274.5439207796</v>
      </c>
      <c r="AB223" s="181">
        <f t="shared" si="113"/>
        <v>5184894.8294713534</v>
      </c>
      <c r="AC223" s="181">
        <f t="shared" si="113"/>
        <v>5471898.1680537639</v>
      </c>
      <c r="AD223" s="181">
        <f t="shared" si="113"/>
        <v>5488138.5881360071</v>
      </c>
      <c r="AE223" s="181">
        <f t="shared" si="113"/>
        <v>5706820.7629094953</v>
      </c>
      <c r="AF223" s="181">
        <f t="shared" si="113"/>
        <v>5925128.109624492</v>
      </c>
      <c r="AG223" s="181">
        <f t="shared" si="113"/>
        <v>5940243.8190973345</v>
      </c>
      <c r="AH223" s="181">
        <f t="shared" si="113"/>
        <v>5954963.47143282</v>
      </c>
      <c r="AI223" s="181">
        <f t="shared" si="113"/>
        <v>5969276.1003256598</v>
      </c>
      <c r="AJ223" s="181">
        <f t="shared" si="113"/>
        <v>5983170.4983131299</v>
      </c>
      <c r="AK223" s="181">
        <f t="shared" si="113"/>
        <v>5996635.2116577262</v>
      </c>
      <c r="AL223" s="181">
        <f t="shared" si="113"/>
        <v>5167717.8759598238</v>
      </c>
      <c r="AM223" s="181">
        <f t="shared" si="113"/>
        <v>4952262.2522771154</v>
      </c>
      <c r="AN223" s="181">
        <f t="shared" si="113"/>
        <v>5497069.5186879523</v>
      </c>
      <c r="AO223" s="181">
        <f t="shared" si="113"/>
        <v>5825861.9078180911</v>
      </c>
      <c r="AP223" s="181">
        <f t="shared" si="113"/>
        <v>9865674.3662781157</v>
      </c>
    </row>
    <row r="224" spans="1:42" s="101" customFormat="1" x14ac:dyDescent="0.2">
      <c r="A224" s="25" t="s">
        <v>338</v>
      </c>
    </row>
    <row r="225" spans="1:42" s="101" customFormat="1" x14ac:dyDescent="0.2">
      <c r="A225" s="187" t="str">
        <f>'Inputs &amp; Results'!A54</f>
        <v>Fixed Amount ($)</v>
      </c>
    </row>
    <row r="226" spans="1:42" s="101" customFormat="1" x14ac:dyDescent="0.2">
      <c r="A226" s="188" t="str">
        <f>'Inputs &amp; Results'!A55</f>
        <v>Federal</v>
      </c>
      <c r="C226" s="181">
        <f>IF(IBIFedFixedStateTax="Yes",C597,0)</f>
        <v>0</v>
      </c>
    </row>
    <row r="227" spans="1:42" s="101" customFormat="1" x14ac:dyDescent="0.2">
      <c r="A227" s="188" t="str">
        <f>'Inputs &amp; Results'!A56</f>
        <v>State</v>
      </c>
      <c r="C227" s="181">
        <f>IF(IBIStateFixedStateTax="Yes",C598,0)</f>
        <v>0</v>
      </c>
    </row>
    <row r="228" spans="1:42" s="101" customFormat="1" x14ac:dyDescent="0.2">
      <c r="A228" s="188" t="str">
        <f>'Inputs &amp; Results'!A57</f>
        <v>Utility</v>
      </c>
      <c r="C228" s="181">
        <f>IF(IBIUtilityFixedStateTax="Yes",C599,0)</f>
        <v>0</v>
      </c>
    </row>
    <row r="229" spans="1:42" x14ac:dyDescent="0.2">
      <c r="A229" s="188" t="str">
        <f>'Inputs &amp; Results'!A58</f>
        <v>Other</v>
      </c>
      <c r="C229" s="186">
        <f>IF(IBIOtherFixedStateTax="Yes",C600,0)</f>
        <v>0</v>
      </c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</row>
    <row r="230" spans="1:42" x14ac:dyDescent="0.2">
      <c r="A230" s="188" t="s">
        <v>53</v>
      </c>
      <c r="C230" s="169">
        <f>SUM(C226:C229)</f>
        <v>0</v>
      </c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</row>
    <row r="231" spans="1:42" x14ac:dyDescent="0.2">
      <c r="A231" s="187" t="str">
        <f>'Inputs &amp; Results'!A59</f>
        <v>Percentage of Pre-Financing Costs</v>
      </c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</row>
    <row r="232" spans="1:42" x14ac:dyDescent="0.2">
      <c r="A232" s="188" t="str">
        <f>'Inputs &amp; Results'!A60</f>
        <v>Federal</v>
      </c>
      <c r="C232" s="181">
        <f>IF(IBIFedPercentStateTax="Yes",C603,0)</f>
        <v>0</v>
      </c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</row>
    <row r="233" spans="1:42" x14ac:dyDescent="0.2">
      <c r="A233" s="188" t="str">
        <f>'Inputs &amp; Results'!A61</f>
        <v>State</v>
      </c>
      <c r="C233" s="181">
        <f>IF(IBIStatePercentStateTax="Yes",C604,0)</f>
        <v>0</v>
      </c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</row>
    <row r="234" spans="1:42" x14ac:dyDescent="0.2">
      <c r="A234" s="188" t="str">
        <f>'Inputs &amp; Results'!A62</f>
        <v>Utility</v>
      </c>
      <c r="C234" s="181">
        <f>IF(IBIUtilityPercentStateTax="Yes",C605,0)</f>
        <v>0</v>
      </c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</row>
    <row r="235" spans="1:42" x14ac:dyDescent="0.2">
      <c r="A235" s="188" t="str">
        <f>'Inputs &amp; Results'!A63</f>
        <v>Other</v>
      </c>
      <c r="C235" s="186">
        <f>IF(IBIOtherPercentStateTax="Yes",C606,0)</f>
        <v>0</v>
      </c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</row>
    <row r="236" spans="1:42" x14ac:dyDescent="0.2">
      <c r="A236" s="188" t="s">
        <v>53</v>
      </c>
      <c r="C236" s="169">
        <f>SUM(C232:C235)</f>
        <v>0</v>
      </c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</row>
    <row r="237" spans="1:42" x14ac:dyDescent="0.2">
      <c r="A237" s="180" t="s">
        <v>339</v>
      </c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</row>
    <row r="238" spans="1:42" x14ac:dyDescent="0.2">
      <c r="A238" s="187" t="str">
        <f>'Inputs &amp; Results'!A65</f>
        <v>Federal</v>
      </c>
      <c r="C238" s="124">
        <f>IF(CBIFedStateTax="Yes",C609,0)</f>
        <v>0</v>
      </c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</row>
    <row r="239" spans="1:42" x14ac:dyDescent="0.2">
      <c r="A239" s="187" t="str">
        <f>'Inputs &amp; Results'!A66</f>
        <v>State</v>
      </c>
      <c r="C239" s="124">
        <f>IF(CBIStateStateTax="Yes",C610,0)</f>
        <v>0</v>
      </c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</row>
    <row r="240" spans="1:42" x14ac:dyDescent="0.2">
      <c r="A240" s="187" t="str">
        <f>'Inputs &amp; Results'!A67</f>
        <v>Utility</v>
      </c>
      <c r="C240" s="124">
        <f>IF(CBIUtilityStateTax="Yes",C611,0)</f>
        <v>0</v>
      </c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</row>
    <row r="241" spans="1:52" x14ac:dyDescent="0.2">
      <c r="A241" s="187" t="str">
        <f>'Inputs &amp; Results'!A68</f>
        <v>Other</v>
      </c>
      <c r="C241" s="186">
        <f>IF(CBIOtherStateTax="Yes",C612,0)</f>
        <v>0</v>
      </c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</row>
    <row r="242" spans="1:52" x14ac:dyDescent="0.2">
      <c r="A242" s="187" t="s">
        <v>53</v>
      </c>
      <c r="C242" s="230">
        <f>SUM(C238:C241)</f>
        <v>0</v>
      </c>
      <c r="D242" s="170"/>
      <c r="E242" s="170"/>
      <c r="F242" s="170"/>
      <c r="G242" s="170"/>
      <c r="H242" s="170"/>
      <c r="I242" s="170"/>
      <c r="J242" s="170"/>
      <c r="K242" s="170"/>
      <c r="L242" s="170"/>
      <c r="M242" s="170"/>
      <c r="N242" s="170"/>
      <c r="O242" s="170"/>
      <c r="P242" s="170"/>
      <c r="Q242" s="170"/>
      <c r="R242" s="170"/>
      <c r="S242" s="170"/>
      <c r="T242" s="170"/>
      <c r="U242" s="170"/>
      <c r="V242" s="170"/>
      <c r="W242" s="170"/>
      <c r="X242" s="170"/>
      <c r="Y242" s="170"/>
      <c r="Z242" s="170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</row>
    <row r="243" spans="1:52" x14ac:dyDescent="0.2">
      <c r="A243" s="180" t="s">
        <v>123</v>
      </c>
      <c r="C243" s="230">
        <f>C230+C236+C242</f>
        <v>0</v>
      </c>
      <c r="D243" s="230">
        <f t="shared" ref="D243:AP243" si="114">D230+D236+D242</f>
        <v>0</v>
      </c>
      <c r="E243" s="230">
        <f t="shared" si="114"/>
        <v>0</v>
      </c>
      <c r="F243" s="230">
        <f t="shared" si="114"/>
        <v>0</v>
      </c>
      <c r="G243" s="230">
        <f t="shared" si="114"/>
        <v>0</v>
      </c>
      <c r="H243" s="230">
        <f t="shared" si="114"/>
        <v>0</v>
      </c>
      <c r="I243" s="230">
        <f t="shared" si="114"/>
        <v>0</v>
      </c>
      <c r="J243" s="230">
        <f t="shared" si="114"/>
        <v>0</v>
      </c>
      <c r="K243" s="230">
        <f t="shared" si="114"/>
        <v>0</v>
      </c>
      <c r="L243" s="230">
        <f t="shared" si="114"/>
        <v>0</v>
      </c>
      <c r="M243" s="230">
        <f t="shared" si="114"/>
        <v>0</v>
      </c>
      <c r="N243" s="230">
        <f t="shared" si="114"/>
        <v>0</v>
      </c>
      <c r="O243" s="230">
        <f t="shared" si="114"/>
        <v>0</v>
      </c>
      <c r="P243" s="230">
        <f t="shared" si="114"/>
        <v>0</v>
      </c>
      <c r="Q243" s="230">
        <f t="shared" si="114"/>
        <v>0</v>
      </c>
      <c r="R243" s="230">
        <f t="shared" si="114"/>
        <v>0</v>
      </c>
      <c r="S243" s="230">
        <f t="shared" si="114"/>
        <v>0</v>
      </c>
      <c r="T243" s="230">
        <f t="shared" si="114"/>
        <v>0</v>
      </c>
      <c r="U243" s="230">
        <f t="shared" si="114"/>
        <v>0</v>
      </c>
      <c r="V243" s="230">
        <f t="shared" si="114"/>
        <v>0</v>
      </c>
      <c r="W243" s="230">
        <f t="shared" si="114"/>
        <v>0</v>
      </c>
      <c r="X243" s="230">
        <f t="shared" si="114"/>
        <v>0</v>
      </c>
      <c r="Y243" s="230">
        <f t="shared" si="114"/>
        <v>0</v>
      </c>
      <c r="Z243" s="230">
        <f t="shared" si="114"/>
        <v>0</v>
      </c>
      <c r="AA243" s="230">
        <f t="shared" si="114"/>
        <v>0</v>
      </c>
      <c r="AB243" s="230">
        <f t="shared" si="114"/>
        <v>0</v>
      </c>
      <c r="AC243" s="230">
        <f t="shared" si="114"/>
        <v>0</v>
      </c>
      <c r="AD243" s="230">
        <f t="shared" si="114"/>
        <v>0</v>
      </c>
      <c r="AE243" s="230">
        <f t="shared" si="114"/>
        <v>0</v>
      </c>
      <c r="AF243" s="230">
        <f t="shared" si="114"/>
        <v>0</v>
      </c>
      <c r="AG243" s="230">
        <f t="shared" si="114"/>
        <v>0</v>
      </c>
      <c r="AH243" s="230">
        <f t="shared" si="114"/>
        <v>0</v>
      </c>
      <c r="AI243" s="230">
        <f t="shared" si="114"/>
        <v>0</v>
      </c>
      <c r="AJ243" s="230">
        <f t="shared" si="114"/>
        <v>0</v>
      </c>
      <c r="AK243" s="230">
        <f t="shared" si="114"/>
        <v>0</v>
      </c>
      <c r="AL243" s="230">
        <f t="shared" si="114"/>
        <v>0</v>
      </c>
      <c r="AM243" s="230">
        <f t="shared" si="114"/>
        <v>0</v>
      </c>
      <c r="AN243" s="230">
        <f t="shared" si="114"/>
        <v>0</v>
      </c>
      <c r="AO243" s="230">
        <f t="shared" si="114"/>
        <v>0</v>
      </c>
      <c r="AP243" s="230">
        <f t="shared" si="114"/>
        <v>0</v>
      </c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</row>
    <row r="244" spans="1:52" s="101" customFormat="1" x14ac:dyDescent="0.2">
      <c r="A244" s="25" t="s">
        <v>335</v>
      </c>
      <c r="C244" s="181">
        <f>C223+C243</f>
        <v>-1713866.275636808</v>
      </c>
      <c r="D244" s="181">
        <f t="shared" ref="D244:L244" si="115">D223+D243</f>
        <v>-5935598.3584748572</v>
      </c>
      <c r="E244" s="181">
        <f t="shared" si="115"/>
        <v>-1428293.8394469302</v>
      </c>
      <c r="F244" s="181">
        <f t="shared" si="115"/>
        <v>1291715.1975575113</v>
      </c>
      <c r="G244" s="181">
        <f t="shared" si="115"/>
        <v>1331313.3685850897</v>
      </c>
      <c r="H244" s="181">
        <f t="shared" si="115"/>
        <v>3380064.7115393057</v>
      </c>
      <c r="I244" s="181">
        <f t="shared" si="115"/>
        <v>5426230.6130451439</v>
      </c>
      <c r="J244" s="181">
        <f t="shared" si="115"/>
        <v>5460340.8501014728</v>
      </c>
      <c r="K244" s="181">
        <f t="shared" si="115"/>
        <v>5494056.5675809449</v>
      </c>
      <c r="L244" s="181">
        <f t="shared" si="115"/>
        <v>5527824.858020192</v>
      </c>
      <c r="M244" s="181">
        <f t="shared" ref="M244" si="116">M223+M243</f>
        <v>5561120.4380541584</v>
      </c>
      <c r="N244" s="181">
        <f t="shared" ref="N244" si="117">N223+N243</f>
        <v>5005480.4460076625</v>
      </c>
      <c r="O244" s="181">
        <f t="shared" ref="O244" si="118">O223+O243</f>
        <v>4585402.4030564027</v>
      </c>
      <c r="P244" s="181">
        <f t="shared" ref="P244" si="119">P223+P243</f>
        <v>4996058.5484360019</v>
      </c>
      <c r="Q244" s="181">
        <f t="shared" ref="Q244" si="120">Q223+Q243</f>
        <v>5255435.9188640015</v>
      </c>
      <c r="R244" s="181">
        <f t="shared" ref="R244" si="121">R223+R243</f>
        <v>5329360.6589735616</v>
      </c>
      <c r="S244" s="181">
        <f t="shared" ref="S244" si="122">S223+S243</f>
        <v>5572523.0872124983</v>
      </c>
      <c r="T244" s="181">
        <f t="shared" ref="T244:U244" si="123">T223+T243</f>
        <v>5774716.3809000719</v>
      </c>
      <c r="U244" s="181">
        <f t="shared" si="123"/>
        <v>5807011.7314767689</v>
      </c>
      <c r="V244" s="181">
        <f t="shared" ref="V244" si="124">V223+V243</f>
        <v>5839025.5344366571</v>
      </c>
      <c r="W244" s="181">
        <f t="shared" ref="W244" si="125">W223+W243</f>
        <v>5879787.6795635717</v>
      </c>
      <c r="X244" s="181">
        <f t="shared" ref="X244" si="126">X223+X243</f>
        <v>5913211.1540580839</v>
      </c>
      <c r="Y244" s="181">
        <f t="shared" ref="Y244" si="127">Y223+Y243</f>
        <v>5930123.4236635379</v>
      </c>
      <c r="Z244" s="181">
        <f t="shared" ref="Z244" si="128">Z223+Z243</f>
        <v>5242530.6876301859</v>
      </c>
      <c r="AA244" s="181">
        <f t="shared" ref="AA244" si="129">AA223+AA243</f>
        <v>4717274.5439207796</v>
      </c>
      <c r="AB244" s="181">
        <f t="shared" ref="AB244" si="130">AB223+AB243</f>
        <v>5184894.8294713534</v>
      </c>
      <c r="AC244" s="181">
        <f t="shared" ref="AC244:AD244" si="131">AC223+AC243</f>
        <v>5471898.1680537639</v>
      </c>
      <c r="AD244" s="181">
        <f t="shared" si="131"/>
        <v>5488138.5881360071</v>
      </c>
      <c r="AE244" s="181">
        <f t="shared" ref="AE244" si="132">AE223+AE243</f>
        <v>5706820.7629094953</v>
      </c>
      <c r="AF244" s="181">
        <f t="shared" ref="AF244" si="133">AF223+AF243</f>
        <v>5925128.109624492</v>
      </c>
      <c r="AG244" s="181">
        <f t="shared" ref="AG244" si="134">AG223+AG243</f>
        <v>5940243.8190973345</v>
      </c>
      <c r="AH244" s="181">
        <f t="shared" ref="AH244" si="135">AH223+AH243</f>
        <v>5954963.47143282</v>
      </c>
      <c r="AI244" s="181">
        <f>AI223+AI243</f>
        <v>5969276.1003256598</v>
      </c>
      <c r="AJ244" s="181">
        <f t="shared" ref="AJ244" si="136">AJ223+AJ243</f>
        <v>5983170.4983131299</v>
      </c>
      <c r="AK244" s="181">
        <f t="shared" ref="AK244" si="137">AK223+AK243</f>
        <v>5996635.2116577262</v>
      </c>
      <c r="AL244" s="181">
        <f t="shared" ref="AL244" si="138">AL223+AL243</f>
        <v>5167717.8759598238</v>
      </c>
      <c r="AM244" s="181">
        <f t="shared" ref="AM244" si="139">AM223+AM243</f>
        <v>4952262.2522771154</v>
      </c>
      <c r="AN244" s="181">
        <f t="shared" ref="AN244" si="140">AN223+AN243</f>
        <v>5497069.5186879523</v>
      </c>
      <c r="AO244" s="181">
        <f t="shared" ref="AO244" si="141">AO223+AO243</f>
        <v>5825861.9078180911</v>
      </c>
      <c r="AP244" s="181">
        <f t="shared" ref="AP244" si="142">AP223+AP243</f>
        <v>9865674.3662781157</v>
      </c>
    </row>
    <row r="245" spans="1:52" x14ac:dyDescent="0.2">
      <c r="A245" s="180" t="s">
        <v>122</v>
      </c>
      <c r="B245" s="23"/>
      <c r="C245" s="177">
        <f t="shared" ref="C245:AP245" si="143">C244*-StateTax</f>
        <v>94262.645160024447</v>
      </c>
      <c r="D245" s="177">
        <f t="shared" si="143"/>
        <v>326457.90971611714</v>
      </c>
      <c r="E245" s="177">
        <f t="shared" si="143"/>
        <v>78556.161169581159</v>
      </c>
      <c r="F245" s="177">
        <f t="shared" si="143"/>
        <v>-71044.335865663117</v>
      </c>
      <c r="G245" s="177">
        <f t="shared" si="143"/>
        <v>-73222.23527217994</v>
      </c>
      <c r="H245" s="177">
        <f t="shared" si="143"/>
        <v>-185903.55913466183</v>
      </c>
      <c r="I245" s="177">
        <f t="shared" si="143"/>
        <v>-298442.6837174829</v>
      </c>
      <c r="J245" s="177">
        <f t="shared" si="143"/>
        <v>-300318.746755581</v>
      </c>
      <c r="K245" s="177">
        <f t="shared" si="143"/>
        <v>-302173.11121695198</v>
      </c>
      <c r="L245" s="177">
        <f t="shared" si="143"/>
        <v>-304030.36719111056</v>
      </c>
      <c r="M245" s="177">
        <f t="shared" si="143"/>
        <v>-305861.62409297872</v>
      </c>
      <c r="N245" s="177">
        <f t="shared" si="143"/>
        <v>-275301.42453042144</v>
      </c>
      <c r="O245" s="177">
        <f t="shared" si="143"/>
        <v>-252197.13216810214</v>
      </c>
      <c r="P245" s="177">
        <f t="shared" si="143"/>
        <v>-274783.22016398009</v>
      </c>
      <c r="Q245" s="177">
        <f t="shared" si="143"/>
        <v>-289048.97553752008</v>
      </c>
      <c r="R245" s="177">
        <f t="shared" si="143"/>
        <v>-293114.83624354587</v>
      </c>
      <c r="S245" s="177">
        <f t="shared" si="143"/>
        <v>-306488.76979668741</v>
      </c>
      <c r="T245" s="177">
        <f t="shared" si="143"/>
        <v>-317609.40094950394</v>
      </c>
      <c r="U245" s="177">
        <f t="shared" si="143"/>
        <v>-319385.64523122227</v>
      </c>
      <c r="V245" s="177">
        <f t="shared" si="143"/>
        <v>-321146.40439401614</v>
      </c>
      <c r="W245" s="177">
        <f t="shared" si="143"/>
        <v>-323388.32237599645</v>
      </c>
      <c r="X245" s="177">
        <f t="shared" si="143"/>
        <v>-325226.61347319459</v>
      </c>
      <c r="Y245" s="177">
        <f t="shared" si="143"/>
        <v>-326156.78830149461</v>
      </c>
      <c r="Z245" s="177">
        <f t="shared" si="143"/>
        <v>-288339.18781966023</v>
      </c>
      <c r="AA245" s="177">
        <f t="shared" si="143"/>
        <v>-259450.09991564287</v>
      </c>
      <c r="AB245" s="177">
        <f t="shared" si="143"/>
        <v>-285169.21562092443</v>
      </c>
      <c r="AC245" s="177">
        <f t="shared" si="143"/>
        <v>-300954.39924295701</v>
      </c>
      <c r="AD245" s="177">
        <f t="shared" si="143"/>
        <v>-301847.62234748038</v>
      </c>
      <c r="AE245" s="177">
        <f t="shared" si="143"/>
        <v>-313875.14196002221</v>
      </c>
      <c r="AF245" s="177">
        <f t="shared" si="143"/>
        <v>-325882.04602934705</v>
      </c>
      <c r="AG245" s="177">
        <f t="shared" si="143"/>
        <v>-326713.41005035338</v>
      </c>
      <c r="AH245" s="177">
        <f t="shared" si="143"/>
        <v>-327522.99092880508</v>
      </c>
      <c r="AI245" s="177">
        <f t="shared" si="143"/>
        <v>-328310.18551791128</v>
      </c>
      <c r="AJ245" s="177">
        <f t="shared" si="143"/>
        <v>-329074.37740722217</v>
      </c>
      <c r="AK245" s="177">
        <f t="shared" si="143"/>
        <v>-329814.93664117495</v>
      </c>
      <c r="AL245" s="177">
        <f t="shared" si="143"/>
        <v>-284224.4831777903</v>
      </c>
      <c r="AM245" s="177">
        <f t="shared" si="143"/>
        <v>-272374.42387524137</v>
      </c>
      <c r="AN245" s="177">
        <f t="shared" si="143"/>
        <v>-302338.8235278374</v>
      </c>
      <c r="AO245" s="177">
        <f t="shared" si="143"/>
        <v>-320422.40492999501</v>
      </c>
      <c r="AP245" s="177">
        <f t="shared" si="143"/>
        <v>-542612.09014529642</v>
      </c>
    </row>
    <row r="246" spans="1:52" x14ac:dyDescent="0.2"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69"/>
      <c r="AO246" s="169"/>
      <c r="AP246" s="169"/>
    </row>
    <row r="247" spans="1:52" s="101" customFormat="1" x14ac:dyDescent="0.2">
      <c r="A247" s="178" t="s">
        <v>341</v>
      </c>
      <c r="B247" s="25"/>
    </row>
    <row r="248" spans="1:52" s="101" customFormat="1" x14ac:dyDescent="0.2">
      <c r="A248" s="25" t="s">
        <v>337</v>
      </c>
      <c r="C248" s="181">
        <f t="shared" ref="C248:AP248" si="144">C220</f>
        <v>5337528.8664667597</v>
      </c>
      <c r="D248" s="181">
        <f t="shared" si="144"/>
        <v>5372643.7982446523</v>
      </c>
      <c r="E248" s="181">
        <f t="shared" si="144"/>
        <v>5407595.3819082063</v>
      </c>
      <c r="F248" s="181">
        <f t="shared" si="144"/>
        <v>5442377.8336725207</v>
      </c>
      <c r="G248" s="181">
        <f t="shared" si="144"/>
        <v>5476985.2386409743</v>
      </c>
      <c r="H248" s="181">
        <f t="shared" si="144"/>
        <v>5511411.5480174404</v>
      </c>
      <c r="I248" s="181">
        <f t="shared" si="144"/>
        <v>5545650.5762596531</v>
      </c>
      <c r="J248" s="181">
        <f t="shared" si="144"/>
        <v>5579695.9981723577</v>
      </c>
      <c r="K248" s="181">
        <f t="shared" si="144"/>
        <v>5613541.3459390793</v>
      </c>
      <c r="L248" s="181">
        <f t="shared" si="144"/>
        <v>5647180.0060910769</v>
      </c>
      <c r="M248" s="181">
        <f t="shared" si="144"/>
        <v>5680605.2164122928</v>
      </c>
      <c r="N248" s="181">
        <f t="shared" si="144"/>
        <v>5713810.06277881</v>
      </c>
      <c r="O248" s="181">
        <f t="shared" si="144"/>
        <v>5647246.3313349579</v>
      </c>
      <c r="P248" s="181">
        <f t="shared" si="144"/>
        <v>5680829.186459139</v>
      </c>
      <c r="Q248" s="181">
        <f t="shared" si="144"/>
        <v>5714169.9911934873</v>
      </c>
      <c r="R248" s="181">
        <f t="shared" si="144"/>
        <v>5747261.1908192979</v>
      </c>
      <c r="S248" s="181">
        <f t="shared" si="144"/>
        <v>5780095.0618760586</v>
      </c>
      <c r="T248" s="181">
        <f t="shared" si="144"/>
        <v>5812663.708577957</v>
      </c>
      <c r="U248" s="181">
        <f t="shared" si="144"/>
        <v>5844959.0591546539</v>
      </c>
      <c r="V248" s="181">
        <f t="shared" si="144"/>
        <v>5876972.8621145422</v>
      </c>
      <c r="W248" s="181">
        <f t="shared" si="144"/>
        <v>5901531.2213352062</v>
      </c>
      <c r="X248" s="181">
        <f t="shared" si="144"/>
        <v>5918750.9099234687</v>
      </c>
      <c r="Y248" s="181">
        <f t="shared" si="144"/>
        <v>5935663.1795289228</v>
      </c>
      <c r="Z248" s="181">
        <f t="shared" si="144"/>
        <v>5952259.0208005067</v>
      </c>
      <c r="AA248" s="181">
        <f t="shared" si="144"/>
        <v>5849516.0234740619</v>
      </c>
      <c r="AB248" s="181">
        <f t="shared" si="144"/>
        <v>5866455.6195494765</v>
      </c>
      <c r="AC248" s="181">
        <f t="shared" si="144"/>
        <v>5883050.5444467915</v>
      </c>
      <c r="AD248" s="181">
        <f t="shared" si="144"/>
        <v>5899290.9645290347</v>
      </c>
      <c r="AE248" s="181">
        <f t="shared" si="144"/>
        <v>5915166.829038702</v>
      </c>
      <c r="AF248" s="181">
        <f t="shared" si="144"/>
        <v>5930667.8654898768</v>
      </c>
      <c r="AG248" s="181">
        <f t="shared" si="144"/>
        <v>5945783.5749627193</v>
      </c>
      <c r="AH248" s="181">
        <f t="shared" si="144"/>
        <v>5960503.2272982048</v>
      </c>
      <c r="AI248" s="181">
        <f t="shared" si="144"/>
        <v>5974815.8561910447</v>
      </c>
      <c r="AJ248" s="181">
        <f t="shared" si="144"/>
        <v>5988710.2541785147</v>
      </c>
      <c r="AK248" s="181">
        <f t="shared" si="144"/>
        <v>6002174.967523111</v>
      </c>
      <c r="AL248" s="181">
        <f t="shared" si="144"/>
        <v>6015198.2909866348</v>
      </c>
      <c r="AM248" s="181">
        <f t="shared" si="144"/>
        <v>6304907.0628007827</v>
      </c>
      <c r="AN248" s="181">
        <f t="shared" si="144"/>
        <v>6310872.3073483063</v>
      </c>
      <c r="AO248" s="181">
        <f t="shared" si="144"/>
        <v>6316359.4833604572</v>
      </c>
      <c r="AP248" s="181">
        <f t="shared" si="144"/>
        <v>6330687.0638877908</v>
      </c>
    </row>
    <row r="249" spans="1:52" s="101" customFormat="1" x14ac:dyDescent="0.2">
      <c r="A249" s="25" t="s">
        <v>359</v>
      </c>
      <c r="C249" s="181">
        <f t="shared" ref="C249:AP249" si="145">C19</f>
        <v>0</v>
      </c>
      <c r="D249" s="181">
        <f t="shared" si="145"/>
        <v>0</v>
      </c>
      <c r="E249" s="181">
        <f t="shared" si="145"/>
        <v>0</v>
      </c>
      <c r="F249" s="181">
        <f t="shared" si="145"/>
        <v>0</v>
      </c>
      <c r="G249" s="181">
        <f t="shared" si="145"/>
        <v>0</v>
      </c>
      <c r="H249" s="181">
        <f t="shared" si="145"/>
        <v>0</v>
      </c>
      <c r="I249" s="181">
        <f t="shared" si="145"/>
        <v>0</v>
      </c>
      <c r="J249" s="181">
        <f t="shared" si="145"/>
        <v>0</v>
      </c>
      <c r="K249" s="181">
        <f t="shared" si="145"/>
        <v>0</v>
      </c>
      <c r="L249" s="181">
        <f t="shared" si="145"/>
        <v>0</v>
      </c>
      <c r="M249" s="181">
        <f t="shared" si="145"/>
        <v>0</v>
      </c>
      <c r="N249" s="181">
        <f t="shared" si="145"/>
        <v>0</v>
      </c>
      <c r="O249" s="181">
        <f t="shared" si="145"/>
        <v>0</v>
      </c>
      <c r="P249" s="181">
        <f t="shared" si="145"/>
        <v>0</v>
      </c>
      <c r="Q249" s="181">
        <f t="shared" si="145"/>
        <v>0</v>
      </c>
      <c r="R249" s="181">
        <f t="shared" si="145"/>
        <v>0</v>
      </c>
      <c r="S249" s="181">
        <f t="shared" si="145"/>
        <v>0</v>
      </c>
      <c r="T249" s="181">
        <f t="shared" si="145"/>
        <v>0</v>
      </c>
      <c r="U249" s="181">
        <f t="shared" si="145"/>
        <v>0</v>
      </c>
      <c r="V249" s="181">
        <f t="shared" si="145"/>
        <v>0</v>
      </c>
      <c r="W249" s="181">
        <f t="shared" si="145"/>
        <v>0</v>
      </c>
      <c r="X249" s="181">
        <f t="shared" si="145"/>
        <v>0</v>
      </c>
      <c r="Y249" s="181">
        <f t="shared" si="145"/>
        <v>0</v>
      </c>
      <c r="Z249" s="181">
        <f t="shared" si="145"/>
        <v>0</v>
      </c>
      <c r="AA249" s="181">
        <f t="shared" si="145"/>
        <v>0</v>
      </c>
      <c r="AB249" s="181">
        <f t="shared" si="145"/>
        <v>0</v>
      </c>
      <c r="AC249" s="181">
        <f t="shared" si="145"/>
        <v>0</v>
      </c>
      <c r="AD249" s="181">
        <f t="shared" si="145"/>
        <v>0</v>
      </c>
      <c r="AE249" s="181">
        <f t="shared" si="145"/>
        <v>0</v>
      </c>
      <c r="AF249" s="181">
        <f t="shared" si="145"/>
        <v>0</v>
      </c>
      <c r="AG249" s="181">
        <f t="shared" si="145"/>
        <v>0</v>
      </c>
      <c r="AH249" s="181">
        <f t="shared" si="145"/>
        <v>0</v>
      </c>
      <c r="AI249" s="181">
        <f t="shared" si="145"/>
        <v>0</v>
      </c>
      <c r="AJ249" s="181">
        <f t="shared" si="145"/>
        <v>0</v>
      </c>
      <c r="AK249" s="181">
        <f t="shared" si="145"/>
        <v>0</v>
      </c>
      <c r="AL249" s="181">
        <f t="shared" si="145"/>
        <v>0</v>
      </c>
      <c r="AM249" s="181">
        <f t="shared" si="145"/>
        <v>0</v>
      </c>
      <c r="AN249" s="181">
        <f t="shared" si="145"/>
        <v>0</v>
      </c>
      <c r="AO249" s="181">
        <f t="shared" si="145"/>
        <v>0</v>
      </c>
      <c r="AP249" s="181">
        <f t="shared" si="145"/>
        <v>4022715</v>
      </c>
    </row>
    <row r="250" spans="1:52" s="25" customFormat="1" x14ac:dyDescent="0.2">
      <c r="A250" s="25" t="s">
        <v>116</v>
      </c>
      <c r="B250" s="101"/>
      <c r="C250" s="124">
        <f t="shared" ref="C250:AP250" si="146">IF(C$2&lt;=AnalysisPeriod,-C497-C528-C554-C580,0)</f>
        <v>-7051395.1421035677</v>
      </c>
      <c r="D250" s="124">
        <f t="shared" si="146"/>
        <v>-11308242.15671951</v>
      </c>
      <c r="E250" s="124">
        <f t="shared" si="146"/>
        <v>-6835889.2213551365</v>
      </c>
      <c r="F250" s="124">
        <f t="shared" si="146"/>
        <v>-4150662.6361150094</v>
      </c>
      <c r="G250" s="124">
        <f t="shared" si="146"/>
        <v>-4145671.8700558846</v>
      </c>
      <c r="H250" s="124">
        <f t="shared" si="146"/>
        <v>-2131346.8364781346</v>
      </c>
      <c r="I250" s="124">
        <f t="shared" si="146"/>
        <v>-119419.96321450961</v>
      </c>
      <c r="J250" s="124">
        <f t="shared" si="146"/>
        <v>-119355.14807088462</v>
      </c>
      <c r="K250" s="124">
        <f t="shared" si="146"/>
        <v>-119484.77835813462</v>
      </c>
      <c r="L250" s="124">
        <f t="shared" si="146"/>
        <v>-119355.14807088462</v>
      </c>
      <c r="M250" s="124">
        <f t="shared" si="146"/>
        <v>-119484.77835813462</v>
      </c>
      <c r="N250" s="124">
        <f t="shared" si="146"/>
        <v>-708329.61677114747</v>
      </c>
      <c r="O250" s="124">
        <f t="shared" si="146"/>
        <v>-1061843.9282785552</v>
      </c>
      <c r="P250" s="124">
        <f t="shared" si="146"/>
        <v>-684770.638023137</v>
      </c>
      <c r="Q250" s="124">
        <f t="shared" si="146"/>
        <v>-458734.07232948596</v>
      </c>
      <c r="R250" s="124">
        <f t="shared" si="146"/>
        <v>-417900.53184573597</v>
      </c>
      <c r="S250" s="124">
        <f t="shared" si="146"/>
        <v>-207571.97466356028</v>
      </c>
      <c r="T250" s="124">
        <f t="shared" si="146"/>
        <v>-37947.327677884619</v>
      </c>
      <c r="U250" s="124">
        <f t="shared" si="146"/>
        <v>-37947.327677884619</v>
      </c>
      <c r="V250" s="124">
        <f t="shared" si="146"/>
        <v>-37947.327677884619</v>
      </c>
      <c r="W250" s="124">
        <f t="shared" si="146"/>
        <v>-21743.541771634616</v>
      </c>
      <c r="X250" s="124">
        <f t="shared" si="146"/>
        <v>-5539.7558653846154</v>
      </c>
      <c r="Y250" s="124">
        <f t="shared" si="146"/>
        <v>-5539.7558653846154</v>
      </c>
      <c r="Z250" s="124">
        <f t="shared" si="146"/>
        <v>-709728.33317032084</v>
      </c>
      <c r="AA250" s="124">
        <f t="shared" si="146"/>
        <v>-1132241.4795532825</v>
      </c>
      <c r="AB250" s="124">
        <f t="shared" si="146"/>
        <v>-681560.79007812333</v>
      </c>
      <c r="AC250" s="124">
        <f t="shared" si="146"/>
        <v>-411152.37639302784</v>
      </c>
      <c r="AD250" s="124">
        <f t="shared" si="146"/>
        <v>-411152.37639302784</v>
      </c>
      <c r="AE250" s="124">
        <f t="shared" si="146"/>
        <v>-208346.06612920624</v>
      </c>
      <c r="AF250" s="124">
        <f t="shared" si="146"/>
        <v>-5539.7558653846154</v>
      </c>
      <c r="AG250" s="124">
        <f t="shared" si="146"/>
        <v>-5539.7558653846154</v>
      </c>
      <c r="AH250" s="124">
        <f t="shared" si="146"/>
        <v>-5539.7558653846154</v>
      </c>
      <c r="AI250" s="124">
        <f t="shared" si="146"/>
        <v>-5539.7558653846154</v>
      </c>
      <c r="AJ250" s="124">
        <f t="shared" si="146"/>
        <v>-5539.7558653846154</v>
      </c>
      <c r="AK250" s="124">
        <f t="shared" si="146"/>
        <v>-5539.7558653846154</v>
      </c>
      <c r="AL250" s="124">
        <f t="shared" si="146"/>
        <v>-847480.41502681118</v>
      </c>
      <c r="AM250" s="124">
        <f t="shared" si="146"/>
        <v>-1352644.8105236669</v>
      </c>
      <c r="AN250" s="124">
        <f t="shared" si="146"/>
        <v>-813802.7886603541</v>
      </c>
      <c r="AO250" s="124">
        <f t="shared" si="146"/>
        <v>-490497.57554236625</v>
      </c>
      <c r="AP250" s="124">
        <f t="shared" si="146"/>
        <v>-487727.69760967395</v>
      </c>
    </row>
    <row r="251" spans="1:52" s="25" customFormat="1" x14ac:dyDescent="0.2">
      <c r="A251" s="25" t="s">
        <v>122</v>
      </c>
      <c r="B251" s="101"/>
      <c r="C251" s="124">
        <f t="shared" ref="C251:AP251" si="147">C245</f>
        <v>94262.645160024447</v>
      </c>
      <c r="D251" s="124">
        <f t="shared" si="147"/>
        <v>326457.90971611714</v>
      </c>
      <c r="E251" s="124">
        <f t="shared" si="147"/>
        <v>78556.161169581159</v>
      </c>
      <c r="F251" s="124">
        <f t="shared" si="147"/>
        <v>-71044.335865663117</v>
      </c>
      <c r="G251" s="124">
        <f t="shared" si="147"/>
        <v>-73222.23527217994</v>
      </c>
      <c r="H251" s="124">
        <f t="shared" si="147"/>
        <v>-185903.55913466183</v>
      </c>
      <c r="I251" s="124">
        <f t="shared" si="147"/>
        <v>-298442.6837174829</v>
      </c>
      <c r="J251" s="124">
        <f t="shared" si="147"/>
        <v>-300318.746755581</v>
      </c>
      <c r="K251" s="124">
        <f t="shared" si="147"/>
        <v>-302173.11121695198</v>
      </c>
      <c r="L251" s="124">
        <f t="shared" si="147"/>
        <v>-304030.36719111056</v>
      </c>
      <c r="M251" s="124">
        <f t="shared" si="147"/>
        <v>-305861.62409297872</v>
      </c>
      <c r="N251" s="124">
        <f t="shared" si="147"/>
        <v>-275301.42453042144</v>
      </c>
      <c r="O251" s="124">
        <f t="shared" si="147"/>
        <v>-252197.13216810214</v>
      </c>
      <c r="P251" s="124">
        <f t="shared" si="147"/>
        <v>-274783.22016398009</v>
      </c>
      <c r="Q251" s="124">
        <f t="shared" si="147"/>
        <v>-289048.97553752008</v>
      </c>
      <c r="R251" s="124">
        <f t="shared" si="147"/>
        <v>-293114.83624354587</v>
      </c>
      <c r="S251" s="124">
        <f t="shared" si="147"/>
        <v>-306488.76979668741</v>
      </c>
      <c r="T251" s="124">
        <f t="shared" si="147"/>
        <v>-317609.40094950394</v>
      </c>
      <c r="U251" s="124">
        <f t="shared" si="147"/>
        <v>-319385.64523122227</v>
      </c>
      <c r="V251" s="124">
        <f t="shared" si="147"/>
        <v>-321146.40439401614</v>
      </c>
      <c r="W251" s="124">
        <f t="shared" si="147"/>
        <v>-323388.32237599645</v>
      </c>
      <c r="X251" s="124">
        <f t="shared" si="147"/>
        <v>-325226.61347319459</v>
      </c>
      <c r="Y251" s="124">
        <f t="shared" si="147"/>
        <v>-326156.78830149461</v>
      </c>
      <c r="Z251" s="124">
        <f t="shared" si="147"/>
        <v>-288339.18781966023</v>
      </c>
      <c r="AA251" s="124">
        <f t="shared" si="147"/>
        <v>-259450.09991564287</v>
      </c>
      <c r="AB251" s="124">
        <f t="shared" si="147"/>
        <v>-285169.21562092443</v>
      </c>
      <c r="AC251" s="124">
        <f t="shared" si="147"/>
        <v>-300954.39924295701</v>
      </c>
      <c r="AD251" s="124">
        <f t="shared" si="147"/>
        <v>-301847.62234748038</v>
      </c>
      <c r="AE251" s="124">
        <f t="shared" si="147"/>
        <v>-313875.14196002221</v>
      </c>
      <c r="AF251" s="124">
        <f t="shared" si="147"/>
        <v>-325882.04602934705</v>
      </c>
      <c r="AG251" s="124">
        <f t="shared" si="147"/>
        <v>-326713.41005035338</v>
      </c>
      <c r="AH251" s="124">
        <f t="shared" si="147"/>
        <v>-327522.99092880508</v>
      </c>
      <c r="AI251" s="124">
        <f t="shared" si="147"/>
        <v>-328310.18551791128</v>
      </c>
      <c r="AJ251" s="124">
        <f t="shared" si="147"/>
        <v>-329074.37740722217</v>
      </c>
      <c r="AK251" s="124">
        <f t="shared" si="147"/>
        <v>-329814.93664117495</v>
      </c>
      <c r="AL251" s="124">
        <f t="shared" si="147"/>
        <v>-284224.4831777903</v>
      </c>
      <c r="AM251" s="124">
        <f t="shared" si="147"/>
        <v>-272374.42387524137</v>
      </c>
      <c r="AN251" s="124">
        <f t="shared" si="147"/>
        <v>-302338.8235278374</v>
      </c>
      <c r="AO251" s="124">
        <f t="shared" si="147"/>
        <v>-320422.40492999501</v>
      </c>
      <c r="AP251" s="124">
        <f t="shared" si="147"/>
        <v>-542612.09014529642</v>
      </c>
    </row>
    <row r="252" spans="1:52" s="101" customFormat="1" x14ac:dyDescent="0.2">
      <c r="A252" s="25" t="s">
        <v>147</v>
      </c>
      <c r="C252" s="124">
        <f>C157</f>
        <v>0</v>
      </c>
      <c r="D252" s="124">
        <f t="shared" ref="D252:AP252" si="148">D157</f>
        <v>0</v>
      </c>
      <c r="E252" s="124">
        <f t="shared" si="148"/>
        <v>0</v>
      </c>
      <c r="F252" s="124">
        <f t="shared" si="148"/>
        <v>0</v>
      </c>
      <c r="G252" s="124">
        <f t="shared" si="148"/>
        <v>0</v>
      </c>
      <c r="H252" s="124">
        <f t="shared" si="148"/>
        <v>0</v>
      </c>
      <c r="I252" s="124">
        <f t="shared" si="148"/>
        <v>0</v>
      </c>
      <c r="J252" s="124">
        <f t="shared" si="148"/>
        <v>0</v>
      </c>
      <c r="K252" s="124">
        <f t="shared" si="148"/>
        <v>0</v>
      </c>
      <c r="L252" s="124">
        <f t="shared" si="148"/>
        <v>0</v>
      </c>
      <c r="M252" s="124">
        <f t="shared" si="148"/>
        <v>0</v>
      </c>
      <c r="N252" s="124">
        <f t="shared" si="148"/>
        <v>0</v>
      </c>
      <c r="O252" s="124">
        <f t="shared" si="148"/>
        <v>0</v>
      </c>
      <c r="P252" s="124">
        <f t="shared" si="148"/>
        <v>0</v>
      </c>
      <c r="Q252" s="124">
        <f t="shared" si="148"/>
        <v>0</v>
      </c>
      <c r="R252" s="124">
        <f t="shared" si="148"/>
        <v>0</v>
      </c>
      <c r="S252" s="124">
        <f t="shared" si="148"/>
        <v>0</v>
      </c>
      <c r="T252" s="124">
        <f t="shared" si="148"/>
        <v>0</v>
      </c>
      <c r="U252" s="124">
        <f t="shared" si="148"/>
        <v>0</v>
      </c>
      <c r="V252" s="124">
        <f t="shared" si="148"/>
        <v>0</v>
      </c>
      <c r="W252" s="124">
        <f t="shared" si="148"/>
        <v>0</v>
      </c>
      <c r="X252" s="124">
        <f t="shared" si="148"/>
        <v>0</v>
      </c>
      <c r="Y252" s="124">
        <f t="shared" si="148"/>
        <v>0</v>
      </c>
      <c r="Z252" s="124">
        <f t="shared" si="148"/>
        <v>0</v>
      </c>
      <c r="AA252" s="124">
        <f t="shared" si="148"/>
        <v>0</v>
      </c>
      <c r="AB252" s="124">
        <f t="shared" si="148"/>
        <v>0</v>
      </c>
      <c r="AC252" s="124">
        <f t="shared" si="148"/>
        <v>0</v>
      </c>
      <c r="AD252" s="124">
        <f t="shared" si="148"/>
        <v>0</v>
      </c>
      <c r="AE252" s="124">
        <f t="shared" si="148"/>
        <v>0</v>
      </c>
      <c r="AF252" s="124">
        <f t="shared" si="148"/>
        <v>0</v>
      </c>
      <c r="AG252" s="124">
        <f t="shared" si="148"/>
        <v>0</v>
      </c>
      <c r="AH252" s="124">
        <f t="shared" si="148"/>
        <v>0</v>
      </c>
      <c r="AI252" s="124">
        <f t="shared" si="148"/>
        <v>0</v>
      </c>
      <c r="AJ252" s="124">
        <f t="shared" si="148"/>
        <v>0</v>
      </c>
      <c r="AK252" s="124">
        <f t="shared" si="148"/>
        <v>0</v>
      </c>
      <c r="AL252" s="124">
        <f t="shared" si="148"/>
        <v>0</v>
      </c>
      <c r="AM252" s="124">
        <f t="shared" si="148"/>
        <v>0</v>
      </c>
      <c r="AN252" s="124">
        <f t="shared" si="148"/>
        <v>0</v>
      </c>
      <c r="AO252" s="124">
        <f t="shared" si="148"/>
        <v>0</v>
      </c>
      <c r="AP252" s="124">
        <f t="shared" si="148"/>
        <v>0</v>
      </c>
    </row>
    <row r="253" spans="1:52" s="101" customFormat="1" x14ac:dyDescent="0.2">
      <c r="A253" s="25" t="s">
        <v>411</v>
      </c>
      <c r="C253" s="186">
        <f>C161</f>
        <v>0</v>
      </c>
      <c r="D253" s="186">
        <f t="shared" ref="D253:AP253" si="149">D161</f>
        <v>0</v>
      </c>
      <c r="E253" s="186">
        <f t="shared" si="149"/>
        <v>0</v>
      </c>
      <c r="F253" s="186">
        <f t="shared" si="149"/>
        <v>0</v>
      </c>
      <c r="G253" s="186">
        <f t="shared" si="149"/>
        <v>0</v>
      </c>
      <c r="H253" s="186">
        <f t="shared" si="149"/>
        <v>0</v>
      </c>
      <c r="I253" s="186">
        <f t="shared" si="149"/>
        <v>0</v>
      </c>
      <c r="J253" s="186">
        <f t="shared" si="149"/>
        <v>0</v>
      </c>
      <c r="K253" s="186">
        <f t="shared" si="149"/>
        <v>0</v>
      </c>
      <c r="L253" s="186">
        <f t="shared" si="149"/>
        <v>0</v>
      </c>
      <c r="M253" s="186">
        <f t="shared" si="149"/>
        <v>0</v>
      </c>
      <c r="N253" s="186">
        <f t="shared" si="149"/>
        <v>0</v>
      </c>
      <c r="O253" s="186">
        <f t="shared" si="149"/>
        <v>0</v>
      </c>
      <c r="P253" s="186">
        <f t="shared" si="149"/>
        <v>0</v>
      </c>
      <c r="Q253" s="186">
        <f t="shared" si="149"/>
        <v>0</v>
      </c>
      <c r="R253" s="186">
        <f t="shared" si="149"/>
        <v>0</v>
      </c>
      <c r="S253" s="186">
        <f t="shared" si="149"/>
        <v>0</v>
      </c>
      <c r="T253" s="186">
        <f t="shared" si="149"/>
        <v>0</v>
      </c>
      <c r="U253" s="186">
        <f t="shared" si="149"/>
        <v>0</v>
      </c>
      <c r="V253" s="186">
        <f t="shared" si="149"/>
        <v>0</v>
      </c>
      <c r="W253" s="186">
        <f t="shared" si="149"/>
        <v>0</v>
      </c>
      <c r="X253" s="186">
        <f t="shared" si="149"/>
        <v>0</v>
      </c>
      <c r="Y253" s="186">
        <f t="shared" si="149"/>
        <v>0</v>
      </c>
      <c r="Z253" s="186">
        <f t="shared" si="149"/>
        <v>0</v>
      </c>
      <c r="AA253" s="186">
        <f t="shared" si="149"/>
        <v>0</v>
      </c>
      <c r="AB253" s="186">
        <f t="shared" si="149"/>
        <v>0</v>
      </c>
      <c r="AC253" s="186">
        <f t="shared" si="149"/>
        <v>0</v>
      </c>
      <c r="AD253" s="186">
        <f t="shared" si="149"/>
        <v>0</v>
      </c>
      <c r="AE253" s="186">
        <f t="shared" si="149"/>
        <v>0</v>
      </c>
      <c r="AF253" s="186">
        <f t="shared" si="149"/>
        <v>0</v>
      </c>
      <c r="AG253" s="186">
        <f t="shared" si="149"/>
        <v>0</v>
      </c>
      <c r="AH253" s="186">
        <f t="shared" si="149"/>
        <v>0</v>
      </c>
      <c r="AI253" s="186">
        <f t="shared" si="149"/>
        <v>0</v>
      </c>
      <c r="AJ253" s="186">
        <f t="shared" si="149"/>
        <v>0</v>
      </c>
      <c r="AK253" s="186">
        <f t="shared" si="149"/>
        <v>0</v>
      </c>
      <c r="AL253" s="186">
        <f t="shared" si="149"/>
        <v>0</v>
      </c>
      <c r="AM253" s="186">
        <f t="shared" si="149"/>
        <v>0</v>
      </c>
      <c r="AN253" s="186">
        <f t="shared" si="149"/>
        <v>0</v>
      </c>
      <c r="AO253" s="186">
        <f t="shared" si="149"/>
        <v>0</v>
      </c>
      <c r="AP253" s="186">
        <f t="shared" si="149"/>
        <v>0</v>
      </c>
    </row>
    <row r="254" spans="1:52" s="101" customFormat="1" x14ac:dyDescent="0.2">
      <c r="A254" s="25" t="s">
        <v>114</v>
      </c>
      <c r="C254" s="181">
        <f>SUM(C248:C253)</f>
        <v>-1619603.6304767835</v>
      </c>
      <c r="D254" s="181">
        <f t="shared" ref="D254:AP254" si="150">SUM(D248:D253)</f>
        <v>-5609140.44875874</v>
      </c>
      <c r="E254" s="181">
        <f t="shared" si="150"/>
        <v>-1349737.6782773491</v>
      </c>
      <c r="F254" s="181">
        <f t="shared" si="150"/>
        <v>1220670.8616918481</v>
      </c>
      <c r="G254" s="181">
        <f t="shared" si="150"/>
        <v>1258091.1333129099</v>
      </c>
      <c r="H254" s="181">
        <f t="shared" si="150"/>
        <v>3194161.1524046441</v>
      </c>
      <c r="I254" s="181">
        <f t="shared" si="150"/>
        <v>5127787.9293276612</v>
      </c>
      <c r="J254" s="181">
        <f t="shared" si="150"/>
        <v>5160022.1033458915</v>
      </c>
      <c r="K254" s="181">
        <f t="shared" si="150"/>
        <v>5191883.4563639928</v>
      </c>
      <c r="L254" s="181">
        <f t="shared" si="150"/>
        <v>5223794.4908290813</v>
      </c>
      <c r="M254" s="181">
        <f t="shared" si="150"/>
        <v>5255258.8139611799</v>
      </c>
      <c r="N254" s="181">
        <f t="shared" si="150"/>
        <v>4730179.0214772411</v>
      </c>
      <c r="O254" s="181">
        <f t="shared" si="150"/>
        <v>4333205.2708883006</v>
      </c>
      <c r="P254" s="181">
        <f t="shared" si="150"/>
        <v>4721275.3282720214</v>
      </c>
      <c r="Q254" s="181">
        <f t="shared" si="150"/>
        <v>4966386.9433264816</v>
      </c>
      <c r="R254" s="181">
        <f t="shared" si="150"/>
        <v>5036245.822730016</v>
      </c>
      <c r="S254" s="181">
        <f t="shared" si="150"/>
        <v>5266034.3174158111</v>
      </c>
      <c r="T254" s="181">
        <f t="shared" si="150"/>
        <v>5457106.9799505677</v>
      </c>
      <c r="U254" s="181">
        <f t="shared" si="150"/>
        <v>5487626.0862455461</v>
      </c>
      <c r="V254" s="181">
        <f t="shared" si="150"/>
        <v>5517879.1300426405</v>
      </c>
      <c r="W254" s="181">
        <f t="shared" si="150"/>
        <v>5556399.3571875757</v>
      </c>
      <c r="X254" s="181">
        <f t="shared" si="150"/>
        <v>5587984.5405848892</v>
      </c>
      <c r="Y254" s="181">
        <f t="shared" si="150"/>
        <v>5603966.635362043</v>
      </c>
      <c r="Z254" s="181">
        <f t="shared" si="150"/>
        <v>4954191.4998105252</v>
      </c>
      <c r="AA254" s="181">
        <f t="shared" si="150"/>
        <v>4457824.4440051364</v>
      </c>
      <c r="AB254" s="181">
        <f t="shared" si="150"/>
        <v>4899725.6138504287</v>
      </c>
      <c r="AC254" s="181">
        <f t="shared" si="150"/>
        <v>5170943.7688108068</v>
      </c>
      <c r="AD254" s="181">
        <f t="shared" si="150"/>
        <v>5186290.9657885265</v>
      </c>
      <c r="AE254" s="181">
        <f t="shared" si="150"/>
        <v>5392945.6209494732</v>
      </c>
      <c r="AF254" s="181">
        <f t="shared" si="150"/>
        <v>5599246.063595145</v>
      </c>
      <c r="AG254" s="181">
        <f t="shared" si="150"/>
        <v>5613530.4090469815</v>
      </c>
      <c r="AH254" s="181">
        <f t="shared" si="150"/>
        <v>5627440.4805040145</v>
      </c>
      <c r="AI254" s="181">
        <f t="shared" si="150"/>
        <v>5640965.914807749</v>
      </c>
      <c r="AJ254" s="181">
        <f t="shared" si="150"/>
        <v>5654096.1209059078</v>
      </c>
      <c r="AK254" s="181">
        <f t="shared" si="150"/>
        <v>5666820.2750165509</v>
      </c>
      <c r="AL254" s="181">
        <f t="shared" si="150"/>
        <v>4883493.3927820334</v>
      </c>
      <c r="AM254" s="181">
        <f t="shared" si="150"/>
        <v>4679887.8284018738</v>
      </c>
      <c r="AN254" s="181">
        <f t="shared" si="150"/>
        <v>5194730.6951601151</v>
      </c>
      <c r="AO254" s="181">
        <f t="shared" si="150"/>
        <v>5505439.5028880965</v>
      </c>
      <c r="AP254" s="181">
        <f t="shared" si="150"/>
        <v>9323062.2761328183</v>
      </c>
    </row>
    <row r="255" spans="1:52" s="101" customFormat="1" x14ac:dyDescent="0.2">
      <c r="A255" s="25" t="s">
        <v>338</v>
      </c>
    </row>
    <row r="256" spans="1:52" s="101" customFormat="1" x14ac:dyDescent="0.2">
      <c r="A256" s="187" t="str">
        <f>'Inputs &amp; Results'!A54</f>
        <v>Fixed Amount ($)</v>
      </c>
    </row>
    <row r="257" spans="1:42" s="101" customFormat="1" x14ac:dyDescent="0.2">
      <c r="A257" s="188" t="str">
        <f>'Inputs &amp; Results'!A55</f>
        <v>Federal</v>
      </c>
      <c r="C257" s="181">
        <f>IF(IBIFedFixedFedTax="Yes",C597,0)</f>
        <v>0</v>
      </c>
    </row>
    <row r="258" spans="1:42" s="101" customFormat="1" x14ac:dyDescent="0.2">
      <c r="A258" s="188" t="str">
        <f>'Inputs &amp; Results'!A56</f>
        <v>State</v>
      </c>
      <c r="C258" s="181">
        <f>IF(IBIStateFixedFedTax="Yes",C598,0)</f>
        <v>0</v>
      </c>
    </row>
    <row r="259" spans="1:42" s="101" customFormat="1" x14ac:dyDescent="0.2">
      <c r="A259" s="188" t="str">
        <f>'Inputs &amp; Results'!A57</f>
        <v>Utility</v>
      </c>
      <c r="C259" s="181">
        <f>IF(IBIUtilityFixedFedTax="Yes",C599,0)</f>
        <v>0</v>
      </c>
    </row>
    <row r="260" spans="1:42" x14ac:dyDescent="0.2">
      <c r="A260" s="188" t="str">
        <f>'Inputs &amp; Results'!A58</f>
        <v>Other</v>
      </c>
      <c r="C260" s="186">
        <f>IF(IBIOtherFixedFedTax="Yes",C600,0)</f>
        <v>0</v>
      </c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</row>
    <row r="261" spans="1:42" x14ac:dyDescent="0.2">
      <c r="A261" s="188" t="s">
        <v>53</v>
      </c>
      <c r="C261" s="169">
        <f>SUM(C257:C260)</f>
        <v>0</v>
      </c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</row>
    <row r="262" spans="1:42" x14ac:dyDescent="0.2">
      <c r="A262" s="187" t="str">
        <f>'Inputs &amp; Results'!A59</f>
        <v>Percentage of Pre-Financing Costs</v>
      </c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</row>
    <row r="263" spans="1:42" x14ac:dyDescent="0.2">
      <c r="A263" s="188" t="str">
        <f>'Inputs &amp; Results'!A60</f>
        <v>Federal</v>
      </c>
      <c r="C263" s="181">
        <f>IF(IBIFedPercentFedTax="Yes",C603,0)</f>
        <v>0</v>
      </c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</row>
    <row r="264" spans="1:42" x14ac:dyDescent="0.2">
      <c r="A264" s="188" t="str">
        <f>'Inputs &amp; Results'!A61</f>
        <v>State</v>
      </c>
      <c r="C264" s="181">
        <f>IF(IBIStatePercentFedTax="Yes",C604,0)</f>
        <v>0</v>
      </c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</row>
    <row r="265" spans="1:42" x14ac:dyDescent="0.2">
      <c r="A265" s="188" t="str">
        <f>'Inputs &amp; Results'!A62</f>
        <v>Utility</v>
      </c>
      <c r="C265" s="181">
        <f>IF(IBIUtilityPercentFedTax="Yes",C605,0)</f>
        <v>0</v>
      </c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</row>
    <row r="266" spans="1:42" x14ac:dyDescent="0.2">
      <c r="A266" s="188" t="str">
        <f>'Inputs &amp; Results'!A63</f>
        <v>Other</v>
      </c>
      <c r="C266" s="186">
        <f>IF(IBIOtherPercentFedTax="Yes",C606,0)</f>
        <v>0</v>
      </c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</row>
    <row r="267" spans="1:42" x14ac:dyDescent="0.2">
      <c r="A267" s="188" t="s">
        <v>53</v>
      </c>
      <c r="C267" s="169">
        <f>SUM(C263:C266)</f>
        <v>0</v>
      </c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</row>
    <row r="268" spans="1:42" x14ac:dyDescent="0.2">
      <c r="A268" s="180" t="str">
        <f>'Inputs &amp; Results'!A64</f>
        <v>Capacity Based Incentive (CBI) ($/DC-Watt)</v>
      </c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</row>
    <row r="269" spans="1:42" x14ac:dyDescent="0.2">
      <c r="A269" s="187" t="str">
        <f>'Inputs &amp; Results'!A65</f>
        <v>Federal</v>
      </c>
      <c r="C269" s="124">
        <f>IF(CBIFedFedTax="Yes",C609,0)</f>
        <v>0</v>
      </c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</row>
    <row r="270" spans="1:42" x14ac:dyDescent="0.2">
      <c r="A270" s="187" t="str">
        <f>'Inputs &amp; Results'!A66</f>
        <v>State</v>
      </c>
      <c r="C270" s="124">
        <f>IF(CBIStateFedTax="Yes",C610,0)</f>
        <v>0</v>
      </c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</row>
    <row r="271" spans="1:42" x14ac:dyDescent="0.2">
      <c r="A271" s="187" t="str">
        <f>'Inputs &amp; Results'!A67</f>
        <v>Utility</v>
      </c>
      <c r="C271" s="124">
        <f>IF(CBIUtilityFedTax="Yes",C611,0)</f>
        <v>0</v>
      </c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</row>
    <row r="272" spans="1:42" x14ac:dyDescent="0.2">
      <c r="A272" s="187" t="str">
        <f>'Inputs &amp; Results'!A68</f>
        <v>Other</v>
      </c>
      <c r="C272" s="186">
        <f>IF(CBIOtherFedTax="Yes",C612,0)</f>
        <v>0</v>
      </c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</row>
    <row r="273" spans="1:52" x14ac:dyDescent="0.2">
      <c r="A273" s="187" t="s">
        <v>53</v>
      </c>
      <c r="C273" s="169">
        <f>SUM(C269:C272)</f>
        <v>0</v>
      </c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</row>
    <row r="274" spans="1:52" x14ac:dyDescent="0.2">
      <c r="A274" s="180" t="s">
        <v>123</v>
      </c>
      <c r="C274" s="230">
        <f>C261+C267+C273</f>
        <v>0</v>
      </c>
      <c r="D274" s="230">
        <f t="shared" ref="D274:AP274" si="151">D261+D267+D273</f>
        <v>0</v>
      </c>
      <c r="E274" s="230">
        <f t="shared" si="151"/>
        <v>0</v>
      </c>
      <c r="F274" s="230">
        <f t="shared" si="151"/>
        <v>0</v>
      </c>
      <c r="G274" s="230">
        <f t="shared" si="151"/>
        <v>0</v>
      </c>
      <c r="H274" s="230">
        <f t="shared" si="151"/>
        <v>0</v>
      </c>
      <c r="I274" s="230">
        <f t="shared" si="151"/>
        <v>0</v>
      </c>
      <c r="J274" s="230">
        <f t="shared" si="151"/>
        <v>0</v>
      </c>
      <c r="K274" s="230">
        <f t="shared" si="151"/>
        <v>0</v>
      </c>
      <c r="L274" s="230">
        <f t="shared" si="151"/>
        <v>0</v>
      </c>
      <c r="M274" s="230">
        <f t="shared" si="151"/>
        <v>0</v>
      </c>
      <c r="N274" s="230">
        <f t="shared" si="151"/>
        <v>0</v>
      </c>
      <c r="O274" s="230">
        <f t="shared" si="151"/>
        <v>0</v>
      </c>
      <c r="P274" s="230">
        <f t="shared" si="151"/>
        <v>0</v>
      </c>
      <c r="Q274" s="230">
        <f t="shared" si="151"/>
        <v>0</v>
      </c>
      <c r="R274" s="230">
        <f t="shared" si="151"/>
        <v>0</v>
      </c>
      <c r="S274" s="230">
        <f t="shared" si="151"/>
        <v>0</v>
      </c>
      <c r="T274" s="230">
        <f t="shared" si="151"/>
        <v>0</v>
      </c>
      <c r="U274" s="230">
        <f t="shared" si="151"/>
        <v>0</v>
      </c>
      <c r="V274" s="230">
        <f t="shared" si="151"/>
        <v>0</v>
      </c>
      <c r="W274" s="230">
        <f t="shared" si="151"/>
        <v>0</v>
      </c>
      <c r="X274" s="230">
        <f t="shared" si="151"/>
        <v>0</v>
      </c>
      <c r="Y274" s="230">
        <f t="shared" si="151"/>
        <v>0</v>
      </c>
      <c r="Z274" s="230">
        <f t="shared" si="151"/>
        <v>0</v>
      </c>
      <c r="AA274" s="230">
        <f t="shared" si="151"/>
        <v>0</v>
      </c>
      <c r="AB274" s="230">
        <f t="shared" si="151"/>
        <v>0</v>
      </c>
      <c r="AC274" s="230">
        <f t="shared" si="151"/>
        <v>0</v>
      </c>
      <c r="AD274" s="230">
        <f t="shared" si="151"/>
        <v>0</v>
      </c>
      <c r="AE274" s="230">
        <f t="shared" si="151"/>
        <v>0</v>
      </c>
      <c r="AF274" s="230">
        <f t="shared" si="151"/>
        <v>0</v>
      </c>
      <c r="AG274" s="230">
        <f t="shared" si="151"/>
        <v>0</v>
      </c>
      <c r="AH274" s="230">
        <f t="shared" si="151"/>
        <v>0</v>
      </c>
      <c r="AI274" s="230">
        <f t="shared" si="151"/>
        <v>0</v>
      </c>
      <c r="AJ274" s="230">
        <f t="shared" si="151"/>
        <v>0</v>
      </c>
      <c r="AK274" s="230">
        <f t="shared" si="151"/>
        <v>0</v>
      </c>
      <c r="AL274" s="230">
        <f t="shared" si="151"/>
        <v>0</v>
      </c>
      <c r="AM274" s="230">
        <f t="shared" si="151"/>
        <v>0</v>
      </c>
      <c r="AN274" s="230">
        <f t="shared" si="151"/>
        <v>0</v>
      </c>
      <c r="AO274" s="230">
        <f t="shared" si="151"/>
        <v>0</v>
      </c>
      <c r="AP274" s="230">
        <f t="shared" si="151"/>
        <v>0</v>
      </c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</row>
    <row r="275" spans="1:52" s="101" customFormat="1" x14ac:dyDescent="0.2">
      <c r="A275" s="25" t="s">
        <v>335</v>
      </c>
      <c r="C275" s="181">
        <f>C254+C274</f>
        <v>-1619603.6304767835</v>
      </c>
      <c r="D275" s="181">
        <f t="shared" ref="D275:AP275" si="152">D254+D274</f>
        <v>-5609140.44875874</v>
      </c>
      <c r="E275" s="181">
        <f t="shared" si="152"/>
        <v>-1349737.6782773491</v>
      </c>
      <c r="F275" s="181">
        <f t="shared" si="152"/>
        <v>1220670.8616918481</v>
      </c>
      <c r="G275" s="181">
        <f t="shared" si="152"/>
        <v>1258091.1333129099</v>
      </c>
      <c r="H275" s="181">
        <f t="shared" si="152"/>
        <v>3194161.1524046441</v>
      </c>
      <c r="I275" s="181">
        <f t="shared" si="152"/>
        <v>5127787.9293276612</v>
      </c>
      <c r="J275" s="181">
        <f t="shared" si="152"/>
        <v>5160022.1033458915</v>
      </c>
      <c r="K275" s="181">
        <f t="shared" si="152"/>
        <v>5191883.4563639928</v>
      </c>
      <c r="L275" s="181">
        <f t="shared" si="152"/>
        <v>5223794.4908290813</v>
      </c>
      <c r="M275" s="181">
        <f t="shared" si="152"/>
        <v>5255258.8139611799</v>
      </c>
      <c r="N275" s="181">
        <f t="shared" si="152"/>
        <v>4730179.0214772411</v>
      </c>
      <c r="O275" s="181">
        <f t="shared" si="152"/>
        <v>4333205.2708883006</v>
      </c>
      <c r="P275" s="181">
        <f t="shared" si="152"/>
        <v>4721275.3282720214</v>
      </c>
      <c r="Q275" s="181">
        <f t="shared" si="152"/>
        <v>4966386.9433264816</v>
      </c>
      <c r="R275" s="181">
        <f t="shared" si="152"/>
        <v>5036245.822730016</v>
      </c>
      <c r="S275" s="181">
        <f t="shared" si="152"/>
        <v>5266034.3174158111</v>
      </c>
      <c r="T275" s="181">
        <f t="shared" si="152"/>
        <v>5457106.9799505677</v>
      </c>
      <c r="U275" s="181">
        <f t="shared" si="152"/>
        <v>5487626.0862455461</v>
      </c>
      <c r="V275" s="181">
        <f t="shared" si="152"/>
        <v>5517879.1300426405</v>
      </c>
      <c r="W275" s="181">
        <f t="shared" si="152"/>
        <v>5556399.3571875757</v>
      </c>
      <c r="X275" s="181">
        <f t="shared" si="152"/>
        <v>5587984.5405848892</v>
      </c>
      <c r="Y275" s="181">
        <f t="shared" si="152"/>
        <v>5603966.635362043</v>
      </c>
      <c r="Z275" s="181">
        <f t="shared" si="152"/>
        <v>4954191.4998105252</v>
      </c>
      <c r="AA275" s="181">
        <f t="shared" si="152"/>
        <v>4457824.4440051364</v>
      </c>
      <c r="AB275" s="181">
        <f t="shared" si="152"/>
        <v>4899725.6138504287</v>
      </c>
      <c r="AC275" s="181">
        <f t="shared" si="152"/>
        <v>5170943.7688108068</v>
      </c>
      <c r="AD275" s="181">
        <f t="shared" si="152"/>
        <v>5186290.9657885265</v>
      </c>
      <c r="AE275" s="181">
        <f t="shared" si="152"/>
        <v>5392945.6209494732</v>
      </c>
      <c r="AF275" s="181">
        <f t="shared" si="152"/>
        <v>5599246.063595145</v>
      </c>
      <c r="AG275" s="181">
        <f t="shared" si="152"/>
        <v>5613530.4090469815</v>
      </c>
      <c r="AH275" s="181">
        <f t="shared" si="152"/>
        <v>5627440.4805040145</v>
      </c>
      <c r="AI275" s="181">
        <f t="shared" si="152"/>
        <v>5640965.914807749</v>
      </c>
      <c r="AJ275" s="181">
        <f t="shared" si="152"/>
        <v>5654096.1209059078</v>
      </c>
      <c r="AK275" s="181">
        <f t="shared" si="152"/>
        <v>5666820.2750165509</v>
      </c>
      <c r="AL275" s="181">
        <f t="shared" si="152"/>
        <v>4883493.3927820334</v>
      </c>
      <c r="AM275" s="181">
        <f t="shared" si="152"/>
        <v>4679887.8284018738</v>
      </c>
      <c r="AN275" s="181">
        <f t="shared" si="152"/>
        <v>5194730.6951601151</v>
      </c>
      <c r="AO275" s="181">
        <f t="shared" si="152"/>
        <v>5505439.5028880965</v>
      </c>
      <c r="AP275" s="181">
        <f t="shared" si="152"/>
        <v>9323062.2761328183</v>
      </c>
    </row>
    <row r="276" spans="1:52" x14ac:dyDescent="0.2">
      <c r="A276" s="180" t="s">
        <v>207</v>
      </c>
      <c r="B276" s="23"/>
      <c r="C276" s="177">
        <f t="shared" ref="C276:AP276" si="153">C275*-FedTax</f>
        <v>566861.27066687413</v>
      </c>
      <c r="D276" s="177">
        <f t="shared" si="153"/>
        <v>1963199.1570655589</v>
      </c>
      <c r="E276" s="177">
        <f t="shared" si="153"/>
        <v>472408.18739707215</v>
      </c>
      <c r="F276" s="177">
        <f t="shared" si="153"/>
        <v>-427234.8015921468</v>
      </c>
      <c r="G276" s="177">
        <f t="shared" si="153"/>
        <v>-440331.89665951842</v>
      </c>
      <c r="H276" s="177">
        <f t="shared" si="153"/>
        <v>-1117956.4033416254</v>
      </c>
      <c r="I276" s="177">
        <f t="shared" si="153"/>
        <v>-1794725.7752646813</v>
      </c>
      <c r="J276" s="177">
        <f t="shared" si="153"/>
        <v>-1806007.7361710619</v>
      </c>
      <c r="K276" s="177">
        <f t="shared" si="153"/>
        <v>-1817159.2097273974</v>
      </c>
      <c r="L276" s="177">
        <f t="shared" si="153"/>
        <v>-1828328.0717901783</v>
      </c>
      <c r="M276" s="177">
        <f t="shared" si="153"/>
        <v>-1839340.5848864128</v>
      </c>
      <c r="N276" s="177">
        <f t="shared" si="153"/>
        <v>-1655562.6575170343</v>
      </c>
      <c r="O276" s="177">
        <f t="shared" si="153"/>
        <v>-1516621.8448109052</v>
      </c>
      <c r="P276" s="177">
        <f t="shared" si="153"/>
        <v>-1652446.3648952073</v>
      </c>
      <c r="Q276" s="177">
        <f t="shared" si="153"/>
        <v>-1738235.4301642685</v>
      </c>
      <c r="R276" s="177">
        <f t="shared" si="153"/>
        <v>-1762686.0379555055</v>
      </c>
      <c r="S276" s="177">
        <f t="shared" si="153"/>
        <v>-1843112.0110955338</v>
      </c>
      <c r="T276" s="177">
        <f t="shared" si="153"/>
        <v>-1909987.4429826986</v>
      </c>
      <c r="U276" s="177">
        <f t="shared" si="153"/>
        <v>-1920669.130185941</v>
      </c>
      <c r="V276" s="177">
        <f t="shared" si="153"/>
        <v>-1931257.6955149241</v>
      </c>
      <c r="W276" s="177">
        <f t="shared" si="153"/>
        <v>-1944739.7750156512</v>
      </c>
      <c r="X276" s="177">
        <f t="shared" si="153"/>
        <v>-1955794.5892047111</v>
      </c>
      <c r="Y276" s="177">
        <f t="shared" si="153"/>
        <v>-1961388.322376715</v>
      </c>
      <c r="Z276" s="177">
        <f t="shared" si="153"/>
        <v>-1733967.0249336837</v>
      </c>
      <c r="AA276" s="177">
        <f t="shared" si="153"/>
        <v>-1560238.5554017976</v>
      </c>
      <c r="AB276" s="177">
        <f t="shared" si="153"/>
        <v>-1714903.9648476499</v>
      </c>
      <c r="AC276" s="177">
        <f t="shared" si="153"/>
        <v>-1809830.3190837824</v>
      </c>
      <c r="AD276" s="177">
        <f t="shared" si="153"/>
        <v>-1815201.8380259841</v>
      </c>
      <c r="AE276" s="177">
        <f t="shared" si="153"/>
        <v>-1887530.9673323154</v>
      </c>
      <c r="AF276" s="177">
        <f t="shared" si="153"/>
        <v>-1959736.1222583007</v>
      </c>
      <c r="AG276" s="177">
        <f t="shared" si="153"/>
        <v>-1964735.6431664433</v>
      </c>
      <c r="AH276" s="177">
        <f t="shared" si="153"/>
        <v>-1969604.1681764049</v>
      </c>
      <c r="AI276" s="177">
        <f t="shared" si="153"/>
        <v>-1974338.0701827121</v>
      </c>
      <c r="AJ276" s="177">
        <f t="shared" si="153"/>
        <v>-1978933.6423170676</v>
      </c>
      <c r="AK276" s="177">
        <f t="shared" si="153"/>
        <v>-1983387.0962557928</v>
      </c>
      <c r="AL276" s="177">
        <f t="shared" si="153"/>
        <v>-1709222.6874737116</v>
      </c>
      <c r="AM276" s="177">
        <f t="shared" si="153"/>
        <v>-1637960.7399406557</v>
      </c>
      <c r="AN276" s="177">
        <f t="shared" si="153"/>
        <v>-1818155.7433060403</v>
      </c>
      <c r="AO276" s="177">
        <f t="shared" si="153"/>
        <v>-1926903.8260108337</v>
      </c>
      <c r="AP276" s="177">
        <f t="shared" si="153"/>
        <v>-3263071.796646486</v>
      </c>
    </row>
    <row r="277" spans="1:52" s="101" customFormat="1" x14ac:dyDescent="0.2">
      <c r="A277" s="25"/>
    </row>
    <row r="278" spans="1:52" x14ac:dyDescent="0.2">
      <c r="A278" s="162" t="s">
        <v>371</v>
      </c>
      <c r="C278" s="181"/>
    </row>
    <row r="279" spans="1:52" s="101" customFormat="1" x14ac:dyDescent="0.2">
      <c r="A279" s="178" t="s">
        <v>385</v>
      </c>
      <c r="C279" s="181"/>
    </row>
    <row r="280" spans="1:52" s="101" customFormat="1" x14ac:dyDescent="0.2">
      <c r="A280" s="25" t="s">
        <v>330</v>
      </c>
      <c r="B280" s="181">
        <f t="shared" ref="B280:AP280" si="154">B12</f>
        <v>0</v>
      </c>
      <c r="C280" s="181">
        <f t="shared" si="154"/>
        <v>6747796.8781398069</v>
      </c>
      <c r="D280" s="181">
        <f t="shared" si="154"/>
        <v>6781198.4726865981</v>
      </c>
      <c r="E280" s="181">
        <f t="shared" si="154"/>
        <v>6814765.4051263984</v>
      </c>
      <c r="F280" s="181">
        <f t="shared" si="154"/>
        <v>6848498.4938817732</v>
      </c>
      <c r="G280" s="181">
        <f t="shared" si="154"/>
        <v>6882398.5614264896</v>
      </c>
      <c r="H280" s="181">
        <f t="shared" si="154"/>
        <v>6916466.4343055496</v>
      </c>
      <c r="I280" s="181">
        <f t="shared" si="154"/>
        <v>6950702.9431553623</v>
      </c>
      <c r="J280" s="181">
        <f t="shared" si="154"/>
        <v>6985108.9227239797</v>
      </c>
      <c r="K280" s="181">
        <f t="shared" si="154"/>
        <v>7019685.2118914668</v>
      </c>
      <c r="L280" s="181">
        <f t="shared" si="154"/>
        <v>7054432.6536903288</v>
      </c>
      <c r="M280" s="181">
        <f t="shared" si="154"/>
        <v>7089352.0953260968</v>
      </c>
      <c r="N280" s="181">
        <f t="shared" si="154"/>
        <v>7124444.3881979594</v>
      </c>
      <c r="O280" s="181">
        <f t="shared" si="154"/>
        <v>7159710.3879195405</v>
      </c>
      <c r="P280" s="181">
        <f t="shared" si="154"/>
        <v>7195150.9543397427</v>
      </c>
      <c r="Q280" s="181">
        <f t="shared" si="154"/>
        <v>7230766.9515637252</v>
      </c>
      <c r="R280" s="181">
        <f t="shared" si="154"/>
        <v>7266559.2479739627</v>
      </c>
      <c r="S280" s="181">
        <f t="shared" si="154"/>
        <v>7302528.7162514366</v>
      </c>
      <c r="T280" s="181">
        <f t="shared" si="154"/>
        <v>7338676.2333968822</v>
      </c>
      <c r="U280" s="181">
        <f t="shared" si="154"/>
        <v>7375002.6807521963</v>
      </c>
      <c r="V280" s="181">
        <f t="shared" si="154"/>
        <v>7411508.9440219179</v>
      </c>
      <c r="W280" s="181">
        <f t="shared" si="154"/>
        <v>7448195.9132948276</v>
      </c>
      <c r="X280" s="181">
        <f t="shared" si="154"/>
        <v>7485064.4830656359</v>
      </c>
      <c r="Y280" s="181">
        <f t="shared" si="154"/>
        <v>7522115.5522568133</v>
      </c>
      <c r="Z280" s="181">
        <f t="shared" si="154"/>
        <v>7559350.0242404817</v>
      </c>
      <c r="AA280" s="181">
        <f t="shared" si="154"/>
        <v>7596768.8068604758</v>
      </c>
      <c r="AB280" s="181">
        <f t="shared" si="154"/>
        <v>7634372.812454436</v>
      </c>
      <c r="AC280" s="181">
        <f t="shared" si="154"/>
        <v>7672162.9578760853</v>
      </c>
      <c r="AD280" s="181">
        <f t="shared" si="154"/>
        <v>7710140.1645175684</v>
      </c>
      <c r="AE280" s="181">
        <f t="shared" si="154"/>
        <v>7748305.3583319318</v>
      </c>
      <c r="AF280" s="181">
        <f t="shared" si="154"/>
        <v>7786659.4698556755</v>
      </c>
      <c r="AG280" s="181">
        <f t="shared" si="154"/>
        <v>7825203.4342314629</v>
      </c>
      <c r="AH280" s="181">
        <f t="shared" si="154"/>
        <v>7863938.1912309052</v>
      </c>
      <c r="AI280" s="181">
        <f t="shared" si="154"/>
        <v>7902864.6852775002</v>
      </c>
      <c r="AJ280" s="181">
        <f t="shared" si="154"/>
        <v>7941983.8654696234</v>
      </c>
      <c r="AK280" s="181">
        <f t="shared" si="154"/>
        <v>7981296.6856036987</v>
      </c>
      <c r="AL280" s="181">
        <f t="shared" si="154"/>
        <v>8020804.1041974369</v>
      </c>
      <c r="AM280" s="181">
        <f t="shared" si="154"/>
        <v>8060507.0845132144</v>
      </c>
      <c r="AN280" s="181">
        <f t="shared" si="154"/>
        <v>8100406.5945815556</v>
      </c>
      <c r="AO280" s="181">
        <f t="shared" si="154"/>
        <v>8140503.6072247354</v>
      </c>
      <c r="AP280" s="181">
        <f t="shared" si="154"/>
        <v>8180799.1000804948</v>
      </c>
    </row>
    <row r="281" spans="1:52" s="101" customFormat="1" x14ac:dyDescent="0.2">
      <c r="A281" s="25" t="s">
        <v>383</v>
      </c>
      <c r="B281" s="181">
        <f t="shared" ref="B281:AP281" si="155">B49</f>
        <v>0</v>
      </c>
      <c r="C281" s="181">
        <f t="shared" si="155"/>
        <v>6776.1213953125007</v>
      </c>
      <c r="D281" s="181">
        <f t="shared" si="155"/>
        <v>11022.150933383791</v>
      </c>
      <c r="E281" s="181">
        <f t="shared" si="155"/>
        <v>15269.654512563315</v>
      </c>
      <c r="F281" s="181">
        <f t="shared" si="155"/>
        <v>19518.661851482586</v>
      </c>
      <c r="G281" s="181">
        <f t="shared" si="155"/>
        <v>23769.203290216774</v>
      </c>
      <c r="H281" s="181">
        <f t="shared" si="155"/>
        <v>28021.309803623877</v>
      </c>
      <c r="I281" s="181">
        <f t="shared" si="155"/>
        <v>32275.013014975622</v>
      </c>
      <c r="J281" s="181">
        <f t="shared" si="155"/>
        <v>36530.345209886385</v>
      </c>
      <c r="K281" s="181">
        <f t="shared" si="155"/>
        <v>40787.339350546878</v>
      </c>
      <c r="L281" s="181">
        <f t="shared" si="155"/>
        <v>45046.029090269272</v>
      </c>
      <c r="M281" s="181">
        <f t="shared" si="155"/>
        <v>49306.448788350688</v>
      </c>
      <c r="N281" s="181">
        <f t="shared" si="155"/>
        <v>53568.63352526207</v>
      </c>
      <c r="O281" s="181">
        <f t="shared" si="155"/>
        <v>6297.3531068967268</v>
      </c>
      <c r="P281" s="181">
        <f t="shared" si="155"/>
        <v>11403.279000766337</v>
      </c>
      <c r="Q281" s="181">
        <f t="shared" si="155"/>
        <v>16511.079658844716</v>
      </c>
      <c r="R281" s="181">
        <f t="shared" si="155"/>
        <v>21620.793204951438</v>
      </c>
      <c r="S281" s="181">
        <f t="shared" si="155"/>
        <v>26732.458565163892</v>
      </c>
      <c r="T281" s="181">
        <f t="shared" si="155"/>
        <v>31846.115485115948</v>
      </c>
      <c r="U281" s="181">
        <f t="shared" si="155"/>
        <v>36961.804547676074</v>
      </c>
      <c r="V281" s="181">
        <f t="shared" si="155"/>
        <v>42079.567191013273</v>
      </c>
      <c r="W281" s="181">
        <f t="shared" si="155"/>
        <v>47199.445727059538</v>
      </c>
      <c r="X281" s="181">
        <f t="shared" si="155"/>
        <v>52446.878929518141</v>
      </c>
      <c r="Y281" s="181">
        <f t="shared" si="155"/>
        <v>57696.515345723783</v>
      </c>
      <c r="Z281" s="181">
        <f t="shared" si="155"/>
        <v>62948.400023769842</v>
      </c>
      <c r="AA281" s="181">
        <f t="shared" si="155"/>
        <v>6586.0784493241936</v>
      </c>
      <c r="AB281" s="181">
        <f t="shared" si="155"/>
        <v>12847.040886474646</v>
      </c>
      <c r="AC281" s="181">
        <f t="shared" si="155"/>
        <v>19110.392523059818</v>
      </c>
      <c r="AD281" s="181">
        <f t="shared" si="155"/>
        <v>25376.182339503135</v>
      </c>
      <c r="AE281" s="181">
        <f t="shared" si="155"/>
        <v>31644.460353062212</v>
      </c>
      <c r="AF281" s="181">
        <f t="shared" si="155"/>
        <v>37915.277640280299</v>
      </c>
      <c r="AG281" s="181">
        <f t="shared" si="155"/>
        <v>44188.686359931598</v>
      </c>
      <c r="AH281" s="181">
        <f t="shared" si="155"/>
        <v>50464.739776471564</v>
      </c>
      <c r="AI281" s="181">
        <f t="shared" si="155"/>
        <v>56743.492284003289</v>
      </c>
      <c r="AJ281" s="181">
        <f t="shared" si="155"/>
        <v>63024.999430771604</v>
      </c>
      <c r="AK281" s="181">
        <f t="shared" si="155"/>
        <v>69309.317944196475</v>
      </c>
      <c r="AL281" s="181">
        <f t="shared" si="155"/>
        <v>75596.50575645786</v>
      </c>
      <c r="AM281" s="181">
        <f t="shared" si="155"/>
        <v>8216.8143540193832</v>
      </c>
      <c r="AN281" s="181">
        <f t="shared" si="155"/>
        <v>8370.7688711335886</v>
      </c>
      <c r="AO281" s="181">
        <f t="shared" si="155"/>
        <v>8527.773976562974</v>
      </c>
      <c r="AP281" s="181">
        <f t="shared" si="155"/>
        <v>8687.8926888390088</v>
      </c>
    </row>
    <row r="282" spans="1:52" s="101" customFormat="1" x14ac:dyDescent="0.2">
      <c r="A282" s="25" t="s">
        <v>382</v>
      </c>
      <c r="B282" s="181">
        <f>B750</f>
        <v>0</v>
      </c>
      <c r="C282" s="181">
        <f>C750</f>
        <v>54487.273845181517</v>
      </c>
      <c r="D282" s="181">
        <f t="shared" ref="D282:AP282" si="156">D750</f>
        <v>54487.273845181517</v>
      </c>
      <c r="E282" s="181">
        <f t="shared" si="156"/>
        <v>54487.273845181517</v>
      </c>
      <c r="F282" s="181">
        <f t="shared" si="156"/>
        <v>54487.273845181517</v>
      </c>
      <c r="G282" s="181">
        <f t="shared" si="156"/>
        <v>54487.273845181517</v>
      </c>
      <c r="H282" s="181">
        <f t="shared" si="156"/>
        <v>54487.273845181517</v>
      </c>
      <c r="I282" s="181">
        <f t="shared" si="156"/>
        <v>54487.273845181517</v>
      </c>
      <c r="J282" s="181">
        <f t="shared" si="156"/>
        <v>54487.273845181517</v>
      </c>
      <c r="K282" s="181">
        <f t="shared" si="156"/>
        <v>54487.273845181517</v>
      </c>
      <c r="L282" s="181">
        <f t="shared" si="156"/>
        <v>54487.273845181517</v>
      </c>
      <c r="M282" s="181">
        <f t="shared" si="156"/>
        <v>54487.273845181517</v>
      </c>
      <c r="N282" s="181">
        <f t="shared" si="156"/>
        <v>54487.273845181517</v>
      </c>
      <c r="O282" s="181">
        <f t="shared" si="156"/>
        <v>54487.273845181517</v>
      </c>
      <c r="P282" s="181">
        <f t="shared" si="156"/>
        <v>54487.273845181517</v>
      </c>
      <c r="Q282" s="181">
        <f t="shared" si="156"/>
        <v>54487.273845181517</v>
      </c>
      <c r="R282" s="181">
        <f t="shared" si="156"/>
        <v>54487.273845181517</v>
      </c>
      <c r="S282" s="181">
        <f t="shared" si="156"/>
        <v>54487.273845181517</v>
      </c>
      <c r="T282" s="181">
        <f t="shared" si="156"/>
        <v>54487.273845181517</v>
      </c>
      <c r="U282" s="181">
        <f t="shared" si="156"/>
        <v>54487.273845181517</v>
      </c>
      <c r="V282" s="181">
        <f t="shared" si="156"/>
        <v>54487.273845181517</v>
      </c>
      <c r="W282" s="181">
        <f t="shared" si="156"/>
        <v>54487.273845181517</v>
      </c>
      <c r="X282" s="181">
        <f t="shared" si="156"/>
        <v>54487.273845181517</v>
      </c>
      <c r="Y282" s="181">
        <f t="shared" si="156"/>
        <v>54487.273845181517</v>
      </c>
      <c r="Z282" s="181">
        <f t="shared" si="156"/>
        <v>54487.273845181517</v>
      </c>
      <c r="AA282" s="181">
        <f t="shared" si="156"/>
        <v>54487.273845181517</v>
      </c>
      <c r="AB282" s="181">
        <f t="shared" si="156"/>
        <v>54487.273845181517</v>
      </c>
      <c r="AC282" s="181">
        <f t="shared" si="156"/>
        <v>54487.273845181517</v>
      </c>
      <c r="AD282" s="181">
        <f t="shared" si="156"/>
        <v>54487.273845181517</v>
      </c>
      <c r="AE282" s="181">
        <f t="shared" si="156"/>
        <v>54487.273845181517</v>
      </c>
      <c r="AF282" s="181">
        <f t="shared" si="156"/>
        <v>54487.273845181517</v>
      </c>
      <c r="AG282" s="181">
        <f t="shared" si="156"/>
        <v>54487.273845181517</v>
      </c>
      <c r="AH282" s="181">
        <f t="shared" si="156"/>
        <v>54487.273845181517</v>
      </c>
      <c r="AI282" s="181">
        <f t="shared" si="156"/>
        <v>54487.273845181517</v>
      </c>
      <c r="AJ282" s="181">
        <f t="shared" si="156"/>
        <v>54487.273845181517</v>
      </c>
      <c r="AK282" s="181">
        <f t="shared" si="156"/>
        <v>54487.273845181517</v>
      </c>
      <c r="AL282" s="181">
        <f t="shared" si="156"/>
        <v>54487.273845181517</v>
      </c>
      <c r="AM282" s="181">
        <f t="shared" si="156"/>
        <v>54487.273845181517</v>
      </c>
      <c r="AN282" s="181">
        <f t="shared" si="156"/>
        <v>54487.273845181517</v>
      </c>
      <c r="AO282" s="181">
        <f t="shared" si="156"/>
        <v>54487.273845181517</v>
      </c>
      <c r="AP282" s="181">
        <f t="shared" si="156"/>
        <v>54487.273845181517</v>
      </c>
    </row>
    <row r="283" spans="1:52" s="101" customFormat="1" x14ac:dyDescent="0.2">
      <c r="A283" s="25" t="s">
        <v>332</v>
      </c>
      <c r="B283" s="181">
        <f t="shared" ref="B283:AP283" si="157">-(B23+B27+B31+B39+B40)</f>
        <v>0</v>
      </c>
      <c r="C283" s="181">
        <f t="shared" si="157"/>
        <v>-774413.87375000003</v>
      </c>
      <c r="D283" s="181">
        <f t="shared" si="157"/>
        <v>-768862.33513649995</v>
      </c>
      <c r="E283" s="181">
        <f t="shared" si="157"/>
        <v>-763479.25836394064</v>
      </c>
      <c r="F283" s="181">
        <f t="shared" si="157"/>
        <v>-758268.03984735277</v>
      </c>
      <c r="G283" s="181">
        <f t="shared" si="157"/>
        <v>-753232.14702389773</v>
      </c>
      <c r="H283" s="181">
        <f t="shared" si="157"/>
        <v>-748375.11987734796</v>
      </c>
      <c r="I283" s="181">
        <f t="shared" si="157"/>
        <v>-743700.57249589951</v>
      </c>
      <c r="J283" s="181">
        <f t="shared" si="157"/>
        <v>-739212.19466405339</v>
      </c>
      <c r="K283" s="181">
        <f t="shared" si="157"/>
        <v>-734913.7534893197</v>
      </c>
      <c r="L283" s="181">
        <f t="shared" si="157"/>
        <v>-730809.09506451734</v>
      </c>
      <c r="M283" s="181">
        <f t="shared" si="157"/>
        <v>-726902.14616645931</v>
      </c>
      <c r="N283" s="181">
        <f t="shared" si="157"/>
        <v>-723196.91599182587</v>
      </c>
      <c r="O283" s="181">
        <f t="shared" si="157"/>
        <v>-719697.49793105444</v>
      </c>
      <c r="P283" s="181">
        <f t="shared" si="157"/>
        <v>-716408.07138108672</v>
      </c>
      <c r="Q283" s="181">
        <f t="shared" si="157"/>
        <v>-713332.90359783545</v>
      </c>
      <c r="R283" s="181">
        <f t="shared" si="157"/>
        <v>-710476.35158925212</v>
      </c>
      <c r="S283" s="181">
        <f t="shared" si="157"/>
        <v>-707842.8640498952</v>
      </c>
      <c r="T283" s="181">
        <f t="shared" si="157"/>
        <v>-705436.98333792144</v>
      </c>
      <c r="U283" s="181">
        <f t="shared" si="157"/>
        <v>-703263.34749544098</v>
      </c>
      <c r="V283" s="181">
        <f t="shared" si="157"/>
        <v>-701326.69231319777</v>
      </c>
      <c r="W283" s="181">
        <f t="shared" si="157"/>
        <v>-699631.8534405618</v>
      </c>
      <c r="X283" s="181">
        <f t="shared" si="157"/>
        <v>-712514.69072933728</v>
      </c>
      <c r="Y283" s="181">
        <f t="shared" si="157"/>
        <v>-725649.3238749156</v>
      </c>
      <c r="Z283" s="181">
        <f t="shared" si="157"/>
        <v>-739040.90123082767</v>
      </c>
      <c r="AA283" s="181">
        <f t="shared" si="157"/>
        <v>-752694.67992276489</v>
      </c>
      <c r="AB283" s="181">
        <f t="shared" si="157"/>
        <v>-766616.0282006755</v>
      </c>
      <c r="AC283" s="181">
        <f t="shared" si="157"/>
        <v>-780810.42784255394</v>
      </c>
      <c r="AD283" s="181">
        <f t="shared" si="157"/>
        <v>-795283.47661107732</v>
      </c>
      <c r="AE283" s="181">
        <f t="shared" si="157"/>
        <v>-810040.89076425927</v>
      </c>
      <c r="AF283" s="181">
        <f t="shared" si="157"/>
        <v>-825088.507621328</v>
      </c>
      <c r="AG283" s="181">
        <f t="shared" si="157"/>
        <v>-840432.2881850499</v>
      </c>
      <c r="AH283" s="181">
        <f t="shared" si="157"/>
        <v>-856078.31982176169</v>
      </c>
      <c r="AI283" s="181">
        <f t="shared" si="157"/>
        <v>-872032.81900038943</v>
      </c>
      <c r="AJ283" s="181">
        <f t="shared" si="157"/>
        <v>-888302.13409176958</v>
      </c>
      <c r="AK283" s="181">
        <f t="shared" si="157"/>
        <v>-904892.74822961341</v>
      </c>
      <c r="AL283" s="181">
        <f t="shared" si="157"/>
        <v>-921811.28223448794</v>
      </c>
      <c r="AM283" s="181">
        <f t="shared" si="157"/>
        <v>-939064.49760221504</v>
      </c>
      <c r="AN283" s="181">
        <f t="shared" si="157"/>
        <v>-956659.29955812439</v>
      </c>
      <c r="AO283" s="181">
        <f t="shared" si="157"/>
        <v>-974602.74017862557</v>
      </c>
      <c r="AP283" s="181">
        <f t="shared" si="157"/>
        <v>-992902.02158160089</v>
      </c>
    </row>
    <row r="284" spans="1:52" s="101" customFormat="1" x14ac:dyDescent="0.2">
      <c r="A284" s="25" t="s">
        <v>333</v>
      </c>
      <c r="B284" s="186">
        <f t="shared" ref="B284" si="158">-B76</f>
        <v>0</v>
      </c>
      <c r="C284" s="186">
        <f t="shared" ref="C284:AP284" si="159">-C76</f>
        <v>-5337528.8664667597</v>
      </c>
      <c r="D284" s="186">
        <f t="shared" si="159"/>
        <v>-5372643.7982446523</v>
      </c>
      <c r="E284" s="186">
        <f t="shared" si="159"/>
        <v>-5407595.3819082063</v>
      </c>
      <c r="F284" s="186">
        <f t="shared" si="159"/>
        <v>-5442377.8336725207</v>
      </c>
      <c r="G284" s="186">
        <f t="shared" si="159"/>
        <v>-5476985.2386409743</v>
      </c>
      <c r="H284" s="186">
        <f t="shared" si="159"/>
        <v>-5511411.5480174404</v>
      </c>
      <c r="I284" s="186">
        <f t="shared" si="159"/>
        <v>-5545650.5762596531</v>
      </c>
      <c r="J284" s="186">
        <f t="shared" si="159"/>
        <v>-5579695.9981723577</v>
      </c>
      <c r="K284" s="186">
        <f t="shared" si="159"/>
        <v>-5613541.3459390793</v>
      </c>
      <c r="L284" s="186">
        <f t="shared" si="159"/>
        <v>-5647180.0060910769</v>
      </c>
      <c r="M284" s="186">
        <f t="shared" si="159"/>
        <v>-5680605.2164122928</v>
      </c>
      <c r="N284" s="186">
        <f t="shared" si="159"/>
        <v>-5713810.06277881</v>
      </c>
      <c r="O284" s="186">
        <f t="shared" si="159"/>
        <v>-5647246.3313349579</v>
      </c>
      <c r="P284" s="186">
        <f t="shared" si="159"/>
        <v>-5680829.186459139</v>
      </c>
      <c r="Q284" s="186">
        <f t="shared" si="159"/>
        <v>-5714169.9911934873</v>
      </c>
      <c r="R284" s="186">
        <f t="shared" si="159"/>
        <v>-5747261.1908192979</v>
      </c>
      <c r="S284" s="186">
        <f t="shared" si="159"/>
        <v>-5780095.0618760586</v>
      </c>
      <c r="T284" s="186">
        <f t="shared" si="159"/>
        <v>-5812663.708577957</v>
      </c>
      <c r="U284" s="186">
        <f t="shared" si="159"/>
        <v>-5844959.0591546539</v>
      </c>
      <c r="V284" s="186">
        <f t="shared" si="159"/>
        <v>-5876972.8621145422</v>
      </c>
      <c r="W284" s="186">
        <f t="shared" si="159"/>
        <v>-5901531.2213352062</v>
      </c>
      <c r="X284" s="186">
        <f t="shared" si="159"/>
        <v>-5918750.9099234687</v>
      </c>
      <c r="Y284" s="186">
        <f t="shared" si="159"/>
        <v>-5935663.1795289228</v>
      </c>
      <c r="Z284" s="186">
        <f t="shared" si="159"/>
        <v>-5952259.0208005067</v>
      </c>
      <c r="AA284" s="186">
        <f t="shared" si="159"/>
        <v>-5849516.0234740619</v>
      </c>
      <c r="AB284" s="186">
        <f t="shared" si="159"/>
        <v>-5866455.6195494765</v>
      </c>
      <c r="AC284" s="186">
        <f t="shared" si="159"/>
        <v>-5883050.5444467915</v>
      </c>
      <c r="AD284" s="186">
        <f t="shared" si="159"/>
        <v>-5899290.9645290347</v>
      </c>
      <c r="AE284" s="186">
        <f t="shared" si="159"/>
        <v>-5915166.829038702</v>
      </c>
      <c r="AF284" s="186">
        <f t="shared" si="159"/>
        <v>-5930667.8654898768</v>
      </c>
      <c r="AG284" s="186">
        <f t="shared" si="159"/>
        <v>-5945783.5749627193</v>
      </c>
      <c r="AH284" s="186">
        <f t="shared" si="159"/>
        <v>-5960503.2272982048</v>
      </c>
      <c r="AI284" s="186">
        <f t="shared" si="159"/>
        <v>-5974815.8561910447</v>
      </c>
      <c r="AJ284" s="186">
        <f t="shared" si="159"/>
        <v>-5988710.2541785147</v>
      </c>
      <c r="AK284" s="186">
        <f t="shared" si="159"/>
        <v>-6002174.967523111</v>
      </c>
      <c r="AL284" s="186">
        <f t="shared" si="159"/>
        <v>-6015198.2909866348</v>
      </c>
      <c r="AM284" s="186">
        <f t="shared" si="159"/>
        <v>-6304907.0628007827</v>
      </c>
      <c r="AN284" s="186">
        <f t="shared" si="159"/>
        <v>-6310872.3073483063</v>
      </c>
      <c r="AO284" s="186">
        <f t="shared" si="159"/>
        <v>-6316359.4833604572</v>
      </c>
      <c r="AP284" s="186">
        <f t="shared" si="159"/>
        <v>-6330687.0638877908</v>
      </c>
    </row>
    <row r="285" spans="1:52" s="101" customFormat="1" x14ac:dyDescent="0.2">
      <c r="A285" s="25" t="s">
        <v>114</v>
      </c>
      <c r="B285" s="181">
        <f>SUM(B280:B284)</f>
        <v>0</v>
      </c>
      <c r="C285" s="181">
        <f>SUM(C280:C284)</f>
        <v>697117.533163541</v>
      </c>
      <c r="D285" s="181">
        <f t="shared" ref="D285:AP285" si="160">SUM(D280:D284)</f>
        <v>705201.76408401132</v>
      </c>
      <c r="E285" s="181">
        <f t="shared" si="160"/>
        <v>713447.69321199693</v>
      </c>
      <c r="F285" s="181">
        <f t="shared" si="160"/>
        <v>721858.55605856422</v>
      </c>
      <c r="G285" s="181">
        <f t="shared" si="160"/>
        <v>730437.65289701615</v>
      </c>
      <c r="H285" s="181">
        <f t="shared" si="160"/>
        <v>739188.35005956702</v>
      </c>
      <c r="I285" s="181">
        <f t="shared" si="160"/>
        <v>748114.08125996776</v>
      </c>
      <c r="J285" s="181">
        <f t="shared" si="160"/>
        <v>757218.34894263651</v>
      </c>
      <c r="K285" s="181">
        <f t="shared" si="160"/>
        <v>766504.72565879673</v>
      </c>
      <c r="L285" s="181">
        <f t="shared" si="160"/>
        <v>775976.8554701861</v>
      </c>
      <c r="M285" s="181">
        <f t="shared" si="160"/>
        <v>785638.45538087655</v>
      </c>
      <c r="N285" s="181">
        <f t="shared" si="160"/>
        <v>795493.31679776683</v>
      </c>
      <c r="O285" s="181">
        <f t="shared" si="160"/>
        <v>853551.18560560606</v>
      </c>
      <c r="P285" s="181">
        <f t="shared" si="160"/>
        <v>863804.24934546556</v>
      </c>
      <c r="Q285" s="181">
        <f t="shared" si="160"/>
        <v>874262.4102764288</v>
      </c>
      <c r="R285" s="181">
        <f t="shared" si="160"/>
        <v>884929.77261554543</v>
      </c>
      <c r="S285" s="181">
        <f t="shared" si="160"/>
        <v>895810.52273582853</v>
      </c>
      <c r="T285" s="181">
        <f t="shared" si="160"/>
        <v>906908.93081130181</v>
      </c>
      <c r="U285" s="181">
        <f t="shared" si="160"/>
        <v>918229.35249495879</v>
      </c>
      <c r="V285" s="181">
        <f t="shared" si="160"/>
        <v>929776.23063037265</v>
      </c>
      <c r="W285" s="181">
        <f t="shared" si="160"/>
        <v>948719.55809130147</v>
      </c>
      <c r="X285" s="181">
        <f t="shared" si="160"/>
        <v>960733.03518753033</v>
      </c>
      <c r="Y285" s="181">
        <f t="shared" si="160"/>
        <v>972986.83804387972</v>
      </c>
      <c r="Z285" s="181">
        <f t="shared" si="160"/>
        <v>985485.77607809845</v>
      </c>
      <c r="AA285" s="181">
        <f t="shared" si="160"/>
        <v>1055631.4557581544</v>
      </c>
      <c r="AB285" s="181">
        <f t="shared" si="160"/>
        <v>1068635.4794359403</v>
      </c>
      <c r="AC285" s="181">
        <f t="shared" si="160"/>
        <v>1081899.6519549815</v>
      </c>
      <c r="AD285" s="181">
        <f t="shared" si="160"/>
        <v>1095429.1795621412</v>
      </c>
      <c r="AE285" s="181">
        <f t="shared" si="160"/>
        <v>1109229.3727272153</v>
      </c>
      <c r="AF285" s="181">
        <f t="shared" si="160"/>
        <v>1123305.6482299324</v>
      </c>
      <c r="AG285" s="181">
        <f t="shared" si="160"/>
        <v>1137663.5312888073</v>
      </c>
      <c r="AH285" s="181">
        <f t="shared" si="160"/>
        <v>1152308.657732592</v>
      </c>
      <c r="AI285" s="181">
        <f t="shared" si="160"/>
        <v>1167246.7762152515</v>
      </c>
      <c r="AJ285" s="181">
        <f t="shared" si="160"/>
        <v>1182483.750475293</v>
      </c>
      <c r="AK285" s="181">
        <f t="shared" si="160"/>
        <v>1198025.561640352</v>
      </c>
      <c r="AL285" s="181">
        <f t="shared" si="160"/>
        <v>1213878.3105779542</v>
      </c>
      <c r="AM285" s="181">
        <f t="shared" si="160"/>
        <v>879239.61230941769</v>
      </c>
      <c r="AN285" s="181">
        <f t="shared" si="160"/>
        <v>895733.0303914398</v>
      </c>
      <c r="AO285" s="181">
        <f t="shared" si="160"/>
        <v>912556.43150739651</v>
      </c>
      <c r="AP285" s="181">
        <f t="shared" si="160"/>
        <v>920385.18114512321</v>
      </c>
    </row>
    <row r="286" spans="1:52" s="101" customFormat="1" x14ac:dyDescent="0.2">
      <c r="A286" s="25" t="s">
        <v>334</v>
      </c>
      <c r="B286" s="25"/>
    </row>
    <row r="287" spans="1:52" x14ac:dyDescent="0.2">
      <c r="A287" s="187" t="str">
        <f>'Inputs &amp; Results'!A72</f>
        <v>Federal</v>
      </c>
      <c r="B287" s="124">
        <v>0</v>
      </c>
      <c r="C287" s="124">
        <f t="shared" ref="C287:AP287" si="161">IF(PBIFedStateTax="Yes",C619,0)</f>
        <v>0</v>
      </c>
      <c r="D287" s="124">
        <f t="shared" si="161"/>
        <v>0</v>
      </c>
      <c r="E287" s="124">
        <f t="shared" si="161"/>
        <v>0</v>
      </c>
      <c r="F287" s="124">
        <f t="shared" si="161"/>
        <v>0</v>
      </c>
      <c r="G287" s="124">
        <f t="shared" si="161"/>
        <v>0</v>
      </c>
      <c r="H287" s="124">
        <f t="shared" si="161"/>
        <v>0</v>
      </c>
      <c r="I287" s="124">
        <f t="shared" si="161"/>
        <v>0</v>
      </c>
      <c r="J287" s="124">
        <f t="shared" si="161"/>
        <v>0</v>
      </c>
      <c r="K287" s="124">
        <f t="shared" si="161"/>
        <v>0</v>
      </c>
      <c r="L287" s="124">
        <f t="shared" si="161"/>
        <v>0</v>
      </c>
      <c r="M287" s="124">
        <f t="shared" si="161"/>
        <v>0</v>
      </c>
      <c r="N287" s="124">
        <f t="shared" si="161"/>
        <v>0</v>
      </c>
      <c r="O287" s="124">
        <f t="shared" si="161"/>
        <v>0</v>
      </c>
      <c r="P287" s="124">
        <f t="shared" si="161"/>
        <v>0</v>
      </c>
      <c r="Q287" s="124">
        <f t="shared" si="161"/>
        <v>0</v>
      </c>
      <c r="R287" s="124">
        <f t="shared" si="161"/>
        <v>0</v>
      </c>
      <c r="S287" s="124">
        <f t="shared" si="161"/>
        <v>0</v>
      </c>
      <c r="T287" s="124">
        <f t="shared" si="161"/>
        <v>0</v>
      </c>
      <c r="U287" s="124">
        <f t="shared" si="161"/>
        <v>0</v>
      </c>
      <c r="V287" s="124">
        <f t="shared" si="161"/>
        <v>0</v>
      </c>
      <c r="W287" s="124">
        <f t="shared" si="161"/>
        <v>0</v>
      </c>
      <c r="X287" s="124">
        <f t="shared" si="161"/>
        <v>0</v>
      </c>
      <c r="Y287" s="124">
        <f t="shared" si="161"/>
        <v>0</v>
      </c>
      <c r="Z287" s="124">
        <f t="shared" si="161"/>
        <v>0</v>
      </c>
      <c r="AA287" s="124">
        <f t="shared" si="161"/>
        <v>0</v>
      </c>
      <c r="AB287" s="124">
        <f t="shared" si="161"/>
        <v>0</v>
      </c>
      <c r="AC287" s="124">
        <f t="shared" si="161"/>
        <v>0</v>
      </c>
      <c r="AD287" s="124">
        <f t="shared" si="161"/>
        <v>0</v>
      </c>
      <c r="AE287" s="124">
        <f t="shared" si="161"/>
        <v>0</v>
      </c>
      <c r="AF287" s="124">
        <f t="shared" si="161"/>
        <v>0</v>
      </c>
      <c r="AG287" s="124">
        <f t="shared" si="161"/>
        <v>0</v>
      </c>
      <c r="AH287" s="124">
        <f t="shared" si="161"/>
        <v>0</v>
      </c>
      <c r="AI287" s="124">
        <f t="shared" si="161"/>
        <v>0</v>
      </c>
      <c r="AJ287" s="124">
        <f t="shared" si="161"/>
        <v>0</v>
      </c>
      <c r="AK287" s="124">
        <f t="shared" si="161"/>
        <v>0</v>
      </c>
      <c r="AL287" s="124">
        <f t="shared" si="161"/>
        <v>0</v>
      </c>
      <c r="AM287" s="124">
        <f t="shared" si="161"/>
        <v>0</v>
      </c>
      <c r="AN287" s="124">
        <f t="shared" si="161"/>
        <v>0</v>
      </c>
      <c r="AO287" s="124">
        <f t="shared" si="161"/>
        <v>0</v>
      </c>
      <c r="AP287" s="124">
        <f t="shared" si="161"/>
        <v>0</v>
      </c>
    </row>
    <row r="288" spans="1:52" x14ac:dyDescent="0.2">
      <c r="A288" s="187" t="str">
        <f>'Inputs &amp; Results'!A73</f>
        <v>State</v>
      </c>
      <c r="B288" s="124">
        <v>0</v>
      </c>
      <c r="C288" s="124">
        <f t="shared" ref="C288:AP288" si="162">IF(PBIStateStateTax="Yes",C623,0)</f>
        <v>0</v>
      </c>
      <c r="D288" s="124">
        <f t="shared" si="162"/>
        <v>0</v>
      </c>
      <c r="E288" s="124">
        <f t="shared" si="162"/>
        <v>0</v>
      </c>
      <c r="F288" s="124">
        <f t="shared" si="162"/>
        <v>0</v>
      </c>
      <c r="G288" s="124">
        <f t="shared" si="162"/>
        <v>0</v>
      </c>
      <c r="H288" s="124">
        <f t="shared" si="162"/>
        <v>0</v>
      </c>
      <c r="I288" s="124">
        <f t="shared" si="162"/>
        <v>0</v>
      </c>
      <c r="J288" s="124">
        <f t="shared" si="162"/>
        <v>0</v>
      </c>
      <c r="K288" s="124">
        <f t="shared" si="162"/>
        <v>0</v>
      </c>
      <c r="L288" s="124">
        <f t="shared" si="162"/>
        <v>0</v>
      </c>
      <c r="M288" s="124">
        <f t="shared" si="162"/>
        <v>0</v>
      </c>
      <c r="N288" s="124">
        <f t="shared" si="162"/>
        <v>0</v>
      </c>
      <c r="O288" s="124">
        <f t="shared" si="162"/>
        <v>0</v>
      </c>
      <c r="P288" s="124">
        <f t="shared" si="162"/>
        <v>0</v>
      </c>
      <c r="Q288" s="124">
        <f t="shared" si="162"/>
        <v>0</v>
      </c>
      <c r="R288" s="124">
        <f t="shared" si="162"/>
        <v>0</v>
      </c>
      <c r="S288" s="124">
        <f t="shared" si="162"/>
        <v>0</v>
      </c>
      <c r="T288" s="124">
        <f t="shared" si="162"/>
        <v>0</v>
      </c>
      <c r="U288" s="124">
        <f t="shared" si="162"/>
        <v>0</v>
      </c>
      <c r="V288" s="124">
        <f t="shared" si="162"/>
        <v>0</v>
      </c>
      <c r="W288" s="124">
        <f t="shared" si="162"/>
        <v>0</v>
      </c>
      <c r="X288" s="124">
        <f t="shared" si="162"/>
        <v>0</v>
      </c>
      <c r="Y288" s="124">
        <f t="shared" si="162"/>
        <v>0</v>
      </c>
      <c r="Z288" s="124">
        <f t="shared" si="162"/>
        <v>0</v>
      </c>
      <c r="AA288" s="124">
        <f t="shared" si="162"/>
        <v>0</v>
      </c>
      <c r="AB288" s="124">
        <f t="shared" si="162"/>
        <v>0</v>
      </c>
      <c r="AC288" s="124">
        <f t="shared" si="162"/>
        <v>0</v>
      </c>
      <c r="AD288" s="124">
        <f t="shared" si="162"/>
        <v>0</v>
      </c>
      <c r="AE288" s="124">
        <f t="shared" si="162"/>
        <v>0</v>
      </c>
      <c r="AF288" s="124">
        <f t="shared" si="162"/>
        <v>0</v>
      </c>
      <c r="AG288" s="124">
        <f t="shared" si="162"/>
        <v>0</v>
      </c>
      <c r="AH288" s="124">
        <f t="shared" si="162"/>
        <v>0</v>
      </c>
      <c r="AI288" s="124">
        <f t="shared" si="162"/>
        <v>0</v>
      </c>
      <c r="AJ288" s="124">
        <f t="shared" si="162"/>
        <v>0</v>
      </c>
      <c r="AK288" s="124">
        <f t="shared" si="162"/>
        <v>0</v>
      </c>
      <c r="AL288" s="124">
        <f t="shared" si="162"/>
        <v>0</v>
      </c>
      <c r="AM288" s="124">
        <f t="shared" si="162"/>
        <v>0</v>
      </c>
      <c r="AN288" s="124">
        <f t="shared" si="162"/>
        <v>0</v>
      </c>
      <c r="AO288" s="124">
        <f t="shared" si="162"/>
        <v>0</v>
      </c>
      <c r="AP288" s="124">
        <f t="shared" si="162"/>
        <v>0</v>
      </c>
    </row>
    <row r="289" spans="1:42" x14ac:dyDescent="0.2">
      <c r="A289" s="187" t="str">
        <f>'Inputs &amp; Results'!A74</f>
        <v>Utility</v>
      </c>
      <c r="B289" s="124">
        <v>0</v>
      </c>
      <c r="C289" s="124">
        <f t="shared" ref="C289:AP289" si="163">IF(PBIUtilityStateTax="Yes",C627,0)</f>
        <v>0</v>
      </c>
      <c r="D289" s="124">
        <f t="shared" si="163"/>
        <v>0</v>
      </c>
      <c r="E289" s="124">
        <f t="shared" si="163"/>
        <v>0</v>
      </c>
      <c r="F289" s="124">
        <f t="shared" si="163"/>
        <v>0</v>
      </c>
      <c r="G289" s="124">
        <f t="shared" si="163"/>
        <v>0</v>
      </c>
      <c r="H289" s="124">
        <f t="shared" si="163"/>
        <v>0</v>
      </c>
      <c r="I289" s="124">
        <f t="shared" si="163"/>
        <v>0</v>
      </c>
      <c r="J289" s="124">
        <f t="shared" si="163"/>
        <v>0</v>
      </c>
      <c r="K289" s="124">
        <f t="shared" si="163"/>
        <v>0</v>
      </c>
      <c r="L289" s="124">
        <f t="shared" si="163"/>
        <v>0</v>
      </c>
      <c r="M289" s="124">
        <f t="shared" si="163"/>
        <v>0</v>
      </c>
      <c r="N289" s="124">
        <f t="shared" si="163"/>
        <v>0</v>
      </c>
      <c r="O289" s="124">
        <f t="shared" si="163"/>
        <v>0</v>
      </c>
      <c r="P289" s="124">
        <f t="shared" si="163"/>
        <v>0</v>
      </c>
      <c r="Q289" s="124">
        <f t="shared" si="163"/>
        <v>0</v>
      </c>
      <c r="R289" s="124">
        <f t="shared" si="163"/>
        <v>0</v>
      </c>
      <c r="S289" s="124">
        <f t="shared" si="163"/>
        <v>0</v>
      </c>
      <c r="T289" s="124">
        <f t="shared" si="163"/>
        <v>0</v>
      </c>
      <c r="U289" s="124">
        <f t="shared" si="163"/>
        <v>0</v>
      </c>
      <c r="V289" s="124">
        <f t="shared" si="163"/>
        <v>0</v>
      </c>
      <c r="W289" s="124">
        <f t="shared" si="163"/>
        <v>0</v>
      </c>
      <c r="X289" s="124">
        <f t="shared" si="163"/>
        <v>0</v>
      </c>
      <c r="Y289" s="124">
        <f t="shared" si="163"/>
        <v>0</v>
      </c>
      <c r="Z289" s="124">
        <f t="shared" si="163"/>
        <v>0</v>
      </c>
      <c r="AA289" s="124">
        <f t="shared" si="163"/>
        <v>0</v>
      </c>
      <c r="AB289" s="124">
        <f t="shared" si="163"/>
        <v>0</v>
      </c>
      <c r="AC289" s="124">
        <f t="shared" si="163"/>
        <v>0</v>
      </c>
      <c r="AD289" s="124">
        <f t="shared" si="163"/>
        <v>0</v>
      </c>
      <c r="AE289" s="124">
        <f t="shared" si="163"/>
        <v>0</v>
      </c>
      <c r="AF289" s="124">
        <f t="shared" si="163"/>
        <v>0</v>
      </c>
      <c r="AG289" s="124">
        <f t="shared" si="163"/>
        <v>0</v>
      </c>
      <c r="AH289" s="124">
        <f t="shared" si="163"/>
        <v>0</v>
      </c>
      <c r="AI289" s="124">
        <f t="shared" si="163"/>
        <v>0</v>
      </c>
      <c r="AJ289" s="124">
        <f t="shared" si="163"/>
        <v>0</v>
      </c>
      <c r="AK289" s="124">
        <f t="shared" si="163"/>
        <v>0</v>
      </c>
      <c r="AL289" s="124">
        <f t="shared" si="163"/>
        <v>0</v>
      </c>
      <c r="AM289" s="124">
        <f t="shared" si="163"/>
        <v>0</v>
      </c>
      <c r="AN289" s="124">
        <f t="shared" si="163"/>
        <v>0</v>
      </c>
      <c r="AO289" s="124">
        <f t="shared" si="163"/>
        <v>0</v>
      </c>
      <c r="AP289" s="124">
        <f t="shared" si="163"/>
        <v>0</v>
      </c>
    </row>
    <row r="290" spans="1:42" x14ac:dyDescent="0.2">
      <c r="A290" s="187" t="str">
        <f>'Inputs &amp; Results'!A75</f>
        <v>Other</v>
      </c>
      <c r="B290" s="186">
        <v>0</v>
      </c>
      <c r="C290" s="186">
        <f t="shared" ref="C290:AP290" si="164">IF(PBIOtherStateTax="Yes",C631,0)</f>
        <v>0</v>
      </c>
      <c r="D290" s="186">
        <f t="shared" si="164"/>
        <v>0</v>
      </c>
      <c r="E290" s="186">
        <f t="shared" si="164"/>
        <v>0</v>
      </c>
      <c r="F290" s="186">
        <f t="shared" si="164"/>
        <v>0</v>
      </c>
      <c r="G290" s="186">
        <f t="shared" si="164"/>
        <v>0</v>
      </c>
      <c r="H290" s="186">
        <f t="shared" si="164"/>
        <v>0</v>
      </c>
      <c r="I290" s="186">
        <f t="shared" si="164"/>
        <v>0</v>
      </c>
      <c r="J290" s="186">
        <f t="shared" si="164"/>
        <v>0</v>
      </c>
      <c r="K290" s="186">
        <f t="shared" si="164"/>
        <v>0</v>
      </c>
      <c r="L290" s="186">
        <f t="shared" si="164"/>
        <v>0</v>
      </c>
      <c r="M290" s="186">
        <f t="shared" si="164"/>
        <v>0</v>
      </c>
      <c r="N290" s="186">
        <f t="shared" si="164"/>
        <v>0</v>
      </c>
      <c r="O290" s="186">
        <f t="shared" si="164"/>
        <v>0</v>
      </c>
      <c r="P290" s="186">
        <f t="shared" si="164"/>
        <v>0</v>
      </c>
      <c r="Q290" s="186">
        <f t="shared" si="164"/>
        <v>0</v>
      </c>
      <c r="R290" s="186">
        <f t="shared" si="164"/>
        <v>0</v>
      </c>
      <c r="S290" s="186">
        <f t="shared" si="164"/>
        <v>0</v>
      </c>
      <c r="T290" s="186">
        <f t="shared" si="164"/>
        <v>0</v>
      </c>
      <c r="U290" s="186">
        <f t="shared" si="164"/>
        <v>0</v>
      </c>
      <c r="V290" s="186">
        <f t="shared" si="164"/>
        <v>0</v>
      </c>
      <c r="W290" s="186">
        <f t="shared" si="164"/>
        <v>0</v>
      </c>
      <c r="X290" s="186">
        <f t="shared" si="164"/>
        <v>0</v>
      </c>
      <c r="Y290" s="186">
        <f t="shared" si="164"/>
        <v>0</v>
      </c>
      <c r="Z290" s="186">
        <f t="shared" si="164"/>
        <v>0</v>
      </c>
      <c r="AA290" s="186">
        <f t="shared" si="164"/>
        <v>0</v>
      </c>
      <c r="AB290" s="186">
        <f t="shared" si="164"/>
        <v>0</v>
      </c>
      <c r="AC290" s="186">
        <f t="shared" si="164"/>
        <v>0</v>
      </c>
      <c r="AD290" s="186">
        <f t="shared" si="164"/>
        <v>0</v>
      </c>
      <c r="AE290" s="186">
        <f t="shared" si="164"/>
        <v>0</v>
      </c>
      <c r="AF290" s="186">
        <f t="shared" si="164"/>
        <v>0</v>
      </c>
      <c r="AG290" s="186">
        <f t="shared" si="164"/>
        <v>0</v>
      </c>
      <c r="AH290" s="186">
        <f t="shared" si="164"/>
        <v>0</v>
      </c>
      <c r="AI290" s="186">
        <f t="shared" si="164"/>
        <v>0</v>
      </c>
      <c r="AJ290" s="186">
        <f t="shared" si="164"/>
        <v>0</v>
      </c>
      <c r="AK290" s="186">
        <f t="shared" si="164"/>
        <v>0</v>
      </c>
      <c r="AL290" s="186">
        <f t="shared" si="164"/>
        <v>0</v>
      </c>
      <c r="AM290" s="186">
        <f t="shared" si="164"/>
        <v>0</v>
      </c>
      <c r="AN290" s="186">
        <f t="shared" si="164"/>
        <v>0</v>
      </c>
      <c r="AO290" s="186">
        <f t="shared" si="164"/>
        <v>0</v>
      </c>
      <c r="AP290" s="186">
        <f t="shared" si="164"/>
        <v>0</v>
      </c>
    </row>
    <row r="291" spans="1:42" x14ac:dyDescent="0.2">
      <c r="A291" s="187" t="s">
        <v>123</v>
      </c>
      <c r="B291" s="177">
        <f>SUM(B287:B290)</f>
        <v>0</v>
      </c>
      <c r="C291" s="177">
        <f>SUM(C287:C290)</f>
        <v>0</v>
      </c>
      <c r="D291" s="177">
        <f t="shared" ref="D291:AL291" si="165">SUM(D287:D290)</f>
        <v>0</v>
      </c>
      <c r="E291" s="177">
        <f t="shared" si="165"/>
        <v>0</v>
      </c>
      <c r="F291" s="177">
        <f t="shared" si="165"/>
        <v>0</v>
      </c>
      <c r="G291" s="177">
        <f t="shared" si="165"/>
        <v>0</v>
      </c>
      <c r="H291" s="177">
        <f t="shared" si="165"/>
        <v>0</v>
      </c>
      <c r="I291" s="177">
        <f t="shared" si="165"/>
        <v>0</v>
      </c>
      <c r="J291" s="177">
        <f t="shared" si="165"/>
        <v>0</v>
      </c>
      <c r="K291" s="177">
        <f t="shared" si="165"/>
        <v>0</v>
      </c>
      <c r="L291" s="177">
        <f t="shared" si="165"/>
        <v>0</v>
      </c>
      <c r="M291" s="177">
        <f t="shared" si="165"/>
        <v>0</v>
      </c>
      <c r="N291" s="177">
        <f t="shared" si="165"/>
        <v>0</v>
      </c>
      <c r="O291" s="177">
        <f t="shared" si="165"/>
        <v>0</v>
      </c>
      <c r="P291" s="177">
        <f t="shared" si="165"/>
        <v>0</v>
      </c>
      <c r="Q291" s="177">
        <f t="shared" si="165"/>
        <v>0</v>
      </c>
      <c r="R291" s="177">
        <f t="shared" si="165"/>
        <v>0</v>
      </c>
      <c r="S291" s="177">
        <f t="shared" si="165"/>
        <v>0</v>
      </c>
      <c r="T291" s="177">
        <f t="shared" si="165"/>
        <v>0</v>
      </c>
      <c r="U291" s="177">
        <f t="shared" si="165"/>
        <v>0</v>
      </c>
      <c r="V291" s="177">
        <f t="shared" si="165"/>
        <v>0</v>
      </c>
      <c r="W291" s="177">
        <f t="shared" si="165"/>
        <v>0</v>
      </c>
      <c r="X291" s="177">
        <f t="shared" si="165"/>
        <v>0</v>
      </c>
      <c r="Y291" s="177">
        <f t="shared" si="165"/>
        <v>0</v>
      </c>
      <c r="Z291" s="177">
        <f t="shared" si="165"/>
        <v>0</v>
      </c>
      <c r="AA291" s="177">
        <f t="shared" si="165"/>
        <v>0</v>
      </c>
      <c r="AB291" s="177">
        <f t="shared" si="165"/>
        <v>0</v>
      </c>
      <c r="AC291" s="177">
        <f t="shared" si="165"/>
        <v>0</v>
      </c>
      <c r="AD291" s="177">
        <f t="shared" si="165"/>
        <v>0</v>
      </c>
      <c r="AE291" s="177">
        <f t="shared" si="165"/>
        <v>0</v>
      </c>
      <c r="AF291" s="177">
        <f t="shared" si="165"/>
        <v>0</v>
      </c>
      <c r="AG291" s="177">
        <f t="shared" si="165"/>
        <v>0</v>
      </c>
      <c r="AH291" s="177">
        <f t="shared" si="165"/>
        <v>0</v>
      </c>
      <c r="AI291" s="177">
        <f t="shared" si="165"/>
        <v>0</v>
      </c>
      <c r="AJ291" s="177">
        <f t="shared" si="165"/>
        <v>0</v>
      </c>
      <c r="AK291" s="177">
        <f t="shared" si="165"/>
        <v>0</v>
      </c>
      <c r="AL291" s="177">
        <f t="shared" si="165"/>
        <v>0</v>
      </c>
      <c r="AM291" s="177">
        <f>SUM(AM287:AM290)</f>
        <v>0</v>
      </c>
      <c r="AN291" s="177">
        <f t="shared" ref="AN291:AP291" si="166">SUM(AN287:AN290)</f>
        <v>0</v>
      </c>
      <c r="AO291" s="177">
        <f t="shared" si="166"/>
        <v>0</v>
      </c>
      <c r="AP291" s="177">
        <f t="shared" si="166"/>
        <v>0</v>
      </c>
    </row>
    <row r="292" spans="1:42" s="101" customFormat="1" x14ac:dyDescent="0.2">
      <c r="A292" s="25" t="s">
        <v>335</v>
      </c>
      <c r="B292" s="181">
        <f>B285+B291</f>
        <v>0</v>
      </c>
      <c r="C292" s="181">
        <f>C285+C291</f>
        <v>697117.533163541</v>
      </c>
      <c r="D292" s="181">
        <f t="shared" ref="D292:AP292" si="167">D285+D291</f>
        <v>705201.76408401132</v>
      </c>
      <c r="E292" s="181">
        <f t="shared" si="167"/>
        <v>713447.69321199693</v>
      </c>
      <c r="F292" s="181">
        <f t="shared" si="167"/>
        <v>721858.55605856422</v>
      </c>
      <c r="G292" s="181">
        <f t="shared" si="167"/>
        <v>730437.65289701615</v>
      </c>
      <c r="H292" s="181">
        <f t="shared" si="167"/>
        <v>739188.35005956702</v>
      </c>
      <c r="I292" s="181">
        <f t="shared" si="167"/>
        <v>748114.08125996776</v>
      </c>
      <c r="J292" s="181">
        <f t="shared" si="167"/>
        <v>757218.34894263651</v>
      </c>
      <c r="K292" s="181">
        <f t="shared" si="167"/>
        <v>766504.72565879673</v>
      </c>
      <c r="L292" s="181">
        <f t="shared" si="167"/>
        <v>775976.8554701861</v>
      </c>
      <c r="M292" s="181">
        <f t="shared" si="167"/>
        <v>785638.45538087655</v>
      </c>
      <c r="N292" s="181">
        <f t="shared" si="167"/>
        <v>795493.31679776683</v>
      </c>
      <c r="O292" s="181">
        <f t="shared" si="167"/>
        <v>853551.18560560606</v>
      </c>
      <c r="P292" s="181">
        <f t="shared" si="167"/>
        <v>863804.24934546556</v>
      </c>
      <c r="Q292" s="181">
        <f t="shared" si="167"/>
        <v>874262.4102764288</v>
      </c>
      <c r="R292" s="181">
        <f t="shared" si="167"/>
        <v>884929.77261554543</v>
      </c>
      <c r="S292" s="181">
        <f t="shared" si="167"/>
        <v>895810.52273582853</v>
      </c>
      <c r="T292" s="181">
        <f t="shared" si="167"/>
        <v>906908.93081130181</v>
      </c>
      <c r="U292" s="181">
        <f t="shared" si="167"/>
        <v>918229.35249495879</v>
      </c>
      <c r="V292" s="181">
        <f t="shared" si="167"/>
        <v>929776.23063037265</v>
      </c>
      <c r="W292" s="181">
        <f t="shared" si="167"/>
        <v>948719.55809130147</v>
      </c>
      <c r="X292" s="181">
        <f t="shared" si="167"/>
        <v>960733.03518753033</v>
      </c>
      <c r="Y292" s="181">
        <f t="shared" si="167"/>
        <v>972986.83804387972</v>
      </c>
      <c r="Z292" s="181">
        <f t="shared" si="167"/>
        <v>985485.77607809845</v>
      </c>
      <c r="AA292" s="181">
        <f t="shared" si="167"/>
        <v>1055631.4557581544</v>
      </c>
      <c r="AB292" s="181">
        <f t="shared" si="167"/>
        <v>1068635.4794359403</v>
      </c>
      <c r="AC292" s="181">
        <f t="shared" si="167"/>
        <v>1081899.6519549815</v>
      </c>
      <c r="AD292" s="181">
        <f t="shared" si="167"/>
        <v>1095429.1795621412</v>
      </c>
      <c r="AE292" s="181">
        <f t="shared" si="167"/>
        <v>1109229.3727272153</v>
      </c>
      <c r="AF292" s="181">
        <f t="shared" si="167"/>
        <v>1123305.6482299324</v>
      </c>
      <c r="AG292" s="181">
        <f t="shared" si="167"/>
        <v>1137663.5312888073</v>
      </c>
      <c r="AH292" s="181">
        <f t="shared" si="167"/>
        <v>1152308.657732592</v>
      </c>
      <c r="AI292" s="181">
        <f t="shared" si="167"/>
        <v>1167246.7762152515</v>
      </c>
      <c r="AJ292" s="181">
        <f t="shared" si="167"/>
        <v>1182483.750475293</v>
      </c>
      <c r="AK292" s="181">
        <f t="shared" si="167"/>
        <v>1198025.561640352</v>
      </c>
      <c r="AL292" s="181">
        <f t="shared" si="167"/>
        <v>1213878.3105779542</v>
      </c>
      <c r="AM292" s="181">
        <f t="shared" si="167"/>
        <v>879239.61230941769</v>
      </c>
      <c r="AN292" s="181">
        <f t="shared" si="167"/>
        <v>895733.0303914398</v>
      </c>
      <c r="AO292" s="181">
        <f t="shared" si="167"/>
        <v>912556.43150739651</v>
      </c>
      <c r="AP292" s="181">
        <f t="shared" si="167"/>
        <v>920385.18114512321</v>
      </c>
    </row>
    <row r="293" spans="1:42" x14ac:dyDescent="0.2">
      <c r="A293" s="180" t="s">
        <v>122</v>
      </c>
      <c r="B293" s="177">
        <f t="shared" ref="B293" si="168">B292*-StateTax</f>
        <v>0</v>
      </c>
      <c r="C293" s="177">
        <f t="shared" ref="C293:AP293" si="169">C292*-StateTax</f>
        <v>-38341.464323994755</v>
      </c>
      <c r="D293" s="177">
        <f t="shared" si="169"/>
        <v>-38786.09702462062</v>
      </c>
      <c r="E293" s="177">
        <f t="shared" si="169"/>
        <v>-39239.623126659833</v>
      </c>
      <c r="F293" s="177">
        <f t="shared" si="169"/>
        <v>-39702.220583221031</v>
      </c>
      <c r="G293" s="177">
        <f t="shared" si="169"/>
        <v>-40174.070909335889</v>
      </c>
      <c r="H293" s="177">
        <f t="shared" si="169"/>
        <v>-40655.359253276183</v>
      </c>
      <c r="I293" s="177">
        <f t="shared" si="169"/>
        <v>-41146.274469298231</v>
      </c>
      <c r="J293" s="177">
        <f t="shared" si="169"/>
        <v>-41647.009191845005</v>
      </c>
      <c r="K293" s="177">
        <f t="shared" si="169"/>
        <v>-42157.759911233821</v>
      </c>
      <c r="L293" s="177">
        <f t="shared" si="169"/>
        <v>-42678.727050860238</v>
      </c>
      <c r="M293" s="177">
        <f t="shared" si="169"/>
        <v>-43210.115045948209</v>
      </c>
      <c r="N293" s="177">
        <f t="shared" si="169"/>
        <v>-43752.132423877178</v>
      </c>
      <c r="O293" s="177">
        <f t="shared" si="169"/>
        <v>-46945.315208308333</v>
      </c>
      <c r="P293" s="177">
        <f t="shared" si="169"/>
        <v>-47509.233714000606</v>
      </c>
      <c r="Q293" s="177">
        <f t="shared" si="169"/>
        <v>-48084.432565203584</v>
      </c>
      <c r="R293" s="177">
        <f t="shared" si="169"/>
        <v>-48671.137493855</v>
      </c>
      <c r="S293" s="177">
        <f t="shared" si="169"/>
        <v>-49269.578750470573</v>
      </c>
      <c r="T293" s="177">
        <f t="shared" si="169"/>
        <v>-49879.991194621602</v>
      </c>
      <c r="U293" s="177">
        <f t="shared" si="169"/>
        <v>-50502.614387222733</v>
      </c>
      <c r="V293" s="177">
        <f t="shared" si="169"/>
        <v>-51137.692684670496</v>
      </c>
      <c r="W293" s="177">
        <f t="shared" si="169"/>
        <v>-52179.57569502158</v>
      </c>
      <c r="X293" s="177">
        <f t="shared" si="169"/>
        <v>-52840.316935314171</v>
      </c>
      <c r="Y293" s="177">
        <f t="shared" si="169"/>
        <v>-53514.276092413384</v>
      </c>
      <c r="Z293" s="177">
        <f t="shared" si="169"/>
        <v>-54201.717684295414</v>
      </c>
      <c r="AA293" s="177">
        <f t="shared" si="169"/>
        <v>-58059.730066698488</v>
      </c>
      <c r="AB293" s="177">
        <f t="shared" si="169"/>
        <v>-58774.951368976712</v>
      </c>
      <c r="AC293" s="177">
        <f t="shared" si="169"/>
        <v>-59504.48085752398</v>
      </c>
      <c r="AD293" s="177">
        <f t="shared" si="169"/>
        <v>-60248.604875917765</v>
      </c>
      <c r="AE293" s="177">
        <f t="shared" si="169"/>
        <v>-61007.615499996842</v>
      </c>
      <c r="AF293" s="177">
        <f t="shared" si="169"/>
        <v>-61781.81065264628</v>
      </c>
      <c r="AG293" s="177">
        <f t="shared" si="169"/>
        <v>-62571.4942208844</v>
      </c>
      <c r="AH293" s="177">
        <f t="shared" si="169"/>
        <v>-63376.976175292555</v>
      </c>
      <c r="AI293" s="177">
        <f t="shared" si="169"/>
        <v>-64198.572691838832</v>
      </c>
      <c r="AJ293" s="177">
        <f t="shared" si="169"/>
        <v>-65036.606276141116</v>
      </c>
      <c r="AK293" s="177">
        <f t="shared" si="169"/>
        <v>-65891.405890219365</v>
      </c>
      <c r="AL293" s="177">
        <f t="shared" si="169"/>
        <v>-66763.307081787483</v>
      </c>
      <c r="AM293" s="177">
        <f t="shared" si="169"/>
        <v>-48358.178677017975</v>
      </c>
      <c r="AN293" s="177">
        <f t="shared" si="169"/>
        <v>-49265.316671529188</v>
      </c>
      <c r="AO293" s="177">
        <f t="shared" si="169"/>
        <v>-50190.603732906806</v>
      </c>
      <c r="AP293" s="177">
        <f t="shared" si="169"/>
        <v>-50621.184962981773</v>
      </c>
    </row>
    <row r="294" spans="1:42" s="101" customFormat="1" x14ac:dyDescent="0.2">
      <c r="A294" s="25"/>
      <c r="B294" s="25"/>
    </row>
    <row r="295" spans="1:42" s="101" customFormat="1" x14ac:dyDescent="0.2">
      <c r="A295" s="178" t="s">
        <v>386</v>
      </c>
    </row>
    <row r="296" spans="1:42" s="101" customFormat="1" x14ac:dyDescent="0.2">
      <c r="A296" s="25" t="s">
        <v>330</v>
      </c>
      <c r="B296" s="124">
        <f t="shared" ref="B296:C298" si="170">B280</f>
        <v>0</v>
      </c>
      <c r="C296" s="181">
        <f t="shared" si="170"/>
        <v>6747796.8781398069</v>
      </c>
      <c r="D296" s="181">
        <f t="shared" ref="D296:AP296" si="171">D280</f>
        <v>6781198.4726865981</v>
      </c>
      <c r="E296" s="181">
        <f t="shared" si="171"/>
        <v>6814765.4051263984</v>
      </c>
      <c r="F296" s="181">
        <f t="shared" si="171"/>
        <v>6848498.4938817732</v>
      </c>
      <c r="G296" s="181">
        <f t="shared" si="171"/>
        <v>6882398.5614264896</v>
      </c>
      <c r="H296" s="181">
        <f t="shared" si="171"/>
        <v>6916466.4343055496</v>
      </c>
      <c r="I296" s="181">
        <f t="shared" si="171"/>
        <v>6950702.9431553623</v>
      </c>
      <c r="J296" s="181">
        <f t="shared" si="171"/>
        <v>6985108.9227239797</v>
      </c>
      <c r="K296" s="181">
        <f t="shared" si="171"/>
        <v>7019685.2118914668</v>
      </c>
      <c r="L296" s="181">
        <f t="shared" si="171"/>
        <v>7054432.6536903288</v>
      </c>
      <c r="M296" s="181">
        <f t="shared" si="171"/>
        <v>7089352.0953260968</v>
      </c>
      <c r="N296" s="181">
        <f t="shared" si="171"/>
        <v>7124444.3881979594</v>
      </c>
      <c r="O296" s="181">
        <f t="shared" si="171"/>
        <v>7159710.3879195405</v>
      </c>
      <c r="P296" s="181">
        <f t="shared" si="171"/>
        <v>7195150.9543397427</v>
      </c>
      <c r="Q296" s="181">
        <f t="shared" si="171"/>
        <v>7230766.9515637252</v>
      </c>
      <c r="R296" s="181">
        <f t="shared" si="171"/>
        <v>7266559.2479739627</v>
      </c>
      <c r="S296" s="181">
        <f t="shared" si="171"/>
        <v>7302528.7162514366</v>
      </c>
      <c r="T296" s="181">
        <f t="shared" si="171"/>
        <v>7338676.2333968822</v>
      </c>
      <c r="U296" s="181">
        <f t="shared" si="171"/>
        <v>7375002.6807521963</v>
      </c>
      <c r="V296" s="181">
        <f t="shared" si="171"/>
        <v>7411508.9440219179</v>
      </c>
      <c r="W296" s="181">
        <f t="shared" si="171"/>
        <v>7448195.9132948276</v>
      </c>
      <c r="X296" s="181">
        <f t="shared" si="171"/>
        <v>7485064.4830656359</v>
      </c>
      <c r="Y296" s="181">
        <f t="shared" si="171"/>
        <v>7522115.5522568133</v>
      </c>
      <c r="Z296" s="181">
        <f t="shared" si="171"/>
        <v>7559350.0242404817</v>
      </c>
      <c r="AA296" s="181">
        <f t="shared" si="171"/>
        <v>7596768.8068604758</v>
      </c>
      <c r="AB296" s="181">
        <f t="shared" si="171"/>
        <v>7634372.812454436</v>
      </c>
      <c r="AC296" s="181">
        <f t="shared" si="171"/>
        <v>7672162.9578760853</v>
      </c>
      <c r="AD296" s="181">
        <f t="shared" si="171"/>
        <v>7710140.1645175684</v>
      </c>
      <c r="AE296" s="181">
        <f t="shared" si="171"/>
        <v>7748305.3583319318</v>
      </c>
      <c r="AF296" s="181">
        <f t="shared" si="171"/>
        <v>7786659.4698556755</v>
      </c>
      <c r="AG296" s="181">
        <f t="shared" si="171"/>
        <v>7825203.4342314629</v>
      </c>
      <c r="AH296" s="181">
        <f t="shared" si="171"/>
        <v>7863938.1912309052</v>
      </c>
      <c r="AI296" s="181">
        <f t="shared" si="171"/>
        <v>7902864.6852775002</v>
      </c>
      <c r="AJ296" s="181">
        <f t="shared" si="171"/>
        <v>7941983.8654696234</v>
      </c>
      <c r="AK296" s="181">
        <f t="shared" si="171"/>
        <v>7981296.6856036987</v>
      </c>
      <c r="AL296" s="181">
        <f t="shared" si="171"/>
        <v>8020804.1041974369</v>
      </c>
      <c r="AM296" s="181">
        <f t="shared" si="171"/>
        <v>8060507.0845132144</v>
      </c>
      <c r="AN296" s="181">
        <f t="shared" si="171"/>
        <v>8100406.5945815556</v>
      </c>
      <c r="AO296" s="181">
        <f t="shared" si="171"/>
        <v>8140503.6072247354</v>
      </c>
      <c r="AP296" s="181">
        <f t="shared" si="171"/>
        <v>8180799.1000804948</v>
      </c>
    </row>
    <row r="297" spans="1:42" s="101" customFormat="1" x14ac:dyDescent="0.2">
      <c r="A297" s="25" t="s">
        <v>331</v>
      </c>
      <c r="B297" s="124">
        <f t="shared" si="170"/>
        <v>0</v>
      </c>
      <c r="C297" s="181">
        <f t="shared" si="170"/>
        <v>6776.1213953125007</v>
      </c>
      <c r="D297" s="181">
        <f t="shared" ref="D297:AP297" si="172">D281</f>
        <v>11022.150933383791</v>
      </c>
      <c r="E297" s="181">
        <f t="shared" si="172"/>
        <v>15269.654512563315</v>
      </c>
      <c r="F297" s="181">
        <f t="shared" si="172"/>
        <v>19518.661851482586</v>
      </c>
      <c r="G297" s="181">
        <f t="shared" si="172"/>
        <v>23769.203290216774</v>
      </c>
      <c r="H297" s="181">
        <f t="shared" si="172"/>
        <v>28021.309803623877</v>
      </c>
      <c r="I297" s="181">
        <f t="shared" si="172"/>
        <v>32275.013014975622</v>
      </c>
      <c r="J297" s="181">
        <f t="shared" si="172"/>
        <v>36530.345209886385</v>
      </c>
      <c r="K297" s="181">
        <f t="shared" si="172"/>
        <v>40787.339350546878</v>
      </c>
      <c r="L297" s="181">
        <f t="shared" si="172"/>
        <v>45046.029090269272</v>
      </c>
      <c r="M297" s="181">
        <f t="shared" si="172"/>
        <v>49306.448788350688</v>
      </c>
      <c r="N297" s="181">
        <f t="shared" si="172"/>
        <v>53568.63352526207</v>
      </c>
      <c r="O297" s="181">
        <f t="shared" si="172"/>
        <v>6297.3531068967268</v>
      </c>
      <c r="P297" s="181">
        <f t="shared" si="172"/>
        <v>11403.279000766337</v>
      </c>
      <c r="Q297" s="181">
        <f t="shared" si="172"/>
        <v>16511.079658844716</v>
      </c>
      <c r="R297" s="181">
        <f t="shared" si="172"/>
        <v>21620.793204951438</v>
      </c>
      <c r="S297" s="181">
        <f t="shared" si="172"/>
        <v>26732.458565163892</v>
      </c>
      <c r="T297" s="181">
        <f t="shared" si="172"/>
        <v>31846.115485115948</v>
      </c>
      <c r="U297" s="181">
        <f t="shared" si="172"/>
        <v>36961.804547676074</v>
      </c>
      <c r="V297" s="181">
        <f t="shared" si="172"/>
        <v>42079.567191013273</v>
      </c>
      <c r="W297" s="181">
        <f t="shared" si="172"/>
        <v>47199.445727059538</v>
      </c>
      <c r="X297" s="181">
        <f t="shared" si="172"/>
        <v>52446.878929518141</v>
      </c>
      <c r="Y297" s="181">
        <f t="shared" si="172"/>
        <v>57696.515345723783</v>
      </c>
      <c r="Z297" s="181">
        <f t="shared" si="172"/>
        <v>62948.400023769842</v>
      </c>
      <c r="AA297" s="181">
        <f t="shared" si="172"/>
        <v>6586.0784493241936</v>
      </c>
      <c r="AB297" s="181">
        <f t="shared" si="172"/>
        <v>12847.040886474646</v>
      </c>
      <c r="AC297" s="181">
        <f t="shared" si="172"/>
        <v>19110.392523059818</v>
      </c>
      <c r="AD297" s="181">
        <f t="shared" si="172"/>
        <v>25376.182339503135</v>
      </c>
      <c r="AE297" s="181">
        <f t="shared" si="172"/>
        <v>31644.460353062212</v>
      </c>
      <c r="AF297" s="181">
        <f t="shared" si="172"/>
        <v>37915.277640280299</v>
      </c>
      <c r="AG297" s="181">
        <f t="shared" si="172"/>
        <v>44188.686359931598</v>
      </c>
      <c r="AH297" s="181">
        <f t="shared" si="172"/>
        <v>50464.739776471564</v>
      </c>
      <c r="AI297" s="181">
        <f t="shared" si="172"/>
        <v>56743.492284003289</v>
      </c>
      <c r="AJ297" s="181">
        <f t="shared" si="172"/>
        <v>63024.999430771604</v>
      </c>
      <c r="AK297" s="181">
        <f t="shared" si="172"/>
        <v>69309.317944196475</v>
      </c>
      <c r="AL297" s="181">
        <f t="shared" si="172"/>
        <v>75596.50575645786</v>
      </c>
      <c r="AM297" s="181">
        <f t="shared" si="172"/>
        <v>8216.8143540193832</v>
      </c>
      <c r="AN297" s="181">
        <f t="shared" si="172"/>
        <v>8370.7688711335886</v>
      </c>
      <c r="AO297" s="181">
        <f t="shared" si="172"/>
        <v>8527.773976562974</v>
      </c>
      <c r="AP297" s="181">
        <f t="shared" si="172"/>
        <v>8687.8926888390088</v>
      </c>
    </row>
    <row r="298" spans="1:42" s="101" customFormat="1" x14ac:dyDescent="0.2">
      <c r="A298" s="25" t="s">
        <v>382</v>
      </c>
      <c r="B298" s="124">
        <f t="shared" si="170"/>
        <v>0</v>
      </c>
      <c r="C298" s="181">
        <f t="shared" si="170"/>
        <v>54487.273845181517</v>
      </c>
      <c r="D298" s="181">
        <f t="shared" ref="D298:AP298" si="173">D282</f>
        <v>54487.273845181517</v>
      </c>
      <c r="E298" s="181">
        <f t="shared" si="173"/>
        <v>54487.273845181517</v>
      </c>
      <c r="F298" s="181">
        <f t="shared" si="173"/>
        <v>54487.273845181517</v>
      </c>
      <c r="G298" s="181">
        <f t="shared" si="173"/>
        <v>54487.273845181517</v>
      </c>
      <c r="H298" s="181">
        <f t="shared" si="173"/>
        <v>54487.273845181517</v>
      </c>
      <c r="I298" s="181">
        <f t="shared" si="173"/>
        <v>54487.273845181517</v>
      </c>
      <c r="J298" s="181">
        <f t="shared" si="173"/>
        <v>54487.273845181517</v>
      </c>
      <c r="K298" s="181">
        <f t="shared" si="173"/>
        <v>54487.273845181517</v>
      </c>
      <c r="L298" s="181">
        <f t="shared" si="173"/>
        <v>54487.273845181517</v>
      </c>
      <c r="M298" s="181">
        <f t="shared" si="173"/>
        <v>54487.273845181517</v>
      </c>
      <c r="N298" s="181">
        <f t="shared" si="173"/>
        <v>54487.273845181517</v>
      </c>
      <c r="O298" s="181">
        <f t="shared" si="173"/>
        <v>54487.273845181517</v>
      </c>
      <c r="P298" s="181">
        <f t="shared" si="173"/>
        <v>54487.273845181517</v>
      </c>
      <c r="Q298" s="181">
        <f t="shared" si="173"/>
        <v>54487.273845181517</v>
      </c>
      <c r="R298" s="181">
        <f t="shared" si="173"/>
        <v>54487.273845181517</v>
      </c>
      <c r="S298" s="181">
        <f t="shared" si="173"/>
        <v>54487.273845181517</v>
      </c>
      <c r="T298" s="181">
        <f t="shared" si="173"/>
        <v>54487.273845181517</v>
      </c>
      <c r="U298" s="181">
        <f t="shared" si="173"/>
        <v>54487.273845181517</v>
      </c>
      <c r="V298" s="181">
        <f t="shared" si="173"/>
        <v>54487.273845181517</v>
      </c>
      <c r="W298" s="181">
        <f t="shared" si="173"/>
        <v>54487.273845181517</v>
      </c>
      <c r="X298" s="181">
        <f t="shared" si="173"/>
        <v>54487.273845181517</v>
      </c>
      <c r="Y298" s="181">
        <f t="shared" si="173"/>
        <v>54487.273845181517</v>
      </c>
      <c r="Z298" s="181">
        <f t="shared" si="173"/>
        <v>54487.273845181517</v>
      </c>
      <c r="AA298" s="181">
        <f t="shared" si="173"/>
        <v>54487.273845181517</v>
      </c>
      <c r="AB298" s="181">
        <f t="shared" si="173"/>
        <v>54487.273845181517</v>
      </c>
      <c r="AC298" s="181">
        <f t="shared" si="173"/>
        <v>54487.273845181517</v>
      </c>
      <c r="AD298" s="181">
        <f t="shared" si="173"/>
        <v>54487.273845181517</v>
      </c>
      <c r="AE298" s="181">
        <f t="shared" si="173"/>
        <v>54487.273845181517</v>
      </c>
      <c r="AF298" s="181">
        <f t="shared" si="173"/>
        <v>54487.273845181517</v>
      </c>
      <c r="AG298" s="181">
        <f t="shared" si="173"/>
        <v>54487.273845181517</v>
      </c>
      <c r="AH298" s="181">
        <f t="shared" si="173"/>
        <v>54487.273845181517</v>
      </c>
      <c r="AI298" s="181">
        <f t="shared" si="173"/>
        <v>54487.273845181517</v>
      </c>
      <c r="AJ298" s="181">
        <f t="shared" si="173"/>
        <v>54487.273845181517</v>
      </c>
      <c r="AK298" s="181">
        <f t="shared" si="173"/>
        <v>54487.273845181517</v>
      </c>
      <c r="AL298" s="181">
        <f t="shared" si="173"/>
        <v>54487.273845181517</v>
      </c>
      <c r="AM298" s="181">
        <f t="shared" si="173"/>
        <v>54487.273845181517</v>
      </c>
      <c r="AN298" s="181">
        <f t="shared" si="173"/>
        <v>54487.273845181517</v>
      </c>
      <c r="AO298" s="181">
        <f t="shared" si="173"/>
        <v>54487.273845181517</v>
      </c>
      <c r="AP298" s="181">
        <f t="shared" si="173"/>
        <v>54487.273845181517</v>
      </c>
    </row>
    <row r="299" spans="1:42" s="101" customFormat="1" x14ac:dyDescent="0.2">
      <c r="A299" s="25" t="s">
        <v>332</v>
      </c>
      <c r="B299" s="124">
        <f t="shared" ref="B299:B300" si="174">B283</f>
        <v>0</v>
      </c>
      <c r="C299" s="181">
        <f t="shared" ref="C299:C300" si="175">C283</f>
        <v>-774413.87375000003</v>
      </c>
      <c r="D299" s="181">
        <f t="shared" ref="D299:AP299" si="176">D283</f>
        <v>-768862.33513649995</v>
      </c>
      <c r="E299" s="181">
        <f t="shared" si="176"/>
        <v>-763479.25836394064</v>
      </c>
      <c r="F299" s="181">
        <f t="shared" si="176"/>
        <v>-758268.03984735277</v>
      </c>
      <c r="G299" s="181">
        <f t="shared" si="176"/>
        <v>-753232.14702389773</v>
      </c>
      <c r="H299" s="181">
        <f t="shared" si="176"/>
        <v>-748375.11987734796</v>
      </c>
      <c r="I299" s="181">
        <f t="shared" si="176"/>
        <v>-743700.57249589951</v>
      </c>
      <c r="J299" s="181">
        <f t="shared" si="176"/>
        <v>-739212.19466405339</v>
      </c>
      <c r="K299" s="181">
        <f t="shared" si="176"/>
        <v>-734913.7534893197</v>
      </c>
      <c r="L299" s="181">
        <f t="shared" si="176"/>
        <v>-730809.09506451734</v>
      </c>
      <c r="M299" s="181">
        <f t="shared" si="176"/>
        <v>-726902.14616645931</v>
      </c>
      <c r="N299" s="181">
        <f t="shared" si="176"/>
        <v>-723196.91599182587</v>
      </c>
      <c r="O299" s="181">
        <f t="shared" si="176"/>
        <v>-719697.49793105444</v>
      </c>
      <c r="P299" s="181">
        <f t="shared" si="176"/>
        <v>-716408.07138108672</v>
      </c>
      <c r="Q299" s="181">
        <f t="shared" si="176"/>
        <v>-713332.90359783545</v>
      </c>
      <c r="R299" s="181">
        <f t="shared" si="176"/>
        <v>-710476.35158925212</v>
      </c>
      <c r="S299" s="181">
        <f t="shared" si="176"/>
        <v>-707842.8640498952</v>
      </c>
      <c r="T299" s="181">
        <f t="shared" si="176"/>
        <v>-705436.98333792144</v>
      </c>
      <c r="U299" s="181">
        <f t="shared" si="176"/>
        <v>-703263.34749544098</v>
      </c>
      <c r="V299" s="181">
        <f t="shared" si="176"/>
        <v>-701326.69231319777</v>
      </c>
      <c r="W299" s="181">
        <f t="shared" si="176"/>
        <v>-699631.8534405618</v>
      </c>
      <c r="X299" s="181">
        <f t="shared" si="176"/>
        <v>-712514.69072933728</v>
      </c>
      <c r="Y299" s="181">
        <f t="shared" si="176"/>
        <v>-725649.3238749156</v>
      </c>
      <c r="Z299" s="181">
        <f t="shared" si="176"/>
        <v>-739040.90123082767</v>
      </c>
      <c r="AA299" s="181">
        <f t="shared" si="176"/>
        <v>-752694.67992276489</v>
      </c>
      <c r="AB299" s="181">
        <f t="shared" si="176"/>
        <v>-766616.0282006755</v>
      </c>
      <c r="AC299" s="181">
        <f t="shared" si="176"/>
        <v>-780810.42784255394</v>
      </c>
      <c r="AD299" s="181">
        <f t="shared" si="176"/>
        <v>-795283.47661107732</v>
      </c>
      <c r="AE299" s="181">
        <f t="shared" si="176"/>
        <v>-810040.89076425927</v>
      </c>
      <c r="AF299" s="181">
        <f t="shared" si="176"/>
        <v>-825088.507621328</v>
      </c>
      <c r="AG299" s="181">
        <f t="shared" si="176"/>
        <v>-840432.2881850499</v>
      </c>
      <c r="AH299" s="181">
        <f t="shared" si="176"/>
        <v>-856078.31982176169</v>
      </c>
      <c r="AI299" s="181">
        <f t="shared" si="176"/>
        <v>-872032.81900038943</v>
      </c>
      <c r="AJ299" s="181">
        <f t="shared" si="176"/>
        <v>-888302.13409176958</v>
      </c>
      <c r="AK299" s="181">
        <f t="shared" si="176"/>
        <v>-904892.74822961341</v>
      </c>
      <c r="AL299" s="181">
        <f t="shared" si="176"/>
        <v>-921811.28223448794</v>
      </c>
      <c r="AM299" s="181">
        <f t="shared" si="176"/>
        <v>-939064.49760221504</v>
      </c>
      <c r="AN299" s="181">
        <f t="shared" si="176"/>
        <v>-956659.29955812439</v>
      </c>
      <c r="AO299" s="181">
        <f t="shared" si="176"/>
        <v>-974602.74017862557</v>
      </c>
      <c r="AP299" s="181">
        <f t="shared" si="176"/>
        <v>-992902.02158160089</v>
      </c>
    </row>
    <row r="300" spans="1:42" s="101" customFormat="1" x14ac:dyDescent="0.2">
      <c r="A300" s="25" t="s">
        <v>333</v>
      </c>
      <c r="B300" s="124">
        <f t="shared" si="174"/>
        <v>0</v>
      </c>
      <c r="C300" s="124">
        <f t="shared" si="175"/>
        <v>-5337528.8664667597</v>
      </c>
      <c r="D300" s="124">
        <f t="shared" ref="D300:AP300" si="177">D284</f>
        <v>-5372643.7982446523</v>
      </c>
      <c r="E300" s="124">
        <f t="shared" si="177"/>
        <v>-5407595.3819082063</v>
      </c>
      <c r="F300" s="124">
        <f t="shared" si="177"/>
        <v>-5442377.8336725207</v>
      </c>
      <c r="G300" s="124">
        <f t="shared" si="177"/>
        <v>-5476985.2386409743</v>
      </c>
      <c r="H300" s="124">
        <f t="shared" si="177"/>
        <v>-5511411.5480174404</v>
      </c>
      <c r="I300" s="124">
        <f t="shared" si="177"/>
        <v>-5545650.5762596531</v>
      </c>
      <c r="J300" s="124">
        <f t="shared" si="177"/>
        <v>-5579695.9981723577</v>
      </c>
      <c r="K300" s="124">
        <f t="shared" si="177"/>
        <v>-5613541.3459390793</v>
      </c>
      <c r="L300" s="124">
        <f t="shared" si="177"/>
        <v>-5647180.0060910769</v>
      </c>
      <c r="M300" s="124">
        <f t="shared" si="177"/>
        <v>-5680605.2164122928</v>
      </c>
      <c r="N300" s="124">
        <f t="shared" si="177"/>
        <v>-5713810.06277881</v>
      </c>
      <c r="O300" s="124">
        <f t="shared" si="177"/>
        <v>-5647246.3313349579</v>
      </c>
      <c r="P300" s="124">
        <f t="shared" si="177"/>
        <v>-5680829.186459139</v>
      </c>
      <c r="Q300" s="124">
        <f t="shared" si="177"/>
        <v>-5714169.9911934873</v>
      </c>
      <c r="R300" s="124">
        <f t="shared" si="177"/>
        <v>-5747261.1908192979</v>
      </c>
      <c r="S300" s="124">
        <f t="shared" si="177"/>
        <v>-5780095.0618760586</v>
      </c>
      <c r="T300" s="124">
        <f t="shared" si="177"/>
        <v>-5812663.708577957</v>
      </c>
      <c r="U300" s="124">
        <f t="shared" si="177"/>
        <v>-5844959.0591546539</v>
      </c>
      <c r="V300" s="124">
        <f t="shared" si="177"/>
        <v>-5876972.8621145422</v>
      </c>
      <c r="W300" s="124">
        <f t="shared" si="177"/>
        <v>-5901531.2213352062</v>
      </c>
      <c r="X300" s="124">
        <f t="shared" si="177"/>
        <v>-5918750.9099234687</v>
      </c>
      <c r="Y300" s="124">
        <f t="shared" si="177"/>
        <v>-5935663.1795289228</v>
      </c>
      <c r="Z300" s="124">
        <f t="shared" si="177"/>
        <v>-5952259.0208005067</v>
      </c>
      <c r="AA300" s="124">
        <f t="shared" si="177"/>
        <v>-5849516.0234740619</v>
      </c>
      <c r="AB300" s="124">
        <f t="shared" si="177"/>
        <v>-5866455.6195494765</v>
      </c>
      <c r="AC300" s="124">
        <f t="shared" si="177"/>
        <v>-5883050.5444467915</v>
      </c>
      <c r="AD300" s="124">
        <f t="shared" si="177"/>
        <v>-5899290.9645290347</v>
      </c>
      <c r="AE300" s="124">
        <f t="shared" si="177"/>
        <v>-5915166.829038702</v>
      </c>
      <c r="AF300" s="124">
        <f t="shared" si="177"/>
        <v>-5930667.8654898768</v>
      </c>
      <c r="AG300" s="124">
        <f t="shared" si="177"/>
        <v>-5945783.5749627193</v>
      </c>
      <c r="AH300" s="124">
        <f t="shared" si="177"/>
        <v>-5960503.2272982048</v>
      </c>
      <c r="AI300" s="124">
        <f t="shared" si="177"/>
        <v>-5974815.8561910447</v>
      </c>
      <c r="AJ300" s="124">
        <f t="shared" si="177"/>
        <v>-5988710.2541785147</v>
      </c>
      <c r="AK300" s="124">
        <f t="shared" si="177"/>
        <v>-6002174.967523111</v>
      </c>
      <c r="AL300" s="124">
        <f t="shared" si="177"/>
        <v>-6015198.2909866348</v>
      </c>
      <c r="AM300" s="124">
        <f t="shared" si="177"/>
        <v>-6304907.0628007827</v>
      </c>
      <c r="AN300" s="124">
        <f t="shared" si="177"/>
        <v>-6310872.3073483063</v>
      </c>
      <c r="AO300" s="124">
        <f t="shared" si="177"/>
        <v>-6316359.4833604572</v>
      </c>
      <c r="AP300" s="124">
        <f t="shared" si="177"/>
        <v>-6330687.0638877908</v>
      </c>
    </row>
    <row r="301" spans="1:42" s="101" customFormat="1" x14ac:dyDescent="0.2">
      <c r="A301" s="25" t="s">
        <v>122</v>
      </c>
      <c r="B301" s="186">
        <f>B293</f>
        <v>0</v>
      </c>
      <c r="C301" s="186">
        <f>C293</f>
        <v>-38341.464323994755</v>
      </c>
      <c r="D301" s="186">
        <f t="shared" ref="D301:AP301" si="178">D293</f>
        <v>-38786.09702462062</v>
      </c>
      <c r="E301" s="186">
        <f t="shared" si="178"/>
        <v>-39239.623126659833</v>
      </c>
      <c r="F301" s="186">
        <f t="shared" si="178"/>
        <v>-39702.220583221031</v>
      </c>
      <c r="G301" s="186">
        <f t="shared" si="178"/>
        <v>-40174.070909335889</v>
      </c>
      <c r="H301" s="186">
        <f t="shared" si="178"/>
        <v>-40655.359253276183</v>
      </c>
      <c r="I301" s="186">
        <f t="shared" si="178"/>
        <v>-41146.274469298231</v>
      </c>
      <c r="J301" s="186">
        <f t="shared" si="178"/>
        <v>-41647.009191845005</v>
      </c>
      <c r="K301" s="186">
        <f t="shared" si="178"/>
        <v>-42157.759911233821</v>
      </c>
      <c r="L301" s="186">
        <f t="shared" si="178"/>
        <v>-42678.727050860238</v>
      </c>
      <c r="M301" s="186">
        <f t="shared" si="178"/>
        <v>-43210.115045948209</v>
      </c>
      <c r="N301" s="186">
        <f t="shared" si="178"/>
        <v>-43752.132423877178</v>
      </c>
      <c r="O301" s="186">
        <f t="shared" si="178"/>
        <v>-46945.315208308333</v>
      </c>
      <c r="P301" s="186">
        <f t="shared" si="178"/>
        <v>-47509.233714000606</v>
      </c>
      <c r="Q301" s="186">
        <f t="shared" si="178"/>
        <v>-48084.432565203584</v>
      </c>
      <c r="R301" s="186">
        <f t="shared" si="178"/>
        <v>-48671.137493855</v>
      </c>
      <c r="S301" s="186">
        <f t="shared" si="178"/>
        <v>-49269.578750470573</v>
      </c>
      <c r="T301" s="186">
        <f t="shared" si="178"/>
        <v>-49879.991194621602</v>
      </c>
      <c r="U301" s="186">
        <f t="shared" si="178"/>
        <v>-50502.614387222733</v>
      </c>
      <c r="V301" s="186">
        <f t="shared" si="178"/>
        <v>-51137.692684670496</v>
      </c>
      <c r="W301" s="186">
        <f t="shared" si="178"/>
        <v>-52179.57569502158</v>
      </c>
      <c r="X301" s="186">
        <f t="shared" si="178"/>
        <v>-52840.316935314171</v>
      </c>
      <c r="Y301" s="186">
        <f t="shared" si="178"/>
        <v>-53514.276092413384</v>
      </c>
      <c r="Z301" s="186">
        <f t="shared" si="178"/>
        <v>-54201.717684295414</v>
      </c>
      <c r="AA301" s="186">
        <f t="shared" si="178"/>
        <v>-58059.730066698488</v>
      </c>
      <c r="AB301" s="186">
        <f t="shared" si="178"/>
        <v>-58774.951368976712</v>
      </c>
      <c r="AC301" s="186">
        <f t="shared" si="178"/>
        <v>-59504.48085752398</v>
      </c>
      <c r="AD301" s="186">
        <f t="shared" si="178"/>
        <v>-60248.604875917765</v>
      </c>
      <c r="AE301" s="186">
        <f t="shared" si="178"/>
        <v>-61007.615499996842</v>
      </c>
      <c r="AF301" s="186">
        <f t="shared" si="178"/>
        <v>-61781.81065264628</v>
      </c>
      <c r="AG301" s="186">
        <f t="shared" si="178"/>
        <v>-62571.4942208844</v>
      </c>
      <c r="AH301" s="186">
        <f t="shared" si="178"/>
        <v>-63376.976175292555</v>
      </c>
      <c r="AI301" s="186">
        <f t="shared" si="178"/>
        <v>-64198.572691838832</v>
      </c>
      <c r="AJ301" s="186">
        <f t="shared" si="178"/>
        <v>-65036.606276141116</v>
      </c>
      <c r="AK301" s="186">
        <f t="shared" si="178"/>
        <v>-65891.405890219365</v>
      </c>
      <c r="AL301" s="186">
        <f t="shared" si="178"/>
        <v>-66763.307081787483</v>
      </c>
      <c r="AM301" s="186">
        <f t="shared" si="178"/>
        <v>-48358.178677017975</v>
      </c>
      <c r="AN301" s="186">
        <f t="shared" si="178"/>
        <v>-49265.316671529188</v>
      </c>
      <c r="AO301" s="186">
        <f t="shared" si="178"/>
        <v>-50190.603732906806</v>
      </c>
      <c r="AP301" s="186">
        <f t="shared" si="178"/>
        <v>-50621.184962981773</v>
      </c>
    </row>
    <row r="302" spans="1:42" s="101" customFormat="1" x14ac:dyDescent="0.2">
      <c r="A302" s="25" t="s">
        <v>114</v>
      </c>
      <c r="B302" s="181">
        <f>SUM(B296:B301)</f>
        <v>0</v>
      </c>
      <c r="C302" s="181">
        <f>SUM(C296:C301)</f>
        <v>658776.06883954629</v>
      </c>
      <c r="D302" s="181">
        <f t="shared" ref="D302:AP302" si="179">SUM(D296:D301)</f>
        <v>666415.66705939069</v>
      </c>
      <c r="E302" s="181">
        <f t="shared" si="179"/>
        <v>674208.07008533715</v>
      </c>
      <c r="F302" s="181">
        <f t="shared" si="179"/>
        <v>682156.33547534316</v>
      </c>
      <c r="G302" s="181">
        <f t="shared" si="179"/>
        <v>690263.58198768029</v>
      </c>
      <c r="H302" s="181">
        <f t="shared" si="179"/>
        <v>698532.99080629088</v>
      </c>
      <c r="I302" s="181">
        <f t="shared" si="179"/>
        <v>706967.80679066957</v>
      </c>
      <c r="J302" s="181">
        <f t="shared" si="179"/>
        <v>715571.33975079155</v>
      </c>
      <c r="K302" s="181">
        <f t="shared" si="179"/>
        <v>724346.96574756294</v>
      </c>
      <c r="L302" s="181">
        <f t="shared" si="179"/>
        <v>733298.12841932592</v>
      </c>
      <c r="M302" s="181">
        <f t="shared" si="179"/>
        <v>742428.34033492836</v>
      </c>
      <c r="N302" s="181">
        <f t="shared" si="179"/>
        <v>751741.1843738897</v>
      </c>
      <c r="O302" s="181">
        <f t="shared" si="179"/>
        <v>806605.87039729778</v>
      </c>
      <c r="P302" s="181">
        <f t="shared" si="179"/>
        <v>816295.01563146501</v>
      </c>
      <c r="Q302" s="181">
        <f t="shared" si="179"/>
        <v>826177.97771122516</v>
      </c>
      <c r="R302" s="181">
        <f t="shared" si="179"/>
        <v>836258.63512169046</v>
      </c>
      <c r="S302" s="181">
        <f t="shared" si="179"/>
        <v>846540.943985358</v>
      </c>
      <c r="T302" s="181">
        <f t="shared" si="179"/>
        <v>857028.93961668015</v>
      </c>
      <c r="U302" s="181">
        <f t="shared" si="179"/>
        <v>867726.73810773611</v>
      </c>
      <c r="V302" s="181">
        <f t="shared" si="179"/>
        <v>878638.53794570221</v>
      </c>
      <c r="W302" s="181">
        <f t="shared" si="179"/>
        <v>896539.98239627993</v>
      </c>
      <c r="X302" s="181">
        <f t="shared" si="179"/>
        <v>907892.71825221612</v>
      </c>
      <c r="Y302" s="181">
        <f t="shared" si="179"/>
        <v>919472.56195146637</v>
      </c>
      <c r="Z302" s="181">
        <f t="shared" si="179"/>
        <v>931284.05839380308</v>
      </c>
      <c r="AA302" s="181">
        <f t="shared" si="179"/>
        <v>997571.72569145588</v>
      </c>
      <c r="AB302" s="181">
        <f t="shared" si="179"/>
        <v>1009860.5280669635</v>
      </c>
      <c r="AC302" s="181">
        <f t="shared" si="179"/>
        <v>1022395.1710974575</v>
      </c>
      <c r="AD302" s="181">
        <f t="shared" si="179"/>
        <v>1035180.5746862234</v>
      </c>
      <c r="AE302" s="181">
        <f t="shared" si="179"/>
        <v>1048221.7572272185</v>
      </c>
      <c r="AF302" s="181">
        <f t="shared" si="179"/>
        <v>1061523.8375772862</v>
      </c>
      <c r="AG302" s="181">
        <f t="shared" si="179"/>
        <v>1075092.0370679228</v>
      </c>
      <c r="AH302" s="181">
        <f t="shared" si="179"/>
        <v>1088931.6815572993</v>
      </c>
      <c r="AI302" s="181">
        <f t="shared" si="179"/>
        <v>1103048.2035234128</v>
      </c>
      <c r="AJ302" s="181">
        <f t="shared" si="179"/>
        <v>1117447.144199152</v>
      </c>
      <c r="AK302" s="181">
        <f t="shared" si="179"/>
        <v>1132134.1557501326</v>
      </c>
      <c r="AL302" s="181">
        <f t="shared" si="179"/>
        <v>1147115.0034961668</v>
      </c>
      <c r="AM302" s="181">
        <f t="shared" si="179"/>
        <v>830881.43363239965</v>
      </c>
      <c r="AN302" s="181">
        <f t="shared" si="179"/>
        <v>846467.71371991059</v>
      </c>
      <c r="AO302" s="181">
        <f t="shared" si="179"/>
        <v>862365.82777448976</v>
      </c>
      <c r="AP302" s="181">
        <f t="shared" si="179"/>
        <v>869763.99618214148</v>
      </c>
    </row>
    <row r="303" spans="1:42" s="101" customFormat="1" x14ac:dyDescent="0.2">
      <c r="A303" s="25" t="s">
        <v>334</v>
      </c>
      <c r="B303" s="25"/>
    </row>
    <row r="304" spans="1:42" x14ac:dyDescent="0.2">
      <c r="A304" s="187" t="str">
        <f>'Inputs &amp; Results'!A72</f>
        <v>Federal</v>
      </c>
      <c r="B304" s="124">
        <v>0</v>
      </c>
      <c r="C304" s="124">
        <f t="shared" ref="C304:AP304" si="180">IF(PBIFedFedTax="Yes",C619,0)</f>
        <v>0</v>
      </c>
      <c r="D304" s="124">
        <f t="shared" si="180"/>
        <v>0</v>
      </c>
      <c r="E304" s="124">
        <f t="shared" si="180"/>
        <v>0</v>
      </c>
      <c r="F304" s="124">
        <f t="shared" si="180"/>
        <v>0</v>
      </c>
      <c r="G304" s="124">
        <f t="shared" si="180"/>
        <v>0</v>
      </c>
      <c r="H304" s="124">
        <f t="shared" si="180"/>
        <v>0</v>
      </c>
      <c r="I304" s="124">
        <f t="shared" si="180"/>
        <v>0</v>
      </c>
      <c r="J304" s="124">
        <f t="shared" si="180"/>
        <v>0</v>
      </c>
      <c r="K304" s="124">
        <f t="shared" si="180"/>
        <v>0</v>
      </c>
      <c r="L304" s="124">
        <f t="shared" si="180"/>
        <v>0</v>
      </c>
      <c r="M304" s="124">
        <f t="shared" si="180"/>
        <v>0</v>
      </c>
      <c r="N304" s="124">
        <f t="shared" si="180"/>
        <v>0</v>
      </c>
      <c r="O304" s="124">
        <f t="shared" si="180"/>
        <v>0</v>
      </c>
      <c r="P304" s="124">
        <f t="shared" si="180"/>
        <v>0</v>
      </c>
      <c r="Q304" s="124">
        <f t="shared" si="180"/>
        <v>0</v>
      </c>
      <c r="R304" s="124">
        <f t="shared" si="180"/>
        <v>0</v>
      </c>
      <c r="S304" s="124">
        <f t="shared" si="180"/>
        <v>0</v>
      </c>
      <c r="T304" s="124">
        <f t="shared" si="180"/>
        <v>0</v>
      </c>
      <c r="U304" s="124">
        <f t="shared" si="180"/>
        <v>0</v>
      </c>
      <c r="V304" s="124">
        <f t="shared" si="180"/>
        <v>0</v>
      </c>
      <c r="W304" s="124">
        <f t="shared" si="180"/>
        <v>0</v>
      </c>
      <c r="X304" s="124">
        <f t="shared" si="180"/>
        <v>0</v>
      </c>
      <c r="Y304" s="124">
        <f t="shared" si="180"/>
        <v>0</v>
      </c>
      <c r="Z304" s="124">
        <f t="shared" si="180"/>
        <v>0</v>
      </c>
      <c r="AA304" s="124">
        <f t="shared" si="180"/>
        <v>0</v>
      </c>
      <c r="AB304" s="124">
        <f t="shared" si="180"/>
        <v>0</v>
      </c>
      <c r="AC304" s="124">
        <f t="shared" si="180"/>
        <v>0</v>
      </c>
      <c r="AD304" s="124">
        <f t="shared" si="180"/>
        <v>0</v>
      </c>
      <c r="AE304" s="124">
        <f t="shared" si="180"/>
        <v>0</v>
      </c>
      <c r="AF304" s="124">
        <f t="shared" si="180"/>
        <v>0</v>
      </c>
      <c r="AG304" s="124">
        <f t="shared" si="180"/>
        <v>0</v>
      </c>
      <c r="AH304" s="124">
        <f t="shared" si="180"/>
        <v>0</v>
      </c>
      <c r="AI304" s="124">
        <f t="shared" si="180"/>
        <v>0</v>
      </c>
      <c r="AJ304" s="124">
        <f t="shared" si="180"/>
        <v>0</v>
      </c>
      <c r="AK304" s="124">
        <f t="shared" si="180"/>
        <v>0</v>
      </c>
      <c r="AL304" s="124">
        <f t="shared" si="180"/>
        <v>0</v>
      </c>
      <c r="AM304" s="124">
        <f t="shared" si="180"/>
        <v>0</v>
      </c>
      <c r="AN304" s="124">
        <f t="shared" si="180"/>
        <v>0</v>
      </c>
      <c r="AO304" s="124">
        <f t="shared" si="180"/>
        <v>0</v>
      </c>
      <c r="AP304" s="124">
        <f t="shared" si="180"/>
        <v>0</v>
      </c>
    </row>
    <row r="305" spans="1:42" x14ac:dyDescent="0.2">
      <c r="A305" s="187" t="str">
        <f>'Inputs &amp; Results'!A73</f>
        <v>State</v>
      </c>
      <c r="B305" s="124">
        <v>0</v>
      </c>
      <c r="C305" s="124">
        <f t="shared" ref="C305:AP305" si="181">IF(PBIStateFedTax="Yes",C623,0)</f>
        <v>0</v>
      </c>
      <c r="D305" s="124">
        <f t="shared" si="181"/>
        <v>0</v>
      </c>
      <c r="E305" s="124">
        <f t="shared" si="181"/>
        <v>0</v>
      </c>
      <c r="F305" s="124">
        <f t="shared" si="181"/>
        <v>0</v>
      </c>
      <c r="G305" s="124">
        <f t="shared" si="181"/>
        <v>0</v>
      </c>
      <c r="H305" s="124">
        <f t="shared" si="181"/>
        <v>0</v>
      </c>
      <c r="I305" s="124">
        <f t="shared" si="181"/>
        <v>0</v>
      </c>
      <c r="J305" s="124">
        <f t="shared" si="181"/>
        <v>0</v>
      </c>
      <c r="K305" s="124">
        <f t="shared" si="181"/>
        <v>0</v>
      </c>
      <c r="L305" s="124">
        <f t="shared" si="181"/>
        <v>0</v>
      </c>
      <c r="M305" s="124">
        <f t="shared" si="181"/>
        <v>0</v>
      </c>
      <c r="N305" s="124">
        <f t="shared" si="181"/>
        <v>0</v>
      </c>
      <c r="O305" s="124">
        <f t="shared" si="181"/>
        <v>0</v>
      </c>
      <c r="P305" s="124">
        <f t="shared" si="181"/>
        <v>0</v>
      </c>
      <c r="Q305" s="124">
        <f t="shared" si="181"/>
        <v>0</v>
      </c>
      <c r="R305" s="124">
        <f t="shared" si="181"/>
        <v>0</v>
      </c>
      <c r="S305" s="124">
        <f t="shared" si="181"/>
        <v>0</v>
      </c>
      <c r="T305" s="124">
        <f t="shared" si="181"/>
        <v>0</v>
      </c>
      <c r="U305" s="124">
        <f t="shared" si="181"/>
        <v>0</v>
      </c>
      <c r="V305" s="124">
        <f t="shared" si="181"/>
        <v>0</v>
      </c>
      <c r="W305" s="124">
        <f t="shared" si="181"/>
        <v>0</v>
      </c>
      <c r="X305" s="124">
        <f t="shared" si="181"/>
        <v>0</v>
      </c>
      <c r="Y305" s="124">
        <f t="shared" si="181"/>
        <v>0</v>
      </c>
      <c r="Z305" s="124">
        <f t="shared" si="181"/>
        <v>0</v>
      </c>
      <c r="AA305" s="124">
        <f t="shared" si="181"/>
        <v>0</v>
      </c>
      <c r="AB305" s="124">
        <f t="shared" si="181"/>
        <v>0</v>
      </c>
      <c r="AC305" s="124">
        <f t="shared" si="181"/>
        <v>0</v>
      </c>
      <c r="AD305" s="124">
        <f t="shared" si="181"/>
        <v>0</v>
      </c>
      <c r="AE305" s="124">
        <f t="shared" si="181"/>
        <v>0</v>
      </c>
      <c r="AF305" s="124">
        <f t="shared" si="181"/>
        <v>0</v>
      </c>
      <c r="AG305" s="124">
        <f t="shared" si="181"/>
        <v>0</v>
      </c>
      <c r="AH305" s="124">
        <f t="shared" si="181"/>
        <v>0</v>
      </c>
      <c r="AI305" s="124">
        <f t="shared" si="181"/>
        <v>0</v>
      </c>
      <c r="AJ305" s="124">
        <f t="shared" si="181"/>
        <v>0</v>
      </c>
      <c r="AK305" s="124">
        <f t="shared" si="181"/>
        <v>0</v>
      </c>
      <c r="AL305" s="124">
        <f t="shared" si="181"/>
        <v>0</v>
      </c>
      <c r="AM305" s="124">
        <f t="shared" si="181"/>
        <v>0</v>
      </c>
      <c r="AN305" s="124">
        <f t="shared" si="181"/>
        <v>0</v>
      </c>
      <c r="AO305" s="124">
        <f t="shared" si="181"/>
        <v>0</v>
      </c>
      <c r="AP305" s="124">
        <f t="shared" si="181"/>
        <v>0</v>
      </c>
    </row>
    <row r="306" spans="1:42" x14ac:dyDescent="0.2">
      <c r="A306" s="187" t="str">
        <f>'Inputs &amp; Results'!A74</f>
        <v>Utility</v>
      </c>
      <c r="B306" s="124">
        <v>0</v>
      </c>
      <c r="C306" s="124">
        <f t="shared" ref="C306:AP306" si="182">IF(PBIUtilityFedTax="Yes",C627,0)</f>
        <v>0</v>
      </c>
      <c r="D306" s="124">
        <f t="shared" si="182"/>
        <v>0</v>
      </c>
      <c r="E306" s="124">
        <f t="shared" si="182"/>
        <v>0</v>
      </c>
      <c r="F306" s="124">
        <f t="shared" si="182"/>
        <v>0</v>
      </c>
      <c r="G306" s="124">
        <f t="shared" si="182"/>
        <v>0</v>
      </c>
      <c r="H306" s="124">
        <f t="shared" si="182"/>
        <v>0</v>
      </c>
      <c r="I306" s="124">
        <f t="shared" si="182"/>
        <v>0</v>
      </c>
      <c r="J306" s="124">
        <f t="shared" si="182"/>
        <v>0</v>
      </c>
      <c r="K306" s="124">
        <f t="shared" si="182"/>
        <v>0</v>
      </c>
      <c r="L306" s="124">
        <f t="shared" si="182"/>
        <v>0</v>
      </c>
      <c r="M306" s="124">
        <f t="shared" si="182"/>
        <v>0</v>
      </c>
      <c r="N306" s="124">
        <f t="shared" si="182"/>
        <v>0</v>
      </c>
      <c r="O306" s="124">
        <f t="shared" si="182"/>
        <v>0</v>
      </c>
      <c r="P306" s="124">
        <f t="shared" si="182"/>
        <v>0</v>
      </c>
      <c r="Q306" s="124">
        <f t="shared" si="182"/>
        <v>0</v>
      </c>
      <c r="R306" s="124">
        <f t="shared" si="182"/>
        <v>0</v>
      </c>
      <c r="S306" s="124">
        <f t="shared" si="182"/>
        <v>0</v>
      </c>
      <c r="T306" s="124">
        <f t="shared" si="182"/>
        <v>0</v>
      </c>
      <c r="U306" s="124">
        <f t="shared" si="182"/>
        <v>0</v>
      </c>
      <c r="V306" s="124">
        <f t="shared" si="182"/>
        <v>0</v>
      </c>
      <c r="W306" s="124">
        <f t="shared" si="182"/>
        <v>0</v>
      </c>
      <c r="X306" s="124">
        <f t="shared" si="182"/>
        <v>0</v>
      </c>
      <c r="Y306" s="124">
        <f t="shared" si="182"/>
        <v>0</v>
      </c>
      <c r="Z306" s="124">
        <f t="shared" si="182"/>
        <v>0</v>
      </c>
      <c r="AA306" s="124">
        <f t="shared" si="182"/>
        <v>0</v>
      </c>
      <c r="AB306" s="124">
        <f t="shared" si="182"/>
        <v>0</v>
      </c>
      <c r="AC306" s="124">
        <f t="shared" si="182"/>
        <v>0</v>
      </c>
      <c r="AD306" s="124">
        <f t="shared" si="182"/>
        <v>0</v>
      </c>
      <c r="AE306" s="124">
        <f t="shared" si="182"/>
        <v>0</v>
      </c>
      <c r="AF306" s="124">
        <f t="shared" si="182"/>
        <v>0</v>
      </c>
      <c r="AG306" s="124">
        <f t="shared" si="182"/>
        <v>0</v>
      </c>
      <c r="AH306" s="124">
        <f t="shared" si="182"/>
        <v>0</v>
      </c>
      <c r="AI306" s="124">
        <f t="shared" si="182"/>
        <v>0</v>
      </c>
      <c r="AJ306" s="124">
        <f t="shared" si="182"/>
        <v>0</v>
      </c>
      <c r="AK306" s="124">
        <f t="shared" si="182"/>
        <v>0</v>
      </c>
      <c r="AL306" s="124">
        <f t="shared" si="182"/>
        <v>0</v>
      </c>
      <c r="AM306" s="124">
        <f t="shared" si="182"/>
        <v>0</v>
      </c>
      <c r="AN306" s="124">
        <f t="shared" si="182"/>
        <v>0</v>
      </c>
      <c r="AO306" s="124">
        <f t="shared" si="182"/>
        <v>0</v>
      </c>
      <c r="AP306" s="124">
        <f t="shared" si="182"/>
        <v>0</v>
      </c>
    </row>
    <row r="307" spans="1:42" x14ac:dyDescent="0.2">
      <c r="A307" s="187" t="str">
        <f>'Inputs &amp; Results'!A75</f>
        <v>Other</v>
      </c>
      <c r="B307" s="186">
        <v>0</v>
      </c>
      <c r="C307" s="186">
        <f t="shared" ref="C307:AP307" si="183">IF(PBIOtherFedTax="Yes",C631,0)</f>
        <v>0</v>
      </c>
      <c r="D307" s="186">
        <f t="shared" si="183"/>
        <v>0</v>
      </c>
      <c r="E307" s="186">
        <f t="shared" si="183"/>
        <v>0</v>
      </c>
      <c r="F307" s="186">
        <f t="shared" si="183"/>
        <v>0</v>
      </c>
      <c r="G307" s="186">
        <f t="shared" si="183"/>
        <v>0</v>
      </c>
      <c r="H307" s="186">
        <f t="shared" si="183"/>
        <v>0</v>
      </c>
      <c r="I307" s="186">
        <f t="shared" si="183"/>
        <v>0</v>
      </c>
      <c r="J307" s="186">
        <f t="shared" si="183"/>
        <v>0</v>
      </c>
      <c r="K307" s="186">
        <f t="shared" si="183"/>
        <v>0</v>
      </c>
      <c r="L307" s="186">
        <f t="shared" si="183"/>
        <v>0</v>
      </c>
      <c r="M307" s="186">
        <f t="shared" si="183"/>
        <v>0</v>
      </c>
      <c r="N307" s="186">
        <f t="shared" si="183"/>
        <v>0</v>
      </c>
      <c r="O307" s="186">
        <f t="shared" si="183"/>
        <v>0</v>
      </c>
      <c r="P307" s="186">
        <f t="shared" si="183"/>
        <v>0</v>
      </c>
      <c r="Q307" s="186">
        <f t="shared" si="183"/>
        <v>0</v>
      </c>
      <c r="R307" s="186">
        <f t="shared" si="183"/>
        <v>0</v>
      </c>
      <c r="S307" s="186">
        <f t="shared" si="183"/>
        <v>0</v>
      </c>
      <c r="T307" s="186">
        <f t="shared" si="183"/>
        <v>0</v>
      </c>
      <c r="U307" s="186">
        <f t="shared" si="183"/>
        <v>0</v>
      </c>
      <c r="V307" s="186">
        <f t="shared" si="183"/>
        <v>0</v>
      </c>
      <c r="W307" s="186">
        <f t="shared" si="183"/>
        <v>0</v>
      </c>
      <c r="X307" s="186">
        <f t="shared" si="183"/>
        <v>0</v>
      </c>
      <c r="Y307" s="186">
        <f t="shared" si="183"/>
        <v>0</v>
      </c>
      <c r="Z307" s="186">
        <f t="shared" si="183"/>
        <v>0</v>
      </c>
      <c r="AA307" s="186">
        <f t="shared" si="183"/>
        <v>0</v>
      </c>
      <c r="AB307" s="186">
        <f t="shared" si="183"/>
        <v>0</v>
      </c>
      <c r="AC307" s="186">
        <f t="shared" si="183"/>
        <v>0</v>
      </c>
      <c r="AD307" s="186">
        <f t="shared" si="183"/>
        <v>0</v>
      </c>
      <c r="AE307" s="186">
        <f t="shared" si="183"/>
        <v>0</v>
      </c>
      <c r="AF307" s="186">
        <f t="shared" si="183"/>
        <v>0</v>
      </c>
      <c r="AG307" s="186">
        <f t="shared" si="183"/>
        <v>0</v>
      </c>
      <c r="AH307" s="186">
        <f t="shared" si="183"/>
        <v>0</v>
      </c>
      <c r="AI307" s="186">
        <f t="shared" si="183"/>
        <v>0</v>
      </c>
      <c r="AJ307" s="186">
        <f t="shared" si="183"/>
        <v>0</v>
      </c>
      <c r="AK307" s="186">
        <f t="shared" si="183"/>
        <v>0</v>
      </c>
      <c r="AL307" s="186">
        <f t="shared" si="183"/>
        <v>0</v>
      </c>
      <c r="AM307" s="186">
        <f t="shared" si="183"/>
        <v>0</v>
      </c>
      <c r="AN307" s="186">
        <f t="shared" si="183"/>
        <v>0</v>
      </c>
      <c r="AO307" s="186">
        <f t="shared" si="183"/>
        <v>0</v>
      </c>
      <c r="AP307" s="186">
        <f t="shared" si="183"/>
        <v>0</v>
      </c>
    </row>
    <row r="308" spans="1:42" x14ac:dyDescent="0.2">
      <c r="A308" s="187" t="s">
        <v>53</v>
      </c>
      <c r="B308" s="177">
        <f>SUM(B304:B307)</f>
        <v>0</v>
      </c>
      <c r="C308" s="177">
        <f>SUM(C304:C307)</f>
        <v>0</v>
      </c>
      <c r="D308" s="177">
        <f t="shared" ref="D308:AL308" si="184">SUM(D304:D307)</f>
        <v>0</v>
      </c>
      <c r="E308" s="177">
        <f t="shared" si="184"/>
        <v>0</v>
      </c>
      <c r="F308" s="177">
        <f t="shared" si="184"/>
        <v>0</v>
      </c>
      <c r="G308" s="177">
        <f t="shared" si="184"/>
        <v>0</v>
      </c>
      <c r="H308" s="177">
        <f t="shared" si="184"/>
        <v>0</v>
      </c>
      <c r="I308" s="177">
        <f t="shared" si="184"/>
        <v>0</v>
      </c>
      <c r="J308" s="177">
        <f t="shared" si="184"/>
        <v>0</v>
      </c>
      <c r="K308" s="177">
        <f t="shared" si="184"/>
        <v>0</v>
      </c>
      <c r="L308" s="177">
        <f t="shared" si="184"/>
        <v>0</v>
      </c>
      <c r="M308" s="177">
        <f t="shared" si="184"/>
        <v>0</v>
      </c>
      <c r="N308" s="177">
        <f t="shared" si="184"/>
        <v>0</v>
      </c>
      <c r="O308" s="177">
        <f t="shared" si="184"/>
        <v>0</v>
      </c>
      <c r="P308" s="177">
        <f t="shared" si="184"/>
        <v>0</v>
      </c>
      <c r="Q308" s="177">
        <f t="shared" si="184"/>
        <v>0</v>
      </c>
      <c r="R308" s="177">
        <f t="shared" si="184"/>
        <v>0</v>
      </c>
      <c r="S308" s="177">
        <f t="shared" si="184"/>
        <v>0</v>
      </c>
      <c r="T308" s="177">
        <f t="shared" si="184"/>
        <v>0</v>
      </c>
      <c r="U308" s="177">
        <f t="shared" si="184"/>
        <v>0</v>
      </c>
      <c r="V308" s="177">
        <f t="shared" si="184"/>
        <v>0</v>
      </c>
      <c r="W308" s="177">
        <f t="shared" si="184"/>
        <v>0</v>
      </c>
      <c r="X308" s="177">
        <f t="shared" si="184"/>
        <v>0</v>
      </c>
      <c r="Y308" s="177">
        <f t="shared" si="184"/>
        <v>0</v>
      </c>
      <c r="Z308" s="177">
        <f t="shared" si="184"/>
        <v>0</v>
      </c>
      <c r="AA308" s="177">
        <f t="shared" si="184"/>
        <v>0</v>
      </c>
      <c r="AB308" s="177">
        <f t="shared" si="184"/>
        <v>0</v>
      </c>
      <c r="AC308" s="177">
        <f t="shared" si="184"/>
        <v>0</v>
      </c>
      <c r="AD308" s="177">
        <f t="shared" si="184"/>
        <v>0</v>
      </c>
      <c r="AE308" s="177">
        <f t="shared" si="184"/>
        <v>0</v>
      </c>
      <c r="AF308" s="177">
        <f t="shared" si="184"/>
        <v>0</v>
      </c>
      <c r="AG308" s="177">
        <f t="shared" si="184"/>
        <v>0</v>
      </c>
      <c r="AH308" s="177">
        <f t="shared" si="184"/>
        <v>0</v>
      </c>
      <c r="AI308" s="177">
        <f t="shared" si="184"/>
        <v>0</v>
      </c>
      <c r="AJ308" s="177">
        <f t="shared" si="184"/>
        <v>0</v>
      </c>
      <c r="AK308" s="177">
        <f t="shared" si="184"/>
        <v>0</v>
      </c>
      <c r="AL308" s="177">
        <f t="shared" si="184"/>
        <v>0</v>
      </c>
      <c r="AM308" s="177">
        <f>SUM(AM304:AM307)</f>
        <v>0</v>
      </c>
      <c r="AN308" s="177">
        <f t="shared" ref="AN308:AP308" si="185">SUM(AN304:AN307)</f>
        <v>0</v>
      </c>
      <c r="AO308" s="177">
        <f t="shared" si="185"/>
        <v>0</v>
      </c>
      <c r="AP308" s="177">
        <f t="shared" si="185"/>
        <v>0</v>
      </c>
    </row>
    <row r="309" spans="1:42" s="101" customFormat="1" x14ac:dyDescent="0.2">
      <c r="A309" s="187" t="s">
        <v>123</v>
      </c>
      <c r="B309" s="181">
        <f>B302+B308</f>
        <v>0</v>
      </c>
      <c r="C309" s="181">
        <f>C302+C308</f>
        <v>658776.06883954629</v>
      </c>
      <c r="D309" s="181">
        <f t="shared" ref="D309:AP309" si="186">D302+D308</f>
        <v>666415.66705939069</v>
      </c>
      <c r="E309" s="181">
        <f t="shared" si="186"/>
        <v>674208.07008533715</v>
      </c>
      <c r="F309" s="181">
        <f t="shared" si="186"/>
        <v>682156.33547534316</v>
      </c>
      <c r="G309" s="181">
        <f t="shared" si="186"/>
        <v>690263.58198768029</v>
      </c>
      <c r="H309" s="181">
        <f t="shared" si="186"/>
        <v>698532.99080629088</v>
      </c>
      <c r="I309" s="181">
        <f t="shared" si="186"/>
        <v>706967.80679066957</v>
      </c>
      <c r="J309" s="181">
        <f t="shared" si="186"/>
        <v>715571.33975079155</v>
      </c>
      <c r="K309" s="181">
        <f t="shared" si="186"/>
        <v>724346.96574756294</v>
      </c>
      <c r="L309" s="181">
        <f t="shared" si="186"/>
        <v>733298.12841932592</v>
      </c>
      <c r="M309" s="181">
        <f t="shared" si="186"/>
        <v>742428.34033492836</v>
      </c>
      <c r="N309" s="181">
        <f t="shared" si="186"/>
        <v>751741.1843738897</v>
      </c>
      <c r="O309" s="181">
        <f t="shared" si="186"/>
        <v>806605.87039729778</v>
      </c>
      <c r="P309" s="181">
        <f t="shared" si="186"/>
        <v>816295.01563146501</v>
      </c>
      <c r="Q309" s="181">
        <f t="shared" si="186"/>
        <v>826177.97771122516</v>
      </c>
      <c r="R309" s="181">
        <f t="shared" si="186"/>
        <v>836258.63512169046</v>
      </c>
      <c r="S309" s="181">
        <f t="shared" si="186"/>
        <v>846540.943985358</v>
      </c>
      <c r="T309" s="181">
        <f t="shared" si="186"/>
        <v>857028.93961668015</v>
      </c>
      <c r="U309" s="181">
        <f t="shared" si="186"/>
        <v>867726.73810773611</v>
      </c>
      <c r="V309" s="181">
        <f t="shared" si="186"/>
        <v>878638.53794570221</v>
      </c>
      <c r="W309" s="181">
        <f t="shared" si="186"/>
        <v>896539.98239627993</v>
      </c>
      <c r="X309" s="181">
        <f t="shared" si="186"/>
        <v>907892.71825221612</v>
      </c>
      <c r="Y309" s="181">
        <f t="shared" si="186"/>
        <v>919472.56195146637</v>
      </c>
      <c r="Z309" s="181">
        <f t="shared" si="186"/>
        <v>931284.05839380308</v>
      </c>
      <c r="AA309" s="181">
        <f t="shared" si="186"/>
        <v>997571.72569145588</v>
      </c>
      <c r="AB309" s="181">
        <f t="shared" si="186"/>
        <v>1009860.5280669635</v>
      </c>
      <c r="AC309" s="181">
        <f t="shared" si="186"/>
        <v>1022395.1710974575</v>
      </c>
      <c r="AD309" s="181">
        <f t="shared" si="186"/>
        <v>1035180.5746862234</v>
      </c>
      <c r="AE309" s="181">
        <f t="shared" si="186"/>
        <v>1048221.7572272185</v>
      </c>
      <c r="AF309" s="181">
        <f t="shared" si="186"/>
        <v>1061523.8375772862</v>
      </c>
      <c r="AG309" s="181">
        <f t="shared" si="186"/>
        <v>1075092.0370679228</v>
      </c>
      <c r="AH309" s="181">
        <f t="shared" si="186"/>
        <v>1088931.6815572993</v>
      </c>
      <c r="AI309" s="181">
        <f t="shared" si="186"/>
        <v>1103048.2035234128</v>
      </c>
      <c r="AJ309" s="181">
        <f t="shared" si="186"/>
        <v>1117447.144199152</v>
      </c>
      <c r="AK309" s="181">
        <f t="shared" si="186"/>
        <v>1132134.1557501326</v>
      </c>
      <c r="AL309" s="181">
        <f t="shared" si="186"/>
        <v>1147115.0034961668</v>
      </c>
      <c r="AM309" s="181">
        <f t="shared" si="186"/>
        <v>830881.43363239965</v>
      </c>
      <c r="AN309" s="181">
        <f t="shared" si="186"/>
        <v>846467.71371991059</v>
      </c>
      <c r="AO309" s="181">
        <f t="shared" si="186"/>
        <v>862365.82777448976</v>
      </c>
      <c r="AP309" s="181">
        <f t="shared" si="186"/>
        <v>869763.99618214148</v>
      </c>
    </row>
    <row r="310" spans="1:42" x14ac:dyDescent="0.2">
      <c r="A310" s="180" t="s">
        <v>207</v>
      </c>
      <c r="B310" s="177">
        <f t="shared" ref="B310" si="187">B309*-FedTax</f>
        <v>0</v>
      </c>
      <c r="C310" s="177">
        <f t="shared" ref="C310:AP310" si="188">C309*-FedTax</f>
        <v>-230571.62409384118</v>
      </c>
      <c r="D310" s="177">
        <f t="shared" si="188"/>
        <v>-233245.48347078671</v>
      </c>
      <c r="E310" s="177">
        <f t="shared" si="188"/>
        <v>-235972.824529868</v>
      </c>
      <c r="F310" s="177">
        <f t="shared" si="188"/>
        <v>-238754.71741637008</v>
      </c>
      <c r="G310" s="177">
        <f t="shared" si="188"/>
        <v>-241592.25369568809</v>
      </c>
      <c r="H310" s="177">
        <f t="shared" si="188"/>
        <v>-244486.5467822018</v>
      </c>
      <c r="I310" s="177">
        <f t="shared" si="188"/>
        <v>-247438.73237673432</v>
      </c>
      <c r="J310" s="177">
        <f t="shared" si="188"/>
        <v>-250449.96891277703</v>
      </c>
      <c r="K310" s="177">
        <f t="shared" si="188"/>
        <v>-253521.438011647</v>
      </c>
      <c r="L310" s="177">
        <f t="shared" si="188"/>
        <v>-256654.34494676406</v>
      </c>
      <c r="M310" s="177">
        <f t="shared" si="188"/>
        <v>-259849.9191172249</v>
      </c>
      <c r="N310" s="177">
        <f t="shared" si="188"/>
        <v>-263109.41453086137</v>
      </c>
      <c r="O310" s="177">
        <f t="shared" si="188"/>
        <v>-282312.05463905423</v>
      </c>
      <c r="P310" s="177">
        <f t="shared" si="188"/>
        <v>-285703.25547101273</v>
      </c>
      <c r="Q310" s="177">
        <f t="shared" si="188"/>
        <v>-289162.29219892877</v>
      </c>
      <c r="R310" s="177">
        <f t="shared" si="188"/>
        <v>-292690.52229259163</v>
      </c>
      <c r="S310" s="177">
        <f t="shared" si="188"/>
        <v>-296289.33039487526</v>
      </c>
      <c r="T310" s="177">
        <f t="shared" si="188"/>
        <v>-299960.12886583805</v>
      </c>
      <c r="U310" s="177">
        <f t="shared" si="188"/>
        <v>-303704.35833770764</v>
      </c>
      <c r="V310" s="177">
        <f t="shared" si="188"/>
        <v>-307523.48828099575</v>
      </c>
      <c r="W310" s="177">
        <f t="shared" si="188"/>
        <v>-313788.99383869796</v>
      </c>
      <c r="X310" s="177">
        <f t="shared" si="188"/>
        <v>-317762.4513882756</v>
      </c>
      <c r="Y310" s="177">
        <f t="shared" si="188"/>
        <v>-321815.39668301318</v>
      </c>
      <c r="Z310" s="177">
        <f t="shared" si="188"/>
        <v>-325949.42043783108</v>
      </c>
      <c r="AA310" s="177">
        <f t="shared" si="188"/>
        <v>-349150.10399200954</v>
      </c>
      <c r="AB310" s="177">
        <f t="shared" si="188"/>
        <v>-353451.18482343724</v>
      </c>
      <c r="AC310" s="177">
        <f t="shared" si="188"/>
        <v>-357838.30988411012</v>
      </c>
      <c r="AD310" s="177">
        <f t="shared" si="188"/>
        <v>-362313.20114017819</v>
      </c>
      <c r="AE310" s="177">
        <f t="shared" si="188"/>
        <v>-366877.61502952647</v>
      </c>
      <c r="AF310" s="177">
        <f t="shared" si="188"/>
        <v>-371533.34315205016</v>
      </c>
      <c r="AG310" s="177">
        <f t="shared" si="188"/>
        <v>-376282.21297377296</v>
      </c>
      <c r="AH310" s="177">
        <f t="shared" si="188"/>
        <v>-381126.08854505472</v>
      </c>
      <c r="AI310" s="177">
        <f t="shared" si="188"/>
        <v>-386066.87123319448</v>
      </c>
      <c r="AJ310" s="177">
        <f t="shared" si="188"/>
        <v>-391106.50046970317</v>
      </c>
      <c r="AK310" s="177">
        <f t="shared" si="188"/>
        <v>-396246.95451254642</v>
      </c>
      <c r="AL310" s="177">
        <f t="shared" si="188"/>
        <v>-401490.25122365833</v>
      </c>
      <c r="AM310" s="177">
        <f t="shared" si="188"/>
        <v>-290808.50177133986</v>
      </c>
      <c r="AN310" s="177">
        <f t="shared" si="188"/>
        <v>-296263.6998019687</v>
      </c>
      <c r="AO310" s="177">
        <f t="shared" si="188"/>
        <v>-301828.03972107137</v>
      </c>
      <c r="AP310" s="177">
        <f t="shared" si="188"/>
        <v>-304417.39866374951</v>
      </c>
    </row>
    <row r="311" spans="1:42" x14ac:dyDescent="0.2">
      <c r="A311" s="180"/>
      <c r="B311" s="23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</row>
    <row r="312" spans="1:42" x14ac:dyDescent="0.2">
      <c r="A312" s="162" t="s">
        <v>393</v>
      </c>
    </row>
    <row r="313" spans="1:42" x14ac:dyDescent="0.2">
      <c r="A313" s="178" t="s">
        <v>394</v>
      </c>
    </row>
    <row r="314" spans="1:42" x14ac:dyDescent="0.2">
      <c r="A314" s="20" t="s">
        <v>82</v>
      </c>
      <c r="G314" s="267" t="s">
        <v>153</v>
      </c>
      <c r="H314" s="268"/>
      <c r="I314" s="268"/>
      <c r="J314" s="269"/>
      <c r="K314" s="209" t="s">
        <v>154</v>
      </c>
      <c r="L314" s="210"/>
    </row>
    <row r="315" spans="1:42" ht="51" x14ac:dyDescent="0.2">
      <c r="B315" s="112" t="s">
        <v>143</v>
      </c>
      <c r="C315" s="112" t="s">
        <v>139</v>
      </c>
      <c r="D315" s="112" t="s">
        <v>141</v>
      </c>
      <c r="E315" s="189" t="s">
        <v>142</v>
      </c>
      <c r="F315" s="112" t="s">
        <v>144</v>
      </c>
      <c r="G315" s="112" t="s">
        <v>148</v>
      </c>
      <c r="H315" s="112" t="s">
        <v>150</v>
      </c>
      <c r="I315" s="112" t="s">
        <v>149</v>
      </c>
      <c r="J315" s="112" t="s">
        <v>151</v>
      </c>
      <c r="K315" s="211" t="s">
        <v>34</v>
      </c>
      <c r="L315" s="112" t="s">
        <v>151</v>
      </c>
      <c r="M315" s="190" t="s">
        <v>155</v>
      </c>
      <c r="N315" s="190" t="s">
        <v>156</v>
      </c>
      <c r="O315" s="112" t="s">
        <v>145</v>
      </c>
      <c r="P315" s="191" t="s">
        <v>268</v>
      </c>
      <c r="Q315" s="112" t="s">
        <v>273</v>
      </c>
    </row>
    <row r="316" spans="1:42" s="101" customFormat="1" x14ac:dyDescent="0.2">
      <c r="A316" s="234" t="str">
        <f>'Inputs &amp; Results'!A245</f>
        <v>5-yr MACRS</v>
      </c>
      <c r="B316" s="324">
        <f t="shared" ref="B316:B321" si="189">C316/$C$323</f>
        <v>0.95</v>
      </c>
      <c r="C316" s="124">
        <f>'Inputs &amp; Results'!D254</f>
        <v>41049590.962499999</v>
      </c>
      <c r="D316" s="124">
        <f>IF(StateBasisReduction="5-Yr MACRS",D323,$B316*D$323)</f>
        <v>0</v>
      </c>
      <c r="E316" s="124">
        <f>IF(StateBasisReduction="5-Yr MACRS",E323,$B316*E$323)</f>
        <v>0</v>
      </c>
      <c r="F316" s="206">
        <f>C316-D316-E316</f>
        <v>41049590.962499999</v>
      </c>
      <c r="G316" s="325">
        <f>IF('Inputs &amp; Results'!B284="Yes",F316,0)</f>
        <v>41049590.962499999</v>
      </c>
      <c r="H316" s="369">
        <f>IF($G$323=0,0,G316/$G$323)</f>
        <v>1</v>
      </c>
      <c r="I316" s="326">
        <f t="shared" ref="I316:I321" si="190">$I$323*H316</f>
        <v>0</v>
      </c>
      <c r="J316" s="327">
        <f>I316*0.5</f>
        <v>0</v>
      </c>
      <c r="K316" s="328">
        <f t="shared" ref="K316:K321" si="191">H316*$K$323</f>
        <v>0</v>
      </c>
      <c r="L316" s="327">
        <f>K316*0.5</f>
        <v>0</v>
      </c>
      <c r="M316" s="124">
        <f t="shared" ref="M316:M321" si="192">IF(ITCStateFixedStateDeprec="Yes",L316,0)+IF(ITCStatePercentStateDeprec="Yes",J316,0)</f>
        <v>0</v>
      </c>
      <c r="N316" s="124">
        <f t="shared" ref="N316:N321" si="193">IF(ITCFedFixedStateDeprec="Yes",L450,0)+IF(ITCFedPercentStateDeprec="Yes",J450,0)</f>
        <v>6157438.6443749992</v>
      </c>
      <c r="O316" s="329">
        <f t="shared" ref="O316:O321" si="194">F316-M316-N316</f>
        <v>34892152.318125002</v>
      </c>
      <c r="P316" s="124">
        <f>IF('Inputs &amp; Results'!B266="Yes",O316*StateBonusDeprec,0)</f>
        <v>0</v>
      </c>
      <c r="Q316" s="206">
        <f>O316-P316</f>
        <v>34892152.318125002</v>
      </c>
    </row>
    <row r="317" spans="1:42" s="101" customFormat="1" x14ac:dyDescent="0.2">
      <c r="A317" s="234" t="str">
        <f>'Inputs &amp; Results'!A246</f>
        <v>15-yr MACRS</v>
      </c>
      <c r="B317" s="324">
        <f t="shared" si="189"/>
        <v>1.5000000000000001E-2</v>
      </c>
      <c r="C317" s="124">
        <f>'Inputs &amp; Results'!D255</f>
        <v>648151.43625000003</v>
      </c>
      <c r="D317" s="124">
        <f t="shared" ref="D317:E321" si="195">IF(StateBasisReduction="5-Yr MACRS",0,$B317*D$323)</f>
        <v>0</v>
      </c>
      <c r="E317" s="124">
        <f t="shared" si="195"/>
        <v>0</v>
      </c>
      <c r="F317" s="206">
        <f t="shared" ref="F317:F321" si="196">C317-D317-E317</f>
        <v>648151.43625000003</v>
      </c>
      <c r="G317" s="328">
        <f>IF('Inputs &amp; Results'!B285="Yes",F317,0)</f>
        <v>0</v>
      </c>
      <c r="H317" s="370">
        <f t="shared" ref="H317:H321" si="197">IF($G$323=0,0,G317/$G$323)</f>
        <v>0</v>
      </c>
      <c r="I317" s="124">
        <f t="shared" si="190"/>
        <v>0</v>
      </c>
      <c r="J317" s="300">
        <f t="shared" ref="J317:J321" si="198">I317*0.5</f>
        <v>0</v>
      </c>
      <c r="K317" s="328">
        <f t="shared" si="191"/>
        <v>0</v>
      </c>
      <c r="L317" s="300">
        <f t="shared" ref="L317:L321" si="199">K317*0.5</f>
        <v>0</v>
      </c>
      <c r="M317" s="124">
        <f t="shared" si="192"/>
        <v>0</v>
      </c>
      <c r="N317" s="124">
        <f t="shared" si="193"/>
        <v>0</v>
      </c>
      <c r="O317" s="206">
        <f t="shared" si="194"/>
        <v>648151.43625000003</v>
      </c>
      <c r="P317" s="124">
        <f>IF('Inputs &amp; Results'!B267="Yes",O317*StateBonusDeprec,0)</f>
        <v>0</v>
      </c>
      <c r="Q317" s="206">
        <f t="shared" ref="Q317:Q321" si="200">O317-P317</f>
        <v>648151.43625000003</v>
      </c>
    </row>
    <row r="318" spans="1:42" s="101" customFormat="1" x14ac:dyDescent="0.2">
      <c r="A318" s="234" t="str">
        <f>'Inputs &amp; Results'!A247</f>
        <v>5-yr SL</v>
      </c>
      <c r="B318" s="324">
        <f t="shared" si="189"/>
        <v>0</v>
      </c>
      <c r="C318" s="124">
        <f>'Inputs &amp; Results'!D256</f>
        <v>0</v>
      </c>
      <c r="D318" s="124">
        <f t="shared" si="195"/>
        <v>0</v>
      </c>
      <c r="E318" s="124">
        <f t="shared" si="195"/>
        <v>0</v>
      </c>
      <c r="F318" s="206">
        <f t="shared" si="196"/>
        <v>0</v>
      </c>
      <c r="G318" s="328">
        <f>IF('Inputs &amp; Results'!B286="Yes",F318,0)</f>
        <v>0</v>
      </c>
      <c r="H318" s="370">
        <f t="shared" si="197"/>
        <v>0</v>
      </c>
      <c r="I318" s="124">
        <f t="shared" si="190"/>
        <v>0</v>
      </c>
      <c r="J318" s="300">
        <f t="shared" si="198"/>
        <v>0</v>
      </c>
      <c r="K318" s="328">
        <f t="shared" si="191"/>
        <v>0</v>
      </c>
      <c r="L318" s="300">
        <f t="shared" si="199"/>
        <v>0</v>
      </c>
      <c r="M318" s="124">
        <f t="shared" si="192"/>
        <v>0</v>
      </c>
      <c r="N318" s="124">
        <f t="shared" si="193"/>
        <v>0</v>
      </c>
      <c r="O318" s="206">
        <f t="shared" si="194"/>
        <v>0</v>
      </c>
      <c r="P318" s="124">
        <f>IF('Inputs &amp; Results'!B268="Yes",O318*StateBonusDeprec,0)</f>
        <v>0</v>
      </c>
      <c r="Q318" s="206">
        <f t="shared" si="200"/>
        <v>0</v>
      </c>
    </row>
    <row r="319" spans="1:42" s="101" customFormat="1" x14ac:dyDescent="0.2">
      <c r="A319" s="234" t="str">
        <f>'Inputs &amp; Results'!A248</f>
        <v>15-yr SL</v>
      </c>
      <c r="B319" s="324">
        <f t="shared" si="189"/>
        <v>1.5000000000000001E-2</v>
      </c>
      <c r="C319" s="124">
        <f>'Inputs &amp; Results'!D257</f>
        <v>648151.43625000003</v>
      </c>
      <c r="D319" s="124">
        <f t="shared" si="195"/>
        <v>0</v>
      </c>
      <c r="E319" s="124">
        <f t="shared" si="195"/>
        <v>0</v>
      </c>
      <c r="F319" s="206">
        <f t="shared" si="196"/>
        <v>648151.43625000003</v>
      </c>
      <c r="G319" s="328">
        <f>IF('Inputs &amp; Results'!B287="Yes",F319,0)</f>
        <v>0</v>
      </c>
      <c r="H319" s="370">
        <f t="shared" si="197"/>
        <v>0</v>
      </c>
      <c r="I319" s="124">
        <f t="shared" si="190"/>
        <v>0</v>
      </c>
      <c r="J319" s="300">
        <f t="shared" si="198"/>
        <v>0</v>
      </c>
      <c r="K319" s="328">
        <f t="shared" si="191"/>
        <v>0</v>
      </c>
      <c r="L319" s="300">
        <f t="shared" si="199"/>
        <v>0</v>
      </c>
      <c r="M319" s="124">
        <f t="shared" si="192"/>
        <v>0</v>
      </c>
      <c r="N319" s="124">
        <f t="shared" si="193"/>
        <v>0</v>
      </c>
      <c r="O319" s="206">
        <f t="shared" si="194"/>
        <v>648151.43625000003</v>
      </c>
      <c r="P319" s="124">
        <f>IF('Inputs &amp; Results'!B269="Yes",O319*StateBonusDeprec,0)</f>
        <v>0</v>
      </c>
      <c r="Q319" s="206">
        <f t="shared" si="200"/>
        <v>648151.43625000003</v>
      </c>
    </row>
    <row r="320" spans="1:42" s="101" customFormat="1" x14ac:dyDescent="0.2">
      <c r="A320" s="234" t="str">
        <f>'Inputs &amp; Results'!A249</f>
        <v>20-yr SL</v>
      </c>
      <c r="B320" s="324">
        <f t="shared" si="189"/>
        <v>1.5000000000000001E-2</v>
      </c>
      <c r="C320" s="124">
        <f>'Inputs &amp; Results'!D258</f>
        <v>648151.43625000003</v>
      </c>
      <c r="D320" s="124">
        <f t="shared" si="195"/>
        <v>0</v>
      </c>
      <c r="E320" s="124">
        <f t="shared" si="195"/>
        <v>0</v>
      </c>
      <c r="F320" s="206">
        <f t="shared" si="196"/>
        <v>648151.43625000003</v>
      </c>
      <c r="G320" s="328">
        <f>IF('Inputs &amp; Results'!B288="Yes",F320,0)</f>
        <v>0</v>
      </c>
      <c r="H320" s="370">
        <f t="shared" si="197"/>
        <v>0</v>
      </c>
      <c r="I320" s="124">
        <f t="shared" si="190"/>
        <v>0</v>
      </c>
      <c r="J320" s="300">
        <f t="shared" si="198"/>
        <v>0</v>
      </c>
      <c r="K320" s="328">
        <f t="shared" si="191"/>
        <v>0</v>
      </c>
      <c r="L320" s="300">
        <f t="shared" si="199"/>
        <v>0</v>
      </c>
      <c r="M320" s="124">
        <f t="shared" si="192"/>
        <v>0</v>
      </c>
      <c r="N320" s="124">
        <f t="shared" si="193"/>
        <v>0</v>
      </c>
      <c r="O320" s="206">
        <f t="shared" si="194"/>
        <v>648151.43625000003</v>
      </c>
      <c r="P320" s="124">
        <f>IF('Inputs &amp; Results'!B270="Yes",O320*StateBonusDeprec,0)</f>
        <v>0</v>
      </c>
      <c r="Q320" s="206">
        <f t="shared" si="200"/>
        <v>648151.43625000003</v>
      </c>
    </row>
    <row r="321" spans="1:17" s="101" customFormat="1" x14ac:dyDescent="0.2">
      <c r="A321" s="234" t="str">
        <f>'Inputs &amp; Results'!A250</f>
        <v>39-yr SL</v>
      </c>
      <c r="B321" s="324">
        <f t="shared" si="189"/>
        <v>5.0000000000000001E-3</v>
      </c>
      <c r="C321" s="124">
        <f>'Inputs &amp; Results'!D259</f>
        <v>216050.47875000001</v>
      </c>
      <c r="D321" s="124">
        <f t="shared" si="195"/>
        <v>0</v>
      </c>
      <c r="E321" s="124">
        <f t="shared" si="195"/>
        <v>0</v>
      </c>
      <c r="F321" s="206">
        <f t="shared" si="196"/>
        <v>216050.47875000001</v>
      </c>
      <c r="G321" s="328">
        <f>IF('Inputs &amp; Results'!B289="Yes",F321,0)</f>
        <v>0</v>
      </c>
      <c r="H321" s="370">
        <f t="shared" si="197"/>
        <v>0</v>
      </c>
      <c r="I321" s="124">
        <f t="shared" si="190"/>
        <v>0</v>
      </c>
      <c r="J321" s="300">
        <f t="shared" si="198"/>
        <v>0</v>
      </c>
      <c r="K321" s="328">
        <f t="shared" si="191"/>
        <v>0</v>
      </c>
      <c r="L321" s="300">
        <f t="shared" si="199"/>
        <v>0</v>
      </c>
      <c r="M321" s="124">
        <f t="shared" si="192"/>
        <v>0</v>
      </c>
      <c r="N321" s="124">
        <f t="shared" si="193"/>
        <v>0</v>
      </c>
      <c r="O321" s="206">
        <f t="shared" si="194"/>
        <v>216050.47875000001</v>
      </c>
      <c r="P321" s="124">
        <f>IF('Inputs &amp; Results'!B271="Yes",O321*StateBonusDeprec,0)</f>
        <v>0</v>
      </c>
      <c r="Q321" s="206">
        <f t="shared" si="200"/>
        <v>216050.47875000001</v>
      </c>
    </row>
    <row r="322" spans="1:17" x14ac:dyDescent="0.2">
      <c r="A322" s="238" t="s">
        <v>311</v>
      </c>
      <c r="B322" s="192"/>
      <c r="C322" s="193"/>
      <c r="D322" s="194"/>
      <c r="E322" s="194"/>
      <c r="F322" s="86"/>
      <c r="G322" s="192"/>
      <c r="H322" s="213"/>
      <c r="I322" s="213"/>
      <c r="J322" s="270"/>
      <c r="K322" s="192"/>
      <c r="L322" s="270"/>
      <c r="M322" s="194"/>
      <c r="N322" s="194"/>
      <c r="O322" s="86"/>
      <c r="P322" s="194"/>
      <c r="Q322" s="86"/>
    </row>
    <row r="323" spans="1:17" s="101" customFormat="1" x14ac:dyDescent="0.2">
      <c r="B323" s="330">
        <f>SUM(B316:B322)</f>
        <v>1</v>
      </c>
      <c r="C323" s="186">
        <f>SUM(C316:C322)</f>
        <v>43210095.75</v>
      </c>
      <c r="D323" s="186">
        <f>B332+B338</f>
        <v>0</v>
      </c>
      <c r="E323" s="186">
        <f>B344</f>
        <v>0</v>
      </c>
      <c r="F323" s="207">
        <f t="shared" ref="F323:Q323" si="201">SUM(F316:F322)</f>
        <v>43210095.75</v>
      </c>
      <c r="G323" s="207">
        <f>SUM(G316:G322)</f>
        <v>41049590.962499999</v>
      </c>
      <c r="H323" s="331">
        <f>SUM(H316:H322)</f>
        <v>1</v>
      </c>
      <c r="I323" s="207">
        <f>MIN(ITCStateMax,ITCStatePercent*G323)</f>
        <v>0</v>
      </c>
      <c r="J323" s="207">
        <f>SUM(J316:J322)</f>
        <v>0</v>
      </c>
      <c r="K323" s="207">
        <f>ITCStateFixed</f>
        <v>0</v>
      </c>
      <c r="L323" s="207">
        <f>SUM(L316:L322)</f>
        <v>0</v>
      </c>
      <c r="M323" s="186">
        <f t="shared" si="201"/>
        <v>0</v>
      </c>
      <c r="N323" s="186">
        <f t="shared" si="201"/>
        <v>6157438.6443749992</v>
      </c>
      <c r="O323" s="207">
        <f t="shared" si="201"/>
        <v>37052657.105625004</v>
      </c>
      <c r="P323" s="207">
        <f t="shared" si="201"/>
        <v>0</v>
      </c>
      <c r="Q323" s="207">
        <f t="shared" si="201"/>
        <v>37052657.105625004</v>
      </c>
    </row>
    <row r="325" spans="1:17" x14ac:dyDescent="0.2">
      <c r="A325" s="20" t="s">
        <v>152</v>
      </c>
    </row>
    <row r="326" spans="1:17" x14ac:dyDescent="0.2">
      <c r="A326" s="167" t="str">
        <f>A595</f>
        <v>Investment Based Incentive (IBI)</v>
      </c>
    </row>
    <row r="327" spans="1:17" x14ac:dyDescent="0.2">
      <c r="A327" s="183" t="str">
        <f t="shared" ref="A327:A343" si="202">A596</f>
        <v>Fixed Amount ($)</v>
      </c>
    </row>
    <row r="328" spans="1:17" x14ac:dyDescent="0.2">
      <c r="A328" s="196" t="str">
        <f t="shared" si="202"/>
        <v>Federal</v>
      </c>
      <c r="B328" s="135">
        <f>IF(IBIFedFixedStateDeprec="Yes",IBIFedFixed,0)</f>
        <v>0</v>
      </c>
    </row>
    <row r="329" spans="1:17" x14ac:dyDescent="0.2">
      <c r="A329" s="196" t="str">
        <f t="shared" si="202"/>
        <v>State</v>
      </c>
      <c r="B329" s="135">
        <f>IF(IBIStateFixedStateDeprec="Yes",IBIStateFixed,0)</f>
        <v>0</v>
      </c>
    </row>
    <row r="330" spans="1:17" x14ac:dyDescent="0.2">
      <c r="A330" s="196" t="str">
        <f t="shared" si="202"/>
        <v>Utility</v>
      </c>
      <c r="B330" s="135">
        <f>IF(IBIUtilityFixedStateDeprec="Yes",IBIUtilityFixed,0)</f>
        <v>0</v>
      </c>
    </row>
    <row r="331" spans="1:17" x14ac:dyDescent="0.2">
      <c r="A331" s="196" t="str">
        <f t="shared" si="202"/>
        <v>Other</v>
      </c>
      <c r="B331" s="170">
        <f>IF(IBIOtherFixedStateDeprec="Yes",IBIOtherFixed,0)</f>
        <v>0</v>
      </c>
    </row>
    <row r="332" spans="1:17" x14ac:dyDescent="0.2">
      <c r="A332" s="196" t="str">
        <f t="shared" si="202"/>
        <v>Total</v>
      </c>
      <c r="B332" s="135">
        <f>SUM(B328:B331)</f>
        <v>0</v>
      </c>
    </row>
    <row r="333" spans="1:17" x14ac:dyDescent="0.2">
      <c r="A333" s="183" t="str">
        <f t="shared" si="202"/>
        <v>Percentage of Pre-Financing Costs</v>
      </c>
    </row>
    <row r="334" spans="1:17" x14ac:dyDescent="0.2">
      <c r="A334" s="196" t="str">
        <f t="shared" si="202"/>
        <v>Federal</v>
      </c>
      <c r="B334" s="135">
        <f>IF(IBIFedPercentStateDeprec="Yes",IBIFedPercent,0)</f>
        <v>0</v>
      </c>
    </row>
    <row r="335" spans="1:17" x14ac:dyDescent="0.2">
      <c r="A335" s="196" t="str">
        <f>A604</f>
        <v>State</v>
      </c>
      <c r="B335" s="135">
        <f>IF(IBIStatePercentStateDeprec="Yes",IBIStatePercent,0)</f>
        <v>0</v>
      </c>
    </row>
    <row r="336" spans="1:17" x14ac:dyDescent="0.2">
      <c r="A336" s="196" t="str">
        <f t="shared" si="202"/>
        <v>Utility</v>
      </c>
      <c r="B336" s="135">
        <f>IF(IBIUtilityPercentStateDeprec="Yes",IBIUtilityPercent,0)</f>
        <v>0</v>
      </c>
    </row>
    <row r="337" spans="1:42" x14ac:dyDescent="0.2">
      <c r="A337" s="196" t="str">
        <f t="shared" si="202"/>
        <v>Other</v>
      </c>
      <c r="B337" s="170">
        <f>IF(IBIOtherPercentStateDeprec="Yes",IBIOtherPercent,0)</f>
        <v>0</v>
      </c>
    </row>
    <row r="338" spans="1:42" x14ac:dyDescent="0.2">
      <c r="A338" s="196" t="str">
        <f t="shared" si="202"/>
        <v>Total</v>
      </c>
      <c r="B338" s="135">
        <f>SUM(B334:B337)</f>
        <v>0</v>
      </c>
    </row>
    <row r="339" spans="1:42" x14ac:dyDescent="0.2">
      <c r="A339" s="167" t="str">
        <f t="shared" si="202"/>
        <v>Capacity Based Incentive (CBI)</v>
      </c>
    </row>
    <row r="340" spans="1:42" x14ac:dyDescent="0.2">
      <c r="A340" s="183" t="str">
        <f t="shared" si="202"/>
        <v>Federal</v>
      </c>
      <c r="B340" s="135">
        <f>IF(CBIFedStateDeprec="Yes",CBIFed,0)</f>
        <v>0</v>
      </c>
    </row>
    <row r="341" spans="1:42" x14ac:dyDescent="0.2">
      <c r="A341" s="183" t="str">
        <f>A610</f>
        <v>State</v>
      </c>
      <c r="B341" s="135">
        <f>IF(CBIStateStateDeprec="Yes",CBIState,0)</f>
        <v>0</v>
      </c>
    </row>
    <row r="342" spans="1:42" x14ac:dyDescent="0.2">
      <c r="A342" s="183" t="str">
        <f t="shared" si="202"/>
        <v>Utility</v>
      </c>
      <c r="B342" s="135">
        <f>IF(CBIUtilityStateDeprec="Yes",CBIUtility,0)</f>
        <v>0</v>
      </c>
    </row>
    <row r="343" spans="1:42" x14ac:dyDescent="0.2">
      <c r="A343" s="183" t="str">
        <f t="shared" si="202"/>
        <v>Other</v>
      </c>
      <c r="B343" s="170">
        <f>IF(CBIOtherStateDeprec="Yes",CBIOther,0)</f>
        <v>0</v>
      </c>
    </row>
    <row r="344" spans="1:42" x14ac:dyDescent="0.2">
      <c r="A344" s="183" t="str">
        <f>A613</f>
        <v>Total</v>
      </c>
      <c r="B344" s="177">
        <f>SUM(B340:B343)</f>
        <v>0</v>
      </c>
    </row>
    <row r="345" spans="1:42" x14ac:dyDescent="0.2">
      <c r="A345" s="167" t="s">
        <v>140</v>
      </c>
      <c r="B345" s="135">
        <f>B332+B338+B344</f>
        <v>0</v>
      </c>
    </row>
    <row r="347" spans="1:42" x14ac:dyDescent="0.2">
      <c r="A347" s="20" t="s">
        <v>235</v>
      </c>
    </row>
    <row r="348" spans="1:42" x14ac:dyDescent="0.2">
      <c r="A348" s="167" t="s">
        <v>146</v>
      </c>
    </row>
    <row r="349" spans="1:42" x14ac:dyDescent="0.2">
      <c r="A349" s="188" t="str">
        <f>A316</f>
        <v>5-yr MACRS</v>
      </c>
      <c r="B349" s="197">
        <f>SUM(C349:AP349)</f>
        <v>0.99999999999999989</v>
      </c>
      <c r="C349" s="198">
        <f>LOOKUP(C$2,'Depreciation Schedules'!$A$3:$A$42,'Depreciation Schedules'!$B$3:$B$42)</f>
        <v>0.2</v>
      </c>
      <c r="D349" s="198">
        <f>LOOKUP(D$2,'Depreciation Schedules'!$A$3:$A$42,'Depreciation Schedules'!$B$3:$B$42)</f>
        <v>0.32</v>
      </c>
      <c r="E349" s="198">
        <f>LOOKUP(E$2,'Depreciation Schedules'!$A$3:$A$42,'Depreciation Schedules'!$B$3:$B$42)</f>
        <v>0.192</v>
      </c>
      <c r="F349" s="198">
        <f>LOOKUP(F$2,'Depreciation Schedules'!$A$3:$A$42,'Depreciation Schedules'!$B$3:$B$42)</f>
        <v>0.1152</v>
      </c>
      <c r="G349" s="198">
        <f>LOOKUP(G$2,'Depreciation Schedules'!$A$3:$A$42,'Depreciation Schedules'!$B$3:$B$42)</f>
        <v>0.1152</v>
      </c>
      <c r="H349" s="198">
        <f>LOOKUP(H$2,'Depreciation Schedules'!$A$3:$A$42,'Depreciation Schedules'!$B$3:$B$42)</f>
        <v>5.7599999999999998E-2</v>
      </c>
      <c r="I349" s="198">
        <f>LOOKUP(I$2,'Depreciation Schedules'!$A$3:$A$42,'Depreciation Schedules'!$B$3:$B$42)</f>
        <v>0</v>
      </c>
      <c r="J349" s="198">
        <f>LOOKUP(J$2,'Depreciation Schedules'!$A$3:$A$42,'Depreciation Schedules'!$B$3:$B$42)</f>
        <v>0</v>
      </c>
      <c r="K349" s="198">
        <f>LOOKUP(K$2,'Depreciation Schedules'!$A$3:$A$42,'Depreciation Schedules'!$B$3:$B$42)</f>
        <v>0</v>
      </c>
      <c r="L349" s="198">
        <f>LOOKUP(L$2,'Depreciation Schedules'!$A$3:$A$42,'Depreciation Schedules'!$B$3:$B$42)</f>
        <v>0</v>
      </c>
      <c r="M349" s="198">
        <f>LOOKUP(M$2,'Depreciation Schedules'!$A$3:$A$42,'Depreciation Schedules'!$B$3:$B$42)</f>
        <v>0</v>
      </c>
      <c r="N349" s="198">
        <f>LOOKUP(N$2,'Depreciation Schedules'!$A$3:$A$42,'Depreciation Schedules'!$B$3:$B$42)</f>
        <v>0</v>
      </c>
      <c r="O349" s="198">
        <f>LOOKUP(O$2,'Depreciation Schedules'!$A$3:$A$42,'Depreciation Schedules'!$B$3:$B$42)</f>
        <v>0</v>
      </c>
      <c r="P349" s="198">
        <f>LOOKUP(P$2,'Depreciation Schedules'!$A$3:$A$42,'Depreciation Schedules'!$B$3:$B$42)</f>
        <v>0</v>
      </c>
      <c r="Q349" s="198">
        <f>LOOKUP(Q$2,'Depreciation Schedules'!$A$3:$A$42,'Depreciation Schedules'!$B$3:$B$42)</f>
        <v>0</v>
      </c>
      <c r="R349" s="198">
        <f>LOOKUP(R$2,'Depreciation Schedules'!$A$3:$A$42,'Depreciation Schedules'!$B$3:$B$42)</f>
        <v>0</v>
      </c>
      <c r="S349" s="198">
        <f>LOOKUP(S$2,'Depreciation Schedules'!$A$3:$A$42,'Depreciation Schedules'!$B$3:$B$42)</f>
        <v>0</v>
      </c>
      <c r="T349" s="198">
        <f>LOOKUP(T$2,'Depreciation Schedules'!$A$3:$A$42,'Depreciation Schedules'!$B$3:$B$42)</f>
        <v>0</v>
      </c>
      <c r="U349" s="198">
        <f>LOOKUP(U$2,'Depreciation Schedules'!$A$3:$A$42,'Depreciation Schedules'!$B$3:$B$42)</f>
        <v>0</v>
      </c>
      <c r="V349" s="198">
        <f>LOOKUP(V$2,'Depreciation Schedules'!$A$3:$A$42,'Depreciation Schedules'!$B$3:$B$42)</f>
        <v>0</v>
      </c>
      <c r="W349" s="198">
        <f>LOOKUP(W$2,'Depreciation Schedules'!$A$3:$A$42,'Depreciation Schedules'!$B$3:$B$42)</f>
        <v>0</v>
      </c>
      <c r="X349" s="198">
        <f>LOOKUP(X$2,'Depreciation Schedules'!$A$3:$A$42,'Depreciation Schedules'!$B$3:$B$42)</f>
        <v>0</v>
      </c>
      <c r="Y349" s="198">
        <f>LOOKUP(Y$2,'Depreciation Schedules'!$A$3:$A$42,'Depreciation Schedules'!$B$3:$B$42)</f>
        <v>0</v>
      </c>
      <c r="Z349" s="198">
        <f>LOOKUP(Z$2,'Depreciation Schedules'!$A$3:$A$42,'Depreciation Schedules'!$B$3:$B$42)</f>
        <v>0</v>
      </c>
      <c r="AA349" s="198">
        <f>LOOKUP(AA$2,'Depreciation Schedules'!$A$3:$A$42,'Depreciation Schedules'!$B$3:$B$42)</f>
        <v>0</v>
      </c>
      <c r="AB349" s="198">
        <f>LOOKUP(AB$2,'Depreciation Schedules'!$A$3:$A$42,'Depreciation Schedules'!$B$3:$B$42)</f>
        <v>0</v>
      </c>
      <c r="AC349" s="198">
        <f>LOOKUP(AC$2,'Depreciation Schedules'!$A$3:$A$42,'Depreciation Schedules'!$B$3:$B$42)</f>
        <v>0</v>
      </c>
      <c r="AD349" s="198">
        <f>LOOKUP(AD$2,'Depreciation Schedules'!$A$3:$A$42,'Depreciation Schedules'!$B$3:$B$42)</f>
        <v>0</v>
      </c>
      <c r="AE349" s="198">
        <f>LOOKUP(AE$2,'Depreciation Schedules'!$A$3:$A$42,'Depreciation Schedules'!$B$3:$B$42)</f>
        <v>0</v>
      </c>
      <c r="AF349" s="198">
        <f>LOOKUP(AF$2,'Depreciation Schedules'!$A$3:$A$42,'Depreciation Schedules'!$B$3:$B$42)</f>
        <v>0</v>
      </c>
      <c r="AG349" s="198">
        <f>LOOKUP(AG$2,'Depreciation Schedules'!$A$3:$A$42,'Depreciation Schedules'!$B$3:$B$42)</f>
        <v>0</v>
      </c>
      <c r="AH349" s="198">
        <f>LOOKUP(AH$2,'Depreciation Schedules'!$A$3:$A$42,'Depreciation Schedules'!$B$3:$B$42)</f>
        <v>0</v>
      </c>
      <c r="AI349" s="198">
        <f>LOOKUP(AI$2,'Depreciation Schedules'!$A$3:$A$42,'Depreciation Schedules'!$B$3:$B$42)</f>
        <v>0</v>
      </c>
      <c r="AJ349" s="198">
        <f>LOOKUP(AJ$2,'Depreciation Schedules'!$A$3:$A$42,'Depreciation Schedules'!$B$3:$B$42)</f>
        <v>0</v>
      </c>
      <c r="AK349" s="198">
        <f>LOOKUP(AK$2,'Depreciation Schedules'!$A$3:$A$42,'Depreciation Schedules'!$B$3:$B$42)</f>
        <v>0</v>
      </c>
      <c r="AL349" s="198">
        <f>LOOKUP(AL$2,'Depreciation Schedules'!$A$3:$A$42,'Depreciation Schedules'!$B$3:$B$42)</f>
        <v>0</v>
      </c>
      <c r="AM349" s="198">
        <f>LOOKUP(AM$2,'Depreciation Schedules'!$A$3:$A$42,'Depreciation Schedules'!$B$3:$B$42)</f>
        <v>0</v>
      </c>
      <c r="AN349" s="198">
        <f>LOOKUP(AN$2,'Depreciation Schedules'!$A$3:$A$42,'Depreciation Schedules'!$B$3:$B$42)</f>
        <v>0</v>
      </c>
      <c r="AO349" s="198">
        <f>LOOKUP(AO$2,'Depreciation Schedules'!$A$3:$A$42,'Depreciation Schedules'!$B$3:$B$42)</f>
        <v>0</v>
      </c>
      <c r="AP349" s="198">
        <f>LOOKUP(AP$2,'Depreciation Schedules'!$A$3:$A$42,'Depreciation Schedules'!$B$3:$B$42)</f>
        <v>0</v>
      </c>
    </row>
    <row r="350" spans="1:42" x14ac:dyDescent="0.2">
      <c r="A350" s="188" t="str">
        <f t="shared" ref="A350:A354" si="203">A317</f>
        <v>15-yr MACRS</v>
      </c>
      <c r="B350" s="199">
        <f t="shared" ref="B350:B354" si="204">SUM(C350:AP350)</f>
        <v>1.0000000000000002</v>
      </c>
      <c r="C350" s="198">
        <f>LOOKUP(C$2,'Depreciation Schedules'!$A$3:$A$42,'Depreciation Schedules'!$C$3:$C$42)</f>
        <v>0.05</v>
      </c>
      <c r="D350" s="198">
        <f>LOOKUP(D$2,'Depreciation Schedules'!$A$3:$A$42,'Depreciation Schedules'!$C$3:$C$42)</f>
        <v>9.5000000000000001E-2</v>
      </c>
      <c r="E350" s="198">
        <f>LOOKUP(E$2,'Depreciation Schedules'!$A$3:$A$42,'Depreciation Schedules'!$C$3:$C$42)</f>
        <v>8.5500000000000007E-2</v>
      </c>
      <c r="F350" s="198">
        <f>LOOKUP(F$2,'Depreciation Schedules'!$A$3:$A$42,'Depreciation Schedules'!$C$3:$C$42)</f>
        <v>7.6999999999999999E-2</v>
      </c>
      <c r="G350" s="198">
        <f>LOOKUP(G$2,'Depreciation Schedules'!$A$3:$A$42,'Depreciation Schedules'!$C$3:$C$42)</f>
        <v>6.93E-2</v>
      </c>
      <c r="H350" s="198">
        <f>LOOKUP(H$2,'Depreciation Schedules'!$A$3:$A$42,'Depreciation Schedules'!$C$3:$C$42)</f>
        <v>6.2300000000000001E-2</v>
      </c>
      <c r="I350" s="198">
        <f>LOOKUP(I$2,'Depreciation Schedules'!$A$3:$A$42,'Depreciation Schedules'!$C$3:$C$42)</f>
        <v>5.8999999999999997E-2</v>
      </c>
      <c r="J350" s="198">
        <f>LOOKUP(J$2,'Depreciation Schedules'!$A$3:$A$42,'Depreciation Schedules'!$C$3:$C$42)</f>
        <v>5.8999999999999997E-2</v>
      </c>
      <c r="K350" s="198">
        <f>LOOKUP(K$2,'Depreciation Schedules'!$A$3:$A$42,'Depreciation Schedules'!$C$3:$C$42)</f>
        <v>5.91E-2</v>
      </c>
      <c r="L350" s="198">
        <f>LOOKUP(L$2,'Depreciation Schedules'!$A$3:$A$42,'Depreciation Schedules'!$C$3:$C$42)</f>
        <v>5.8999999999999997E-2</v>
      </c>
      <c r="M350" s="198">
        <f>LOOKUP(M$2,'Depreciation Schedules'!$A$3:$A$42,'Depreciation Schedules'!$C$3:$C$42)</f>
        <v>5.91E-2</v>
      </c>
      <c r="N350" s="198">
        <f>LOOKUP(N$2,'Depreciation Schedules'!$A$3:$A$42,'Depreciation Schedules'!$C$3:$C$42)</f>
        <v>5.8999999999999997E-2</v>
      </c>
      <c r="O350" s="198">
        <f>LOOKUP(O$2,'Depreciation Schedules'!$A$3:$A$42,'Depreciation Schedules'!$C$3:$C$42)</f>
        <v>5.91E-2</v>
      </c>
      <c r="P350" s="198">
        <f>LOOKUP(P$2,'Depreciation Schedules'!$A$3:$A$42,'Depreciation Schedules'!$C$3:$C$42)</f>
        <v>5.8999999999999997E-2</v>
      </c>
      <c r="Q350" s="198">
        <f>LOOKUP(Q$2,'Depreciation Schedules'!$A$3:$A$42,'Depreciation Schedules'!$C$3:$C$42)</f>
        <v>5.91E-2</v>
      </c>
      <c r="R350" s="198">
        <f>LOOKUP(R$2,'Depreciation Schedules'!$A$3:$A$42,'Depreciation Schedules'!$C$3:$C$42)</f>
        <v>2.9499999999999998E-2</v>
      </c>
      <c r="S350" s="198">
        <f>LOOKUP(S$2,'Depreciation Schedules'!$A$3:$A$42,'Depreciation Schedules'!$C$3:$C$42)</f>
        <v>0</v>
      </c>
      <c r="T350" s="198">
        <f>LOOKUP(T$2,'Depreciation Schedules'!$A$3:$A$42,'Depreciation Schedules'!$C$3:$C$42)</f>
        <v>0</v>
      </c>
      <c r="U350" s="198">
        <f>LOOKUP(U$2,'Depreciation Schedules'!$A$3:$A$42,'Depreciation Schedules'!$C$3:$C$42)</f>
        <v>0</v>
      </c>
      <c r="V350" s="198">
        <f>LOOKUP(V$2,'Depreciation Schedules'!$A$3:$A$42,'Depreciation Schedules'!$C$3:$C$42)</f>
        <v>0</v>
      </c>
      <c r="W350" s="198">
        <f>LOOKUP(W$2,'Depreciation Schedules'!$A$3:$A$42,'Depreciation Schedules'!$C$3:$C$42)</f>
        <v>0</v>
      </c>
      <c r="X350" s="198">
        <f>LOOKUP(X$2,'Depreciation Schedules'!$A$3:$A$42,'Depreciation Schedules'!$C$3:$C$42)</f>
        <v>0</v>
      </c>
      <c r="Y350" s="198">
        <f>LOOKUP(Y$2,'Depreciation Schedules'!$A$3:$A$42,'Depreciation Schedules'!$C$3:$C$42)</f>
        <v>0</v>
      </c>
      <c r="Z350" s="198">
        <f>LOOKUP(Z$2,'Depreciation Schedules'!$A$3:$A$42,'Depreciation Schedules'!$C$3:$C$42)</f>
        <v>0</v>
      </c>
      <c r="AA350" s="198">
        <f>LOOKUP(AA$2,'Depreciation Schedules'!$A$3:$A$42,'Depreciation Schedules'!$C$3:$C$42)</f>
        <v>0</v>
      </c>
      <c r="AB350" s="198">
        <f>LOOKUP(AB$2,'Depreciation Schedules'!$A$3:$A$42,'Depreciation Schedules'!$C$3:$C$42)</f>
        <v>0</v>
      </c>
      <c r="AC350" s="198">
        <f>LOOKUP(AC$2,'Depreciation Schedules'!$A$3:$A$42,'Depreciation Schedules'!$C$3:$C$42)</f>
        <v>0</v>
      </c>
      <c r="AD350" s="198">
        <f>LOOKUP(AD$2,'Depreciation Schedules'!$A$3:$A$42,'Depreciation Schedules'!$C$3:$C$42)</f>
        <v>0</v>
      </c>
      <c r="AE350" s="198">
        <f>LOOKUP(AE$2,'Depreciation Schedules'!$A$3:$A$42,'Depreciation Schedules'!$C$3:$C$42)</f>
        <v>0</v>
      </c>
      <c r="AF350" s="198">
        <f>LOOKUP(AF$2,'Depreciation Schedules'!$A$3:$A$42,'Depreciation Schedules'!$C$3:$C$42)</f>
        <v>0</v>
      </c>
      <c r="AG350" s="198">
        <f>LOOKUP(AG$2,'Depreciation Schedules'!$A$3:$A$42,'Depreciation Schedules'!$C$3:$C$42)</f>
        <v>0</v>
      </c>
      <c r="AH350" s="198">
        <f>LOOKUP(AH$2,'Depreciation Schedules'!$A$3:$A$42,'Depreciation Schedules'!$C$3:$C$42)</f>
        <v>0</v>
      </c>
      <c r="AI350" s="198">
        <f>LOOKUP(AI$2,'Depreciation Schedules'!$A$3:$A$42,'Depreciation Schedules'!$C$3:$C$42)</f>
        <v>0</v>
      </c>
      <c r="AJ350" s="198">
        <f>LOOKUP(AJ$2,'Depreciation Schedules'!$A$3:$A$42,'Depreciation Schedules'!$C$3:$C$42)</f>
        <v>0</v>
      </c>
      <c r="AK350" s="198">
        <f>LOOKUP(AK$2,'Depreciation Schedules'!$A$3:$A$42,'Depreciation Schedules'!$C$3:$C$42)</f>
        <v>0</v>
      </c>
      <c r="AL350" s="198">
        <f>LOOKUP(AL$2,'Depreciation Schedules'!$A$3:$A$42,'Depreciation Schedules'!$C$3:$C$42)</f>
        <v>0</v>
      </c>
      <c r="AM350" s="198">
        <f>LOOKUP(AM$2,'Depreciation Schedules'!$A$3:$A$42,'Depreciation Schedules'!$C$3:$C$42)</f>
        <v>0</v>
      </c>
      <c r="AN350" s="198">
        <f>LOOKUP(AN$2,'Depreciation Schedules'!$A$3:$A$42,'Depreciation Schedules'!$C$3:$C$42)</f>
        <v>0</v>
      </c>
      <c r="AO350" s="198">
        <f>LOOKUP(AO$2,'Depreciation Schedules'!$A$3:$A$42,'Depreciation Schedules'!$C$3:$C$42)</f>
        <v>0</v>
      </c>
      <c r="AP350" s="198">
        <f>LOOKUP(AP$2,'Depreciation Schedules'!$A$3:$A$42,'Depreciation Schedules'!$C$3:$C$42)</f>
        <v>0</v>
      </c>
    </row>
    <row r="351" spans="1:42" x14ac:dyDescent="0.2">
      <c r="A351" s="188" t="str">
        <f t="shared" si="203"/>
        <v>5-yr SL</v>
      </c>
      <c r="B351" s="199">
        <f t="shared" si="204"/>
        <v>0.99999999999999989</v>
      </c>
      <c r="C351" s="198">
        <f>LOOKUP(C$2,'Depreciation Schedules'!$A$3:$A$42,'Depreciation Schedules'!$D$3:$D$42)</f>
        <v>0.1</v>
      </c>
      <c r="D351" s="198">
        <f>LOOKUP(D$2,'Depreciation Schedules'!$A$3:$A$42,'Depreciation Schedules'!$D$3:$D$42)</f>
        <v>0.2</v>
      </c>
      <c r="E351" s="198">
        <f>LOOKUP(E$2,'Depreciation Schedules'!$A$3:$A$42,'Depreciation Schedules'!$D$3:$D$42)</f>
        <v>0.2</v>
      </c>
      <c r="F351" s="198">
        <f>LOOKUP(F$2,'Depreciation Schedules'!$A$3:$A$42,'Depreciation Schedules'!$D$3:$D$42)</f>
        <v>0.2</v>
      </c>
      <c r="G351" s="198">
        <f>LOOKUP(G$2,'Depreciation Schedules'!$A$3:$A$42,'Depreciation Schedules'!$D$3:$D$42)</f>
        <v>0.2</v>
      </c>
      <c r="H351" s="198">
        <f>LOOKUP(H$2,'Depreciation Schedules'!$A$3:$A$42,'Depreciation Schedules'!$D$3:$D$42)</f>
        <v>0.1</v>
      </c>
      <c r="I351" s="198">
        <f>LOOKUP(I$2,'Depreciation Schedules'!$A$3:$A$42,'Depreciation Schedules'!$D$3:$D$42)</f>
        <v>0</v>
      </c>
      <c r="J351" s="198">
        <f>LOOKUP(J$2,'Depreciation Schedules'!$A$3:$A$42,'Depreciation Schedules'!$D$3:$D$42)</f>
        <v>0</v>
      </c>
      <c r="K351" s="198">
        <f>LOOKUP(K$2,'Depreciation Schedules'!$A$3:$A$42,'Depreciation Schedules'!$D$3:$D$42)</f>
        <v>0</v>
      </c>
      <c r="L351" s="198">
        <f>LOOKUP(L$2,'Depreciation Schedules'!$A$3:$A$42,'Depreciation Schedules'!$D$3:$D$42)</f>
        <v>0</v>
      </c>
      <c r="M351" s="198">
        <f>LOOKUP(M$2,'Depreciation Schedules'!$A$3:$A$42,'Depreciation Schedules'!$D$3:$D$42)</f>
        <v>0</v>
      </c>
      <c r="N351" s="198">
        <f>LOOKUP(N$2,'Depreciation Schedules'!$A$3:$A$42,'Depreciation Schedules'!$D$3:$D$42)</f>
        <v>0</v>
      </c>
      <c r="O351" s="198">
        <f>LOOKUP(O$2,'Depreciation Schedules'!$A$3:$A$42,'Depreciation Schedules'!$D$3:$D$42)</f>
        <v>0</v>
      </c>
      <c r="P351" s="198">
        <f>LOOKUP(P$2,'Depreciation Schedules'!$A$3:$A$42,'Depreciation Schedules'!$D$3:$D$42)</f>
        <v>0</v>
      </c>
      <c r="Q351" s="198">
        <f>LOOKUP(Q$2,'Depreciation Schedules'!$A$3:$A$42,'Depreciation Schedules'!$D$3:$D$42)</f>
        <v>0</v>
      </c>
      <c r="R351" s="198">
        <f>LOOKUP(R$2,'Depreciation Schedules'!$A$3:$A$42,'Depreciation Schedules'!$D$3:$D$42)</f>
        <v>0</v>
      </c>
      <c r="S351" s="198">
        <f>LOOKUP(S$2,'Depreciation Schedules'!$A$3:$A$42,'Depreciation Schedules'!$D$3:$D$42)</f>
        <v>0</v>
      </c>
      <c r="T351" s="198">
        <f>LOOKUP(T$2,'Depreciation Schedules'!$A$3:$A$42,'Depreciation Schedules'!$D$3:$D$42)</f>
        <v>0</v>
      </c>
      <c r="U351" s="198">
        <f>LOOKUP(U$2,'Depreciation Schedules'!$A$3:$A$42,'Depreciation Schedules'!$D$3:$D$42)</f>
        <v>0</v>
      </c>
      <c r="V351" s="198">
        <f>LOOKUP(V$2,'Depreciation Schedules'!$A$3:$A$42,'Depreciation Schedules'!$D$3:$D$42)</f>
        <v>0</v>
      </c>
      <c r="W351" s="198">
        <f>LOOKUP(W$2,'Depreciation Schedules'!$A$3:$A$42,'Depreciation Schedules'!$D$3:$D$42)</f>
        <v>0</v>
      </c>
      <c r="X351" s="198">
        <f>LOOKUP(X$2,'Depreciation Schedules'!$A$3:$A$42,'Depreciation Schedules'!$D$3:$D$42)</f>
        <v>0</v>
      </c>
      <c r="Y351" s="198">
        <f>LOOKUP(Y$2,'Depreciation Schedules'!$A$3:$A$42,'Depreciation Schedules'!$D$3:$D$42)</f>
        <v>0</v>
      </c>
      <c r="Z351" s="198">
        <f>LOOKUP(Z$2,'Depreciation Schedules'!$A$3:$A$42,'Depreciation Schedules'!$D$3:$D$42)</f>
        <v>0</v>
      </c>
      <c r="AA351" s="198">
        <f>LOOKUP(AA$2,'Depreciation Schedules'!$A$3:$A$42,'Depreciation Schedules'!$D$3:$D$42)</f>
        <v>0</v>
      </c>
      <c r="AB351" s="198">
        <f>LOOKUP(AB$2,'Depreciation Schedules'!$A$3:$A$42,'Depreciation Schedules'!$D$3:$D$42)</f>
        <v>0</v>
      </c>
      <c r="AC351" s="198">
        <f>LOOKUP(AC$2,'Depreciation Schedules'!$A$3:$A$42,'Depreciation Schedules'!$D$3:$D$42)</f>
        <v>0</v>
      </c>
      <c r="AD351" s="198">
        <f>LOOKUP(AD$2,'Depreciation Schedules'!$A$3:$A$42,'Depreciation Schedules'!$D$3:$D$42)</f>
        <v>0</v>
      </c>
      <c r="AE351" s="198">
        <f>LOOKUP(AE$2,'Depreciation Schedules'!$A$3:$A$42,'Depreciation Schedules'!$D$3:$D$42)</f>
        <v>0</v>
      </c>
      <c r="AF351" s="198">
        <f>LOOKUP(AF$2,'Depreciation Schedules'!$A$3:$A$42,'Depreciation Schedules'!$D$3:$D$42)</f>
        <v>0</v>
      </c>
      <c r="AG351" s="198">
        <f>LOOKUP(AG$2,'Depreciation Schedules'!$A$3:$A$42,'Depreciation Schedules'!$D$3:$D$42)</f>
        <v>0</v>
      </c>
      <c r="AH351" s="198">
        <f>LOOKUP(AH$2,'Depreciation Schedules'!$A$3:$A$42,'Depreciation Schedules'!$D$3:$D$42)</f>
        <v>0</v>
      </c>
      <c r="AI351" s="198">
        <f>LOOKUP(AI$2,'Depreciation Schedules'!$A$3:$A$42,'Depreciation Schedules'!$D$3:$D$42)</f>
        <v>0</v>
      </c>
      <c r="AJ351" s="198">
        <f>LOOKUP(AJ$2,'Depreciation Schedules'!$A$3:$A$42,'Depreciation Schedules'!$D$3:$D$42)</f>
        <v>0</v>
      </c>
      <c r="AK351" s="198">
        <f>LOOKUP(AK$2,'Depreciation Schedules'!$A$3:$A$42,'Depreciation Schedules'!$D$3:$D$42)</f>
        <v>0</v>
      </c>
      <c r="AL351" s="198">
        <f>LOOKUP(AL$2,'Depreciation Schedules'!$A$3:$A$42,'Depreciation Schedules'!$D$3:$D$42)</f>
        <v>0</v>
      </c>
      <c r="AM351" s="198">
        <f>LOOKUP(AM$2,'Depreciation Schedules'!$A$3:$A$42,'Depreciation Schedules'!$D$3:$D$42)</f>
        <v>0</v>
      </c>
      <c r="AN351" s="198">
        <f>LOOKUP(AN$2,'Depreciation Schedules'!$A$3:$A$42,'Depreciation Schedules'!$D$3:$D$42)</f>
        <v>0</v>
      </c>
      <c r="AO351" s="198">
        <f>LOOKUP(AO$2,'Depreciation Schedules'!$A$3:$A$42,'Depreciation Schedules'!$D$3:$D$42)</f>
        <v>0</v>
      </c>
      <c r="AP351" s="198">
        <f>LOOKUP(AP$2,'Depreciation Schedules'!$A$3:$A$42,'Depreciation Schedules'!$D$3:$D$42)</f>
        <v>0</v>
      </c>
    </row>
    <row r="352" spans="1:42" x14ac:dyDescent="0.2">
      <c r="A352" s="188" t="str">
        <f t="shared" si="203"/>
        <v>15-yr SL</v>
      </c>
      <c r="B352" s="199">
        <f t="shared" si="204"/>
        <v>0.99999999999999989</v>
      </c>
      <c r="C352" s="198">
        <f>LOOKUP(C$2,'Depreciation Schedules'!$A$3:$A$42,'Depreciation Schedules'!$E$3:$E$42)</f>
        <v>3.3300000000000003E-2</v>
      </c>
      <c r="D352" s="198">
        <f>LOOKUP(D$2,'Depreciation Schedules'!$A$3:$A$42,'Depreciation Schedules'!$E$3:$E$42)</f>
        <v>6.6699999999999995E-2</v>
      </c>
      <c r="E352" s="198">
        <f>LOOKUP(E$2,'Depreciation Schedules'!$A$3:$A$42,'Depreciation Schedules'!$E$3:$E$42)</f>
        <v>6.6699999999999995E-2</v>
      </c>
      <c r="F352" s="198">
        <f>LOOKUP(F$2,'Depreciation Schedules'!$A$3:$A$42,'Depreciation Schedules'!$E$3:$E$42)</f>
        <v>6.6699999999999995E-2</v>
      </c>
      <c r="G352" s="198">
        <f>LOOKUP(G$2,'Depreciation Schedules'!$A$3:$A$42,'Depreciation Schedules'!$E$3:$E$42)</f>
        <v>6.6699999999999995E-2</v>
      </c>
      <c r="H352" s="198">
        <f>LOOKUP(H$2,'Depreciation Schedules'!$A$3:$A$42,'Depreciation Schedules'!$E$3:$E$42)</f>
        <v>6.6699999999999995E-2</v>
      </c>
      <c r="I352" s="198">
        <f>LOOKUP(I$2,'Depreciation Schedules'!$A$3:$A$42,'Depreciation Schedules'!$E$3:$E$42)</f>
        <v>6.6699999999999995E-2</v>
      </c>
      <c r="J352" s="198">
        <f>LOOKUP(J$2,'Depreciation Schedules'!$A$3:$A$42,'Depreciation Schedules'!$E$3:$E$42)</f>
        <v>6.6600000000000006E-2</v>
      </c>
      <c r="K352" s="198">
        <f>LOOKUP(K$2,'Depreciation Schedules'!$A$3:$A$42,'Depreciation Schedules'!$E$3:$E$42)</f>
        <v>6.6699999999999995E-2</v>
      </c>
      <c r="L352" s="198">
        <f>LOOKUP(L$2,'Depreciation Schedules'!$A$3:$A$42,'Depreciation Schedules'!$E$3:$E$42)</f>
        <v>6.6600000000000006E-2</v>
      </c>
      <c r="M352" s="198">
        <f>LOOKUP(M$2,'Depreciation Schedules'!$A$3:$A$42,'Depreciation Schedules'!$E$3:$E$42)</f>
        <v>6.6699999999999995E-2</v>
      </c>
      <c r="N352" s="198">
        <f>LOOKUP(N$2,'Depreciation Schedules'!$A$3:$A$42,'Depreciation Schedules'!$E$3:$E$42)</f>
        <v>6.6600000000000006E-2</v>
      </c>
      <c r="O352" s="198">
        <f>LOOKUP(O$2,'Depreciation Schedules'!$A$3:$A$42,'Depreciation Schedules'!$E$3:$E$42)</f>
        <v>6.6699999999999995E-2</v>
      </c>
      <c r="P352" s="198">
        <f>LOOKUP(P$2,'Depreciation Schedules'!$A$3:$A$42,'Depreciation Schedules'!$E$3:$E$42)</f>
        <v>6.6600000000000006E-2</v>
      </c>
      <c r="Q352" s="198">
        <f>LOOKUP(Q$2,'Depreciation Schedules'!$A$3:$A$42,'Depreciation Schedules'!$E$3:$E$42)</f>
        <v>6.6699999999999995E-2</v>
      </c>
      <c r="R352" s="198">
        <f>LOOKUP(R$2,'Depreciation Schedules'!$A$3:$A$42,'Depreciation Schedules'!$E$3:$E$42)</f>
        <v>3.3300000000000003E-2</v>
      </c>
      <c r="S352" s="198">
        <f>LOOKUP(S$2,'Depreciation Schedules'!$A$3:$A$42,'Depreciation Schedules'!$E$3:$E$42)</f>
        <v>0</v>
      </c>
      <c r="T352" s="198">
        <f>LOOKUP(T$2,'Depreciation Schedules'!$A$3:$A$42,'Depreciation Schedules'!$E$3:$E$42)</f>
        <v>0</v>
      </c>
      <c r="U352" s="198">
        <f>LOOKUP(U$2,'Depreciation Schedules'!$A$3:$A$42,'Depreciation Schedules'!$E$3:$E$42)</f>
        <v>0</v>
      </c>
      <c r="V352" s="198">
        <f>LOOKUP(V$2,'Depreciation Schedules'!$A$3:$A$42,'Depreciation Schedules'!$E$3:$E$42)</f>
        <v>0</v>
      </c>
      <c r="W352" s="198">
        <f>LOOKUP(W$2,'Depreciation Schedules'!$A$3:$A$42,'Depreciation Schedules'!$E$3:$E$42)</f>
        <v>0</v>
      </c>
      <c r="X352" s="198">
        <f>LOOKUP(X$2,'Depreciation Schedules'!$A$3:$A$42,'Depreciation Schedules'!$E$3:$E$42)</f>
        <v>0</v>
      </c>
      <c r="Y352" s="198">
        <f>LOOKUP(Y$2,'Depreciation Schedules'!$A$3:$A$42,'Depreciation Schedules'!$E$3:$E$42)</f>
        <v>0</v>
      </c>
      <c r="Z352" s="198">
        <f>LOOKUP(Z$2,'Depreciation Schedules'!$A$3:$A$42,'Depreciation Schedules'!$E$3:$E$42)</f>
        <v>0</v>
      </c>
      <c r="AA352" s="198">
        <f>LOOKUP(AA$2,'Depreciation Schedules'!$A$3:$A$42,'Depreciation Schedules'!$E$3:$E$42)</f>
        <v>0</v>
      </c>
      <c r="AB352" s="198">
        <f>LOOKUP(AB$2,'Depreciation Schedules'!$A$3:$A$42,'Depreciation Schedules'!$E$3:$E$42)</f>
        <v>0</v>
      </c>
      <c r="AC352" s="198">
        <f>LOOKUP(AC$2,'Depreciation Schedules'!$A$3:$A$42,'Depreciation Schedules'!$E$3:$E$42)</f>
        <v>0</v>
      </c>
      <c r="AD352" s="198">
        <f>LOOKUP(AD$2,'Depreciation Schedules'!$A$3:$A$42,'Depreciation Schedules'!$E$3:$E$42)</f>
        <v>0</v>
      </c>
      <c r="AE352" s="198">
        <f>LOOKUP(AE$2,'Depreciation Schedules'!$A$3:$A$42,'Depreciation Schedules'!$E$3:$E$42)</f>
        <v>0</v>
      </c>
      <c r="AF352" s="198">
        <f>LOOKUP(AF$2,'Depreciation Schedules'!$A$3:$A$42,'Depreciation Schedules'!$E$3:$E$42)</f>
        <v>0</v>
      </c>
      <c r="AG352" s="198">
        <f>LOOKUP(AG$2,'Depreciation Schedules'!$A$3:$A$42,'Depreciation Schedules'!$E$3:$E$42)</f>
        <v>0</v>
      </c>
      <c r="AH352" s="198">
        <f>LOOKUP(AH$2,'Depreciation Schedules'!$A$3:$A$42,'Depreciation Schedules'!$E$3:$E$42)</f>
        <v>0</v>
      </c>
      <c r="AI352" s="198">
        <f>LOOKUP(AI$2,'Depreciation Schedules'!$A$3:$A$42,'Depreciation Schedules'!$E$3:$E$42)</f>
        <v>0</v>
      </c>
      <c r="AJ352" s="198">
        <f>LOOKUP(AJ$2,'Depreciation Schedules'!$A$3:$A$42,'Depreciation Schedules'!$E$3:$E$42)</f>
        <v>0</v>
      </c>
      <c r="AK352" s="198">
        <f>LOOKUP(AK$2,'Depreciation Schedules'!$A$3:$A$42,'Depreciation Schedules'!$E$3:$E$42)</f>
        <v>0</v>
      </c>
      <c r="AL352" s="198">
        <f>LOOKUP(AL$2,'Depreciation Schedules'!$A$3:$A$42,'Depreciation Schedules'!$E$3:$E$42)</f>
        <v>0</v>
      </c>
      <c r="AM352" s="198">
        <f>LOOKUP(AM$2,'Depreciation Schedules'!$A$3:$A$42,'Depreciation Schedules'!$E$3:$E$42)</f>
        <v>0</v>
      </c>
      <c r="AN352" s="198">
        <f>LOOKUP(AN$2,'Depreciation Schedules'!$A$3:$A$42,'Depreciation Schedules'!$E$3:$E$42)</f>
        <v>0</v>
      </c>
      <c r="AO352" s="198">
        <f>LOOKUP(AO$2,'Depreciation Schedules'!$A$3:$A$42,'Depreciation Schedules'!$E$3:$E$42)</f>
        <v>0</v>
      </c>
      <c r="AP352" s="198">
        <f>LOOKUP(AP$2,'Depreciation Schedules'!$A$3:$A$42,'Depreciation Schedules'!$E$3:$E$42)</f>
        <v>0</v>
      </c>
    </row>
    <row r="353" spans="1:42" x14ac:dyDescent="0.2">
      <c r="A353" s="188" t="str">
        <f t="shared" si="203"/>
        <v>20-yr SL</v>
      </c>
      <c r="B353" s="199">
        <f t="shared" si="204"/>
        <v>1.0000000000000002</v>
      </c>
      <c r="C353" s="198">
        <f>LOOKUP(C$2,'Depreciation Schedules'!$A$3:$A$42,'Depreciation Schedules'!$F$3:$F$42)</f>
        <v>2.5000000000000001E-2</v>
      </c>
      <c r="D353" s="198">
        <f>LOOKUP(D$2,'Depreciation Schedules'!$A$3:$A$42,'Depreciation Schedules'!$F$3:$F$42)</f>
        <v>0.05</v>
      </c>
      <c r="E353" s="198">
        <f>LOOKUP(E$2,'Depreciation Schedules'!$A$3:$A$42,'Depreciation Schedules'!$F$3:$F$42)</f>
        <v>0.05</v>
      </c>
      <c r="F353" s="198">
        <f>LOOKUP(F$2,'Depreciation Schedules'!$A$3:$A$42,'Depreciation Schedules'!$F$3:$F$42)</f>
        <v>0.05</v>
      </c>
      <c r="G353" s="198">
        <f>LOOKUP(G$2,'Depreciation Schedules'!$A$3:$A$42,'Depreciation Schedules'!$F$3:$F$42)</f>
        <v>0.05</v>
      </c>
      <c r="H353" s="198">
        <f>LOOKUP(H$2,'Depreciation Schedules'!$A$3:$A$42,'Depreciation Schedules'!$F$3:$F$42)</f>
        <v>0.05</v>
      </c>
      <c r="I353" s="198">
        <f>LOOKUP(I$2,'Depreciation Schedules'!$A$3:$A$42,'Depreciation Schedules'!$F$3:$F$42)</f>
        <v>0.05</v>
      </c>
      <c r="J353" s="198">
        <f>LOOKUP(J$2,'Depreciation Schedules'!$A$3:$A$42,'Depreciation Schedules'!$F$3:$F$42)</f>
        <v>0.05</v>
      </c>
      <c r="K353" s="198">
        <f>LOOKUP(K$2,'Depreciation Schedules'!$A$3:$A$42,'Depreciation Schedules'!$F$3:$F$42)</f>
        <v>0.05</v>
      </c>
      <c r="L353" s="198">
        <f>LOOKUP(L$2,'Depreciation Schedules'!$A$3:$A$42,'Depreciation Schedules'!$F$3:$F$42)</f>
        <v>0.05</v>
      </c>
      <c r="M353" s="198">
        <f>LOOKUP(M$2,'Depreciation Schedules'!$A$3:$A$42,'Depreciation Schedules'!$F$3:$F$42)</f>
        <v>0.05</v>
      </c>
      <c r="N353" s="198">
        <f>LOOKUP(N$2,'Depreciation Schedules'!$A$3:$A$42,'Depreciation Schedules'!$F$3:$F$42)</f>
        <v>0.05</v>
      </c>
      <c r="O353" s="198">
        <f>LOOKUP(O$2,'Depreciation Schedules'!$A$3:$A$42,'Depreciation Schedules'!$F$3:$F$42)</f>
        <v>0.05</v>
      </c>
      <c r="P353" s="198">
        <f>LOOKUP(P$2,'Depreciation Schedules'!$A$3:$A$42,'Depreciation Schedules'!$F$3:$F$42)</f>
        <v>0.05</v>
      </c>
      <c r="Q353" s="198">
        <f>LOOKUP(Q$2,'Depreciation Schedules'!$A$3:$A$42,'Depreciation Schedules'!$F$3:$F$42)</f>
        <v>0.05</v>
      </c>
      <c r="R353" s="198">
        <f>LOOKUP(R$2,'Depreciation Schedules'!$A$3:$A$42,'Depreciation Schedules'!$F$3:$F$42)</f>
        <v>0.05</v>
      </c>
      <c r="S353" s="198">
        <f>LOOKUP(S$2,'Depreciation Schedules'!$A$3:$A$42,'Depreciation Schedules'!$F$3:$F$42)</f>
        <v>0.05</v>
      </c>
      <c r="T353" s="198">
        <f>LOOKUP(T$2,'Depreciation Schedules'!$A$3:$A$42,'Depreciation Schedules'!$F$3:$F$42)</f>
        <v>0.05</v>
      </c>
      <c r="U353" s="198">
        <f>LOOKUP(U$2,'Depreciation Schedules'!$A$3:$A$42,'Depreciation Schedules'!$F$3:$F$42)</f>
        <v>0.05</v>
      </c>
      <c r="V353" s="198">
        <f>LOOKUP(V$2,'Depreciation Schedules'!$A$3:$A$42,'Depreciation Schedules'!$F$3:$F$42)</f>
        <v>0.05</v>
      </c>
      <c r="W353" s="198">
        <f>LOOKUP(W$2,'Depreciation Schedules'!$A$3:$A$42,'Depreciation Schedules'!$F$3:$F$42)</f>
        <v>2.5000000000000001E-2</v>
      </c>
      <c r="X353" s="198">
        <f>LOOKUP(X$2,'Depreciation Schedules'!$A$3:$A$42,'Depreciation Schedules'!$F$3:$F$42)</f>
        <v>0</v>
      </c>
      <c r="Y353" s="198">
        <f>LOOKUP(Y$2,'Depreciation Schedules'!$A$3:$A$42,'Depreciation Schedules'!$F$3:$F$42)</f>
        <v>0</v>
      </c>
      <c r="Z353" s="198">
        <f>LOOKUP(Z$2,'Depreciation Schedules'!$A$3:$A$42,'Depreciation Schedules'!$F$3:$F$42)</f>
        <v>0</v>
      </c>
      <c r="AA353" s="198">
        <f>LOOKUP(AA$2,'Depreciation Schedules'!$A$3:$A$42,'Depreciation Schedules'!$F$3:$F$42)</f>
        <v>0</v>
      </c>
      <c r="AB353" s="198">
        <f>LOOKUP(AB$2,'Depreciation Schedules'!$A$3:$A$42,'Depreciation Schedules'!$F$3:$F$42)</f>
        <v>0</v>
      </c>
      <c r="AC353" s="198">
        <f>LOOKUP(AC$2,'Depreciation Schedules'!$A$3:$A$42,'Depreciation Schedules'!$F$3:$F$42)</f>
        <v>0</v>
      </c>
      <c r="AD353" s="198">
        <f>LOOKUP(AD$2,'Depreciation Schedules'!$A$3:$A$42,'Depreciation Schedules'!$F$3:$F$42)</f>
        <v>0</v>
      </c>
      <c r="AE353" s="198">
        <f>LOOKUP(AE$2,'Depreciation Schedules'!$A$3:$A$42,'Depreciation Schedules'!$F$3:$F$42)</f>
        <v>0</v>
      </c>
      <c r="AF353" s="198">
        <f>LOOKUP(AF$2,'Depreciation Schedules'!$A$3:$A$42,'Depreciation Schedules'!$F$3:$F$42)</f>
        <v>0</v>
      </c>
      <c r="AG353" s="198">
        <f>LOOKUP(AG$2,'Depreciation Schedules'!$A$3:$A$42,'Depreciation Schedules'!$F$3:$F$42)</f>
        <v>0</v>
      </c>
      <c r="AH353" s="198">
        <f>LOOKUP(AH$2,'Depreciation Schedules'!$A$3:$A$42,'Depreciation Schedules'!$F$3:$F$42)</f>
        <v>0</v>
      </c>
      <c r="AI353" s="198">
        <f>LOOKUP(AI$2,'Depreciation Schedules'!$A$3:$A$42,'Depreciation Schedules'!$F$3:$F$42)</f>
        <v>0</v>
      </c>
      <c r="AJ353" s="198">
        <f>LOOKUP(AJ$2,'Depreciation Schedules'!$A$3:$A$42,'Depreciation Schedules'!$F$3:$F$42)</f>
        <v>0</v>
      </c>
      <c r="AK353" s="198">
        <f>LOOKUP(AK$2,'Depreciation Schedules'!$A$3:$A$42,'Depreciation Schedules'!$F$3:$F$42)</f>
        <v>0</v>
      </c>
      <c r="AL353" s="198">
        <f>LOOKUP(AL$2,'Depreciation Schedules'!$A$3:$A$42,'Depreciation Schedules'!$F$3:$F$42)</f>
        <v>0</v>
      </c>
      <c r="AM353" s="198">
        <f>LOOKUP(AM$2,'Depreciation Schedules'!$A$3:$A$42,'Depreciation Schedules'!$F$3:$F$42)</f>
        <v>0</v>
      </c>
      <c r="AN353" s="198">
        <f>LOOKUP(AN$2,'Depreciation Schedules'!$A$3:$A$42,'Depreciation Schedules'!$F$3:$F$42)</f>
        <v>0</v>
      </c>
      <c r="AO353" s="198">
        <f>LOOKUP(AO$2,'Depreciation Schedules'!$A$3:$A$42,'Depreciation Schedules'!$F$3:$F$42)</f>
        <v>0</v>
      </c>
      <c r="AP353" s="198">
        <f>LOOKUP(AP$2,'Depreciation Schedules'!$A$3:$A$42,'Depreciation Schedules'!$F$3:$F$42)</f>
        <v>0</v>
      </c>
    </row>
    <row r="354" spans="1:42" x14ac:dyDescent="0.2">
      <c r="A354" s="188" t="str">
        <f t="shared" si="203"/>
        <v>39-yr SL</v>
      </c>
      <c r="B354" s="200">
        <f t="shared" si="204"/>
        <v>1.0000000000000004</v>
      </c>
      <c r="C354" s="198">
        <f>LOOKUP(C$2,'Depreciation Schedules'!$A$3:$A$42,'Depreciation Schedules'!$G$3:$G$42)</f>
        <v>1.2820512820512799E-2</v>
      </c>
      <c r="D354" s="198">
        <f>LOOKUP(D$2,'Depreciation Schedules'!$A$3:$A$42,'Depreciation Schedules'!$G$3:$G$42)</f>
        <v>2.564102564102564E-2</v>
      </c>
      <c r="E354" s="198">
        <f>LOOKUP(E$2,'Depreciation Schedules'!$A$3:$A$42,'Depreciation Schedules'!$G$3:$G$42)</f>
        <v>2.564102564102564E-2</v>
      </c>
      <c r="F354" s="198">
        <f>LOOKUP(F$2,'Depreciation Schedules'!$A$3:$A$42,'Depreciation Schedules'!$G$3:$G$42)</f>
        <v>2.564102564102564E-2</v>
      </c>
      <c r="G354" s="198">
        <f>LOOKUP(G$2,'Depreciation Schedules'!$A$3:$A$42,'Depreciation Schedules'!$G$3:$G$42)</f>
        <v>2.564102564102564E-2</v>
      </c>
      <c r="H354" s="198">
        <f>LOOKUP(H$2,'Depreciation Schedules'!$A$3:$A$42,'Depreciation Schedules'!$G$3:$G$42)</f>
        <v>2.564102564102564E-2</v>
      </c>
      <c r="I354" s="198">
        <f>LOOKUP(I$2,'Depreciation Schedules'!$A$3:$A$42,'Depreciation Schedules'!$G$3:$G$42)</f>
        <v>2.564102564102564E-2</v>
      </c>
      <c r="J354" s="198">
        <f>LOOKUP(J$2,'Depreciation Schedules'!$A$3:$A$42,'Depreciation Schedules'!$G$3:$G$42)</f>
        <v>2.564102564102564E-2</v>
      </c>
      <c r="K354" s="198">
        <f>LOOKUP(K$2,'Depreciation Schedules'!$A$3:$A$42,'Depreciation Schedules'!$G$3:$G$42)</f>
        <v>2.564102564102564E-2</v>
      </c>
      <c r="L354" s="198">
        <f>LOOKUP(L$2,'Depreciation Schedules'!$A$3:$A$42,'Depreciation Schedules'!$G$3:$G$42)</f>
        <v>2.564102564102564E-2</v>
      </c>
      <c r="M354" s="198">
        <f>LOOKUP(M$2,'Depreciation Schedules'!$A$3:$A$42,'Depreciation Schedules'!$G$3:$G$42)</f>
        <v>2.564102564102564E-2</v>
      </c>
      <c r="N354" s="198">
        <f>LOOKUP(N$2,'Depreciation Schedules'!$A$3:$A$42,'Depreciation Schedules'!$G$3:$G$42)</f>
        <v>2.564102564102564E-2</v>
      </c>
      <c r="O354" s="198">
        <f>LOOKUP(O$2,'Depreciation Schedules'!$A$3:$A$42,'Depreciation Schedules'!$G$3:$G$42)</f>
        <v>2.564102564102564E-2</v>
      </c>
      <c r="P354" s="198">
        <f>LOOKUP(P$2,'Depreciation Schedules'!$A$3:$A$42,'Depreciation Schedules'!$G$3:$G$42)</f>
        <v>2.564102564102564E-2</v>
      </c>
      <c r="Q354" s="198">
        <f>LOOKUP(Q$2,'Depreciation Schedules'!$A$3:$A$42,'Depreciation Schedules'!$G$3:$G$42)</f>
        <v>2.564102564102564E-2</v>
      </c>
      <c r="R354" s="198">
        <f>LOOKUP(R$2,'Depreciation Schedules'!$A$3:$A$42,'Depreciation Schedules'!$G$3:$G$42)</f>
        <v>2.564102564102564E-2</v>
      </c>
      <c r="S354" s="198">
        <f>LOOKUP(S$2,'Depreciation Schedules'!$A$3:$A$42,'Depreciation Schedules'!$G$3:$G$42)</f>
        <v>2.564102564102564E-2</v>
      </c>
      <c r="T354" s="198">
        <f>LOOKUP(T$2,'Depreciation Schedules'!$A$3:$A$42,'Depreciation Schedules'!$G$3:$G$42)</f>
        <v>2.564102564102564E-2</v>
      </c>
      <c r="U354" s="198">
        <f>LOOKUP(U$2,'Depreciation Schedules'!$A$3:$A$42,'Depreciation Schedules'!$G$3:$G$42)</f>
        <v>2.564102564102564E-2</v>
      </c>
      <c r="V354" s="198">
        <f>LOOKUP(V$2,'Depreciation Schedules'!$A$3:$A$42,'Depreciation Schedules'!$G$3:$G$42)</f>
        <v>2.564102564102564E-2</v>
      </c>
      <c r="W354" s="198">
        <f>LOOKUP(W$2,'Depreciation Schedules'!$A$3:$A$42,'Depreciation Schedules'!$G$3:$G$42)</f>
        <v>2.564102564102564E-2</v>
      </c>
      <c r="X354" s="198">
        <f>LOOKUP(X$2,'Depreciation Schedules'!$A$3:$A$42,'Depreciation Schedules'!$G$3:$G$42)</f>
        <v>2.564102564102564E-2</v>
      </c>
      <c r="Y354" s="198">
        <f>LOOKUP(Y$2,'Depreciation Schedules'!$A$3:$A$42,'Depreciation Schedules'!$G$3:$G$42)</f>
        <v>2.564102564102564E-2</v>
      </c>
      <c r="Z354" s="198">
        <f>LOOKUP(Z$2,'Depreciation Schedules'!$A$3:$A$42,'Depreciation Schedules'!$G$3:$G$42)</f>
        <v>2.564102564102564E-2</v>
      </c>
      <c r="AA354" s="198">
        <f>LOOKUP(AA$2,'Depreciation Schedules'!$A$3:$A$42,'Depreciation Schedules'!$G$3:$G$42)</f>
        <v>2.564102564102564E-2</v>
      </c>
      <c r="AB354" s="198">
        <f>LOOKUP(AB$2,'Depreciation Schedules'!$A$3:$A$42,'Depreciation Schedules'!$G$3:$G$42)</f>
        <v>2.564102564102564E-2</v>
      </c>
      <c r="AC354" s="198">
        <f>LOOKUP(AC$2,'Depreciation Schedules'!$A$3:$A$42,'Depreciation Schedules'!$G$3:$G$42)</f>
        <v>2.564102564102564E-2</v>
      </c>
      <c r="AD354" s="198">
        <f>LOOKUP(AD$2,'Depreciation Schedules'!$A$3:$A$42,'Depreciation Schedules'!$G$3:$G$42)</f>
        <v>2.564102564102564E-2</v>
      </c>
      <c r="AE354" s="198">
        <f>LOOKUP(AE$2,'Depreciation Schedules'!$A$3:$A$42,'Depreciation Schedules'!$G$3:$G$42)</f>
        <v>2.564102564102564E-2</v>
      </c>
      <c r="AF354" s="198">
        <f>LOOKUP(AF$2,'Depreciation Schedules'!$A$3:$A$42,'Depreciation Schedules'!$G$3:$G$42)</f>
        <v>2.564102564102564E-2</v>
      </c>
      <c r="AG354" s="198">
        <f>LOOKUP(AG$2,'Depreciation Schedules'!$A$3:$A$42,'Depreciation Schedules'!$G$3:$G$42)</f>
        <v>2.564102564102564E-2</v>
      </c>
      <c r="AH354" s="198">
        <f>LOOKUP(AH$2,'Depreciation Schedules'!$A$3:$A$42,'Depreciation Schedules'!$G$3:$G$42)</f>
        <v>2.564102564102564E-2</v>
      </c>
      <c r="AI354" s="198">
        <f>LOOKUP(AI$2,'Depreciation Schedules'!$A$3:$A$42,'Depreciation Schedules'!$G$3:$G$42)</f>
        <v>2.564102564102564E-2</v>
      </c>
      <c r="AJ354" s="198">
        <f>LOOKUP(AJ$2,'Depreciation Schedules'!$A$3:$A$42,'Depreciation Schedules'!$G$3:$G$42)</f>
        <v>2.564102564102564E-2</v>
      </c>
      <c r="AK354" s="198">
        <f>LOOKUP(AK$2,'Depreciation Schedules'!$A$3:$A$42,'Depreciation Schedules'!$G$3:$G$42)</f>
        <v>2.564102564102564E-2</v>
      </c>
      <c r="AL354" s="198">
        <f>LOOKUP(AL$2,'Depreciation Schedules'!$A$3:$A$42,'Depreciation Schedules'!$G$3:$G$42)</f>
        <v>2.564102564102564E-2</v>
      </c>
      <c r="AM354" s="198">
        <f>LOOKUP(AM$2,'Depreciation Schedules'!$A$3:$A$42,'Depreciation Schedules'!$G$3:$G$42)</f>
        <v>2.564102564102564E-2</v>
      </c>
      <c r="AN354" s="198">
        <f>LOOKUP(AN$2,'Depreciation Schedules'!$A$3:$A$42,'Depreciation Schedules'!$G$3:$G$42)</f>
        <v>2.564102564102564E-2</v>
      </c>
      <c r="AO354" s="198">
        <f>LOOKUP(AO$2,'Depreciation Schedules'!$A$3:$A$42,'Depreciation Schedules'!$G$3:$G$42)</f>
        <v>2.564102564102564E-2</v>
      </c>
      <c r="AP354" s="198">
        <f>LOOKUP(AP$2,'Depreciation Schedules'!$A$3:$A$42,'Depreciation Schedules'!$G$3:$G$42)</f>
        <v>1.2820512820512799E-2</v>
      </c>
    </row>
    <row r="355" spans="1:42" x14ac:dyDescent="0.2">
      <c r="A355" s="167" t="s">
        <v>34</v>
      </c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</row>
    <row r="356" spans="1:42" x14ac:dyDescent="0.2">
      <c r="A356" s="188" t="str">
        <f>A349</f>
        <v>5-yr MACRS</v>
      </c>
      <c r="B356" s="201">
        <f>SUM(C356:AP356)</f>
        <v>34892152.318125002</v>
      </c>
      <c r="C356" s="169">
        <f t="shared" ref="C356:AP356" si="205">C349*$Q316</f>
        <v>6978430.4636250008</v>
      </c>
      <c r="D356" s="169">
        <f t="shared" si="205"/>
        <v>11165488.741800001</v>
      </c>
      <c r="E356" s="169">
        <f t="shared" si="205"/>
        <v>6699293.2450800007</v>
      </c>
      <c r="F356" s="169">
        <f t="shared" si="205"/>
        <v>4019575.9470480001</v>
      </c>
      <c r="G356" s="169">
        <f t="shared" si="205"/>
        <v>4019575.9470480001</v>
      </c>
      <c r="H356" s="169">
        <f t="shared" si="205"/>
        <v>2009787.973524</v>
      </c>
      <c r="I356" s="169">
        <f t="shared" si="205"/>
        <v>0</v>
      </c>
      <c r="J356" s="169">
        <f t="shared" si="205"/>
        <v>0</v>
      </c>
      <c r="K356" s="169">
        <f t="shared" si="205"/>
        <v>0</v>
      </c>
      <c r="L356" s="169">
        <f t="shared" si="205"/>
        <v>0</v>
      </c>
      <c r="M356" s="169">
        <f t="shared" si="205"/>
        <v>0</v>
      </c>
      <c r="N356" s="169">
        <f t="shared" si="205"/>
        <v>0</v>
      </c>
      <c r="O356" s="169">
        <f t="shared" si="205"/>
        <v>0</v>
      </c>
      <c r="P356" s="169">
        <f t="shared" si="205"/>
        <v>0</v>
      </c>
      <c r="Q356" s="169">
        <f t="shared" si="205"/>
        <v>0</v>
      </c>
      <c r="R356" s="169">
        <f t="shared" si="205"/>
        <v>0</v>
      </c>
      <c r="S356" s="169">
        <f t="shared" si="205"/>
        <v>0</v>
      </c>
      <c r="T356" s="169">
        <f t="shared" si="205"/>
        <v>0</v>
      </c>
      <c r="U356" s="169">
        <f t="shared" si="205"/>
        <v>0</v>
      </c>
      <c r="V356" s="169">
        <f t="shared" si="205"/>
        <v>0</v>
      </c>
      <c r="W356" s="169">
        <f t="shared" si="205"/>
        <v>0</v>
      </c>
      <c r="X356" s="169">
        <f t="shared" si="205"/>
        <v>0</v>
      </c>
      <c r="Y356" s="169">
        <f t="shared" si="205"/>
        <v>0</v>
      </c>
      <c r="Z356" s="169">
        <f t="shared" si="205"/>
        <v>0</v>
      </c>
      <c r="AA356" s="169">
        <f t="shared" si="205"/>
        <v>0</v>
      </c>
      <c r="AB356" s="169">
        <f t="shared" si="205"/>
        <v>0</v>
      </c>
      <c r="AC356" s="169">
        <f t="shared" si="205"/>
        <v>0</v>
      </c>
      <c r="AD356" s="169">
        <f t="shared" si="205"/>
        <v>0</v>
      </c>
      <c r="AE356" s="169">
        <f t="shared" si="205"/>
        <v>0</v>
      </c>
      <c r="AF356" s="169">
        <f t="shared" si="205"/>
        <v>0</v>
      </c>
      <c r="AG356" s="169">
        <f t="shared" si="205"/>
        <v>0</v>
      </c>
      <c r="AH356" s="169">
        <f t="shared" si="205"/>
        <v>0</v>
      </c>
      <c r="AI356" s="169">
        <f t="shared" si="205"/>
        <v>0</v>
      </c>
      <c r="AJ356" s="169">
        <f t="shared" si="205"/>
        <v>0</v>
      </c>
      <c r="AK356" s="169">
        <f t="shared" si="205"/>
        <v>0</v>
      </c>
      <c r="AL356" s="169">
        <f t="shared" si="205"/>
        <v>0</v>
      </c>
      <c r="AM356" s="169">
        <f t="shared" si="205"/>
        <v>0</v>
      </c>
      <c r="AN356" s="169">
        <f t="shared" si="205"/>
        <v>0</v>
      </c>
      <c r="AO356" s="169">
        <f t="shared" si="205"/>
        <v>0</v>
      </c>
      <c r="AP356" s="169">
        <f t="shared" si="205"/>
        <v>0</v>
      </c>
    </row>
    <row r="357" spans="1:42" x14ac:dyDescent="0.2">
      <c r="A357" s="188" t="str">
        <f t="shared" ref="A357:A361" si="206">A350</f>
        <v>15-yr MACRS</v>
      </c>
      <c r="B357" s="136">
        <f t="shared" ref="B357:B363" si="207">SUM(C357:AP357)</f>
        <v>648151.43625000003</v>
      </c>
      <c r="C357" s="169">
        <f t="shared" ref="C357:AP357" si="208">C350*$Q317</f>
        <v>32407.571812500002</v>
      </c>
      <c r="D357" s="169">
        <f t="shared" si="208"/>
        <v>61574.386443750001</v>
      </c>
      <c r="E357" s="169">
        <f t="shared" si="208"/>
        <v>55416.947799375004</v>
      </c>
      <c r="F357" s="169">
        <f t="shared" si="208"/>
        <v>49907.660591250002</v>
      </c>
      <c r="G357" s="169">
        <f t="shared" si="208"/>
        <v>44916.894532124999</v>
      </c>
      <c r="H357" s="169">
        <f t="shared" si="208"/>
        <v>40379.834478375</v>
      </c>
      <c r="I357" s="169">
        <f t="shared" si="208"/>
        <v>38240.934738750002</v>
      </c>
      <c r="J357" s="169">
        <f t="shared" si="208"/>
        <v>38240.934738750002</v>
      </c>
      <c r="K357" s="169">
        <f t="shared" si="208"/>
        <v>38305.749882374999</v>
      </c>
      <c r="L357" s="169">
        <f t="shared" si="208"/>
        <v>38240.934738750002</v>
      </c>
      <c r="M357" s="169">
        <f t="shared" si="208"/>
        <v>38305.749882374999</v>
      </c>
      <c r="N357" s="169">
        <f t="shared" si="208"/>
        <v>38240.934738750002</v>
      </c>
      <c r="O357" s="169">
        <f t="shared" si="208"/>
        <v>38305.749882374999</v>
      </c>
      <c r="P357" s="169">
        <f t="shared" si="208"/>
        <v>38240.934738750002</v>
      </c>
      <c r="Q357" s="169">
        <f t="shared" si="208"/>
        <v>38305.749882374999</v>
      </c>
      <c r="R357" s="169">
        <f t="shared" si="208"/>
        <v>19120.467369375001</v>
      </c>
      <c r="S357" s="169">
        <f t="shared" si="208"/>
        <v>0</v>
      </c>
      <c r="T357" s="169">
        <f t="shared" si="208"/>
        <v>0</v>
      </c>
      <c r="U357" s="169">
        <f t="shared" si="208"/>
        <v>0</v>
      </c>
      <c r="V357" s="169">
        <f t="shared" si="208"/>
        <v>0</v>
      </c>
      <c r="W357" s="169">
        <f t="shared" si="208"/>
        <v>0</v>
      </c>
      <c r="X357" s="169">
        <f t="shared" si="208"/>
        <v>0</v>
      </c>
      <c r="Y357" s="169">
        <f t="shared" si="208"/>
        <v>0</v>
      </c>
      <c r="Z357" s="169">
        <f t="shared" si="208"/>
        <v>0</v>
      </c>
      <c r="AA357" s="169">
        <f t="shared" si="208"/>
        <v>0</v>
      </c>
      <c r="AB357" s="169">
        <f t="shared" si="208"/>
        <v>0</v>
      </c>
      <c r="AC357" s="169">
        <f t="shared" si="208"/>
        <v>0</v>
      </c>
      <c r="AD357" s="169">
        <f t="shared" si="208"/>
        <v>0</v>
      </c>
      <c r="AE357" s="169">
        <f t="shared" si="208"/>
        <v>0</v>
      </c>
      <c r="AF357" s="169">
        <f t="shared" si="208"/>
        <v>0</v>
      </c>
      <c r="AG357" s="169">
        <f t="shared" si="208"/>
        <v>0</v>
      </c>
      <c r="AH357" s="169">
        <f t="shared" si="208"/>
        <v>0</v>
      </c>
      <c r="AI357" s="169">
        <f t="shared" si="208"/>
        <v>0</v>
      </c>
      <c r="AJ357" s="169">
        <f t="shared" si="208"/>
        <v>0</v>
      </c>
      <c r="AK357" s="169">
        <f t="shared" si="208"/>
        <v>0</v>
      </c>
      <c r="AL357" s="169">
        <f t="shared" si="208"/>
        <v>0</v>
      </c>
      <c r="AM357" s="169">
        <f t="shared" si="208"/>
        <v>0</v>
      </c>
      <c r="AN357" s="169">
        <f t="shared" si="208"/>
        <v>0</v>
      </c>
      <c r="AO357" s="169">
        <f t="shared" si="208"/>
        <v>0</v>
      </c>
      <c r="AP357" s="169">
        <f t="shared" si="208"/>
        <v>0</v>
      </c>
    </row>
    <row r="358" spans="1:42" x14ac:dyDescent="0.2">
      <c r="A358" s="188" t="str">
        <f t="shared" si="206"/>
        <v>5-yr SL</v>
      </c>
      <c r="B358" s="136">
        <f t="shared" si="207"/>
        <v>0</v>
      </c>
      <c r="C358" s="169">
        <f t="shared" ref="C358:AP358" si="209">C351*$Q318</f>
        <v>0</v>
      </c>
      <c r="D358" s="169">
        <f t="shared" si="209"/>
        <v>0</v>
      </c>
      <c r="E358" s="169">
        <f t="shared" si="209"/>
        <v>0</v>
      </c>
      <c r="F358" s="169">
        <f t="shared" si="209"/>
        <v>0</v>
      </c>
      <c r="G358" s="169">
        <f t="shared" si="209"/>
        <v>0</v>
      </c>
      <c r="H358" s="169">
        <f t="shared" si="209"/>
        <v>0</v>
      </c>
      <c r="I358" s="169">
        <f t="shared" si="209"/>
        <v>0</v>
      </c>
      <c r="J358" s="169">
        <f t="shared" si="209"/>
        <v>0</v>
      </c>
      <c r="K358" s="169">
        <f t="shared" si="209"/>
        <v>0</v>
      </c>
      <c r="L358" s="169">
        <f t="shared" si="209"/>
        <v>0</v>
      </c>
      <c r="M358" s="169">
        <f t="shared" si="209"/>
        <v>0</v>
      </c>
      <c r="N358" s="169">
        <f t="shared" si="209"/>
        <v>0</v>
      </c>
      <c r="O358" s="169">
        <f t="shared" si="209"/>
        <v>0</v>
      </c>
      <c r="P358" s="169">
        <f t="shared" si="209"/>
        <v>0</v>
      </c>
      <c r="Q358" s="169">
        <f t="shared" si="209"/>
        <v>0</v>
      </c>
      <c r="R358" s="169">
        <f t="shared" si="209"/>
        <v>0</v>
      </c>
      <c r="S358" s="169">
        <f t="shared" si="209"/>
        <v>0</v>
      </c>
      <c r="T358" s="169">
        <f t="shared" si="209"/>
        <v>0</v>
      </c>
      <c r="U358" s="169">
        <f t="shared" si="209"/>
        <v>0</v>
      </c>
      <c r="V358" s="169">
        <f t="shared" si="209"/>
        <v>0</v>
      </c>
      <c r="W358" s="169">
        <f t="shared" si="209"/>
        <v>0</v>
      </c>
      <c r="X358" s="169">
        <f t="shared" si="209"/>
        <v>0</v>
      </c>
      <c r="Y358" s="169">
        <f t="shared" si="209"/>
        <v>0</v>
      </c>
      <c r="Z358" s="169">
        <f t="shared" si="209"/>
        <v>0</v>
      </c>
      <c r="AA358" s="169">
        <f t="shared" si="209"/>
        <v>0</v>
      </c>
      <c r="AB358" s="169">
        <f t="shared" si="209"/>
        <v>0</v>
      </c>
      <c r="AC358" s="169">
        <f t="shared" si="209"/>
        <v>0</v>
      </c>
      <c r="AD358" s="169">
        <f t="shared" si="209"/>
        <v>0</v>
      </c>
      <c r="AE358" s="169">
        <f t="shared" si="209"/>
        <v>0</v>
      </c>
      <c r="AF358" s="169">
        <f t="shared" si="209"/>
        <v>0</v>
      </c>
      <c r="AG358" s="169">
        <f t="shared" si="209"/>
        <v>0</v>
      </c>
      <c r="AH358" s="169">
        <f t="shared" si="209"/>
        <v>0</v>
      </c>
      <c r="AI358" s="169">
        <f t="shared" si="209"/>
        <v>0</v>
      </c>
      <c r="AJ358" s="169">
        <f t="shared" si="209"/>
        <v>0</v>
      </c>
      <c r="AK358" s="169">
        <f t="shared" si="209"/>
        <v>0</v>
      </c>
      <c r="AL358" s="169">
        <f t="shared" si="209"/>
        <v>0</v>
      </c>
      <c r="AM358" s="169">
        <f t="shared" si="209"/>
        <v>0</v>
      </c>
      <c r="AN358" s="169">
        <f t="shared" si="209"/>
        <v>0</v>
      </c>
      <c r="AO358" s="169">
        <f t="shared" si="209"/>
        <v>0</v>
      </c>
      <c r="AP358" s="169">
        <f t="shared" si="209"/>
        <v>0</v>
      </c>
    </row>
    <row r="359" spans="1:42" x14ac:dyDescent="0.2">
      <c r="A359" s="188" t="str">
        <f t="shared" si="206"/>
        <v>15-yr SL</v>
      </c>
      <c r="B359" s="136">
        <f t="shared" si="207"/>
        <v>648151.43624999991</v>
      </c>
      <c r="C359" s="169">
        <f t="shared" ref="C359:AP359" si="210">C352*$Q319</f>
        <v>21583.442827125004</v>
      </c>
      <c r="D359" s="169">
        <f t="shared" si="210"/>
        <v>43231.700797874997</v>
      </c>
      <c r="E359" s="169">
        <f t="shared" si="210"/>
        <v>43231.700797874997</v>
      </c>
      <c r="F359" s="169">
        <f t="shared" si="210"/>
        <v>43231.700797874997</v>
      </c>
      <c r="G359" s="169">
        <f t="shared" si="210"/>
        <v>43231.700797874997</v>
      </c>
      <c r="H359" s="169">
        <f t="shared" si="210"/>
        <v>43231.700797874997</v>
      </c>
      <c r="I359" s="169">
        <f t="shared" si="210"/>
        <v>43231.700797874997</v>
      </c>
      <c r="J359" s="169">
        <f t="shared" si="210"/>
        <v>43166.885654250007</v>
      </c>
      <c r="K359" s="169">
        <f t="shared" si="210"/>
        <v>43231.700797874997</v>
      </c>
      <c r="L359" s="169">
        <f t="shared" si="210"/>
        <v>43166.885654250007</v>
      </c>
      <c r="M359" s="169">
        <f t="shared" si="210"/>
        <v>43231.700797874997</v>
      </c>
      <c r="N359" s="169">
        <f t="shared" si="210"/>
        <v>43166.885654250007</v>
      </c>
      <c r="O359" s="169">
        <f t="shared" si="210"/>
        <v>43231.700797874997</v>
      </c>
      <c r="P359" s="169">
        <f t="shared" si="210"/>
        <v>43166.885654250007</v>
      </c>
      <c r="Q359" s="169">
        <f t="shared" si="210"/>
        <v>43231.700797874997</v>
      </c>
      <c r="R359" s="169">
        <f t="shared" si="210"/>
        <v>21583.442827125004</v>
      </c>
      <c r="S359" s="169">
        <f t="shared" si="210"/>
        <v>0</v>
      </c>
      <c r="T359" s="169">
        <f t="shared" si="210"/>
        <v>0</v>
      </c>
      <c r="U359" s="169">
        <f t="shared" si="210"/>
        <v>0</v>
      </c>
      <c r="V359" s="169">
        <f t="shared" si="210"/>
        <v>0</v>
      </c>
      <c r="W359" s="169">
        <f t="shared" si="210"/>
        <v>0</v>
      </c>
      <c r="X359" s="169">
        <f t="shared" si="210"/>
        <v>0</v>
      </c>
      <c r="Y359" s="169">
        <f t="shared" si="210"/>
        <v>0</v>
      </c>
      <c r="Z359" s="169">
        <f t="shared" si="210"/>
        <v>0</v>
      </c>
      <c r="AA359" s="169">
        <f t="shared" si="210"/>
        <v>0</v>
      </c>
      <c r="AB359" s="169">
        <f t="shared" si="210"/>
        <v>0</v>
      </c>
      <c r="AC359" s="169">
        <f t="shared" si="210"/>
        <v>0</v>
      </c>
      <c r="AD359" s="169">
        <f t="shared" si="210"/>
        <v>0</v>
      </c>
      <c r="AE359" s="169">
        <f t="shared" si="210"/>
        <v>0</v>
      </c>
      <c r="AF359" s="169">
        <f t="shared" si="210"/>
        <v>0</v>
      </c>
      <c r="AG359" s="169">
        <f t="shared" si="210"/>
        <v>0</v>
      </c>
      <c r="AH359" s="169">
        <f t="shared" si="210"/>
        <v>0</v>
      </c>
      <c r="AI359" s="169">
        <f t="shared" si="210"/>
        <v>0</v>
      </c>
      <c r="AJ359" s="169">
        <f t="shared" si="210"/>
        <v>0</v>
      </c>
      <c r="AK359" s="169">
        <f t="shared" si="210"/>
        <v>0</v>
      </c>
      <c r="AL359" s="169">
        <f t="shared" si="210"/>
        <v>0</v>
      </c>
      <c r="AM359" s="169">
        <f t="shared" si="210"/>
        <v>0</v>
      </c>
      <c r="AN359" s="169">
        <f t="shared" si="210"/>
        <v>0</v>
      </c>
      <c r="AO359" s="169">
        <f t="shared" si="210"/>
        <v>0</v>
      </c>
      <c r="AP359" s="169">
        <f t="shared" si="210"/>
        <v>0</v>
      </c>
    </row>
    <row r="360" spans="1:42" x14ac:dyDescent="0.2">
      <c r="A360" s="188" t="str">
        <f t="shared" si="206"/>
        <v>20-yr SL</v>
      </c>
      <c r="B360" s="136">
        <f t="shared" si="207"/>
        <v>648151.43625000014</v>
      </c>
      <c r="C360" s="169">
        <f t="shared" ref="C360:AP360" si="211">C353*$Q320</f>
        <v>16203.785906250001</v>
      </c>
      <c r="D360" s="169">
        <f t="shared" si="211"/>
        <v>32407.571812500002</v>
      </c>
      <c r="E360" s="169">
        <f t="shared" si="211"/>
        <v>32407.571812500002</v>
      </c>
      <c r="F360" s="169">
        <f t="shared" si="211"/>
        <v>32407.571812500002</v>
      </c>
      <c r="G360" s="169">
        <f t="shared" si="211"/>
        <v>32407.571812500002</v>
      </c>
      <c r="H360" s="169">
        <f t="shared" si="211"/>
        <v>32407.571812500002</v>
      </c>
      <c r="I360" s="169">
        <f t="shared" si="211"/>
        <v>32407.571812500002</v>
      </c>
      <c r="J360" s="169">
        <f t="shared" si="211"/>
        <v>32407.571812500002</v>
      </c>
      <c r="K360" s="169">
        <f t="shared" si="211"/>
        <v>32407.571812500002</v>
      </c>
      <c r="L360" s="169">
        <f t="shared" si="211"/>
        <v>32407.571812500002</v>
      </c>
      <c r="M360" s="169">
        <f t="shared" si="211"/>
        <v>32407.571812500002</v>
      </c>
      <c r="N360" s="169">
        <f t="shared" si="211"/>
        <v>32407.571812500002</v>
      </c>
      <c r="O360" s="169">
        <f t="shared" si="211"/>
        <v>32407.571812500002</v>
      </c>
      <c r="P360" s="169">
        <f t="shared" si="211"/>
        <v>32407.571812500002</v>
      </c>
      <c r="Q360" s="169">
        <f t="shared" si="211"/>
        <v>32407.571812500002</v>
      </c>
      <c r="R360" s="169">
        <f t="shared" si="211"/>
        <v>32407.571812500002</v>
      </c>
      <c r="S360" s="169">
        <f t="shared" si="211"/>
        <v>32407.571812500002</v>
      </c>
      <c r="T360" s="169">
        <f t="shared" si="211"/>
        <v>32407.571812500002</v>
      </c>
      <c r="U360" s="169">
        <f t="shared" si="211"/>
        <v>32407.571812500002</v>
      </c>
      <c r="V360" s="169">
        <f t="shared" si="211"/>
        <v>32407.571812500002</v>
      </c>
      <c r="W360" s="169">
        <f t="shared" si="211"/>
        <v>16203.785906250001</v>
      </c>
      <c r="X360" s="169">
        <f t="shared" si="211"/>
        <v>0</v>
      </c>
      <c r="Y360" s="169">
        <f t="shared" si="211"/>
        <v>0</v>
      </c>
      <c r="Z360" s="169">
        <f t="shared" si="211"/>
        <v>0</v>
      </c>
      <c r="AA360" s="169">
        <f t="shared" si="211"/>
        <v>0</v>
      </c>
      <c r="AB360" s="169">
        <f t="shared" si="211"/>
        <v>0</v>
      </c>
      <c r="AC360" s="169">
        <f t="shared" si="211"/>
        <v>0</v>
      </c>
      <c r="AD360" s="169">
        <f t="shared" si="211"/>
        <v>0</v>
      </c>
      <c r="AE360" s="169">
        <f t="shared" si="211"/>
        <v>0</v>
      </c>
      <c r="AF360" s="169">
        <f t="shared" si="211"/>
        <v>0</v>
      </c>
      <c r="AG360" s="169">
        <f t="shared" si="211"/>
        <v>0</v>
      </c>
      <c r="AH360" s="169">
        <f t="shared" si="211"/>
        <v>0</v>
      </c>
      <c r="AI360" s="169">
        <f t="shared" si="211"/>
        <v>0</v>
      </c>
      <c r="AJ360" s="169">
        <f t="shared" si="211"/>
        <v>0</v>
      </c>
      <c r="AK360" s="169">
        <f t="shared" si="211"/>
        <v>0</v>
      </c>
      <c r="AL360" s="169">
        <f t="shared" si="211"/>
        <v>0</v>
      </c>
      <c r="AM360" s="169">
        <f t="shared" si="211"/>
        <v>0</v>
      </c>
      <c r="AN360" s="169">
        <f t="shared" si="211"/>
        <v>0</v>
      </c>
      <c r="AO360" s="169">
        <f t="shared" si="211"/>
        <v>0</v>
      </c>
      <c r="AP360" s="169">
        <f t="shared" si="211"/>
        <v>0</v>
      </c>
    </row>
    <row r="361" spans="1:42" x14ac:dyDescent="0.2">
      <c r="A361" s="188" t="str">
        <f t="shared" si="206"/>
        <v>39-yr SL</v>
      </c>
      <c r="B361" s="136">
        <f t="shared" si="207"/>
        <v>216050.4787500001</v>
      </c>
      <c r="C361" s="169">
        <f t="shared" ref="C361:AP361" si="212">C354*$Q321</f>
        <v>2769.8779326923031</v>
      </c>
      <c r="D361" s="169">
        <f t="shared" si="212"/>
        <v>5539.7558653846154</v>
      </c>
      <c r="E361" s="169">
        <f t="shared" si="212"/>
        <v>5539.7558653846154</v>
      </c>
      <c r="F361" s="169">
        <f t="shared" si="212"/>
        <v>5539.7558653846154</v>
      </c>
      <c r="G361" s="169">
        <f t="shared" si="212"/>
        <v>5539.7558653846154</v>
      </c>
      <c r="H361" s="169">
        <f t="shared" si="212"/>
        <v>5539.7558653846154</v>
      </c>
      <c r="I361" s="169">
        <f t="shared" si="212"/>
        <v>5539.7558653846154</v>
      </c>
      <c r="J361" s="169">
        <f t="shared" si="212"/>
        <v>5539.7558653846154</v>
      </c>
      <c r="K361" s="169">
        <f t="shared" si="212"/>
        <v>5539.7558653846154</v>
      </c>
      <c r="L361" s="169">
        <f t="shared" si="212"/>
        <v>5539.7558653846154</v>
      </c>
      <c r="M361" s="169">
        <f t="shared" si="212"/>
        <v>5539.7558653846154</v>
      </c>
      <c r="N361" s="169">
        <f t="shared" si="212"/>
        <v>5539.7558653846154</v>
      </c>
      <c r="O361" s="169">
        <f t="shared" si="212"/>
        <v>5539.7558653846154</v>
      </c>
      <c r="P361" s="169">
        <f t="shared" si="212"/>
        <v>5539.7558653846154</v>
      </c>
      <c r="Q361" s="169">
        <f t="shared" si="212"/>
        <v>5539.7558653846154</v>
      </c>
      <c r="R361" s="169">
        <f t="shared" si="212"/>
        <v>5539.7558653846154</v>
      </c>
      <c r="S361" s="169">
        <f t="shared" si="212"/>
        <v>5539.7558653846154</v>
      </c>
      <c r="T361" s="169">
        <f t="shared" si="212"/>
        <v>5539.7558653846154</v>
      </c>
      <c r="U361" s="169">
        <f t="shared" si="212"/>
        <v>5539.7558653846154</v>
      </c>
      <c r="V361" s="169">
        <f t="shared" si="212"/>
        <v>5539.7558653846154</v>
      </c>
      <c r="W361" s="169">
        <f t="shared" si="212"/>
        <v>5539.7558653846154</v>
      </c>
      <c r="X361" s="169">
        <f t="shared" si="212"/>
        <v>5539.7558653846154</v>
      </c>
      <c r="Y361" s="169">
        <f t="shared" si="212"/>
        <v>5539.7558653846154</v>
      </c>
      <c r="Z361" s="169">
        <f t="shared" si="212"/>
        <v>5539.7558653846154</v>
      </c>
      <c r="AA361" s="169">
        <f t="shared" si="212"/>
        <v>5539.7558653846154</v>
      </c>
      <c r="AB361" s="169">
        <f t="shared" si="212"/>
        <v>5539.7558653846154</v>
      </c>
      <c r="AC361" s="169">
        <f t="shared" si="212"/>
        <v>5539.7558653846154</v>
      </c>
      <c r="AD361" s="169">
        <f t="shared" si="212"/>
        <v>5539.7558653846154</v>
      </c>
      <c r="AE361" s="169">
        <f t="shared" si="212"/>
        <v>5539.7558653846154</v>
      </c>
      <c r="AF361" s="169">
        <f t="shared" si="212"/>
        <v>5539.7558653846154</v>
      </c>
      <c r="AG361" s="169">
        <f t="shared" si="212"/>
        <v>5539.7558653846154</v>
      </c>
      <c r="AH361" s="169">
        <f t="shared" si="212"/>
        <v>5539.7558653846154</v>
      </c>
      <c r="AI361" s="169">
        <f t="shared" si="212"/>
        <v>5539.7558653846154</v>
      </c>
      <c r="AJ361" s="169">
        <f t="shared" si="212"/>
        <v>5539.7558653846154</v>
      </c>
      <c r="AK361" s="169">
        <f t="shared" si="212"/>
        <v>5539.7558653846154</v>
      </c>
      <c r="AL361" s="169">
        <f t="shared" si="212"/>
        <v>5539.7558653846154</v>
      </c>
      <c r="AM361" s="169">
        <f t="shared" si="212"/>
        <v>5539.7558653846154</v>
      </c>
      <c r="AN361" s="169">
        <f t="shared" si="212"/>
        <v>5539.7558653846154</v>
      </c>
      <c r="AO361" s="169">
        <f t="shared" si="212"/>
        <v>5539.7558653846154</v>
      </c>
      <c r="AP361" s="169">
        <f t="shared" si="212"/>
        <v>2769.8779326923031</v>
      </c>
    </row>
    <row r="362" spans="1:42" x14ac:dyDescent="0.2">
      <c r="A362" s="188" t="s">
        <v>268</v>
      </c>
      <c r="B362" s="195">
        <f t="shared" si="207"/>
        <v>0</v>
      </c>
      <c r="C362" s="170">
        <f>P323</f>
        <v>0</v>
      </c>
      <c r="D362" s="170">
        <v>0</v>
      </c>
      <c r="E362" s="170">
        <v>0</v>
      </c>
      <c r="F362" s="170">
        <v>0</v>
      </c>
      <c r="G362" s="170">
        <v>0</v>
      </c>
      <c r="H362" s="170">
        <v>0</v>
      </c>
      <c r="I362" s="170">
        <v>0</v>
      </c>
      <c r="J362" s="170">
        <v>0</v>
      </c>
      <c r="K362" s="170">
        <v>0</v>
      </c>
      <c r="L362" s="170">
        <v>0</v>
      </c>
      <c r="M362" s="170">
        <v>0</v>
      </c>
      <c r="N362" s="170">
        <v>0</v>
      </c>
      <c r="O362" s="170">
        <v>0</v>
      </c>
      <c r="P362" s="170">
        <v>0</v>
      </c>
      <c r="Q362" s="170">
        <v>0</v>
      </c>
      <c r="R362" s="170">
        <v>0</v>
      </c>
      <c r="S362" s="170">
        <v>0</v>
      </c>
      <c r="T362" s="170">
        <v>0</v>
      </c>
      <c r="U362" s="170">
        <v>0</v>
      </c>
      <c r="V362" s="170">
        <v>0</v>
      </c>
      <c r="W362" s="170">
        <v>0</v>
      </c>
      <c r="X362" s="170">
        <v>0</v>
      </c>
      <c r="Y362" s="170">
        <v>0</v>
      </c>
      <c r="Z362" s="170">
        <v>0</v>
      </c>
      <c r="AA362" s="170">
        <v>0</v>
      </c>
      <c r="AB362" s="170">
        <v>0</v>
      </c>
      <c r="AC362" s="170">
        <v>0</v>
      </c>
      <c r="AD362" s="170">
        <v>0</v>
      </c>
      <c r="AE362" s="170">
        <v>0</v>
      </c>
      <c r="AF362" s="170">
        <v>0</v>
      </c>
      <c r="AG362" s="170">
        <v>0</v>
      </c>
      <c r="AH362" s="170">
        <v>0</v>
      </c>
      <c r="AI362" s="170">
        <v>0</v>
      </c>
      <c r="AJ362" s="170">
        <v>0</v>
      </c>
      <c r="AK362" s="170">
        <v>0</v>
      </c>
      <c r="AL362" s="170">
        <v>0</v>
      </c>
      <c r="AM362" s="170">
        <v>0</v>
      </c>
      <c r="AN362" s="170">
        <v>0</v>
      </c>
      <c r="AO362" s="170">
        <v>0</v>
      </c>
      <c r="AP362" s="170">
        <v>0</v>
      </c>
    </row>
    <row r="363" spans="1:42" x14ac:dyDescent="0.2">
      <c r="A363" s="187"/>
      <c r="B363" s="195">
        <f t="shared" si="207"/>
        <v>37052657.105625041</v>
      </c>
      <c r="C363" s="169">
        <f>SUM(C356:C362)</f>
        <v>7051395.1421035677</v>
      </c>
      <c r="D363" s="169">
        <f t="shared" ref="D363:AP363" si="213">SUM(D356:D362)</f>
        <v>11308242.15671951</v>
      </c>
      <c r="E363" s="169">
        <f t="shared" si="213"/>
        <v>6835889.2213551365</v>
      </c>
      <c r="F363" s="169">
        <f t="shared" si="213"/>
        <v>4150662.6361150094</v>
      </c>
      <c r="G363" s="169">
        <f t="shared" si="213"/>
        <v>4145671.8700558846</v>
      </c>
      <c r="H363" s="169">
        <f t="shared" si="213"/>
        <v>2131346.8364781346</v>
      </c>
      <c r="I363" s="169">
        <f t="shared" si="213"/>
        <v>119419.96321450961</v>
      </c>
      <c r="J363" s="169">
        <f t="shared" si="213"/>
        <v>119355.14807088462</v>
      </c>
      <c r="K363" s="169">
        <f t="shared" si="213"/>
        <v>119484.77835813462</v>
      </c>
      <c r="L363" s="169">
        <f t="shared" si="213"/>
        <v>119355.14807088462</v>
      </c>
      <c r="M363" s="169">
        <f t="shared" si="213"/>
        <v>119484.77835813462</v>
      </c>
      <c r="N363" s="169">
        <f t="shared" si="213"/>
        <v>119355.14807088462</v>
      </c>
      <c r="O363" s="169">
        <f t="shared" si="213"/>
        <v>119484.77835813462</v>
      </c>
      <c r="P363" s="169">
        <f t="shared" si="213"/>
        <v>119355.14807088462</v>
      </c>
      <c r="Q363" s="169">
        <f t="shared" si="213"/>
        <v>119484.77835813462</v>
      </c>
      <c r="R363" s="169">
        <f t="shared" si="213"/>
        <v>78651.23787438462</v>
      </c>
      <c r="S363" s="169">
        <f t="shared" si="213"/>
        <v>37947.327677884619</v>
      </c>
      <c r="T363" s="169">
        <f t="shared" si="213"/>
        <v>37947.327677884619</v>
      </c>
      <c r="U363" s="169">
        <f t="shared" si="213"/>
        <v>37947.327677884619</v>
      </c>
      <c r="V363" s="169">
        <f t="shared" si="213"/>
        <v>37947.327677884619</v>
      </c>
      <c r="W363" s="169">
        <f t="shared" si="213"/>
        <v>21743.541771634616</v>
      </c>
      <c r="X363" s="169">
        <f t="shared" si="213"/>
        <v>5539.7558653846154</v>
      </c>
      <c r="Y363" s="169">
        <f t="shared" si="213"/>
        <v>5539.7558653846154</v>
      </c>
      <c r="Z363" s="169">
        <f t="shared" si="213"/>
        <v>5539.7558653846154</v>
      </c>
      <c r="AA363" s="169">
        <f t="shared" si="213"/>
        <v>5539.7558653846154</v>
      </c>
      <c r="AB363" s="169">
        <f t="shared" si="213"/>
        <v>5539.7558653846154</v>
      </c>
      <c r="AC363" s="169">
        <f t="shared" si="213"/>
        <v>5539.7558653846154</v>
      </c>
      <c r="AD363" s="169">
        <f t="shared" si="213"/>
        <v>5539.7558653846154</v>
      </c>
      <c r="AE363" s="169">
        <f t="shared" si="213"/>
        <v>5539.7558653846154</v>
      </c>
      <c r="AF363" s="169">
        <f t="shared" si="213"/>
        <v>5539.7558653846154</v>
      </c>
      <c r="AG363" s="169">
        <f t="shared" si="213"/>
        <v>5539.7558653846154</v>
      </c>
      <c r="AH363" s="169">
        <f t="shared" si="213"/>
        <v>5539.7558653846154</v>
      </c>
      <c r="AI363" s="169">
        <f t="shared" si="213"/>
        <v>5539.7558653846154</v>
      </c>
      <c r="AJ363" s="169">
        <f t="shared" si="213"/>
        <v>5539.7558653846154</v>
      </c>
      <c r="AK363" s="169">
        <f t="shared" si="213"/>
        <v>5539.7558653846154</v>
      </c>
      <c r="AL363" s="169">
        <f t="shared" si="213"/>
        <v>5539.7558653846154</v>
      </c>
      <c r="AM363" s="169">
        <f t="shared" si="213"/>
        <v>5539.7558653846154</v>
      </c>
      <c r="AN363" s="169">
        <f t="shared" si="213"/>
        <v>5539.7558653846154</v>
      </c>
      <c r="AO363" s="169">
        <f t="shared" si="213"/>
        <v>5539.7558653846154</v>
      </c>
      <c r="AP363" s="169">
        <f t="shared" si="213"/>
        <v>2769.8779326923031</v>
      </c>
    </row>
    <row r="364" spans="1:42" x14ac:dyDescent="0.2">
      <c r="A364" s="187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</row>
    <row r="365" spans="1:42" x14ac:dyDescent="0.2">
      <c r="A365" s="180" t="s">
        <v>191</v>
      </c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</row>
    <row r="366" spans="1:42" x14ac:dyDescent="0.2">
      <c r="A366" s="187" t="s">
        <v>193</v>
      </c>
      <c r="B366" s="202" t="str">
        <f>MMStateTaxTreatment</f>
        <v>5-yr MACRS</v>
      </c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</row>
    <row r="367" spans="1:42" x14ac:dyDescent="0.2">
      <c r="A367" s="187" t="s">
        <v>194</v>
      </c>
      <c r="B367" s="169">
        <f t="shared" ref="B367:AP367" si="214">B2</f>
        <v>0</v>
      </c>
      <c r="C367" s="169">
        <f t="shared" si="214"/>
        <v>1</v>
      </c>
      <c r="D367" s="169">
        <f t="shared" si="214"/>
        <v>2</v>
      </c>
      <c r="E367" s="169">
        <f t="shared" si="214"/>
        <v>3</v>
      </c>
      <c r="F367" s="169">
        <f t="shared" si="214"/>
        <v>4</v>
      </c>
      <c r="G367" s="169">
        <f t="shared" si="214"/>
        <v>5</v>
      </c>
      <c r="H367" s="169">
        <f t="shared" si="214"/>
        <v>6</v>
      </c>
      <c r="I367" s="169">
        <f t="shared" si="214"/>
        <v>7</v>
      </c>
      <c r="J367" s="169">
        <f t="shared" si="214"/>
        <v>8</v>
      </c>
      <c r="K367" s="169">
        <f t="shared" si="214"/>
        <v>9</v>
      </c>
      <c r="L367" s="169">
        <f t="shared" si="214"/>
        <v>10</v>
      </c>
      <c r="M367" s="169">
        <f t="shared" si="214"/>
        <v>11</v>
      </c>
      <c r="N367" s="169">
        <f t="shared" si="214"/>
        <v>12</v>
      </c>
      <c r="O367" s="169">
        <f t="shared" si="214"/>
        <v>13</v>
      </c>
      <c r="P367" s="169">
        <f t="shared" si="214"/>
        <v>14</v>
      </c>
      <c r="Q367" s="169">
        <f t="shared" si="214"/>
        <v>15</v>
      </c>
      <c r="R367" s="169">
        <f t="shared" si="214"/>
        <v>16</v>
      </c>
      <c r="S367" s="169">
        <f t="shared" si="214"/>
        <v>17</v>
      </c>
      <c r="T367" s="169">
        <f t="shared" si="214"/>
        <v>18</v>
      </c>
      <c r="U367" s="169">
        <f t="shared" si="214"/>
        <v>19</v>
      </c>
      <c r="V367" s="169">
        <f t="shared" si="214"/>
        <v>20</v>
      </c>
      <c r="W367" s="169">
        <f t="shared" si="214"/>
        <v>21</v>
      </c>
      <c r="X367" s="169">
        <f t="shared" si="214"/>
        <v>22</v>
      </c>
      <c r="Y367" s="169">
        <f t="shared" si="214"/>
        <v>23</v>
      </c>
      <c r="Z367" s="169">
        <f t="shared" si="214"/>
        <v>24</v>
      </c>
      <c r="AA367" s="169">
        <f t="shared" si="214"/>
        <v>25</v>
      </c>
      <c r="AB367" s="169">
        <f t="shared" si="214"/>
        <v>26</v>
      </c>
      <c r="AC367" s="169">
        <f t="shared" si="214"/>
        <v>27</v>
      </c>
      <c r="AD367" s="169">
        <f t="shared" si="214"/>
        <v>28</v>
      </c>
      <c r="AE367" s="169">
        <f t="shared" si="214"/>
        <v>29</v>
      </c>
      <c r="AF367" s="169">
        <f t="shared" si="214"/>
        <v>30</v>
      </c>
      <c r="AG367" s="169">
        <f t="shared" si="214"/>
        <v>31</v>
      </c>
      <c r="AH367" s="169">
        <f t="shared" si="214"/>
        <v>32</v>
      </c>
      <c r="AI367" s="169">
        <f t="shared" si="214"/>
        <v>33</v>
      </c>
      <c r="AJ367" s="169">
        <f t="shared" si="214"/>
        <v>34</v>
      </c>
      <c r="AK367" s="169">
        <f t="shared" si="214"/>
        <v>35</v>
      </c>
      <c r="AL367" s="169">
        <f t="shared" si="214"/>
        <v>36</v>
      </c>
      <c r="AM367" s="169">
        <f t="shared" si="214"/>
        <v>37</v>
      </c>
      <c r="AN367" s="169">
        <f t="shared" si="214"/>
        <v>38</v>
      </c>
      <c r="AO367" s="169">
        <f t="shared" si="214"/>
        <v>39</v>
      </c>
      <c r="AP367" s="169">
        <f t="shared" si="214"/>
        <v>40</v>
      </c>
    </row>
    <row r="368" spans="1:42" x14ac:dyDescent="0.2">
      <c r="A368" s="187" t="s">
        <v>195</v>
      </c>
      <c r="B368" s="203">
        <v>0</v>
      </c>
      <c r="C368" s="198">
        <f t="shared" ref="C368:AP368" si="215">IF($B$366=$A349,C349,0)+IF($B$366=$A350,C350,0)+IF($B$366=$A351,C351,0)+IF($B$366=$A352,C352,0)+IF($B$366=$A353,C353,0)+IF($B$366=$A354,C354,0)</f>
        <v>0.2</v>
      </c>
      <c r="D368" s="198">
        <f t="shared" si="215"/>
        <v>0.32</v>
      </c>
      <c r="E368" s="198">
        <f t="shared" si="215"/>
        <v>0.192</v>
      </c>
      <c r="F368" s="198">
        <f t="shared" si="215"/>
        <v>0.1152</v>
      </c>
      <c r="G368" s="198">
        <f t="shared" si="215"/>
        <v>0.1152</v>
      </c>
      <c r="H368" s="198">
        <f t="shared" si="215"/>
        <v>5.7599999999999998E-2</v>
      </c>
      <c r="I368" s="198">
        <f t="shared" si="215"/>
        <v>0</v>
      </c>
      <c r="J368" s="198">
        <f t="shared" si="215"/>
        <v>0</v>
      </c>
      <c r="K368" s="198">
        <f t="shared" si="215"/>
        <v>0</v>
      </c>
      <c r="L368" s="198">
        <f t="shared" si="215"/>
        <v>0</v>
      </c>
      <c r="M368" s="198">
        <f t="shared" si="215"/>
        <v>0</v>
      </c>
      <c r="N368" s="198">
        <f t="shared" si="215"/>
        <v>0</v>
      </c>
      <c r="O368" s="198">
        <f t="shared" si="215"/>
        <v>0</v>
      </c>
      <c r="P368" s="198">
        <f t="shared" si="215"/>
        <v>0</v>
      </c>
      <c r="Q368" s="198">
        <f t="shared" si="215"/>
        <v>0</v>
      </c>
      <c r="R368" s="198">
        <f t="shared" si="215"/>
        <v>0</v>
      </c>
      <c r="S368" s="198">
        <f t="shared" si="215"/>
        <v>0</v>
      </c>
      <c r="T368" s="198">
        <f t="shared" si="215"/>
        <v>0</v>
      </c>
      <c r="U368" s="198">
        <f t="shared" si="215"/>
        <v>0</v>
      </c>
      <c r="V368" s="198">
        <f t="shared" si="215"/>
        <v>0</v>
      </c>
      <c r="W368" s="198">
        <f t="shared" si="215"/>
        <v>0</v>
      </c>
      <c r="X368" s="198">
        <f t="shared" si="215"/>
        <v>0</v>
      </c>
      <c r="Y368" s="198">
        <f t="shared" si="215"/>
        <v>0</v>
      </c>
      <c r="Z368" s="198">
        <f t="shared" si="215"/>
        <v>0</v>
      </c>
      <c r="AA368" s="198">
        <f t="shared" si="215"/>
        <v>0</v>
      </c>
      <c r="AB368" s="198">
        <f t="shared" si="215"/>
        <v>0</v>
      </c>
      <c r="AC368" s="198">
        <f t="shared" si="215"/>
        <v>0</v>
      </c>
      <c r="AD368" s="198">
        <f t="shared" si="215"/>
        <v>0</v>
      </c>
      <c r="AE368" s="198">
        <f t="shared" si="215"/>
        <v>0</v>
      </c>
      <c r="AF368" s="198">
        <f t="shared" si="215"/>
        <v>0</v>
      </c>
      <c r="AG368" s="198">
        <f t="shared" si="215"/>
        <v>0</v>
      </c>
      <c r="AH368" s="198">
        <f t="shared" si="215"/>
        <v>0</v>
      </c>
      <c r="AI368" s="198">
        <f t="shared" si="215"/>
        <v>0</v>
      </c>
      <c r="AJ368" s="198">
        <f t="shared" si="215"/>
        <v>0</v>
      </c>
      <c r="AK368" s="198">
        <f t="shared" si="215"/>
        <v>0</v>
      </c>
      <c r="AL368" s="198">
        <f t="shared" si="215"/>
        <v>0</v>
      </c>
      <c r="AM368" s="198">
        <f t="shared" si="215"/>
        <v>0</v>
      </c>
      <c r="AN368" s="198">
        <f t="shared" si="215"/>
        <v>0</v>
      </c>
      <c r="AO368" s="198">
        <f t="shared" si="215"/>
        <v>0</v>
      </c>
      <c r="AP368" s="198">
        <f t="shared" si="215"/>
        <v>0</v>
      </c>
    </row>
    <row r="369" spans="1:42" x14ac:dyDescent="0.2">
      <c r="A369" s="187"/>
      <c r="B369" s="203"/>
      <c r="C369" s="198"/>
      <c r="D369" s="198"/>
      <c r="E369" s="198"/>
      <c r="F369" s="198"/>
      <c r="G369" s="198"/>
      <c r="H369" s="198"/>
      <c r="I369" s="198"/>
      <c r="J369" s="198"/>
      <c r="K369" s="198"/>
      <c r="L369" s="198"/>
      <c r="M369" s="198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  <c r="AA369" s="198"/>
      <c r="AB369" s="198"/>
      <c r="AC369" s="198"/>
      <c r="AD369" s="198"/>
      <c r="AE369" s="198"/>
      <c r="AF369" s="198"/>
      <c r="AG369" s="198"/>
      <c r="AH369" s="198"/>
      <c r="AI369" s="198"/>
      <c r="AJ369" s="198"/>
      <c r="AK369" s="198"/>
      <c r="AL369" s="198"/>
      <c r="AM369" s="198"/>
      <c r="AN369" s="198"/>
      <c r="AO369" s="198"/>
      <c r="AP369" s="198"/>
    </row>
    <row r="370" spans="1:42" x14ac:dyDescent="0.2">
      <c r="A370" s="180" t="s">
        <v>303</v>
      </c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</row>
    <row r="371" spans="1:42" x14ac:dyDescent="0.2">
      <c r="A371" s="187" t="s">
        <v>192</v>
      </c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</row>
    <row r="372" spans="1:42" x14ac:dyDescent="0.2">
      <c r="A372" s="20">
        <v>1</v>
      </c>
      <c r="C372" s="169">
        <f>IF(C$2&lt;=AnalysisPeriod,IF(SUM($C656:C656)&gt;0,B372+1,0),0)</f>
        <v>0</v>
      </c>
      <c r="D372" s="169">
        <f>IF(D$2&lt;=AnalysisPeriod,IF(SUM($C656:D656)&gt;0,C372+1,0),0)</f>
        <v>0</v>
      </c>
      <c r="E372" s="169">
        <f>IF(E$2&lt;=AnalysisPeriod,IF(SUM($C656:E656)&gt;0,D372+1,0),0)</f>
        <v>0</v>
      </c>
      <c r="F372" s="169">
        <f>IF(F$2&lt;=AnalysisPeriod,IF(SUM($C656:F656)&gt;0,E372+1,0),0)</f>
        <v>0</v>
      </c>
      <c r="G372" s="169">
        <f>IF(G$2&lt;=AnalysisPeriod,IF(SUM($C656:G656)&gt;0,F372+1,0),0)</f>
        <v>0</v>
      </c>
      <c r="H372" s="169">
        <f>IF(H$2&lt;=AnalysisPeriod,IF(SUM($C656:H656)&gt;0,G372+1,0),0)</f>
        <v>0</v>
      </c>
      <c r="I372" s="169">
        <f>IF(I$2&lt;=AnalysisPeriod,IF(SUM($C656:I656)&gt;0,H372+1,0),0)</f>
        <v>0</v>
      </c>
      <c r="J372" s="169">
        <f>IF(J$2&lt;=AnalysisPeriod,IF(SUM($C656:J656)&gt;0,I372+1,0),0)</f>
        <v>0</v>
      </c>
      <c r="K372" s="169">
        <f>IF(K$2&lt;=AnalysisPeriod,IF(SUM($C656:K656)&gt;0,J372+1,0),0)</f>
        <v>0</v>
      </c>
      <c r="L372" s="169">
        <f>IF(L$2&lt;=AnalysisPeriod,IF(SUM($C656:L656)&gt;0,K372+1,0),0)</f>
        <v>0</v>
      </c>
      <c r="M372" s="169">
        <f>IF(M$2&lt;=AnalysisPeriod,IF(SUM($C656:M656)&gt;0,L372+1,0),0)</f>
        <v>0</v>
      </c>
      <c r="N372" s="169">
        <f>IF(N$2&lt;=AnalysisPeriod,IF(SUM($C656:N656)&gt;0,M372+1,0),0)</f>
        <v>1</v>
      </c>
      <c r="O372" s="169">
        <f>IF(O$2&lt;=AnalysisPeriod,IF(SUM($C656:O656)&gt;0,N372+1,0),0)</f>
        <v>2</v>
      </c>
      <c r="P372" s="169">
        <f>IF(P$2&lt;=AnalysisPeriod,IF(SUM($C656:P656)&gt;0,O372+1,0),0)</f>
        <v>3</v>
      </c>
      <c r="Q372" s="169">
        <f>IF(Q$2&lt;=AnalysisPeriod,IF(SUM($C656:Q656)&gt;0,P372+1,0),0)</f>
        <v>4</v>
      </c>
      <c r="R372" s="169">
        <f>IF(R$2&lt;=AnalysisPeriod,IF(SUM($C656:R656)&gt;0,Q372+1,0),0)</f>
        <v>5</v>
      </c>
      <c r="S372" s="169">
        <f>IF(S$2&lt;=AnalysisPeriod,IF(SUM($C656:S656)&gt;0,R372+1,0),0)</f>
        <v>6</v>
      </c>
      <c r="T372" s="169">
        <f>IF(T$2&lt;=AnalysisPeriod,IF(SUM($C656:T656)&gt;0,S372+1,0),0)</f>
        <v>7</v>
      </c>
      <c r="U372" s="169">
        <f>IF(U$2&lt;=AnalysisPeriod,IF(SUM($C656:U656)&gt;0,T372+1,0),0)</f>
        <v>8</v>
      </c>
      <c r="V372" s="169">
        <f>IF(V$2&lt;=AnalysisPeriod,IF(SUM($C656:V656)&gt;0,U372+1,0),0)</f>
        <v>9</v>
      </c>
      <c r="W372" s="169">
        <f>IF(W$2&lt;=AnalysisPeriod,IF(SUM($C656:W656)&gt;0,V372+1,0),0)</f>
        <v>10</v>
      </c>
      <c r="X372" s="169">
        <f>IF(X$2&lt;=AnalysisPeriod,IF(SUM($C656:X656)&gt;0,W372+1,0),0)</f>
        <v>11</v>
      </c>
      <c r="Y372" s="169">
        <f>IF(Y$2&lt;=AnalysisPeriod,IF(SUM($C656:Y656)&gt;0,X372+1,0),0)</f>
        <v>12</v>
      </c>
      <c r="Z372" s="169">
        <f>IF(Z$2&lt;=AnalysisPeriod,IF(SUM($C656:Z656)&gt;0,Y372+1,0),0)</f>
        <v>13</v>
      </c>
      <c r="AA372" s="169">
        <f>IF(AA$2&lt;=AnalysisPeriod,IF(SUM($C656:AA656)&gt;0,Z372+1,0),0)</f>
        <v>14</v>
      </c>
      <c r="AB372" s="169">
        <f>IF(AB$2&lt;=AnalysisPeriod,IF(SUM($C656:AB656)&gt;0,AA372+1,0),0)</f>
        <v>15</v>
      </c>
      <c r="AC372" s="169">
        <f>IF(AC$2&lt;=AnalysisPeriod,IF(SUM($C656:AC656)&gt;0,AB372+1,0),0)</f>
        <v>16</v>
      </c>
      <c r="AD372" s="169">
        <f>IF(AD$2&lt;=AnalysisPeriod,IF(SUM($C656:AD656)&gt;0,AC372+1,0),0)</f>
        <v>17</v>
      </c>
      <c r="AE372" s="169">
        <f>IF(AE$2&lt;=AnalysisPeriod,IF(SUM($C656:AE656)&gt;0,AD372+1,0),0)</f>
        <v>18</v>
      </c>
      <c r="AF372" s="169">
        <f>IF(AF$2&lt;=AnalysisPeriod,IF(SUM($C656:AF656)&gt;0,AE372+1,0),0)</f>
        <v>19</v>
      </c>
      <c r="AG372" s="169">
        <f>IF(AG$2&lt;=AnalysisPeriod,IF(SUM($C656:AG656)&gt;0,AF372+1,0),0)</f>
        <v>20</v>
      </c>
      <c r="AH372" s="169">
        <f>IF(AH$2&lt;=AnalysisPeriod,IF(SUM($C656:AH656)&gt;0,AG372+1,0),0)</f>
        <v>21</v>
      </c>
      <c r="AI372" s="169">
        <f>IF(AI$2&lt;=AnalysisPeriod,IF(SUM($C656:AI656)&gt;0,AH372+1,0),0)</f>
        <v>22</v>
      </c>
      <c r="AJ372" s="169">
        <f>IF(AJ$2&lt;=AnalysisPeriod,IF(SUM($C656:AJ656)&gt;0,AI372+1,0),0)</f>
        <v>23</v>
      </c>
      <c r="AK372" s="169">
        <f>IF(AK$2&lt;=AnalysisPeriod,IF(SUM($C656:AK656)&gt;0,AJ372+1,0),0)</f>
        <v>24</v>
      </c>
      <c r="AL372" s="169">
        <f>IF(AL$2&lt;=AnalysisPeriod,IF(SUM($C656:AL656)&gt;0,AK372+1,0),0)</f>
        <v>25</v>
      </c>
      <c r="AM372" s="169">
        <f>IF(AM$2&lt;=AnalysisPeriod,IF(SUM($C656:AM656)&gt;0,AL372+1,0),0)</f>
        <v>26</v>
      </c>
      <c r="AN372" s="169">
        <f>IF(AN$2&lt;=AnalysisPeriod,IF(SUM($C656:AN656)&gt;0,AM372+1,0),0)</f>
        <v>27</v>
      </c>
      <c r="AO372" s="169">
        <f>IF(AO$2&lt;=AnalysisPeriod,IF(SUM($C656:AO656)&gt;0,AN372+1,0),0)</f>
        <v>28</v>
      </c>
      <c r="AP372" s="169">
        <f>IF(AP$2&lt;=AnalysisPeriod,IF(SUM($C656:AP656)&gt;0,AO372+1,0),0)</f>
        <v>29</v>
      </c>
    </row>
    <row r="373" spans="1:42" x14ac:dyDescent="0.2">
      <c r="A373" s="20">
        <f>A372+1</f>
        <v>2</v>
      </c>
      <c r="C373" s="169">
        <f>IF(C$2&lt;=AnalysisPeriod,IF(SUM($C657:C657)&gt;0,B373+1,0),0)</f>
        <v>0</v>
      </c>
      <c r="D373" s="169">
        <f>IF(D$2&lt;=AnalysisPeriod,IF(SUM($C657:D657)&gt;0,C373+1,0),0)</f>
        <v>0</v>
      </c>
      <c r="E373" s="169">
        <f>IF(E$2&lt;=AnalysisPeriod,IF(SUM($C657:E657)&gt;0,D373+1,0),0)</f>
        <v>0</v>
      </c>
      <c r="F373" s="169">
        <f>IF(F$2&lt;=AnalysisPeriod,IF(SUM($C657:F657)&gt;0,E373+1,0),0)</f>
        <v>0</v>
      </c>
      <c r="G373" s="169">
        <f>IF(G$2&lt;=AnalysisPeriod,IF(SUM($C657:G657)&gt;0,F373+1,0),0)</f>
        <v>0</v>
      </c>
      <c r="H373" s="169">
        <f>IF(H$2&lt;=AnalysisPeriod,IF(SUM($C657:H657)&gt;0,G373+1,0),0)</f>
        <v>0</v>
      </c>
      <c r="I373" s="169">
        <f>IF(I$2&lt;=AnalysisPeriod,IF(SUM($C657:I657)&gt;0,H373+1,0),0)</f>
        <v>0</v>
      </c>
      <c r="J373" s="169">
        <f>IF(J$2&lt;=AnalysisPeriod,IF(SUM($C657:J657)&gt;0,I373+1,0),0)</f>
        <v>0</v>
      </c>
      <c r="K373" s="169">
        <f>IF(K$2&lt;=AnalysisPeriod,IF(SUM($C657:K657)&gt;0,J373+1,0),0)</f>
        <v>0</v>
      </c>
      <c r="L373" s="169">
        <f>IF(L$2&lt;=AnalysisPeriod,IF(SUM($C657:L657)&gt;0,K373+1,0),0)</f>
        <v>0</v>
      </c>
      <c r="M373" s="169">
        <f>IF(M$2&lt;=AnalysisPeriod,IF(SUM($C657:M657)&gt;0,L373+1,0),0)</f>
        <v>0</v>
      </c>
      <c r="N373" s="169">
        <f>IF(N$2&lt;=AnalysisPeriod,IF(SUM($C657:N657)&gt;0,M373+1,0),0)</f>
        <v>0</v>
      </c>
      <c r="O373" s="169">
        <f>IF(O$2&lt;=AnalysisPeriod,IF(SUM($C657:O657)&gt;0,N373+1,0),0)</f>
        <v>0</v>
      </c>
      <c r="P373" s="169">
        <f>IF(P$2&lt;=AnalysisPeriod,IF(SUM($C657:P657)&gt;0,O373+1,0),0)</f>
        <v>0</v>
      </c>
      <c r="Q373" s="169">
        <f>IF(Q$2&lt;=AnalysisPeriod,IF(SUM($C657:Q657)&gt;0,P373+1,0),0)</f>
        <v>0</v>
      </c>
      <c r="R373" s="169">
        <f>IF(R$2&lt;=AnalysisPeriod,IF(SUM($C657:R657)&gt;0,Q373+1,0),0)</f>
        <v>0</v>
      </c>
      <c r="S373" s="169">
        <f>IF(S$2&lt;=AnalysisPeriod,IF(SUM($C657:S657)&gt;0,R373+1,0),0)</f>
        <v>0</v>
      </c>
      <c r="T373" s="169">
        <f>IF(T$2&lt;=AnalysisPeriod,IF(SUM($C657:T657)&gt;0,S373+1,0),0)</f>
        <v>0</v>
      </c>
      <c r="U373" s="169">
        <f>IF(U$2&lt;=AnalysisPeriod,IF(SUM($C657:U657)&gt;0,T373+1,0),0)</f>
        <v>0</v>
      </c>
      <c r="V373" s="169">
        <f>IF(V$2&lt;=AnalysisPeriod,IF(SUM($C657:V657)&gt;0,U373+1,0),0)</f>
        <v>0</v>
      </c>
      <c r="W373" s="169">
        <f>IF(W$2&lt;=AnalysisPeriod,IF(SUM($C657:W657)&gt;0,V373+1,0),0)</f>
        <v>0</v>
      </c>
      <c r="X373" s="169">
        <f>IF(X$2&lt;=AnalysisPeriod,IF(SUM($C657:X657)&gt;0,W373+1,0),0)</f>
        <v>0</v>
      </c>
      <c r="Y373" s="169">
        <f>IF(Y$2&lt;=AnalysisPeriod,IF(SUM($C657:Y657)&gt;0,X373+1,0),0)</f>
        <v>0</v>
      </c>
      <c r="Z373" s="169">
        <f>IF(Z$2&lt;=AnalysisPeriod,IF(SUM($C657:Z657)&gt;0,Y373+1,0),0)</f>
        <v>1</v>
      </c>
      <c r="AA373" s="169">
        <f>IF(AA$2&lt;=AnalysisPeriod,IF(SUM($C657:AA657)&gt;0,Z373+1,0),0)</f>
        <v>2</v>
      </c>
      <c r="AB373" s="169">
        <f>IF(AB$2&lt;=AnalysisPeriod,IF(SUM($C657:AB657)&gt;0,AA373+1,0),0)</f>
        <v>3</v>
      </c>
      <c r="AC373" s="169">
        <f>IF(AC$2&lt;=AnalysisPeriod,IF(SUM($C657:AC657)&gt;0,AB373+1,0),0)</f>
        <v>4</v>
      </c>
      <c r="AD373" s="169">
        <f>IF(AD$2&lt;=AnalysisPeriod,IF(SUM($C657:AD657)&gt;0,AC373+1,0),0)</f>
        <v>5</v>
      </c>
      <c r="AE373" s="169">
        <f>IF(AE$2&lt;=AnalysisPeriod,IF(SUM($C657:AE657)&gt;0,AD373+1,0),0)</f>
        <v>6</v>
      </c>
      <c r="AF373" s="169">
        <f>IF(AF$2&lt;=AnalysisPeriod,IF(SUM($C657:AF657)&gt;0,AE373+1,0),0)</f>
        <v>7</v>
      </c>
      <c r="AG373" s="169">
        <f>IF(AG$2&lt;=AnalysisPeriod,IF(SUM($C657:AG657)&gt;0,AF373+1,0),0)</f>
        <v>8</v>
      </c>
      <c r="AH373" s="169">
        <f>IF(AH$2&lt;=AnalysisPeriod,IF(SUM($C657:AH657)&gt;0,AG373+1,0),0)</f>
        <v>9</v>
      </c>
      <c r="AI373" s="169">
        <f>IF(AI$2&lt;=AnalysisPeriod,IF(SUM($C657:AI657)&gt;0,AH373+1,0),0)</f>
        <v>10</v>
      </c>
      <c r="AJ373" s="169">
        <f>IF(AJ$2&lt;=AnalysisPeriod,IF(SUM($C657:AJ657)&gt;0,AI373+1,0),0)</f>
        <v>11</v>
      </c>
      <c r="AK373" s="169">
        <f>IF(AK$2&lt;=AnalysisPeriod,IF(SUM($C657:AK657)&gt;0,AJ373+1,0),0)</f>
        <v>12</v>
      </c>
      <c r="AL373" s="169">
        <f>IF(AL$2&lt;=AnalysisPeriod,IF(SUM($C657:AL657)&gt;0,AK373+1,0),0)</f>
        <v>13</v>
      </c>
      <c r="AM373" s="169">
        <f>IF(AM$2&lt;=AnalysisPeriod,IF(SUM($C657:AM657)&gt;0,AL373+1,0),0)</f>
        <v>14</v>
      </c>
      <c r="AN373" s="169">
        <f>IF(AN$2&lt;=AnalysisPeriod,IF(SUM($C657:AN657)&gt;0,AM373+1,0),0)</f>
        <v>15</v>
      </c>
      <c r="AO373" s="169">
        <f>IF(AO$2&lt;=AnalysisPeriod,IF(SUM($C657:AO657)&gt;0,AN373+1,0),0)</f>
        <v>16</v>
      </c>
      <c r="AP373" s="169">
        <f>IF(AP$2&lt;=AnalysisPeriod,IF(SUM($C657:AP657)&gt;0,AO373+1,0),0)</f>
        <v>17</v>
      </c>
    </row>
    <row r="374" spans="1:42" x14ac:dyDescent="0.2">
      <c r="A374" s="20">
        <f t="shared" ref="A374:A381" si="216">A373+1</f>
        <v>3</v>
      </c>
      <c r="C374" s="169">
        <f>IF(C$2&lt;=AnalysisPeriod,IF(SUM($C658:C658)&gt;0,B374+1,0),0)</f>
        <v>0</v>
      </c>
      <c r="D374" s="169">
        <f>IF(D$2&lt;=AnalysisPeriod,IF(SUM($C658:D658)&gt;0,C374+1,0),0)</f>
        <v>0</v>
      </c>
      <c r="E374" s="169">
        <f>IF(E$2&lt;=AnalysisPeriod,IF(SUM($C658:E658)&gt;0,D374+1,0),0)</f>
        <v>0</v>
      </c>
      <c r="F374" s="169">
        <f>IF(F$2&lt;=AnalysisPeriod,IF(SUM($C658:F658)&gt;0,E374+1,0),0)</f>
        <v>0</v>
      </c>
      <c r="G374" s="169">
        <f>IF(G$2&lt;=AnalysisPeriod,IF(SUM($C658:G658)&gt;0,F374+1,0),0)</f>
        <v>0</v>
      </c>
      <c r="H374" s="169">
        <f>IF(H$2&lt;=AnalysisPeriod,IF(SUM($C658:H658)&gt;0,G374+1,0),0)</f>
        <v>0</v>
      </c>
      <c r="I374" s="169">
        <f>IF(I$2&lt;=AnalysisPeriod,IF(SUM($C658:I658)&gt;0,H374+1,0),0)</f>
        <v>0</v>
      </c>
      <c r="J374" s="169">
        <f>IF(J$2&lt;=AnalysisPeriod,IF(SUM($C658:J658)&gt;0,I374+1,0),0)</f>
        <v>0</v>
      </c>
      <c r="K374" s="169">
        <f>IF(K$2&lt;=AnalysisPeriod,IF(SUM($C658:K658)&gt;0,J374+1,0),0)</f>
        <v>0</v>
      </c>
      <c r="L374" s="169">
        <f>IF(L$2&lt;=AnalysisPeriod,IF(SUM($C658:L658)&gt;0,K374+1,0),0)</f>
        <v>0</v>
      </c>
      <c r="M374" s="169">
        <f>IF(M$2&lt;=AnalysisPeriod,IF(SUM($C658:M658)&gt;0,L374+1,0),0)</f>
        <v>0</v>
      </c>
      <c r="N374" s="169">
        <f>IF(N$2&lt;=AnalysisPeriod,IF(SUM($C658:N658)&gt;0,M374+1,0),0)</f>
        <v>0</v>
      </c>
      <c r="O374" s="169">
        <f>IF(O$2&lt;=AnalysisPeriod,IF(SUM($C658:O658)&gt;0,N374+1,0),0)</f>
        <v>0</v>
      </c>
      <c r="P374" s="169">
        <f>IF(P$2&lt;=AnalysisPeriod,IF(SUM($C658:P658)&gt;0,O374+1,0),0)</f>
        <v>0</v>
      </c>
      <c r="Q374" s="169">
        <f>IF(Q$2&lt;=AnalysisPeriod,IF(SUM($C658:Q658)&gt;0,P374+1,0),0)</f>
        <v>0</v>
      </c>
      <c r="R374" s="169">
        <f>IF(R$2&lt;=AnalysisPeriod,IF(SUM($C658:R658)&gt;0,Q374+1,0),0)</f>
        <v>0</v>
      </c>
      <c r="S374" s="169">
        <f>IF(S$2&lt;=AnalysisPeriod,IF(SUM($C658:S658)&gt;0,R374+1,0),0)</f>
        <v>0</v>
      </c>
      <c r="T374" s="169">
        <f>IF(T$2&lt;=AnalysisPeriod,IF(SUM($C658:T658)&gt;0,S374+1,0),0)</f>
        <v>0</v>
      </c>
      <c r="U374" s="169">
        <f>IF(U$2&lt;=AnalysisPeriod,IF(SUM($C658:U658)&gt;0,T374+1,0),0)</f>
        <v>0</v>
      </c>
      <c r="V374" s="169">
        <f>IF(V$2&lt;=AnalysisPeriod,IF(SUM($C658:V658)&gt;0,U374+1,0),0)</f>
        <v>0</v>
      </c>
      <c r="W374" s="169">
        <f>IF(W$2&lt;=AnalysisPeriod,IF(SUM($C658:W658)&gt;0,V374+1,0),0)</f>
        <v>0</v>
      </c>
      <c r="X374" s="169">
        <f>IF(X$2&lt;=AnalysisPeriod,IF(SUM($C658:X658)&gt;0,W374+1,0),0)</f>
        <v>0</v>
      </c>
      <c r="Y374" s="169">
        <f>IF(Y$2&lt;=AnalysisPeriod,IF(SUM($C658:Y658)&gt;0,X374+1,0),0)</f>
        <v>0</v>
      </c>
      <c r="Z374" s="169">
        <f>IF(Z$2&lt;=AnalysisPeriod,IF(SUM($C658:Z658)&gt;0,Y374+1,0),0)</f>
        <v>0</v>
      </c>
      <c r="AA374" s="169">
        <f>IF(AA$2&lt;=AnalysisPeriod,IF(SUM($C658:AA658)&gt;0,Z374+1,0),0)</f>
        <v>0</v>
      </c>
      <c r="AB374" s="169">
        <f>IF(AB$2&lt;=AnalysisPeriod,IF(SUM($C658:AB658)&gt;0,AA374+1,0),0)</f>
        <v>0</v>
      </c>
      <c r="AC374" s="169">
        <f>IF(AC$2&lt;=AnalysisPeriod,IF(SUM($C658:AC658)&gt;0,AB374+1,0),0)</f>
        <v>0</v>
      </c>
      <c r="AD374" s="169">
        <f>IF(AD$2&lt;=AnalysisPeriod,IF(SUM($C658:AD658)&gt;0,AC374+1,0),0)</f>
        <v>0</v>
      </c>
      <c r="AE374" s="169">
        <f>IF(AE$2&lt;=AnalysisPeriod,IF(SUM($C658:AE658)&gt;0,AD374+1,0),0)</f>
        <v>0</v>
      </c>
      <c r="AF374" s="169">
        <f>IF(AF$2&lt;=AnalysisPeriod,IF(SUM($C658:AF658)&gt;0,AE374+1,0),0)</f>
        <v>0</v>
      </c>
      <c r="AG374" s="169">
        <f>IF(AG$2&lt;=AnalysisPeriod,IF(SUM($C658:AG658)&gt;0,AF374+1,0),0)</f>
        <v>0</v>
      </c>
      <c r="AH374" s="169">
        <f>IF(AH$2&lt;=AnalysisPeriod,IF(SUM($C658:AH658)&gt;0,AG374+1,0),0)</f>
        <v>0</v>
      </c>
      <c r="AI374" s="169">
        <f>IF(AI$2&lt;=AnalysisPeriod,IF(SUM($C658:AI658)&gt;0,AH374+1,0),0)</f>
        <v>0</v>
      </c>
      <c r="AJ374" s="169">
        <f>IF(AJ$2&lt;=AnalysisPeriod,IF(SUM($C658:AJ658)&gt;0,AI374+1,0),0)</f>
        <v>0</v>
      </c>
      <c r="AK374" s="169">
        <f>IF(AK$2&lt;=AnalysisPeriod,IF(SUM($C658:AK658)&gt;0,AJ374+1,0),0)</f>
        <v>0</v>
      </c>
      <c r="AL374" s="169">
        <f>IF(AL$2&lt;=AnalysisPeriod,IF(SUM($C658:AL658)&gt;0,AK374+1,0),0)</f>
        <v>1</v>
      </c>
      <c r="AM374" s="169">
        <f>IF(AM$2&lt;=AnalysisPeriod,IF(SUM($C658:AM658)&gt;0,AL374+1,0),0)</f>
        <v>2</v>
      </c>
      <c r="AN374" s="169">
        <f>IF(AN$2&lt;=AnalysisPeriod,IF(SUM($C658:AN658)&gt;0,AM374+1,0),0)</f>
        <v>3</v>
      </c>
      <c r="AO374" s="169">
        <f>IF(AO$2&lt;=AnalysisPeriod,IF(SUM($C658:AO658)&gt;0,AN374+1,0),0)</f>
        <v>4</v>
      </c>
      <c r="AP374" s="169">
        <f>IF(AP$2&lt;=AnalysisPeriod,IF(SUM($C658:AP658)&gt;0,AO374+1,0),0)</f>
        <v>5</v>
      </c>
    </row>
    <row r="375" spans="1:42" x14ac:dyDescent="0.2">
      <c r="A375" s="20">
        <f t="shared" si="216"/>
        <v>4</v>
      </c>
      <c r="C375" s="169">
        <f>IF(C$2&lt;=AnalysisPeriod,IF(SUM($C659:C659)&gt;0,B375+1,0),0)</f>
        <v>0</v>
      </c>
      <c r="D375" s="169">
        <f>IF(D$2&lt;=AnalysisPeriod,IF(SUM($C659:D659)&gt;0,C375+1,0),0)</f>
        <v>0</v>
      </c>
      <c r="E375" s="169">
        <f>IF(E$2&lt;=AnalysisPeriod,IF(SUM($C659:E659)&gt;0,D375+1,0),0)</f>
        <v>0</v>
      </c>
      <c r="F375" s="169">
        <f>IF(F$2&lt;=AnalysisPeriod,IF(SUM($C659:F659)&gt;0,E375+1,0),0)</f>
        <v>0</v>
      </c>
      <c r="G375" s="169">
        <f>IF(G$2&lt;=AnalysisPeriod,IF(SUM($C659:G659)&gt;0,F375+1,0),0)</f>
        <v>0</v>
      </c>
      <c r="H375" s="169">
        <f>IF(H$2&lt;=AnalysisPeriod,IF(SUM($C659:H659)&gt;0,G375+1,0),0)</f>
        <v>0</v>
      </c>
      <c r="I375" s="169">
        <f>IF(I$2&lt;=AnalysisPeriod,IF(SUM($C659:I659)&gt;0,H375+1,0),0)</f>
        <v>0</v>
      </c>
      <c r="J375" s="169">
        <f>IF(J$2&lt;=AnalysisPeriod,IF(SUM($C659:J659)&gt;0,I375+1,0),0)</f>
        <v>0</v>
      </c>
      <c r="K375" s="169">
        <f>IF(K$2&lt;=AnalysisPeriod,IF(SUM($C659:K659)&gt;0,J375+1,0),0)</f>
        <v>0</v>
      </c>
      <c r="L375" s="169">
        <f>IF(L$2&lt;=AnalysisPeriod,IF(SUM($C659:L659)&gt;0,K375+1,0),0)</f>
        <v>0</v>
      </c>
      <c r="M375" s="169">
        <f>IF(M$2&lt;=AnalysisPeriod,IF(SUM($C659:M659)&gt;0,L375+1,0),0)</f>
        <v>0</v>
      </c>
      <c r="N375" s="169">
        <f>IF(N$2&lt;=AnalysisPeriod,IF(SUM($C659:N659)&gt;0,M375+1,0),0)</f>
        <v>0</v>
      </c>
      <c r="O375" s="169">
        <f>IF(O$2&lt;=AnalysisPeriod,IF(SUM($C659:O659)&gt;0,N375+1,0),0)</f>
        <v>0</v>
      </c>
      <c r="P375" s="169">
        <f>IF(P$2&lt;=AnalysisPeriod,IF(SUM($C659:P659)&gt;0,O375+1,0),0)</f>
        <v>0</v>
      </c>
      <c r="Q375" s="169">
        <f>IF(Q$2&lt;=AnalysisPeriod,IF(SUM($C659:Q659)&gt;0,P375+1,0),0)</f>
        <v>0</v>
      </c>
      <c r="R375" s="169">
        <f>IF(R$2&lt;=AnalysisPeriod,IF(SUM($C659:R659)&gt;0,Q375+1,0),0)</f>
        <v>0</v>
      </c>
      <c r="S375" s="169">
        <f>IF(S$2&lt;=AnalysisPeriod,IF(SUM($C659:S659)&gt;0,R375+1,0),0)</f>
        <v>0</v>
      </c>
      <c r="T375" s="169">
        <f>IF(T$2&lt;=AnalysisPeriod,IF(SUM($C659:T659)&gt;0,S375+1,0),0)</f>
        <v>0</v>
      </c>
      <c r="U375" s="169">
        <f>IF(U$2&lt;=AnalysisPeriod,IF(SUM($C659:U659)&gt;0,T375+1,0),0)</f>
        <v>0</v>
      </c>
      <c r="V375" s="169">
        <f>IF(V$2&lt;=AnalysisPeriod,IF(SUM($C659:V659)&gt;0,U375+1,0),0)</f>
        <v>0</v>
      </c>
      <c r="W375" s="169">
        <f>IF(W$2&lt;=AnalysisPeriod,IF(SUM($C659:W659)&gt;0,V375+1,0),0)</f>
        <v>0</v>
      </c>
      <c r="X375" s="169">
        <f>IF(X$2&lt;=AnalysisPeriod,IF(SUM($C659:X659)&gt;0,W375+1,0),0)</f>
        <v>0</v>
      </c>
      <c r="Y375" s="169">
        <f>IF(Y$2&lt;=AnalysisPeriod,IF(SUM($C659:Y659)&gt;0,X375+1,0),0)</f>
        <v>0</v>
      </c>
      <c r="Z375" s="169">
        <f>IF(Z$2&lt;=AnalysisPeriod,IF(SUM($C659:Z659)&gt;0,Y375+1,0),0)</f>
        <v>0</v>
      </c>
      <c r="AA375" s="169">
        <f>IF(AA$2&lt;=AnalysisPeriod,IF(SUM($C659:AA659)&gt;0,Z375+1,0),0)</f>
        <v>0</v>
      </c>
      <c r="AB375" s="169">
        <f>IF(AB$2&lt;=AnalysisPeriod,IF(SUM($C659:AB659)&gt;0,AA375+1,0),0)</f>
        <v>0</v>
      </c>
      <c r="AC375" s="169">
        <f>IF(AC$2&lt;=AnalysisPeriod,IF(SUM($C659:AC659)&gt;0,AB375+1,0),0)</f>
        <v>0</v>
      </c>
      <c r="AD375" s="169">
        <f>IF(AD$2&lt;=AnalysisPeriod,IF(SUM($C659:AD659)&gt;0,AC375+1,0),0)</f>
        <v>0</v>
      </c>
      <c r="AE375" s="169">
        <f>IF(AE$2&lt;=AnalysisPeriod,IF(SUM($C659:AE659)&gt;0,AD375+1,0),0)</f>
        <v>0</v>
      </c>
      <c r="AF375" s="169">
        <f>IF(AF$2&lt;=AnalysisPeriod,IF(SUM($C659:AF659)&gt;0,AE375+1,0),0)</f>
        <v>0</v>
      </c>
      <c r="AG375" s="169">
        <f>IF(AG$2&lt;=AnalysisPeriod,IF(SUM($C659:AG659)&gt;0,AF375+1,0),0)</f>
        <v>0</v>
      </c>
      <c r="AH375" s="169">
        <f>IF(AH$2&lt;=AnalysisPeriod,IF(SUM($C659:AH659)&gt;0,AG375+1,0),0)</f>
        <v>0</v>
      </c>
      <c r="AI375" s="169">
        <f>IF(AI$2&lt;=AnalysisPeriod,IF(SUM($C659:AI659)&gt;0,AH375+1,0),0)</f>
        <v>0</v>
      </c>
      <c r="AJ375" s="169">
        <f>IF(AJ$2&lt;=AnalysisPeriod,IF(SUM($C659:AJ659)&gt;0,AI375+1,0),0)</f>
        <v>0</v>
      </c>
      <c r="AK375" s="169">
        <f>IF(AK$2&lt;=AnalysisPeriod,IF(SUM($C659:AK659)&gt;0,AJ375+1,0),0)</f>
        <v>0</v>
      </c>
      <c r="AL375" s="169">
        <f>IF(AL$2&lt;=AnalysisPeriod,IF(SUM($C659:AL659)&gt;0,AK375+1,0),0)</f>
        <v>0</v>
      </c>
      <c r="AM375" s="169">
        <f>IF(AM$2&lt;=AnalysisPeriod,IF(SUM($C659:AM659)&gt;0,AL375+1,0),0)</f>
        <v>0</v>
      </c>
      <c r="AN375" s="169">
        <f>IF(AN$2&lt;=AnalysisPeriod,IF(SUM($C659:AN659)&gt;0,AM375+1,0),0)</f>
        <v>0</v>
      </c>
      <c r="AO375" s="169">
        <f>IF(AO$2&lt;=AnalysisPeriod,IF(SUM($C659:AO659)&gt;0,AN375+1,0),0)</f>
        <v>0</v>
      </c>
      <c r="AP375" s="169">
        <f>IF(AP$2&lt;=AnalysisPeriod,IF(SUM($C659:AP659)&gt;0,AO375+1,0),0)</f>
        <v>0</v>
      </c>
    </row>
    <row r="376" spans="1:42" x14ac:dyDescent="0.2">
      <c r="A376" s="20">
        <f t="shared" si="216"/>
        <v>5</v>
      </c>
      <c r="C376" s="169">
        <f>IF(C$2&lt;=AnalysisPeriod,IF(SUM($C660:C660)&gt;0,B376+1,0),0)</f>
        <v>0</v>
      </c>
      <c r="D376" s="169">
        <f>IF(D$2&lt;=AnalysisPeriod,IF(SUM($C660:D660)&gt;0,C376+1,0),0)</f>
        <v>0</v>
      </c>
      <c r="E376" s="169">
        <f>IF(E$2&lt;=AnalysisPeriod,IF(SUM($C660:E660)&gt;0,D376+1,0),0)</f>
        <v>0</v>
      </c>
      <c r="F376" s="169">
        <f>IF(F$2&lt;=AnalysisPeriod,IF(SUM($C660:F660)&gt;0,E376+1,0),0)</f>
        <v>0</v>
      </c>
      <c r="G376" s="169">
        <f>IF(G$2&lt;=AnalysisPeriod,IF(SUM($C660:G660)&gt;0,F376+1,0),0)</f>
        <v>0</v>
      </c>
      <c r="H376" s="169">
        <f>IF(H$2&lt;=AnalysisPeriod,IF(SUM($C660:H660)&gt;0,G376+1,0),0)</f>
        <v>0</v>
      </c>
      <c r="I376" s="169">
        <f>IF(I$2&lt;=AnalysisPeriod,IF(SUM($C660:I660)&gt;0,H376+1,0),0)</f>
        <v>0</v>
      </c>
      <c r="J376" s="169">
        <f>IF(J$2&lt;=AnalysisPeriod,IF(SUM($C660:J660)&gt;0,I376+1,0),0)</f>
        <v>0</v>
      </c>
      <c r="K376" s="169">
        <f>IF(K$2&lt;=AnalysisPeriod,IF(SUM($C660:K660)&gt;0,J376+1,0),0)</f>
        <v>0</v>
      </c>
      <c r="L376" s="169">
        <f>IF(L$2&lt;=AnalysisPeriod,IF(SUM($C660:L660)&gt;0,K376+1,0),0)</f>
        <v>0</v>
      </c>
      <c r="M376" s="169">
        <f>IF(M$2&lt;=AnalysisPeriod,IF(SUM($C660:M660)&gt;0,L376+1,0),0)</f>
        <v>0</v>
      </c>
      <c r="N376" s="169">
        <f>IF(N$2&lt;=AnalysisPeriod,IF(SUM($C660:N660)&gt;0,M376+1,0),0)</f>
        <v>0</v>
      </c>
      <c r="O376" s="169">
        <f>IF(O$2&lt;=AnalysisPeriod,IF(SUM($C660:O660)&gt;0,N376+1,0),0)</f>
        <v>0</v>
      </c>
      <c r="P376" s="169">
        <f>IF(P$2&lt;=AnalysisPeriod,IF(SUM($C660:P660)&gt;0,O376+1,0),0)</f>
        <v>0</v>
      </c>
      <c r="Q376" s="169">
        <f>IF(Q$2&lt;=AnalysisPeriod,IF(SUM($C660:Q660)&gt;0,P376+1,0),0)</f>
        <v>0</v>
      </c>
      <c r="R376" s="169">
        <f>IF(R$2&lt;=AnalysisPeriod,IF(SUM($C660:R660)&gt;0,Q376+1,0),0)</f>
        <v>0</v>
      </c>
      <c r="S376" s="169">
        <f>IF(S$2&lt;=AnalysisPeriod,IF(SUM($C660:S660)&gt;0,R376+1,0),0)</f>
        <v>0</v>
      </c>
      <c r="T376" s="169">
        <f>IF(T$2&lt;=AnalysisPeriod,IF(SUM($C660:T660)&gt;0,S376+1,0),0)</f>
        <v>0</v>
      </c>
      <c r="U376" s="169">
        <f>IF(U$2&lt;=AnalysisPeriod,IF(SUM($C660:U660)&gt;0,T376+1,0),0)</f>
        <v>0</v>
      </c>
      <c r="V376" s="169">
        <f>IF(V$2&lt;=AnalysisPeriod,IF(SUM($C660:V660)&gt;0,U376+1,0),0)</f>
        <v>0</v>
      </c>
      <c r="W376" s="169">
        <f>IF(W$2&lt;=AnalysisPeriod,IF(SUM($C660:W660)&gt;0,V376+1,0),0)</f>
        <v>0</v>
      </c>
      <c r="X376" s="169">
        <f>IF(X$2&lt;=AnalysisPeriod,IF(SUM($C660:X660)&gt;0,W376+1,0),0)</f>
        <v>0</v>
      </c>
      <c r="Y376" s="169">
        <f>IF(Y$2&lt;=AnalysisPeriod,IF(SUM($C660:Y660)&gt;0,X376+1,0),0)</f>
        <v>0</v>
      </c>
      <c r="Z376" s="169">
        <f>IF(Z$2&lt;=AnalysisPeriod,IF(SUM($C660:Z660)&gt;0,Y376+1,0),0)</f>
        <v>0</v>
      </c>
      <c r="AA376" s="169">
        <f>IF(AA$2&lt;=AnalysisPeriod,IF(SUM($C660:AA660)&gt;0,Z376+1,0),0)</f>
        <v>0</v>
      </c>
      <c r="AB376" s="169">
        <f>IF(AB$2&lt;=AnalysisPeriod,IF(SUM($C660:AB660)&gt;0,AA376+1,0),0)</f>
        <v>0</v>
      </c>
      <c r="AC376" s="169">
        <f>IF(AC$2&lt;=AnalysisPeriod,IF(SUM($C660:AC660)&gt;0,AB376+1,0),0)</f>
        <v>0</v>
      </c>
      <c r="AD376" s="169">
        <f>IF(AD$2&lt;=AnalysisPeriod,IF(SUM($C660:AD660)&gt;0,AC376+1,0),0)</f>
        <v>0</v>
      </c>
      <c r="AE376" s="169">
        <f>IF(AE$2&lt;=AnalysisPeriod,IF(SUM($C660:AE660)&gt;0,AD376+1,0),0)</f>
        <v>0</v>
      </c>
      <c r="AF376" s="169">
        <f>IF(AF$2&lt;=AnalysisPeriod,IF(SUM($C660:AF660)&gt;0,AE376+1,0),0)</f>
        <v>0</v>
      </c>
      <c r="AG376" s="169">
        <f>IF(AG$2&lt;=AnalysisPeriod,IF(SUM($C660:AG660)&gt;0,AF376+1,0),0)</f>
        <v>0</v>
      </c>
      <c r="AH376" s="169">
        <f>IF(AH$2&lt;=AnalysisPeriod,IF(SUM($C660:AH660)&gt;0,AG376+1,0),0)</f>
        <v>0</v>
      </c>
      <c r="AI376" s="169">
        <f>IF(AI$2&lt;=AnalysisPeriod,IF(SUM($C660:AI660)&gt;0,AH376+1,0),0)</f>
        <v>0</v>
      </c>
      <c r="AJ376" s="169">
        <f>IF(AJ$2&lt;=AnalysisPeriod,IF(SUM($C660:AJ660)&gt;0,AI376+1,0),0)</f>
        <v>0</v>
      </c>
      <c r="AK376" s="169">
        <f>IF(AK$2&lt;=AnalysisPeriod,IF(SUM($C660:AK660)&gt;0,AJ376+1,0),0)</f>
        <v>0</v>
      </c>
      <c r="AL376" s="169">
        <f>IF(AL$2&lt;=AnalysisPeriod,IF(SUM($C660:AL660)&gt;0,AK376+1,0),0)</f>
        <v>0</v>
      </c>
      <c r="AM376" s="169">
        <f>IF(AM$2&lt;=AnalysisPeriod,IF(SUM($C660:AM660)&gt;0,AL376+1,0),0)</f>
        <v>0</v>
      </c>
      <c r="AN376" s="169">
        <f>IF(AN$2&lt;=AnalysisPeriod,IF(SUM($C660:AN660)&gt;0,AM376+1,0),0)</f>
        <v>0</v>
      </c>
      <c r="AO376" s="169">
        <f>IF(AO$2&lt;=AnalysisPeriod,IF(SUM($C660:AO660)&gt;0,AN376+1,0),0)</f>
        <v>0</v>
      </c>
      <c r="AP376" s="169">
        <f>IF(AP$2&lt;=AnalysisPeriod,IF(SUM($C660:AP660)&gt;0,AO376+1,0),0)</f>
        <v>0</v>
      </c>
    </row>
    <row r="377" spans="1:42" x14ac:dyDescent="0.2">
      <c r="A377" s="20">
        <f t="shared" si="216"/>
        <v>6</v>
      </c>
      <c r="C377" s="169">
        <f>IF(C$2&lt;=AnalysisPeriod,IF(SUM($C661:C661)&gt;0,B377+1,0),0)</f>
        <v>0</v>
      </c>
      <c r="D377" s="169">
        <f>IF(D$2&lt;=AnalysisPeriod,IF(SUM($C661:D661)&gt;0,C377+1,0),0)</f>
        <v>0</v>
      </c>
      <c r="E377" s="169">
        <f>IF(E$2&lt;=AnalysisPeriod,IF(SUM($C661:E661)&gt;0,D377+1,0),0)</f>
        <v>0</v>
      </c>
      <c r="F377" s="169">
        <f>IF(F$2&lt;=AnalysisPeriod,IF(SUM($C661:F661)&gt;0,E377+1,0),0)</f>
        <v>0</v>
      </c>
      <c r="G377" s="169">
        <f>IF(G$2&lt;=AnalysisPeriod,IF(SUM($C661:G661)&gt;0,F377+1,0),0)</f>
        <v>0</v>
      </c>
      <c r="H377" s="169">
        <f>IF(H$2&lt;=AnalysisPeriod,IF(SUM($C661:H661)&gt;0,G377+1,0),0)</f>
        <v>0</v>
      </c>
      <c r="I377" s="169">
        <f>IF(I$2&lt;=AnalysisPeriod,IF(SUM($C661:I661)&gt;0,H377+1,0),0)</f>
        <v>0</v>
      </c>
      <c r="J377" s="169">
        <f>IF(J$2&lt;=AnalysisPeriod,IF(SUM($C661:J661)&gt;0,I377+1,0),0)</f>
        <v>0</v>
      </c>
      <c r="K377" s="169">
        <f>IF(K$2&lt;=AnalysisPeriod,IF(SUM($C661:K661)&gt;0,J377+1,0),0)</f>
        <v>0</v>
      </c>
      <c r="L377" s="169">
        <f>IF(L$2&lt;=AnalysisPeriod,IF(SUM($C661:L661)&gt;0,K377+1,0),0)</f>
        <v>0</v>
      </c>
      <c r="M377" s="169">
        <f>IF(M$2&lt;=AnalysisPeriod,IF(SUM($C661:M661)&gt;0,L377+1,0),0)</f>
        <v>0</v>
      </c>
      <c r="N377" s="169">
        <f>IF(N$2&lt;=AnalysisPeriod,IF(SUM($C661:N661)&gt;0,M377+1,0),0)</f>
        <v>0</v>
      </c>
      <c r="O377" s="169">
        <f>IF(O$2&lt;=AnalysisPeriod,IF(SUM($C661:O661)&gt;0,N377+1,0),0)</f>
        <v>0</v>
      </c>
      <c r="P377" s="169">
        <f>IF(P$2&lt;=AnalysisPeriod,IF(SUM($C661:P661)&gt;0,O377+1,0),0)</f>
        <v>0</v>
      </c>
      <c r="Q377" s="169">
        <f>IF(Q$2&lt;=AnalysisPeriod,IF(SUM($C661:Q661)&gt;0,P377+1,0),0)</f>
        <v>0</v>
      </c>
      <c r="R377" s="169">
        <f>IF(R$2&lt;=AnalysisPeriod,IF(SUM($C661:R661)&gt;0,Q377+1,0),0)</f>
        <v>0</v>
      </c>
      <c r="S377" s="169">
        <f>IF(S$2&lt;=AnalysisPeriod,IF(SUM($C661:S661)&gt;0,R377+1,0),0)</f>
        <v>0</v>
      </c>
      <c r="T377" s="169">
        <f>IF(T$2&lt;=AnalysisPeriod,IF(SUM($C661:T661)&gt;0,S377+1,0),0)</f>
        <v>0</v>
      </c>
      <c r="U377" s="169">
        <f>IF(U$2&lt;=AnalysisPeriod,IF(SUM($C661:U661)&gt;0,T377+1,0),0)</f>
        <v>0</v>
      </c>
      <c r="V377" s="169">
        <f>IF(V$2&lt;=AnalysisPeriod,IF(SUM($C661:V661)&gt;0,U377+1,0),0)</f>
        <v>0</v>
      </c>
      <c r="W377" s="169">
        <f>IF(W$2&lt;=AnalysisPeriod,IF(SUM($C661:W661)&gt;0,V377+1,0),0)</f>
        <v>0</v>
      </c>
      <c r="X377" s="169">
        <f>IF(X$2&lt;=AnalysisPeriod,IF(SUM($C661:X661)&gt;0,W377+1,0),0)</f>
        <v>0</v>
      </c>
      <c r="Y377" s="169">
        <f>IF(Y$2&lt;=AnalysisPeriod,IF(SUM($C661:Y661)&gt;0,X377+1,0),0)</f>
        <v>0</v>
      </c>
      <c r="Z377" s="169">
        <f>IF(Z$2&lt;=AnalysisPeriod,IF(SUM($C661:Z661)&gt;0,Y377+1,0),0)</f>
        <v>0</v>
      </c>
      <c r="AA377" s="169">
        <f>IF(AA$2&lt;=AnalysisPeriod,IF(SUM($C661:AA661)&gt;0,Z377+1,0),0)</f>
        <v>0</v>
      </c>
      <c r="AB377" s="169">
        <f>IF(AB$2&lt;=AnalysisPeriod,IF(SUM($C661:AB661)&gt;0,AA377+1,0),0)</f>
        <v>0</v>
      </c>
      <c r="AC377" s="169">
        <f>IF(AC$2&lt;=AnalysisPeriod,IF(SUM($C661:AC661)&gt;0,AB377+1,0),0)</f>
        <v>0</v>
      </c>
      <c r="AD377" s="169">
        <f>IF(AD$2&lt;=AnalysisPeriod,IF(SUM($C661:AD661)&gt;0,AC377+1,0),0)</f>
        <v>0</v>
      </c>
      <c r="AE377" s="169">
        <f>IF(AE$2&lt;=AnalysisPeriod,IF(SUM($C661:AE661)&gt;0,AD377+1,0),0)</f>
        <v>0</v>
      </c>
      <c r="AF377" s="169">
        <f>IF(AF$2&lt;=AnalysisPeriod,IF(SUM($C661:AF661)&gt;0,AE377+1,0),0)</f>
        <v>0</v>
      </c>
      <c r="AG377" s="169">
        <f>IF(AG$2&lt;=AnalysisPeriod,IF(SUM($C661:AG661)&gt;0,AF377+1,0),0)</f>
        <v>0</v>
      </c>
      <c r="AH377" s="169">
        <f>IF(AH$2&lt;=AnalysisPeriod,IF(SUM($C661:AH661)&gt;0,AG377+1,0),0)</f>
        <v>0</v>
      </c>
      <c r="AI377" s="169">
        <f>IF(AI$2&lt;=AnalysisPeriod,IF(SUM($C661:AI661)&gt;0,AH377+1,0),0)</f>
        <v>0</v>
      </c>
      <c r="AJ377" s="169">
        <f>IF(AJ$2&lt;=AnalysisPeriod,IF(SUM($C661:AJ661)&gt;0,AI377+1,0),0)</f>
        <v>0</v>
      </c>
      <c r="AK377" s="169">
        <f>IF(AK$2&lt;=AnalysisPeriod,IF(SUM($C661:AK661)&gt;0,AJ377+1,0),0)</f>
        <v>0</v>
      </c>
      <c r="AL377" s="169">
        <f>IF(AL$2&lt;=AnalysisPeriod,IF(SUM($C661:AL661)&gt;0,AK377+1,0),0)</f>
        <v>0</v>
      </c>
      <c r="AM377" s="169">
        <f>IF(AM$2&lt;=AnalysisPeriod,IF(SUM($C661:AM661)&gt;0,AL377+1,0),0)</f>
        <v>0</v>
      </c>
      <c r="AN377" s="169">
        <f>IF(AN$2&lt;=AnalysisPeriod,IF(SUM($C661:AN661)&gt;0,AM377+1,0),0)</f>
        <v>0</v>
      </c>
      <c r="AO377" s="169">
        <f>IF(AO$2&lt;=AnalysisPeriod,IF(SUM($C661:AO661)&gt;0,AN377+1,0),0)</f>
        <v>0</v>
      </c>
      <c r="AP377" s="169">
        <f>IF(AP$2&lt;=AnalysisPeriod,IF(SUM($C661:AP661)&gt;0,AO377+1,0),0)</f>
        <v>0</v>
      </c>
    </row>
    <row r="378" spans="1:42" x14ac:dyDescent="0.2">
      <c r="A378" s="20">
        <f t="shared" si="216"/>
        <v>7</v>
      </c>
      <c r="C378" s="169">
        <f>IF(C$2&lt;=AnalysisPeriod,IF(SUM($C662:C662)&gt;0,B378+1,0),0)</f>
        <v>0</v>
      </c>
      <c r="D378" s="169">
        <f>IF(D$2&lt;=AnalysisPeriod,IF(SUM($C662:D662)&gt;0,C378+1,0),0)</f>
        <v>0</v>
      </c>
      <c r="E378" s="169">
        <f>IF(E$2&lt;=AnalysisPeriod,IF(SUM($C662:E662)&gt;0,D378+1,0),0)</f>
        <v>0</v>
      </c>
      <c r="F378" s="169">
        <f>IF(F$2&lt;=AnalysisPeriod,IF(SUM($C662:F662)&gt;0,E378+1,0),0)</f>
        <v>0</v>
      </c>
      <c r="G378" s="169">
        <f>IF(G$2&lt;=AnalysisPeriod,IF(SUM($C662:G662)&gt;0,F378+1,0),0)</f>
        <v>0</v>
      </c>
      <c r="H378" s="169">
        <f>IF(H$2&lt;=AnalysisPeriod,IF(SUM($C662:H662)&gt;0,G378+1,0),0)</f>
        <v>0</v>
      </c>
      <c r="I378" s="169">
        <f>IF(I$2&lt;=AnalysisPeriod,IF(SUM($C662:I662)&gt;0,H378+1,0),0)</f>
        <v>0</v>
      </c>
      <c r="J378" s="169">
        <f>IF(J$2&lt;=AnalysisPeriod,IF(SUM($C662:J662)&gt;0,I378+1,0),0)</f>
        <v>0</v>
      </c>
      <c r="K378" s="169">
        <f>IF(K$2&lt;=AnalysisPeriod,IF(SUM($C662:K662)&gt;0,J378+1,0),0)</f>
        <v>0</v>
      </c>
      <c r="L378" s="169">
        <f>IF(L$2&lt;=AnalysisPeriod,IF(SUM($C662:L662)&gt;0,K378+1,0),0)</f>
        <v>0</v>
      </c>
      <c r="M378" s="169">
        <f>IF(M$2&lt;=AnalysisPeriod,IF(SUM($C662:M662)&gt;0,L378+1,0),0)</f>
        <v>0</v>
      </c>
      <c r="N378" s="169">
        <f>IF(N$2&lt;=AnalysisPeriod,IF(SUM($C662:N662)&gt;0,M378+1,0),0)</f>
        <v>0</v>
      </c>
      <c r="O378" s="169">
        <f>IF(O$2&lt;=AnalysisPeriod,IF(SUM($C662:O662)&gt;0,N378+1,0),0)</f>
        <v>0</v>
      </c>
      <c r="P378" s="169">
        <f>IF(P$2&lt;=AnalysisPeriod,IF(SUM($C662:P662)&gt;0,O378+1,0),0)</f>
        <v>0</v>
      </c>
      <c r="Q378" s="169">
        <f>IF(Q$2&lt;=AnalysisPeriod,IF(SUM($C662:Q662)&gt;0,P378+1,0),0)</f>
        <v>0</v>
      </c>
      <c r="R378" s="169">
        <f>IF(R$2&lt;=AnalysisPeriod,IF(SUM($C662:R662)&gt;0,Q378+1,0),0)</f>
        <v>0</v>
      </c>
      <c r="S378" s="169">
        <f>IF(S$2&lt;=AnalysisPeriod,IF(SUM($C662:S662)&gt;0,R378+1,0),0)</f>
        <v>0</v>
      </c>
      <c r="T378" s="169">
        <f>IF(T$2&lt;=AnalysisPeriod,IF(SUM($C662:T662)&gt;0,S378+1,0),0)</f>
        <v>0</v>
      </c>
      <c r="U378" s="169">
        <f>IF(U$2&lt;=AnalysisPeriod,IF(SUM($C662:U662)&gt;0,T378+1,0),0)</f>
        <v>0</v>
      </c>
      <c r="V378" s="169">
        <f>IF(V$2&lt;=AnalysisPeriod,IF(SUM($C662:V662)&gt;0,U378+1,0),0)</f>
        <v>0</v>
      </c>
      <c r="W378" s="169">
        <f>IF(W$2&lt;=AnalysisPeriod,IF(SUM($C662:W662)&gt;0,V378+1,0),0)</f>
        <v>0</v>
      </c>
      <c r="X378" s="169">
        <f>IF(X$2&lt;=AnalysisPeriod,IF(SUM($C662:X662)&gt;0,W378+1,0),0)</f>
        <v>0</v>
      </c>
      <c r="Y378" s="169">
        <f>IF(Y$2&lt;=AnalysisPeriod,IF(SUM($C662:Y662)&gt;0,X378+1,0),0)</f>
        <v>0</v>
      </c>
      <c r="Z378" s="169">
        <f>IF(Z$2&lt;=AnalysisPeriod,IF(SUM($C662:Z662)&gt;0,Y378+1,0),0)</f>
        <v>0</v>
      </c>
      <c r="AA378" s="169">
        <f>IF(AA$2&lt;=AnalysisPeriod,IF(SUM($C662:AA662)&gt;0,Z378+1,0),0)</f>
        <v>0</v>
      </c>
      <c r="AB378" s="169">
        <f>IF(AB$2&lt;=AnalysisPeriod,IF(SUM($C662:AB662)&gt;0,AA378+1,0),0)</f>
        <v>0</v>
      </c>
      <c r="AC378" s="169">
        <f>IF(AC$2&lt;=AnalysisPeriod,IF(SUM($C662:AC662)&gt;0,AB378+1,0),0)</f>
        <v>0</v>
      </c>
      <c r="AD378" s="169">
        <f>IF(AD$2&lt;=AnalysisPeriod,IF(SUM($C662:AD662)&gt;0,AC378+1,0),0)</f>
        <v>0</v>
      </c>
      <c r="AE378" s="169">
        <f>IF(AE$2&lt;=AnalysisPeriod,IF(SUM($C662:AE662)&gt;0,AD378+1,0),0)</f>
        <v>0</v>
      </c>
      <c r="AF378" s="169">
        <f>IF(AF$2&lt;=AnalysisPeriod,IF(SUM($C662:AF662)&gt;0,AE378+1,0),0)</f>
        <v>0</v>
      </c>
      <c r="AG378" s="169">
        <f>IF(AG$2&lt;=AnalysisPeriod,IF(SUM($C662:AG662)&gt;0,AF378+1,0),0)</f>
        <v>0</v>
      </c>
      <c r="AH378" s="169">
        <f>IF(AH$2&lt;=AnalysisPeriod,IF(SUM($C662:AH662)&gt;0,AG378+1,0),0)</f>
        <v>0</v>
      </c>
      <c r="AI378" s="169">
        <f>IF(AI$2&lt;=AnalysisPeriod,IF(SUM($C662:AI662)&gt;0,AH378+1,0),0)</f>
        <v>0</v>
      </c>
      <c r="AJ378" s="169">
        <f>IF(AJ$2&lt;=AnalysisPeriod,IF(SUM($C662:AJ662)&gt;0,AI378+1,0),0)</f>
        <v>0</v>
      </c>
      <c r="AK378" s="169">
        <f>IF(AK$2&lt;=AnalysisPeriod,IF(SUM($C662:AK662)&gt;0,AJ378+1,0),0)</f>
        <v>0</v>
      </c>
      <c r="AL378" s="169">
        <f>IF(AL$2&lt;=AnalysisPeriod,IF(SUM($C662:AL662)&gt;0,AK378+1,0),0)</f>
        <v>0</v>
      </c>
      <c r="AM378" s="169">
        <f>IF(AM$2&lt;=AnalysisPeriod,IF(SUM($C662:AM662)&gt;0,AL378+1,0),0)</f>
        <v>0</v>
      </c>
      <c r="AN378" s="169">
        <f>IF(AN$2&lt;=AnalysisPeriod,IF(SUM($C662:AN662)&gt;0,AM378+1,0),0)</f>
        <v>0</v>
      </c>
      <c r="AO378" s="169">
        <f>IF(AO$2&lt;=AnalysisPeriod,IF(SUM($C662:AO662)&gt;0,AN378+1,0),0)</f>
        <v>0</v>
      </c>
      <c r="AP378" s="169">
        <f>IF(AP$2&lt;=AnalysisPeriod,IF(SUM($C662:AP662)&gt;0,AO378+1,0),0)</f>
        <v>0</v>
      </c>
    </row>
    <row r="379" spans="1:42" x14ac:dyDescent="0.2">
      <c r="A379" s="20">
        <f t="shared" si="216"/>
        <v>8</v>
      </c>
      <c r="C379" s="169">
        <f>IF(C$2&lt;=AnalysisPeriod,IF(SUM($C663:C663)&gt;0,B379+1,0),0)</f>
        <v>0</v>
      </c>
      <c r="D379" s="169">
        <f>IF(D$2&lt;=AnalysisPeriod,IF(SUM($C663:D663)&gt;0,C379+1,0),0)</f>
        <v>0</v>
      </c>
      <c r="E379" s="169">
        <f>IF(E$2&lt;=AnalysisPeriod,IF(SUM($C663:E663)&gt;0,D379+1,0),0)</f>
        <v>0</v>
      </c>
      <c r="F379" s="169">
        <f>IF(F$2&lt;=AnalysisPeriod,IF(SUM($C663:F663)&gt;0,E379+1,0),0)</f>
        <v>0</v>
      </c>
      <c r="G379" s="169">
        <f>IF(G$2&lt;=AnalysisPeriod,IF(SUM($C663:G663)&gt;0,F379+1,0),0)</f>
        <v>0</v>
      </c>
      <c r="H379" s="169">
        <f>IF(H$2&lt;=AnalysisPeriod,IF(SUM($C663:H663)&gt;0,G379+1,0),0)</f>
        <v>0</v>
      </c>
      <c r="I379" s="169">
        <f>IF(I$2&lt;=AnalysisPeriod,IF(SUM($C663:I663)&gt;0,H379+1,0),0)</f>
        <v>0</v>
      </c>
      <c r="J379" s="169">
        <f>IF(J$2&lt;=AnalysisPeriod,IF(SUM($C663:J663)&gt;0,I379+1,0),0)</f>
        <v>0</v>
      </c>
      <c r="K379" s="169">
        <f>IF(K$2&lt;=AnalysisPeriod,IF(SUM($C663:K663)&gt;0,J379+1,0),0)</f>
        <v>0</v>
      </c>
      <c r="L379" s="169">
        <f>IF(L$2&lt;=AnalysisPeriod,IF(SUM($C663:L663)&gt;0,K379+1,0),0)</f>
        <v>0</v>
      </c>
      <c r="M379" s="169">
        <f>IF(M$2&lt;=AnalysisPeriod,IF(SUM($C663:M663)&gt;0,L379+1,0),0)</f>
        <v>0</v>
      </c>
      <c r="N379" s="169">
        <f>IF(N$2&lt;=AnalysisPeriod,IF(SUM($C663:N663)&gt;0,M379+1,0),0)</f>
        <v>0</v>
      </c>
      <c r="O379" s="169">
        <f>IF(O$2&lt;=AnalysisPeriod,IF(SUM($C663:O663)&gt;0,N379+1,0),0)</f>
        <v>0</v>
      </c>
      <c r="P379" s="169">
        <f>IF(P$2&lt;=AnalysisPeriod,IF(SUM($C663:P663)&gt;0,O379+1,0),0)</f>
        <v>0</v>
      </c>
      <c r="Q379" s="169">
        <f>IF(Q$2&lt;=AnalysisPeriod,IF(SUM($C663:Q663)&gt;0,P379+1,0),0)</f>
        <v>0</v>
      </c>
      <c r="R379" s="169">
        <f>IF(R$2&lt;=AnalysisPeriod,IF(SUM($C663:R663)&gt;0,Q379+1,0),0)</f>
        <v>0</v>
      </c>
      <c r="S379" s="169">
        <f>IF(S$2&lt;=AnalysisPeriod,IF(SUM($C663:S663)&gt;0,R379+1,0),0)</f>
        <v>0</v>
      </c>
      <c r="T379" s="169">
        <f>IF(T$2&lt;=AnalysisPeriod,IF(SUM($C663:T663)&gt;0,S379+1,0),0)</f>
        <v>0</v>
      </c>
      <c r="U379" s="169">
        <f>IF(U$2&lt;=AnalysisPeriod,IF(SUM($C663:U663)&gt;0,T379+1,0),0)</f>
        <v>0</v>
      </c>
      <c r="V379" s="169">
        <f>IF(V$2&lt;=AnalysisPeriod,IF(SUM($C663:V663)&gt;0,U379+1,0),0)</f>
        <v>0</v>
      </c>
      <c r="W379" s="169">
        <f>IF(W$2&lt;=AnalysisPeriod,IF(SUM($C663:W663)&gt;0,V379+1,0),0)</f>
        <v>0</v>
      </c>
      <c r="X379" s="169">
        <f>IF(X$2&lt;=AnalysisPeriod,IF(SUM($C663:X663)&gt;0,W379+1,0),0)</f>
        <v>0</v>
      </c>
      <c r="Y379" s="169">
        <f>IF(Y$2&lt;=AnalysisPeriod,IF(SUM($C663:Y663)&gt;0,X379+1,0),0)</f>
        <v>0</v>
      </c>
      <c r="Z379" s="169">
        <f>IF(Z$2&lt;=AnalysisPeriod,IF(SUM($C663:Z663)&gt;0,Y379+1,0),0)</f>
        <v>0</v>
      </c>
      <c r="AA379" s="169">
        <f>IF(AA$2&lt;=AnalysisPeriod,IF(SUM($C663:AA663)&gt;0,Z379+1,0),0)</f>
        <v>0</v>
      </c>
      <c r="AB379" s="169">
        <f>IF(AB$2&lt;=AnalysisPeriod,IF(SUM($C663:AB663)&gt;0,AA379+1,0),0)</f>
        <v>0</v>
      </c>
      <c r="AC379" s="169">
        <f>IF(AC$2&lt;=AnalysisPeriod,IF(SUM($C663:AC663)&gt;0,AB379+1,0),0)</f>
        <v>0</v>
      </c>
      <c r="AD379" s="169">
        <f>IF(AD$2&lt;=AnalysisPeriod,IF(SUM($C663:AD663)&gt;0,AC379+1,0),0)</f>
        <v>0</v>
      </c>
      <c r="AE379" s="169">
        <f>IF(AE$2&lt;=AnalysisPeriod,IF(SUM($C663:AE663)&gt;0,AD379+1,0),0)</f>
        <v>0</v>
      </c>
      <c r="AF379" s="169">
        <f>IF(AF$2&lt;=AnalysisPeriod,IF(SUM($C663:AF663)&gt;0,AE379+1,0),0)</f>
        <v>0</v>
      </c>
      <c r="AG379" s="169">
        <f>IF(AG$2&lt;=AnalysisPeriod,IF(SUM($C663:AG663)&gt;0,AF379+1,0),0)</f>
        <v>0</v>
      </c>
      <c r="AH379" s="169">
        <f>IF(AH$2&lt;=AnalysisPeriod,IF(SUM($C663:AH663)&gt;0,AG379+1,0),0)</f>
        <v>0</v>
      </c>
      <c r="AI379" s="169">
        <f>IF(AI$2&lt;=AnalysisPeriod,IF(SUM($C663:AI663)&gt;0,AH379+1,0),0)</f>
        <v>0</v>
      </c>
      <c r="AJ379" s="169">
        <f>IF(AJ$2&lt;=AnalysisPeriod,IF(SUM($C663:AJ663)&gt;0,AI379+1,0),0)</f>
        <v>0</v>
      </c>
      <c r="AK379" s="169">
        <f>IF(AK$2&lt;=AnalysisPeriod,IF(SUM($C663:AK663)&gt;0,AJ379+1,0),0)</f>
        <v>0</v>
      </c>
      <c r="AL379" s="169">
        <f>IF(AL$2&lt;=AnalysisPeriod,IF(SUM($C663:AL663)&gt;0,AK379+1,0),0)</f>
        <v>0</v>
      </c>
      <c r="AM379" s="169">
        <f>IF(AM$2&lt;=AnalysisPeriod,IF(SUM($C663:AM663)&gt;0,AL379+1,0),0)</f>
        <v>0</v>
      </c>
      <c r="AN379" s="169">
        <f>IF(AN$2&lt;=AnalysisPeriod,IF(SUM($C663:AN663)&gt;0,AM379+1,0),0)</f>
        <v>0</v>
      </c>
      <c r="AO379" s="169">
        <f>IF(AO$2&lt;=AnalysisPeriod,IF(SUM($C663:AO663)&gt;0,AN379+1,0),0)</f>
        <v>0</v>
      </c>
      <c r="AP379" s="169">
        <f>IF(AP$2&lt;=AnalysisPeriod,IF(SUM($C663:AP663)&gt;0,AO379+1,0),0)</f>
        <v>0</v>
      </c>
    </row>
    <row r="380" spans="1:42" x14ac:dyDescent="0.2">
      <c r="A380" s="20">
        <f>A379+1</f>
        <v>9</v>
      </c>
      <c r="C380" s="169">
        <f>IF(C$2&lt;=AnalysisPeriod,IF(SUM($C664:C664)&gt;0,B380+1,0),0)</f>
        <v>0</v>
      </c>
      <c r="D380" s="169">
        <f>IF(D$2&lt;=AnalysisPeriod,IF(SUM($C664:D664)&gt;0,C380+1,0),0)</f>
        <v>0</v>
      </c>
      <c r="E380" s="169">
        <f>IF(E$2&lt;=AnalysisPeriod,IF(SUM($C664:E664)&gt;0,D380+1,0),0)</f>
        <v>0</v>
      </c>
      <c r="F380" s="169">
        <f>IF(F$2&lt;=AnalysisPeriod,IF(SUM($C664:F664)&gt;0,E380+1,0),0)</f>
        <v>0</v>
      </c>
      <c r="G380" s="169">
        <f>IF(G$2&lt;=AnalysisPeriod,IF(SUM($C664:G664)&gt;0,F380+1,0),0)</f>
        <v>0</v>
      </c>
      <c r="H380" s="169">
        <f>IF(H$2&lt;=AnalysisPeriod,IF(SUM($C664:H664)&gt;0,G380+1,0),0)</f>
        <v>0</v>
      </c>
      <c r="I380" s="169">
        <f>IF(I$2&lt;=AnalysisPeriod,IF(SUM($C664:I664)&gt;0,H380+1,0),0)</f>
        <v>0</v>
      </c>
      <c r="J380" s="169">
        <f>IF(J$2&lt;=AnalysisPeriod,IF(SUM($C664:J664)&gt;0,I380+1,0),0)</f>
        <v>0</v>
      </c>
      <c r="K380" s="169">
        <f>IF(K$2&lt;=AnalysisPeriod,IF(SUM($C664:K664)&gt;0,J380+1,0),0)</f>
        <v>0</v>
      </c>
      <c r="L380" s="169">
        <f>IF(L$2&lt;=AnalysisPeriod,IF(SUM($C664:L664)&gt;0,K380+1,0),0)</f>
        <v>0</v>
      </c>
      <c r="M380" s="169">
        <f>IF(M$2&lt;=AnalysisPeriod,IF(SUM($C664:M664)&gt;0,L380+1,0),0)</f>
        <v>0</v>
      </c>
      <c r="N380" s="169">
        <f>IF(N$2&lt;=AnalysisPeriod,IF(SUM($C664:N664)&gt;0,M380+1,0),0)</f>
        <v>0</v>
      </c>
      <c r="O380" s="169">
        <f>IF(O$2&lt;=AnalysisPeriod,IF(SUM($C664:O664)&gt;0,N380+1,0),0)</f>
        <v>0</v>
      </c>
      <c r="P380" s="169">
        <f>IF(P$2&lt;=AnalysisPeriod,IF(SUM($C664:P664)&gt;0,O380+1,0),0)</f>
        <v>0</v>
      </c>
      <c r="Q380" s="169">
        <f>IF(Q$2&lt;=AnalysisPeriod,IF(SUM($C664:Q664)&gt;0,P380+1,0),0)</f>
        <v>0</v>
      </c>
      <c r="R380" s="169">
        <f>IF(R$2&lt;=AnalysisPeriod,IF(SUM($C664:R664)&gt;0,Q380+1,0),0)</f>
        <v>0</v>
      </c>
      <c r="S380" s="169">
        <f>IF(S$2&lt;=AnalysisPeriod,IF(SUM($C664:S664)&gt;0,R380+1,0),0)</f>
        <v>0</v>
      </c>
      <c r="T380" s="169">
        <f>IF(T$2&lt;=AnalysisPeriod,IF(SUM($C664:T664)&gt;0,S380+1,0),0)</f>
        <v>0</v>
      </c>
      <c r="U380" s="169">
        <f>IF(U$2&lt;=AnalysisPeriod,IF(SUM($C664:U664)&gt;0,T380+1,0),0)</f>
        <v>0</v>
      </c>
      <c r="V380" s="169">
        <f>IF(V$2&lt;=AnalysisPeriod,IF(SUM($C664:V664)&gt;0,U380+1,0),0)</f>
        <v>0</v>
      </c>
      <c r="W380" s="169">
        <f>IF(W$2&lt;=AnalysisPeriod,IF(SUM($C664:W664)&gt;0,V380+1,0),0)</f>
        <v>0</v>
      </c>
      <c r="X380" s="169">
        <f>IF(X$2&lt;=AnalysisPeriod,IF(SUM($C664:X664)&gt;0,W380+1,0),0)</f>
        <v>0</v>
      </c>
      <c r="Y380" s="169">
        <f>IF(Y$2&lt;=AnalysisPeriod,IF(SUM($C664:Y664)&gt;0,X380+1,0),0)</f>
        <v>0</v>
      </c>
      <c r="Z380" s="169">
        <f>IF(Z$2&lt;=AnalysisPeriod,IF(SUM($C664:Z664)&gt;0,Y380+1,0),0)</f>
        <v>0</v>
      </c>
      <c r="AA380" s="169">
        <f>IF(AA$2&lt;=AnalysisPeriod,IF(SUM($C664:AA664)&gt;0,Z380+1,0),0)</f>
        <v>0</v>
      </c>
      <c r="AB380" s="169">
        <f>IF(AB$2&lt;=AnalysisPeriod,IF(SUM($C664:AB664)&gt;0,AA380+1,0),0)</f>
        <v>0</v>
      </c>
      <c r="AC380" s="169">
        <f>IF(AC$2&lt;=AnalysisPeriod,IF(SUM($C664:AC664)&gt;0,AB380+1,0),0)</f>
        <v>0</v>
      </c>
      <c r="AD380" s="169">
        <f>IF(AD$2&lt;=AnalysisPeriod,IF(SUM($C664:AD664)&gt;0,AC380+1,0),0)</f>
        <v>0</v>
      </c>
      <c r="AE380" s="169">
        <f>IF(AE$2&lt;=AnalysisPeriod,IF(SUM($C664:AE664)&gt;0,AD380+1,0),0)</f>
        <v>0</v>
      </c>
      <c r="AF380" s="169">
        <f>IF(AF$2&lt;=AnalysisPeriod,IF(SUM($C664:AF664)&gt;0,AE380+1,0),0)</f>
        <v>0</v>
      </c>
      <c r="AG380" s="169">
        <f>IF(AG$2&lt;=AnalysisPeriod,IF(SUM($C664:AG664)&gt;0,AF380+1,0),0)</f>
        <v>0</v>
      </c>
      <c r="AH380" s="169">
        <f>IF(AH$2&lt;=AnalysisPeriod,IF(SUM($C664:AH664)&gt;0,AG380+1,0),0)</f>
        <v>0</v>
      </c>
      <c r="AI380" s="169">
        <f>IF(AI$2&lt;=AnalysisPeriod,IF(SUM($C664:AI664)&gt;0,AH380+1,0),0)</f>
        <v>0</v>
      </c>
      <c r="AJ380" s="169">
        <f>IF(AJ$2&lt;=AnalysisPeriod,IF(SUM($C664:AJ664)&gt;0,AI380+1,0),0)</f>
        <v>0</v>
      </c>
      <c r="AK380" s="169">
        <f>IF(AK$2&lt;=AnalysisPeriod,IF(SUM($C664:AK664)&gt;0,AJ380+1,0),0)</f>
        <v>0</v>
      </c>
      <c r="AL380" s="169">
        <f>IF(AL$2&lt;=AnalysisPeriod,IF(SUM($C664:AL664)&gt;0,AK380+1,0),0)</f>
        <v>0</v>
      </c>
      <c r="AM380" s="169">
        <f>IF(AM$2&lt;=AnalysisPeriod,IF(SUM($C664:AM664)&gt;0,AL380+1,0),0)</f>
        <v>0</v>
      </c>
      <c r="AN380" s="169">
        <f>IF(AN$2&lt;=AnalysisPeriod,IF(SUM($C664:AN664)&gt;0,AM380+1,0),0)</f>
        <v>0</v>
      </c>
      <c r="AO380" s="169">
        <f>IF(AO$2&lt;=AnalysisPeriod,IF(SUM($C664:AO664)&gt;0,AN380+1,0),0)</f>
        <v>0</v>
      </c>
      <c r="AP380" s="169">
        <f>IF(AP$2&lt;=AnalysisPeriod,IF(SUM($C664:AP664)&gt;0,AO380+1,0),0)</f>
        <v>0</v>
      </c>
    </row>
    <row r="381" spans="1:42" x14ac:dyDescent="0.2">
      <c r="A381" s="20">
        <f t="shared" si="216"/>
        <v>10</v>
      </c>
      <c r="C381" s="169">
        <f>IF(C$2&lt;=AnalysisPeriod,IF(SUM($C665:C665)&gt;0,B381+1,0),0)</f>
        <v>0</v>
      </c>
      <c r="D381" s="169">
        <f>IF(D$2&lt;=AnalysisPeriod,IF(SUM($C665:D665)&gt;0,C381+1,0),0)</f>
        <v>0</v>
      </c>
      <c r="E381" s="169">
        <f>IF(E$2&lt;=AnalysisPeriod,IF(SUM($C665:E665)&gt;0,D381+1,0),0)</f>
        <v>0</v>
      </c>
      <c r="F381" s="169">
        <f>IF(F$2&lt;=AnalysisPeriod,IF(SUM($C665:F665)&gt;0,E381+1,0),0)</f>
        <v>0</v>
      </c>
      <c r="G381" s="169">
        <f>IF(G$2&lt;=AnalysisPeriod,IF(SUM($C665:G665)&gt;0,F381+1,0),0)</f>
        <v>0</v>
      </c>
      <c r="H381" s="169">
        <f>IF(H$2&lt;=AnalysisPeriod,IF(SUM($C665:H665)&gt;0,G381+1,0),0)</f>
        <v>0</v>
      </c>
      <c r="I381" s="169">
        <f>IF(I$2&lt;=AnalysisPeriod,IF(SUM($C665:I665)&gt;0,H381+1,0),0)</f>
        <v>0</v>
      </c>
      <c r="J381" s="169">
        <f>IF(J$2&lt;=AnalysisPeriod,IF(SUM($C665:J665)&gt;0,I381+1,0),0)</f>
        <v>0</v>
      </c>
      <c r="K381" s="169">
        <f>IF(K$2&lt;=AnalysisPeriod,IF(SUM($C665:K665)&gt;0,J381+1,0),0)</f>
        <v>0</v>
      </c>
      <c r="L381" s="169">
        <f>IF(L$2&lt;=AnalysisPeriod,IF(SUM($C665:L665)&gt;0,K381+1,0),0)</f>
        <v>0</v>
      </c>
      <c r="M381" s="169">
        <f>IF(M$2&lt;=AnalysisPeriod,IF(SUM($C665:M665)&gt;0,L381+1,0),0)</f>
        <v>0</v>
      </c>
      <c r="N381" s="169">
        <f>IF(N$2&lt;=AnalysisPeriod,IF(SUM($C665:N665)&gt;0,M381+1,0),0)</f>
        <v>0</v>
      </c>
      <c r="O381" s="169">
        <f>IF(O$2&lt;=AnalysisPeriod,IF(SUM($C665:O665)&gt;0,N381+1,0),0)</f>
        <v>0</v>
      </c>
      <c r="P381" s="169">
        <f>IF(P$2&lt;=AnalysisPeriod,IF(SUM($C665:P665)&gt;0,O381+1,0),0)</f>
        <v>0</v>
      </c>
      <c r="Q381" s="169">
        <f>IF(Q$2&lt;=AnalysisPeriod,IF(SUM($C665:Q665)&gt;0,P381+1,0),0)</f>
        <v>0</v>
      </c>
      <c r="R381" s="169">
        <f>IF(R$2&lt;=AnalysisPeriod,IF(SUM($C665:R665)&gt;0,Q381+1,0),0)</f>
        <v>0</v>
      </c>
      <c r="S381" s="169">
        <f>IF(S$2&lt;=AnalysisPeriod,IF(SUM($C665:S665)&gt;0,R381+1,0),0)</f>
        <v>0</v>
      </c>
      <c r="T381" s="169">
        <f>IF(T$2&lt;=AnalysisPeriod,IF(SUM($C665:T665)&gt;0,S381+1,0),0)</f>
        <v>0</v>
      </c>
      <c r="U381" s="169">
        <f>IF(U$2&lt;=AnalysisPeriod,IF(SUM($C665:U665)&gt;0,T381+1,0),0)</f>
        <v>0</v>
      </c>
      <c r="V381" s="169">
        <f>IF(V$2&lt;=AnalysisPeriod,IF(SUM($C665:V665)&gt;0,U381+1,0),0)</f>
        <v>0</v>
      </c>
      <c r="W381" s="169">
        <f>IF(W$2&lt;=AnalysisPeriod,IF(SUM($C665:W665)&gt;0,V381+1,0),0)</f>
        <v>0</v>
      </c>
      <c r="X381" s="169">
        <f>IF(X$2&lt;=AnalysisPeriod,IF(SUM($C665:X665)&gt;0,W381+1,0),0)</f>
        <v>0</v>
      </c>
      <c r="Y381" s="169">
        <f>IF(Y$2&lt;=AnalysisPeriod,IF(SUM($C665:Y665)&gt;0,X381+1,0),0)</f>
        <v>0</v>
      </c>
      <c r="Z381" s="169">
        <f>IF(Z$2&lt;=AnalysisPeriod,IF(SUM($C665:Z665)&gt;0,Y381+1,0),0)</f>
        <v>0</v>
      </c>
      <c r="AA381" s="169">
        <f>IF(AA$2&lt;=AnalysisPeriod,IF(SUM($C665:AA665)&gt;0,Z381+1,0),0)</f>
        <v>0</v>
      </c>
      <c r="AB381" s="169">
        <f>IF(AB$2&lt;=AnalysisPeriod,IF(SUM($C665:AB665)&gt;0,AA381+1,0),0)</f>
        <v>0</v>
      </c>
      <c r="AC381" s="169">
        <f>IF(AC$2&lt;=AnalysisPeriod,IF(SUM($C665:AC665)&gt;0,AB381+1,0),0)</f>
        <v>0</v>
      </c>
      <c r="AD381" s="169">
        <f>IF(AD$2&lt;=AnalysisPeriod,IF(SUM($C665:AD665)&gt;0,AC381+1,0),0)</f>
        <v>0</v>
      </c>
      <c r="AE381" s="169">
        <f>IF(AE$2&lt;=AnalysisPeriod,IF(SUM($C665:AE665)&gt;0,AD381+1,0),0)</f>
        <v>0</v>
      </c>
      <c r="AF381" s="169">
        <f>IF(AF$2&lt;=AnalysisPeriod,IF(SUM($C665:AF665)&gt;0,AE381+1,0),0)</f>
        <v>0</v>
      </c>
      <c r="AG381" s="169">
        <f>IF(AG$2&lt;=AnalysisPeriod,IF(SUM($C665:AG665)&gt;0,AF381+1,0),0)</f>
        <v>0</v>
      </c>
      <c r="AH381" s="169">
        <f>IF(AH$2&lt;=AnalysisPeriod,IF(SUM($C665:AH665)&gt;0,AG381+1,0),0)</f>
        <v>0</v>
      </c>
      <c r="AI381" s="169">
        <f>IF(AI$2&lt;=AnalysisPeriod,IF(SUM($C665:AI665)&gt;0,AH381+1,0),0)</f>
        <v>0</v>
      </c>
      <c r="AJ381" s="169">
        <f>IF(AJ$2&lt;=AnalysisPeriod,IF(SUM($C665:AJ665)&gt;0,AI381+1,0),0)</f>
        <v>0</v>
      </c>
      <c r="AK381" s="169">
        <f>IF(AK$2&lt;=AnalysisPeriod,IF(SUM($C665:AK665)&gt;0,AJ381+1,0),0)</f>
        <v>0</v>
      </c>
      <c r="AL381" s="169">
        <f>IF(AL$2&lt;=AnalysisPeriod,IF(SUM($C665:AL665)&gt;0,AK381+1,0),0)</f>
        <v>0</v>
      </c>
      <c r="AM381" s="169">
        <f>IF(AM$2&lt;=AnalysisPeriod,IF(SUM($C665:AM665)&gt;0,AL381+1,0),0)</f>
        <v>0</v>
      </c>
      <c r="AN381" s="169">
        <f>IF(AN$2&lt;=AnalysisPeriod,IF(SUM($C665:AN665)&gt;0,AM381+1,0),0)</f>
        <v>0</v>
      </c>
      <c r="AO381" s="169">
        <f>IF(AO$2&lt;=AnalysisPeriod,IF(SUM($C665:AO665)&gt;0,AN381+1,0),0)</f>
        <v>0</v>
      </c>
      <c r="AP381" s="169">
        <f>IF(AP$2&lt;=AnalysisPeriod,IF(SUM($C665:AP665)&gt;0,AO381+1,0),0)</f>
        <v>0</v>
      </c>
    </row>
    <row r="382" spans="1:42" x14ac:dyDescent="0.2">
      <c r="A382" s="187" t="s">
        <v>196</v>
      </c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</row>
    <row r="383" spans="1:42" x14ac:dyDescent="0.2">
      <c r="A383" s="20">
        <v>1</v>
      </c>
      <c r="B383" s="179">
        <f t="shared" ref="B383:B392" si="217">SUM(C383:AP383)</f>
        <v>2944872.3435013141</v>
      </c>
      <c r="C383" s="169">
        <f t="shared" ref="C383:AP383" si="218">LOOKUP(C372,$B$367:$AP$367,$B$368:$AP$368)*$B656</f>
        <v>0</v>
      </c>
      <c r="D383" s="169">
        <f t="shared" si="218"/>
        <v>0</v>
      </c>
      <c r="E383" s="169">
        <f t="shared" si="218"/>
        <v>0</v>
      </c>
      <c r="F383" s="169">
        <f t="shared" si="218"/>
        <v>0</v>
      </c>
      <c r="G383" s="169">
        <f t="shared" si="218"/>
        <v>0</v>
      </c>
      <c r="H383" s="169">
        <f t="shared" si="218"/>
        <v>0</v>
      </c>
      <c r="I383" s="169">
        <f t="shared" si="218"/>
        <v>0</v>
      </c>
      <c r="J383" s="169">
        <f t="shared" si="218"/>
        <v>0</v>
      </c>
      <c r="K383" s="169">
        <f t="shared" si="218"/>
        <v>0</v>
      </c>
      <c r="L383" s="169">
        <f t="shared" si="218"/>
        <v>0</v>
      </c>
      <c r="M383" s="169">
        <f t="shared" si="218"/>
        <v>0</v>
      </c>
      <c r="N383" s="169">
        <f t="shared" si="218"/>
        <v>588974.46870026283</v>
      </c>
      <c r="O383" s="169">
        <f t="shared" si="218"/>
        <v>942359.14992042049</v>
      </c>
      <c r="P383" s="169">
        <f t="shared" si="218"/>
        <v>565415.48995225236</v>
      </c>
      <c r="Q383" s="169">
        <f t="shared" si="218"/>
        <v>339249.29397135135</v>
      </c>
      <c r="R383" s="169">
        <f t="shared" si="218"/>
        <v>339249.29397135135</v>
      </c>
      <c r="S383" s="169">
        <f t="shared" si="218"/>
        <v>169624.64698567567</v>
      </c>
      <c r="T383" s="169">
        <f t="shared" si="218"/>
        <v>0</v>
      </c>
      <c r="U383" s="169">
        <f t="shared" si="218"/>
        <v>0</v>
      </c>
      <c r="V383" s="169">
        <f t="shared" si="218"/>
        <v>0</v>
      </c>
      <c r="W383" s="169">
        <f t="shared" si="218"/>
        <v>0</v>
      </c>
      <c r="X383" s="169">
        <f t="shared" si="218"/>
        <v>0</v>
      </c>
      <c r="Y383" s="169">
        <f t="shared" si="218"/>
        <v>0</v>
      </c>
      <c r="Z383" s="169">
        <f t="shared" si="218"/>
        <v>0</v>
      </c>
      <c r="AA383" s="169">
        <f t="shared" si="218"/>
        <v>0</v>
      </c>
      <c r="AB383" s="169">
        <f t="shared" si="218"/>
        <v>0</v>
      </c>
      <c r="AC383" s="169">
        <f t="shared" si="218"/>
        <v>0</v>
      </c>
      <c r="AD383" s="169">
        <f t="shared" si="218"/>
        <v>0</v>
      </c>
      <c r="AE383" s="169">
        <f t="shared" si="218"/>
        <v>0</v>
      </c>
      <c r="AF383" s="169">
        <f t="shared" si="218"/>
        <v>0</v>
      </c>
      <c r="AG383" s="169">
        <f t="shared" si="218"/>
        <v>0</v>
      </c>
      <c r="AH383" s="169">
        <f t="shared" si="218"/>
        <v>0</v>
      </c>
      <c r="AI383" s="169">
        <f t="shared" si="218"/>
        <v>0</v>
      </c>
      <c r="AJ383" s="169">
        <f t="shared" si="218"/>
        <v>0</v>
      </c>
      <c r="AK383" s="169">
        <f t="shared" si="218"/>
        <v>0</v>
      </c>
      <c r="AL383" s="169">
        <f t="shared" si="218"/>
        <v>0</v>
      </c>
      <c r="AM383" s="169">
        <f t="shared" si="218"/>
        <v>0</v>
      </c>
      <c r="AN383" s="169">
        <f t="shared" si="218"/>
        <v>0</v>
      </c>
      <c r="AO383" s="169">
        <f t="shared" si="218"/>
        <v>0</v>
      </c>
      <c r="AP383" s="169">
        <f t="shared" si="218"/>
        <v>0</v>
      </c>
    </row>
    <row r="384" spans="1:42" x14ac:dyDescent="0.2">
      <c r="A384" s="20">
        <f>A383+1</f>
        <v>2</v>
      </c>
      <c r="B384" s="179">
        <f t="shared" si="217"/>
        <v>3520942.886524681</v>
      </c>
      <c r="C384" s="169">
        <f t="shared" ref="C384:AP384" si="219">LOOKUP(C373,$B$367:$AP$367,$B$368:$AP$368)*$B657</f>
        <v>0</v>
      </c>
      <c r="D384" s="169">
        <f t="shared" si="219"/>
        <v>0</v>
      </c>
      <c r="E384" s="169">
        <f t="shared" si="219"/>
        <v>0</v>
      </c>
      <c r="F384" s="169">
        <f t="shared" si="219"/>
        <v>0</v>
      </c>
      <c r="G384" s="169">
        <f t="shared" si="219"/>
        <v>0</v>
      </c>
      <c r="H384" s="169">
        <f t="shared" si="219"/>
        <v>0</v>
      </c>
      <c r="I384" s="169">
        <f t="shared" si="219"/>
        <v>0</v>
      </c>
      <c r="J384" s="169">
        <f t="shared" si="219"/>
        <v>0</v>
      </c>
      <c r="K384" s="169">
        <f t="shared" si="219"/>
        <v>0</v>
      </c>
      <c r="L384" s="169">
        <f t="shared" si="219"/>
        <v>0</v>
      </c>
      <c r="M384" s="169">
        <f t="shared" si="219"/>
        <v>0</v>
      </c>
      <c r="N384" s="169">
        <f t="shared" si="219"/>
        <v>0</v>
      </c>
      <c r="O384" s="169">
        <f t="shared" si="219"/>
        <v>0</v>
      </c>
      <c r="P384" s="169">
        <f t="shared" si="219"/>
        <v>0</v>
      </c>
      <c r="Q384" s="169">
        <f t="shared" si="219"/>
        <v>0</v>
      </c>
      <c r="R384" s="169">
        <f t="shared" si="219"/>
        <v>0</v>
      </c>
      <c r="S384" s="169">
        <f t="shared" si="219"/>
        <v>0</v>
      </c>
      <c r="T384" s="169">
        <f t="shared" si="219"/>
        <v>0</v>
      </c>
      <c r="U384" s="169">
        <f t="shared" si="219"/>
        <v>0</v>
      </c>
      <c r="V384" s="169">
        <f t="shared" si="219"/>
        <v>0</v>
      </c>
      <c r="W384" s="169">
        <f t="shared" si="219"/>
        <v>0</v>
      </c>
      <c r="X384" s="169">
        <f t="shared" si="219"/>
        <v>0</v>
      </c>
      <c r="Y384" s="169">
        <f t="shared" si="219"/>
        <v>0</v>
      </c>
      <c r="Z384" s="169">
        <f t="shared" si="219"/>
        <v>704188.57730493625</v>
      </c>
      <c r="AA384" s="169">
        <f t="shared" si="219"/>
        <v>1126701.7236878979</v>
      </c>
      <c r="AB384" s="169">
        <f t="shared" si="219"/>
        <v>676021.03421273874</v>
      </c>
      <c r="AC384" s="169">
        <f t="shared" si="219"/>
        <v>405612.62052764324</v>
      </c>
      <c r="AD384" s="169">
        <f t="shared" si="219"/>
        <v>405612.62052764324</v>
      </c>
      <c r="AE384" s="169">
        <f t="shared" si="219"/>
        <v>202806.31026382162</v>
      </c>
      <c r="AF384" s="169">
        <f t="shared" si="219"/>
        <v>0</v>
      </c>
      <c r="AG384" s="169">
        <f t="shared" si="219"/>
        <v>0</v>
      </c>
      <c r="AH384" s="169">
        <f t="shared" si="219"/>
        <v>0</v>
      </c>
      <c r="AI384" s="169">
        <f t="shared" si="219"/>
        <v>0</v>
      </c>
      <c r="AJ384" s="169">
        <f t="shared" si="219"/>
        <v>0</v>
      </c>
      <c r="AK384" s="169">
        <f t="shared" si="219"/>
        <v>0</v>
      </c>
      <c r="AL384" s="169">
        <f t="shared" si="219"/>
        <v>0</v>
      </c>
      <c r="AM384" s="169">
        <f t="shared" si="219"/>
        <v>0</v>
      </c>
      <c r="AN384" s="169">
        <f t="shared" si="219"/>
        <v>0</v>
      </c>
      <c r="AO384" s="169">
        <f t="shared" si="219"/>
        <v>0</v>
      </c>
      <c r="AP384" s="169">
        <f t="shared" si="219"/>
        <v>0</v>
      </c>
    </row>
    <row r="385" spans="1:42" x14ac:dyDescent="0.2">
      <c r="A385" s="20">
        <f t="shared" ref="A385:A392" si="220">A384+1</f>
        <v>3</v>
      </c>
      <c r="B385" s="179">
        <f t="shared" si="217"/>
        <v>3967224.3859686418</v>
      </c>
      <c r="C385" s="169">
        <f t="shared" ref="C385:AP385" si="221">LOOKUP(C374,$B$367:$AP$367,$B$368:$AP$368)*$B658</f>
        <v>0</v>
      </c>
      <c r="D385" s="169">
        <f t="shared" si="221"/>
        <v>0</v>
      </c>
      <c r="E385" s="169">
        <f t="shared" si="221"/>
        <v>0</v>
      </c>
      <c r="F385" s="169">
        <f t="shared" si="221"/>
        <v>0</v>
      </c>
      <c r="G385" s="169">
        <f t="shared" si="221"/>
        <v>0</v>
      </c>
      <c r="H385" s="169">
        <f t="shared" si="221"/>
        <v>0</v>
      </c>
      <c r="I385" s="169">
        <f t="shared" si="221"/>
        <v>0</v>
      </c>
      <c r="J385" s="169">
        <f t="shared" si="221"/>
        <v>0</v>
      </c>
      <c r="K385" s="169">
        <f t="shared" si="221"/>
        <v>0</v>
      </c>
      <c r="L385" s="169">
        <f t="shared" si="221"/>
        <v>0</v>
      </c>
      <c r="M385" s="169">
        <f t="shared" si="221"/>
        <v>0</v>
      </c>
      <c r="N385" s="169">
        <f t="shared" si="221"/>
        <v>0</v>
      </c>
      <c r="O385" s="169">
        <f t="shared" si="221"/>
        <v>0</v>
      </c>
      <c r="P385" s="169">
        <f t="shared" si="221"/>
        <v>0</v>
      </c>
      <c r="Q385" s="169">
        <f t="shared" si="221"/>
        <v>0</v>
      </c>
      <c r="R385" s="169">
        <f t="shared" si="221"/>
        <v>0</v>
      </c>
      <c r="S385" s="169">
        <f t="shared" si="221"/>
        <v>0</v>
      </c>
      <c r="T385" s="169">
        <f t="shared" si="221"/>
        <v>0</v>
      </c>
      <c r="U385" s="169">
        <f t="shared" si="221"/>
        <v>0</v>
      </c>
      <c r="V385" s="169">
        <f t="shared" si="221"/>
        <v>0</v>
      </c>
      <c r="W385" s="169">
        <f t="shared" si="221"/>
        <v>0</v>
      </c>
      <c r="X385" s="169">
        <f t="shared" si="221"/>
        <v>0</v>
      </c>
      <c r="Y385" s="169">
        <f t="shared" si="221"/>
        <v>0</v>
      </c>
      <c r="Z385" s="169">
        <f t="shared" si="221"/>
        <v>0</v>
      </c>
      <c r="AA385" s="169">
        <f t="shared" si="221"/>
        <v>0</v>
      </c>
      <c r="AB385" s="169">
        <f t="shared" si="221"/>
        <v>0</v>
      </c>
      <c r="AC385" s="169">
        <f t="shared" si="221"/>
        <v>0</v>
      </c>
      <c r="AD385" s="169">
        <f t="shared" si="221"/>
        <v>0</v>
      </c>
      <c r="AE385" s="169">
        <f t="shared" si="221"/>
        <v>0</v>
      </c>
      <c r="AF385" s="169">
        <f t="shared" si="221"/>
        <v>0</v>
      </c>
      <c r="AG385" s="169">
        <f t="shared" si="221"/>
        <v>0</v>
      </c>
      <c r="AH385" s="169">
        <f t="shared" si="221"/>
        <v>0</v>
      </c>
      <c r="AI385" s="169">
        <f t="shared" si="221"/>
        <v>0</v>
      </c>
      <c r="AJ385" s="169">
        <f t="shared" si="221"/>
        <v>0</v>
      </c>
      <c r="AK385" s="169">
        <f t="shared" si="221"/>
        <v>0</v>
      </c>
      <c r="AL385" s="169">
        <f t="shared" si="221"/>
        <v>841940.65916142659</v>
      </c>
      <c r="AM385" s="169">
        <f t="shared" si="221"/>
        <v>1347105.0546582823</v>
      </c>
      <c r="AN385" s="169">
        <f t="shared" si="221"/>
        <v>808263.03279496951</v>
      </c>
      <c r="AO385" s="169">
        <f t="shared" si="221"/>
        <v>484957.81967698166</v>
      </c>
      <c r="AP385" s="169">
        <f t="shared" si="221"/>
        <v>484957.81967698166</v>
      </c>
    </row>
    <row r="386" spans="1:42" x14ac:dyDescent="0.2">
      <c r="A386" s="20">
        <f t="shared" si="220"/>
        <v>4</v>
      </c>
      <c r="B386" s="179">
        <f t="shared" si="217"/>
        <v>0</v>
      </c>
      <c r="C386" s="169">
        <f t="shared" ref="C386:AP386" si="222">LOOKUP(C375,$B$367:$AP$367,$B$368:$AP$368)*$B659</f>
        <v>0</v>
      </c>
      <c r="D386" s="169">
        <f t="shared" si="222"/>
        <v>0</v>
      </c>
      <c r="E386" s="169">
        <f t="shared" si="222"/>
        <v>0</v>
      </c>
      <c r="F386" s="169">
        <f t="shared" si="222"/>
        <v>0</v>
      </c>
      <c r="G386" s="169">
        <f t="shared" si="222"/>
        <v>0</v>
      </c>
      <c r="H386" s="169">
        <f t="shared" si="222"/>
        <v>0</v>
      </c>
      <c r="I386" s="169">
        <f t="shared" si="222"/>
        <v>0</v>
      </c>
      <c r="J386" s="169">
        <f t="shared" si="222"/>
        <v>0</v>
      </c>
      <c r="K386" s="169">
        <f t="shared" si="222"/>
        <v>0</v>
      </c>
      <c r="L386" s="169">
        <f t="shared" si="222"/>
        <v>0</v>
      </c>
      <c r="M386" s="169">
        <f t="shared" si="222"/>
        <v>0</v>
      </c>
      <c r="N386" s="169">
        <f t="shared" si="222"/>
        <v>0</v>
      </c>
      <c r="O386" s="169">
        <f t="shared" si="222"/>
        <v>0</v>
      </c>
      <c r="P386" s="169">
        <f t="shared" si="222"/>
        <v>0</v>
      </c>
      <c r="Q386" s="169">
        <f t="shared" si="222"/>
        <v>0</v>
      </c>
      <c r="R386" s="169">
        <f t="shared" si="222"/>
        <v>0</v>
      </c>
      <c r="S386" s="169">
        <f t="shared" si="222"/>
        <v>0</v>
      </c>
      <c r="T386" s="169">
        <f t="shared" si="222"/>
        <v>0</v>
      </c>
      <c r="U386" s="169">
        <f t="shared" si="222"/>
        <v>0</v>
      </c>
      <c r="V386" s="169">
        <f t="shared" si="222"/>
        <v>0</v>
      </c>
      <c r="W386" s="169">
        <f t="shared" si="222"/>
        <v>0</v>
      </c>
      <c r="X386" s="169">
        <f t="shared" si="222"/>
        <v>0</v>
      </c>
      <c r="Y386" s="169">
        <f t="shared" si="222"/>
        <v>0</v>
      </c>
      <c r="Z386" s="169">
        <f t="shared" si="222"/>
        <v>0</v>
      </c>
      <c r="AA386" s="169">
        <f t="shared" si="222"/>
        <v>0</v>
      </c>
      <c r="AB386" s="169">
        <f t="shared" si="222"/>
        <v>0</v>
      </c>
      <c r="AC386" s="169">
        <f t="shared" si="222"/>
        <v>0</v>
      </c>
      <c r="AD386" s="169">
        <f t="shared" si="222"/>
        <v>0</v>
      </c>
      <c r="AE386" s="169">
        <f t="shared" si="222"/>
        <v>0</v>
      </c>
      <c r="AF386" s="169">
        <f t="shared" si="222"/>
        <v>0</v>
      </c>
      <c r="AG386" s="169">
        <f t="shared" si="222"/>
        <v>0</v>
      </c>
      <c r="AH386" s="169">
        <f t="shared" si="222"/>
        <v>0</v>
      </c>
      <c r="AI386" s="169">
        <f t="shared" si="222"/>
        <v>0</v>
      </c>
      <c r="AJ386" s="169">
        <f t="shared" si="222"/>
        <v>0</v>
      </c>
      <c r="AK386" s="169">
        <f t="shared" si="222"/>
        <v>0</v>
      </c>
      <c r="AL386" s="169">
        <f t="shared" si="222"/>
        <v>0</v>
      </c>
      <c r="AM386" s="169">
        <f t="shared" si="222"/>
        <v>0</v>
      </c>
      <c r="AN386" s="169">
        <f t="shared" si="222"/>
        <v>0</v>
      </c>
      <c r="AO386" s="169">
        <f t="shared" si="222"/>
        <v>0</v>
      </c>
      <c r="AP386" s="169">
        <f t="shared" si="222"/>
        <v>0</v>
      </c>
    </row>
    <row r="387" spans="1:42" x14ac:dyDescent="0.2">
      <c r="A387" s="20">
        <f t="shared" si="220"/>
        <v>5</v>
      </c>
      <c r="B387" s="179">
        <f t="shared" si="217"/>
        <v>0</v>
      </c>
      <c r="C387" s="169">
        <f t="shared" ref="C387:AP387" si="223">LOOKUP(C376,$B$367:$AP$367,$B$368:$AP$368)*$B660</f>
        <v>0</v>
      </c>
      <c r="D387" s="169">
        <f t="shared" si="223"/>
        <v>0</v>
      </c>
      <c r="E387" s="169">
        <f t="shared" si="223"/>
        <v>0</v>
      </c>
      <c r="F387" s="169">
        <f t="shared" si="223"/>
        <v>0</v>
      </c>
      <c r="G387" s="169">
        <f t="shared" si="223"/>
        <v>0</v>
      </c>
      <c r="H387" s="169">
        <f t="shared" si="223"/>
        <v>0</v>
      </c>
      <c r="I387" s="169">
        <f t="shared" si="223"/>
        <v>0</v>
      </c>
      <c r="J387" s="169">
        <f t="shared" si="223"/>
        <v>0</v>
      </c>
      <c r="K387" s="169">
        <f t="shared" si="223"/>
        <v>0</v>
      </c>
      <c r="L387" s="169">
        <f t="shared" si="223"/>
        <v>0</v>
      </c>
      <c r="M387" s="169">
        <f t="shared" si="223"/>
        <v>0</v>
      </c>
      <c r="N387" s="169">
        <f t="shared" si="223"/>
        <v>0</v>
      </c>
      <c r="O387" s="169">
        <f t="shared" si="223"/>
        <v>0</v>
      </c>
      <c r="P387" s="169">
        <f t="shared" si="223"/>
        <v>0</v>
      </c>
      <c r="Q387" s="169">
        <f t="shared" si="223"/>
        <v>0</v>
      </c>
      <c r="R387" s="169">
        <f t="shared" si="223"/>
        <v>0</v>
      </c>
      <c r="S387" s="169">
        <f t="shared" si="223"/>
        <v>0</v>
      </c>
      <c r="T387" s="169">
        <f t="shared" si="223"/>
        <v>0</v>
      </c>
      <c r="U387" s="169">
        <f t="shared" si="223"/>
        <v>0</v>
      </c>
      <c r="V387" s="169">
        <f t="shared" si="223"/>
        <v>0</v>
      </c>
      <c r="W387" s="169">
        <f t="shared" si="223"/>
        <v>0</v>
      </c>
      <c r="X387" s="169">
        <f t="shared" si="223"/>
        <v>0</v>
      </c>
      <c r="Y387" s="169">
        <f t="shared" si="223"/>
        <v>0</v>
      </c>
      <c r="Z387" s="169">
        <f t="shared" si="223"/>
        <v>0</v>
      </c>
      <c r="AA387" s="169">
        <f t="shared" si="223"/>
        <v>0</v>
      </c>
      <c r="AB387" s="169">
        <f t="shared" si="223"/>
        <v>0</v>
      </c>
      <c r="AC387" s="169">
        <f t="shared" si="223"/>
        <v>0</v>
      </c>
      <c r="AD387" s="169">
        <f t="shared" si="223"/>
        <v>0</v>
      </c>
      <c r="AE387" s="169">
        <f t="shared" si="223"/>
        <v>0</v>
      </c>
      <c r="AF387" s="169">
        <f t="shared" si="223"/>
        <v>0</v>
      </c>
      <c r="AG387" s="169">
        <f t="shared" si="223"/>
        <v>0</v>
      </c>
      <c r="AH387" s="169">
        <f t="shared" si="223"/>
        <v>0</v>
      </c>
      <c r="AI387" s="169">
        <f t="shared" si="223"/>
        <v>0</v>
      </c>
      <c r="AJ387" s="169">
        <f t="shared" si="223"/>
        <v>0</v>
      </c>
      <c r="AK387" s="169">
        <f t="shared" si="223"/>
        <v>0</v>
      </c>
      <c r="AL387" s="169">
        <f t="shared" si="223"/>
        <v>0</v>
      </c>
      <c r="AM387" s="169">
        <f t="shared" si="223"/>
        <v>0</v>
      </c>
      <c r="AN387" s="169">
        <f t="shared" si="223"/>
        <v>0</v>
      </c>
      <c r="AO387" s="169">
        <f t="shared" si="223"/>
        <v>0</v>
      </c>
      <c r="AP387" s="169">
        <f t="shared" si="223"/>
        <v>0</v>
      </c>
    </row>
    <row r="388" spans="1:42" x14ac:dyDescent="0.2">
      <c r="A388" s="101">
        <f t="shared" si="220"/>
        <v>6</v>
      </c>
      <c r="B388" s="179">
        <f t="shared" si="217"/>
        <v>0</v>
      </c>
      <c r="C388" s="169">
        <f t="shared" ref="C388:AP388" si="224">LOOKUP(C377,$B$367:$AP$367,$B$368:$AP$368)*$B661</f>
        <v>0</v>
      </c>
      <c r="D388" s="169">
        <f t="shared" si="224"/>
        <v>0</v>
      </c>
      <c r="E388" s="169">
        <f t="shared" si="224"/>
        <v>0</v>
      </c>
      <c r="F388" s="169">
        <f t="shared" si="224"/>
        <v>0</v>
      </c>
      <c r="G388" s="169">
        <f t="shared" si="224"/>
        <v>0</v>
      </c>
      <c r="H388" s="169">
        <f t="shared" si="224"/>
        <v>0</v>
      </c>
      <c r="I388" s="169">
        <f t="shared" si="224"/>
        <v>0</v>
      </c>
      <c r="J388" s="169">
        <f t="shared" si="224"/>
        <v>0</v>
      </c>
      <c r="K388" s="169">
        <f t="shared" si="224"/>
        <v>0</v>
      </c>
      <c r="L388" s="169">
        <f t="shared" si="224"/>
        <v>0</v>
      </c>
      <c r="M388" s="169">
        <f t="shared" si="224"/>
        <v>0</v>
      </c>
      <c r="N388" s="169">
        <f t="shared" si="224"/>
        <v>0</v>
      </c>
      <c r="O388" s="169">
        <f t="shared" si="224"/>
        <v>0</v>
      </c>
      <c r="P388" s="169">
        <f t="shared" si="224"/>
        <v>0</v>
      </c>
      <c r="Q388" s="169">
        <f t="shared" si="224"/>
        <v>0</v>
      </c>
      <c r="R388" s="169">
        <f t="shared" si="224"/>
        <v>0</v>
      </c>
      <c r="S388" s="169">
        <f t="shared" si="224"/>
        <v>0</v>
      </c>
      <c r="T388" s="169">
        <f t="shared" si="224"/>
        <v>0</v>
      </c>
      <c r="U388" s="169">
        <f t="shared" si="224"/>
        <v>0</v>
      </c>
      <c r="V388" s="169">
        <f t="shared" si="224"/>
        <v>0</v>
      </c>
      <c r="W388" s="169">
        <f t="shared" si="224"/>
        <v>0</v>
      </c>
      <c r="X388" s="169">
        <f t="shared" si="224"/>
        <v>0</v>
      </c>
      <c r="Y388" s="169">
        <f t="shared" si="224"/>
        <v>0</v>
      </c>
      <c r="Z388" s="169">
        <f t="shared" si="224"/>
        <v>0</v>
      </c>
      <c r="AA388" s="169">
        <f t="shared" si="224"/>
        <v>0</v>
      </c>
      <c r="AB388" s="169">
        <f t="shared" si="224"/>
        <v>0</v>
      </c>
      <c r="AC388" s="169">
        <f t="shared" si="224"/>
        <v>0</v>
      </c>
      <c r="AD388" s="169">
        <f t="shared" si="224"/>
        <v>0</v>
      </c>
      <c r="AE388" s="169">
        <f t="shared" si="224"/>
        <v>0</v>
      </c>
      <c r="AF388" s="169">
        <f t="shared" si="224"/>
        <v>0</v>
      </c>
      <c r="AG388" s="169">
        <f t="shared" si="224"/>
        <v>0</v>
      </c>
      <c r="AH388" s="169">
        <f t="shared" si="224"/>
        <v>0</v>
      </c>
      <c r="AI388" s="169">
        <f t="shared" si="224"/>
        <v>0</v>
      </c>
      <c r="AJ388" s="169">
        <f t="shared" si="224"/>
        <v>0</v>
      </c>
      <c r="AK388" s="169">
        <f t="shared" si="224"/>
        <v>0</v>
      </c>
      <c r="AL388" s="169">
        <f t="shared" si="224"/>
        <v>0</v>
      </c>
      <c r="AM388" s="169">
        <f t="shared" si="224"/>
        <v>0</v>
      </c>
      <c r="AN388" s="169">
        <f t="shared" si="224"/>
        <v>0</v>
      </c>
      <c r="AO388" s="169">
        <f t="shared" si="224"/>
        <v>0</v>
      </c>
      <c r="AP388" s="169">
        <f t="shared" si="224"/>
        <v>0</v>
      </c>
    </row>
    <row r="389" spans="1:42" x14ac:dyDescent="0.2">
      <c r="A389" s="101">
        <f t="shared" si="220"/>
        <v>7</v>
      </c>
      <c r="B389" s="179">
        <f t="shared" si="217"/>
        <v>0</v>
      </c>
      <c r="C389" s="169">
        <f t="shared" ref="C389:AP389" si="225">LOOKUP(C378,$B$367:$AP$367,$B$368:$AP$368)*$B662</f>
        <v>0</v>
      </c>
      <c r="D389" s="169">
        <f t="shared" si="225"/>
        <v>0</v>
      </c>
      <c r="E389" s="169">
        <f t="shared" si="225"/>
        <v>0</v>
      </c>
      <c r="F389" s="169">
        <f t="shared" si="225"/>
        <v>0</v>
      </c>
      <c r="G389" s="169">
        <f t="shared" si="225"/>
        <v>0</v>
      </c>
      <c r="H389" s="169">
        <f t="shared" si="225"/>
        <v>0</v>
      </c>
      <c r="I389" s="169">
        <f t="shared" si="225"/>
        <v>0</v>
      </c>
      <c r="J389" s="169">
        <f t="shared" si="225"/>
        <v>0</v>
      </c>
      <c r="K389" s="169">
        <f t="shared" si="225"/>
        <v>0</v>
      </c>
      <c r="L389" s="169">
        <f t="shared" si="225"/>
        <v>0</v>
      </c>
      <c r="M389" s="169">
        <f t="shared" si="225"/>
        <v>0</v>
      </c>
      <c r="N389" s="169">
        <f t="shared" si="225"/>
        <v>0</v>
      </c>
      <c r="O389" s="169">
        <f t="shared" si="225"/>
        <v>0</v>
      </c>
      <c r="P389" s="169">
        <f t="shared" si="225"/>
        <v>0</v>
      </c>
      <c r="Q389" s="169">
        <f t="shared" si="225"/>
        <v>0</v>
      </c>
      <c r="R389" s="169">
        <f t="shared" si="225"/>
        <v>0</v>
      </c>
      <c r="S389" s="169">
        <f t="shared" si="225"/>
        <v>0</v>
      </c>
      <c r="T389" s="169">
        <f t="shared" si="225"/>
        <v>0</v>
      </c>
      <c r="U389" s="169">
        <f t="shared" si="225"/>
        <v>0</v>
      </c>
      <c r="V389" s="169">
        <f t="shared" si="225"/>
        <v>0</v>
      </c>
      <c r="W389" s="169">
        <f t="shared" si="225"/>
        <v>0</v>
      </c>
      <c r="X389" s="169">
        <f t="shared" si="225"/>
        <v>0</v>
      </c>
      <c r="Y389" s="169">
        <f t="shared" si="225"/>
        <v>0</v>
      </c>
      <c r="Z389" s="169">
        <f t="shared" si="225"/>
        <v>0</v>
      </c>
      <c r="AA389" s="169">
        <f t="shared" si="225"/>
        <v>0</v>
      </c>
      <c r="AB389" s="169">
        <f t="shared" si="225"/>
        <v>0</v>
      </c>
      <c r="AC389" s="169">
        <f t="shared" si="225"/>
        <v>0</v>
      </c>
      <c r="AD389" s="169">
        <f t="shared" si="225"/>
        <v>0</v>
      </c>
      <c r="AE389" s="169">
        <f t="shared" si="225"/>
        <v>0</v>
      </c>
      <c r="AF389" s="169">
        <f t="shared" si="225"/>
        <v>0</v>
      </c>
      <c r="AG389" s="169">
        <f t="shared" si="225"/>
        <v>0</v>
      </c>
      <c r="AH389" s="169">
        <f t="shared" si="225"/>
        <v>0</v>
      </c>
      <c r="AI389" s="169">
        <f t="shared" si="225"/>
        <v>0</v>
      </c>
      <c r="AJ389" s="169">
        <f t="shared" si="225"/>
        <v>0</v>
      </c>
      <c r="AK389" s="169">
        <f t="shared" si="225"/>
        <v>0</v>
      </c>
      <c r="AL389" s="169">
        <f t="shared" si="225"/>
        <v>0</v>
      </c>
      <c r="AM389" s="169">
        <f t="shared" si="225"/>
        <v>0</v>
      </c>
      <c r="AN389" s="169">
        <f t="shared" si="225"/>
        <v>0</v>
      </c>
      <c r="AO389" s="169">
        <f t="shared" si="225"/>
        <v>0</v>
      </c>
      <c r="AP389" s="169">
        <f t="shared" si="225"/>
        <v>0</v>
      </c>
    </row>
    <row r="390" spans="1:42" x14ac:dyDescent="0.2">
      <c r="A390" s="101">
        <f t="shared" si="220"/>
        <v>8</v>
      </c>
      <c r="B390" s="179">
        <f t="shared" si="217"/>
        <v>0</v>
      </c>
      <c r="C390" s="169">
        <f t="shared" ref="C390:AP390" si="226">LOOKUP(C379,$B$367:$AP$367,$B$368:$AP$368)*$B663</f>
        <v>0</v>
      </c>
      <c r="D390" s="169">
        <f t="shared" si="226"/>
        <v>0</v>
      </c>
      <c r="E390" s="169">
        <f t="shared" si="226"/>
        <v>0</v>
      </c>
      <c r="F390" s="169">
        <f t="shared" si="226"/>
        <v>0</v>
      </c>
      <c r="G390" s="169">
        <f t="shared" si="226"/>
        <v>0</v>
      </c>
      <c r="H390" s="169">
        <f t="shared" si="226"/>
        <v>0</v>
      </c>
      <c r="I390" s="169">
        <f t="shared" si="226"/>
        <v>0</v>
      </c>
      <c r="J390" s="169">
        <f t="shared" si="226"/>
        <v>0</v>
      </c>
      <c r="K390" s="169">
        <f t="shared" si="226"/>
        <v>0</v>
      </c>
      <c r="L390" s="169">
        <f t="shared" si="226"/>
        <v>0</v>
      </c>
      <c r="M390" s="169">
        <f t="shared" si="226"/>
        <v>0</v>
      </c>
      <c r="N390" s="169">
        <f t="shared" si="226"/>
        <v>0</v>
      </c>
      <c r="O390" s="169">
        <f t="shared" si="226"/>
        <v>0</v>
      </c>
      <c r="P390" s="169">
        <f t="shared" si="226"/>
        <v>0</v>
      </c>
      <c r="Q390" s="169">
        <f t="shared" si="226"/>
        <v>0</v>
      </c>
      <c r="R390" s="169">
        <f t="shared" si="226"/>
        <v>0</v>
      </c>
      <c r="S390" s="169">
        <f t="shared" si="226"/>
        <v>0</v>
      </c>
      <c r="T390" s="169">
        <f t="shared" si="226"/>
        <v>0</v>
      </c>
      <c r="U390" s="169">
        <f t="shared" si="226"/>
        <v>0</v>
      </c>
      <c r="V390" s="169">
        <f t="shared" si="226"/>
        <v>0</v>
      </c>
      <c r="W390" s="169">
        <f t="shared" si="226"/>
        <v>0</v>
      </c>
      <c r="X390" s="169">
        <f t="shared" si="226"/>
        <v>0</v>
      </c>
      <c r="Y390" s="169">
        <f t="shared" si="226"/>
        <v>0</v>
      </c>
      <c r="Z390" s="169">
        <f t="shared" si="226"/>
        <v>0</v>
      </c>
      <c r="AA390" s="169">
        <f t="shared" si="226"/>
        <v>0</v>
      </c>
      <c r="AB390" s="169">
        <f t="shared" si="226"/>
        <v>0</v>
      </c>
      <c r="AC390" s="169">
        <f t="shared" si="226"/>
        <v>0</v>
      </c>
      <c r="AD390" s="169">
        <f t="shared" si="226"/>
        <v>0</v>
      </c>
      <c r="AE390" s="169">
        <f t="shared" si="226"/>
        <v>0</v>
      </c>
      <c r="AF390" s="169">
        <f t="shared" si="226"/>
        <v>0</v>
      </c>
      <c r="AG390" s="169">
        <f t="shared" si="226"/>
        <v>0</v>
      </c>
      <c r="AH390" s="169">
        <f t="shared" si="226"/>
        <v>0</v>
      </c>
      <c r="AI390" s="169">
        <f t="shared" si="226"/>
        <v>0</v>
      </c>
      <c r="AJ390" s="169">
        <f t="shared" si="226"/>
        <v>0</v>
      </c>
      <c r="AK390" s="169">
        <f t="shared" si="226"/>
        <v>0</v>
      </c>
      <c r="AL390" s="169">
        <f t="shared" si="226"/>
        <v>0</v>
      </c>
      <c r="AM390" s="169">
        <f t="shared" si="226"/>
        <v>0</v>
      </c>
      <c r="AN390" s="169">
        <f t="shared" si="226"/>
        <v>0</v>
      </c>
      <c r="AO390" s="169">
        <f t="shared" si="226"/>
        <v>0</v>
      </c>
      <c r="AP390" s="169">
        <f t="shared" si="226"/>
        <v>0</v>
      </c>
    </row>
    <row r="391" spans="1:42" x14ac:dyDescent="0.2">
      <c r="A391" s="101">
        <f>A390+1</f>
        <v>9</v>
      </c>
      <c r="B391" s="179">
        <f t="shared" si="217"/>
        <v>0</v>
      </c>
      <c r="C391" s="169">
        <f t="shared" ref="C391:AP391" si="227">LOOKUP(C380,$B$367:$AP$367,$B$368:$AP$368)*$B664</f>
        <v>0</v>
      </c>
      <c r="D391" s="169">
        <f t="shared" si="227"/>
        <v>0</v>
      </c>
      <c r="E391" s="169">
        <f t="shared" si="227"/>
        <v>0</v>
      </c>
      <c r="F391" s="169">
        <f t="shared" si="227"/>
        <v>0</v>
      </c>
      <c r="G391" s="169">
        <f t="shared" si="227"/>
        <v>0</v>
      </c>
      <c r="H391" s="169">
        <f t="shared" si="227"/>
        <v>0</v>
      </c>
      <c r="I391" s="169">
        <f t="shared" si="227"/>
        <v>0</v>
      </c>
      <c r="J391" s="169">
        <f t="shared" si="227"/>
        <v>0</v>
      </c>
      <c r="K391" s="169">
        <f t="shared" si="227"/>
        <v>0</v>
      </c>
      <c r="L391" s="169">
        <f t="shared" si="227"/>
        <v>0</v>
      </c>
      <c r="M391" s="169">
        <f t="shared" si="227"/>
        <v>0</v>
      </c>
      <c r="N391" s="169">
        <f t="shared" si="227"/>
        <v>0</v>
      </c>
      <c r="O391" s="169">
        <f t="shared" si="227"/>
        <v>0</v>
      </c>
      <c r="P391" s="169">
        <f t="shared" si="227"/>
        <v>0</v>
      </c>
      <c r="Q391" s="169">
        <f t="shared" si="227"/>
        <v>0</v>
      </c>
      <c r="R391" s="169">
        <f t="shared" si="227"/>
        <v>0</v>
      </c>
      <c r="S391" s="169">
        <f t="shared" si="227"/>
        <v>0</v>
      </c>
      <c r="T391" s="169">
        <f t="shared" si="227"/>
        <v>0</v>
      </c>
      <c r="U391" s="169">
        <f t="shared" si="227"/>
        <v>0</v>
      </c>
      <c r="V391" s="169">
        <f t="shared" si="227"/>
        <v>0</v>
      </c>
      <c r="W391" s="169">
        <f t="shared" si="227"/>
        <v>0</v>
      </c>
      <c r="X391" s="169">
        <f t="shared" si="227"/>
        <v>0</v>
      </c>
      <c r="Y391" s="169">
        <f t="shared" si="227"/>
        <v>0</v>
      </c>
      <c r="Z391" s="169">
        <f t="shared" si="227"/>
        <v>0</v>
      </c>
      <c r="AA391" s="169">
        <f t="shared" si="227"/>
        <v>0</v>
      </c>
      <c r="AB391" s="169">
        <f t="shared" si="227"/>
        <v>0</v>
      </c>
      <c r="AC391" s="169">
        <f t="shared" si="227"/>
        <v>0</v>
      </c>
      <c r="AD391" s="169">
        <f t="shared" si="227"/>
        <v>0</v>
      </c>
      <c r="AE391" s="169">
        <f t="shared" si="227"/>
        <v>0</v>
      </c>
      <c r="AF391" s="169">
        <f t="shared" si="227"/>
        <v>0</v>
      </c>
      <c r="AG391" s="169">
        <f t="shared" si="227"/>
        <v>0</v>
      </c>
      <c r="AH391" s="169">
        <f t="shared" si="227"/>
        <v>0</v>
      </c>
      <c r="AI391" s="169">
        <f t="shared" si="227"/>
        <v>0</v>
      </c>
      <c r="AJ391" s="169">
        <f t="shared" si="227"/>
        <v>0</v>
      </c>
      <c r="AK391" s="169">
        <f t="shared" si="227"/>
        <v>0</v>
      </c>
      <c r="AL391" s="169">
        <f t="shared" si="227"/>
        <v>0</v>
      </c>
      <c r="AM391" s="169">
        <f t="shared" si="227"/>
        <v>0</v>
      </c>
      <c r="AN391" s="169">
        <f t="shared" si="227"/>
        <v>0</v>
      </c>
      <c r="AO391" s="169">
        <f t="shared" si="227"/>
        <v>0</v>
      </c>
      <c r="AP391" s="169">
        <f t="shared" si="227"/>
        <v>0</v>
      </c>
    </row>
    <row r="392" spans="1:42" x14ac:dyDescent="0.2">
      <c r="A392" s="101">
        <f t="shared" si="220"/>
        <v>10</v>
      </c>
      <c r="B392" s="179">
        <f t="shared" si="217"/>
        <v>0</v>
      </c>
      <c r="C392" s="204">
        <f t="shared" ref="C392:AP392" si="228">LOOKUP(C381,$B$367:$AP$367,$B$368:$AP$368)*$B665</f>
        <v>0</v>
      </c>
      <c r="D392" s="170">
        <f t="shared" si="228"/>
        <v>0</v>
      </c>
      <c r="E392" s="170">
        <f t="shared" si="228"/>
        <v>0</v>
      </c>
      <c r="F392" s="170">
        <f t="shared" si="228"/>
        <v>0</v>
      </c>
      <c r="G392" s="170">
        <f t="shared" si="228"/>
        <v>0</v>
      </c>
      <c r="H392" s="170">
        <f t="shared" si="228"/>
        <v>0</v>
      </c>
      <c r="I392" s="170">
        <f t="shared" si="228"/>
        <v>0</v>
      </c>
      <c r="J392" s="170">
        <f t="shared" si="228"/>
        <v>0</v>
      </c>
      <c r="K392" s="170">
        <f t="shared" si="228"/>
        <v>0</v>
      </c>
      <c r="L392" s="170">
        <f t="shared" si="228"/>
        <v>0</v>
      </c>
      <c r="M392" s="170">
        <f t="shared" si="228"/>
        <v>0</v>
      </c>
      <c r="N392" s="170">
        <f t="shared" si="228"/>
        <v>0</v>
      </c>
      <c r="O392" s="170">
        <f t="shared" si="228"/>
        <v>0</v>
      </c>
      <c r="P392" s="170">
        <f t="shared" si="228"/>
        <v>0</v>
      </c>
      <c r="Q392" s="170">
        <f t="shared" si="228"/>
        <v>0</v>
      </c>
      <c r="R392" s="170">
        <f t="shared" si="228"/>
        <v>0</v>
      </c>
      <c r="S392" s="170">
        <f t="shared" si="228"/>
        <v>0</v>
      </c>
      <c r="T392" s="170">
        <f t="shared" si="228"/>
        <v>0</v>
      </c>
      <c r="U392" s="170">
        <f t="shared" si="228"/>
        <v>0</v>
      </c>
      <c r="V392" s="170">
        <f t="shared" si="228"/>
        <v>0</v>
      </c>
      <c r="W392" s="170">
        <f t="shared" si="228"/>
        <v>0</v>
      </c>
      <c r="X392" s="170">
        <f t="shared" si="228"/>
        <v>0</v>
      </c>
      <c r="Y392" s="170">
        <f t="shared" si="228"/>
        <v>0</v>
      </c>
      <c r="Z392" s="170">
        <f t="shared" si="228"/>
        <v>0</v>
      </c>
      <c r="AA392" s="170">
        <f t="shared" si="228"/>
        <v>0</v>
      </c>
      <c r="AB392" s="170">
        <f t="shared" si="228"/>
        <v>0</v>
      </c>
      <c r="AC392" s="170">
        <f t="shared" si="228"/>
        <v>0</v>
      </c>
      <c r="AD392" s="170">
        <f t="shared" si="228"/>
        <v>0</v>
      </c>
      <c r="AE392" s="170">
        <f t="shared" si="228"/>
        <v>0</v>
      </c>
      <c r="AF392" s="170">
        <f t="shared" si="228"/>
        <v>0</v>
      </c>
      <c r="AG392" s="170">
        <f t="shared" si="228"/>
        <v>0</v>
      </c>
      <c r="AH392" s="170">
        <f t="shared" si="228"/>
        <v>0</v>
      </c>
      <c r="AI392" s="170">
        <f t="shared" si="228"/>
        <v>0</v>
      </c>
      <c r="AJ392" s="170">
        <f t="shared" si="228"/>
        <v>0</v>
      </c>
      <c r="AK392" s="170">
        <f t="shared" si="228"/>
        <v>0</v>
      </c>
      <c r="AL392" s="170">
        <f t="shared" si="228"/>
        <v>0</v>
      </c>
      <c r="AM392" s="170">
        <f t="shared" si="228"/>
        <v>0</v>
      </c>
      <c r="AN392" s="170">
        <f t="shared" si="228"/>
        <v>0</v>
      </c>
      <c r="AO392" s="170">
        <f t="shared" si="228"/>
        <v>0</v>
      </c>
      <c r="AP392" s="170">
        <f t="shared" si="228"/>
        <v>0</v>
      </c>
    </row>
    <row r="393" spans="1:42" s="101" customFormat="1" ht="12" customHeight="1" x14ac:dyDescent="0.2">
      <c r="A393" s="205" t="s">
        <v>53</v>
      </c>
      <c r="B393" s="124"/>
      <c r="C393" s="124">
        <f>SUM(C383:C392)</f>
        <v>0</v>
      </c>
      <c r="D393" s="124">
        <f t="shared" ref="D393:AP393" si="229">SUM(D383:D392)</f>
        <v>0</v>
      </c>
      <c r="E393" s="124">
        <f t="shared" si="229"/>
        <v>0</v>
      </c>
      <c r="F393" s="124">
        <f t="shared" si="229"/>
        <v>0</v>
      </c>
      <c r="G393" s="124">
        <f t="shared" si="229"/>
        <v>0</v>
      </c>
      <c r="H393" s="124">
        <f t="shared" si="229"/>
        <v>0</v>
      </c>
      <c r="I393" s="124">
        <f t="shared" si="229"/>
        <v>0</v>
      </c>
      <c r="J393" s="124">
        <f t="shared" si="229"/>
        <v>0</v>
      </c>
      <c r="K393" s="124">
        <f t="shared" si="229"/>
        <v>0</v>
      </c>
      <c r="L393" s="124">
        <f t="shared" si="229"/>
        <v>0</v>
      </c>
      <c r="M393" s="124">
        <f t="shared" si="229"/>
        <v>0</v>
      </c>
      <c r="N393" s="124">
        <f t="shared" si="229"/>
        <v>588974.46870026283</v>
      </c>
      <c r="O393" s="124">
        <f t="shared" si="229"/>
        <v>942359.14992042049</v>
      </c>
      <c r="P393" s="124">
        <f t="shared" si="229"/>
        <v>565415.48995225236</v>
      </c>
      <c r="Q393" s="124">
        <f t="shared" si="229"/>
        <v>339249.29397135135</v>
      </c>
      <c r="R393" s="124">
        <f t="shared" si="229"/>
        <v>339249.29397135135</v>
      </c>
      <c r="S393" s="124">
        <f t="shared" si="229"/>
        <v>169624.64698567567</v>
      </c>
      <c r="T393" s="124">
        <f t="shared" si="229"/>
        <v>0</v>
      </c>
      <c r="U393" s="124">
        <f t="shared" si="229"/>
        <v>0</v>
      </c>
      <c r="V393" s="124">
        <f t="shared" si="229"/>
        <v>0</v>
      </c>
      <c r="W393" s="124">
        <f t="shared" si="229"/>
        <v>0</v>
      </c>
      <c r="X393" s="124">
        <f t="shared" si="229"/>
        <v>0</v>
      </c>
      <c r="Y393" s="124">
        <f t="shared" si="229"/>
        <v>0</v>
      </c>
      <c r="Z393" s="124">
        <f t="shared" si="229"/>
        <v>704188.57730493625</v>
      </c>
      <c r="AA393" s="124">
        <f t="shared" si="229"/>
        <v>1126701.7236878979</v>
      </c>
      <c r="AB393" s="124">
        <f t="shared" si="229"/>
        <v>676021.03421273874</v>
      </c>
      <c r="AC393" s="124">
        <f t="shared" si="229"/>
        <v>405612.62052764324</v>
      </c>
      <c r="AD393" s="124">
        <f t="shared" si="229"/>
        <v>405612.62052764324</v>
      </c>
      <c r="AE393" s="124">
        <f t="shared" si="229"/>
        <v>202806.31026382162</v>
      </c>
      <c r="AF393" s="124">
        <f t="shared" si="229"/>
        <v>0</v>
      </c>
      <c r="AG393" s="124">
        <f t="shared" si="229"/>
        <v>0</v>
      </c>
      <c r="AH393" s="124">
        <f t="shared" si="229"/>
        <v>0</v>
      </c>
      <c r="AI393" s="124">
        <f t="shared" si="229"/>
        <v>0</v>
      </c>
      <c r="AJ393" s="124">
        <f t="shared" si="229"/>
        <v>0</v>
      </c>
      <c r="AK393" s="124">
        <f t="shared" si="229"/>
        <v>0</v>
      </c>
      <c r="AL393" s="124">
        <f t="shared" si="229"/>
        <v>841940.65916142659</v>
      </c>
      <c r="AM393" s="124">
        <f t="shared" si="229"/>
        <v>1347105.0546582823</v>
      </c>
      <c r="AN393" s="124">
        <f t="shared" si="229"/>
        <v>808263.03279496951</v>
      </c>
      <c r="AO393" s="124">
        <f t="shared" si="229"/>
        <v>484957.81967698166</v>
      </c>
      <c r="AP393" s="124">
        <f t="shared" si="229"/>
        <v>484957.81967698166</v>
      </c>
    </row>
    <row r="394" spans="1:42" x14ac:dyDescent="0.2">
      <c r="A394" s="187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</row>
    <row r="395" spans="1:42" x14ac:dyDescent="0.2">
      <c r="A395" s="180" t="s">
        <v>304</v>
      </c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</row>
    <row r="396" spans="1:42" x14ac:dyDescent="0.2">
      <c r="A396" s="187" t="s">
        <v>192</v>
      </c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</row>
    <row r="397" spans="1:42" x14ac:dyDescent="0.2">
      <c r="A397" s="101">
        <v>1</v>
      </c>
      <c r="C397" s="169">
        <f>IF(C$2&lt;=AnalysisPeriod,IF(SUM($C688:C688)&gt;0,B397+1,0),0)</f>
        <v>0</v>
      </c>
      <c r="D397" s="169">
        <f>IF(D$2&lt;=AnalysisPeriod,IF(SUM($C688:D688)&gt;0,C397+1,0),0)</f>
        <v>0</v>
      </c>
      <c r="E397" s="169">
        <f>IF(E$2&lt;=AnalysisPeriod,IF(SUM($C688:E688)&gt;0,D397+1,0),0)</f>
        <v>0</v>
      </c>
      <c r="F397" s="169">
        <f>IF(F$2&lt;=AnalysisPeriod,IF(SUM($C688:F688)&gt;0,E397+1,0),0)</f>
        <v>0</v>
      </c>
      <c r="G397" s="169">
        <f>IF(G$2&lt;=AnalysisPeriod,IF(SUM($C688:G688)&gt;0,F397+1,0),0)</f>
        <v>0</v>
      </c>
      <c r="H397" s="169">
        <f>IF(H$2&lt;=AnalysisPeriod,IF(SUM($C688:H688)&gt;0,G397+1,0),0)</f>
        <v>0</v>
      </c>
      <c r="I397" s="169">
        <f>IF(I$2&lt;=AnalysisPeriod,IF(SUM($C688:I688)&gt;0,H397+1,0),0)</f>
        <v>0</v>
      </c>
      <c r="J397" s="169">
        <f>IF(J$2&lt;=AnalysisPeriod,IF(SUM($C688:J688)&gt;0,I397+1,0),0)</f>
        <v>0</v>
      </c>
      <c r="K397" s="169">
        <f>IF(K$2&lt;=AnalysisPeriod,IF(SUM($C688:K688)&gt;0,J397+1,0),0)</f>
        <v>0</v>
      </c>
      <c r="L397" s="169">
        <f>IF(L$2&lt;=AnalysisPeriod,IF(SUM($C688:L688)&gt;0,K397+1,0),0)</f>
        <v>0</v>
      </c>
      <c r="M397" s="169">
        <f>IF(M$2&lt;=AnalysisPeriod,IF(SUM($C688:M688)&gt;0,L397+1,0),0)</f>
        <v>0</v>
      </c>
      <c r="N397" s="169">
        <f>IF(N$2&lt;=AnalysisPeriod,IF(SUM($C688:N688)&gt;0,M397+1,0),0)</f>
        <v>0</v>
      </c>
      <c r="O397" s="169">
        <f>IF(O$2&lt;=AnalysisPeriod,IF(SUM($C688:O688)&gt;0,N397+1,0),0)</f>
        <v>0</v>
      </c>
      <c r="P397" s="169">
        <f>IF(P$2&lt;=AnalysisPeriod,IF(SUM($C688:P688)&gt;0,O397+1,0),0)</f>
        <v>0</v>
      </c>
      <c r="Q397" s="169">
        <f>IF(Q$2&lt;=AnalysisPeriod,IF(SUM($C688:Q688)&gt;0,P397+1,0),0)</f>
        <v>0</v>
      </c>
      <c r="R397" s="169">
        <f>IF(R$2&lt;=AnalysisPeriod,IF(SUM($C688:R688)&gt;0,Q397+1,0),0)</f>
        <v>0</v>
      </c>
      <c r="S397" s="169">
        <f>IF(S$2&lt;=AnalysisPeriod,IF(SUM($C688:S688)&gt;0,R397+1,0),0)</f>
        <v>0</v>
      </c>
      <c r="T397" s="169">
        <f>IF(T$2&lt;=AnalysisPeriod,IF(SUM($C688:T688)&gt;0,S397+1,0),0)</f>
        <v>0</v>
      </c>
      <c r="U397" s="169">
        <f>IF(U$2&lt;=AnalysisPeriod,IF(SUM($C688:U688)&gt;0,T397+1,0),0)</f>
        <v>0</v>
      </c>
      <c r="V397" s="169">
        <f>IF(V$2&lt;=AnalysisPeriod,IF(SUM($C688:V688)&gt;0,U397+1,0),0)</f>
        <v>0</v>
      </c>
      <c r="W397" s="169">
        <f>IF(W$2&lt;=AnalysisPeriod,IF(SUM($C688:W688)&gt;0,V397+1,0),0)</f>
        <v>0</v>
      </c>
      <c r="X397" s="169">
        <f>IF(X$2&lt;=AnalysisPeriod,IF(SUM($C688:X688)&gt;0,W397+1,0),0)</f>
        <v>0</v>
      </c>
      <c r="Y397" s="169">
        <f>IF(Y$2&lt;=AnalysisPeriod,IF(SUM($C688:Y688)&gt;0,X397+1,0),0)</f>
        <v>0</v>
      </c>
      <c r="Z397" s="169">
        <f>IF(Z$2&lt;=AnalysisPeriod,IF(SUM($C688:Z688)&gt;0,Y397+1,0),0)</f>
        <v>0</v>
      </c>
      <c r="AA397" s="169">
        <f>IF(AA$2&lt;=AnalysisPeriod,IF(SUM($C688:AA688)&gt;0,Z397+1,0),0)</f>
        <v>0</v>
      </c>
      <c r="AB397" s="169">
        <f>IF(AB$2&lt;=AnalysisPeriod,IF(SUM($C688:AB688)&gt;0,AA397+1,0),0)</f>
        <v>0</v>
      </c>
      <c r="AC397" s="169">
        <f>IF(AC$2&lt;=AnalysisPeriod,IF(SUM($C688:AC688)&gt;0,AB397+1,0),0)</f>
        <v>0</v>
      </c>
      <c r="AD397" s="169">
        <f>IF(AD$2&lt;=AnalysisPeriod,IF(SUM($C688:AD688)&gt;0,AC397+1,0),0)</f>
        <v>0</v>
      </c>
      <c r="AE397" s="169">
        <f>IF(AE$2&lt;=AnalysisPeriod,IF(SUM($C688:AE688)&gt;0,AD397+1,0),0)</f>
        <v>0</v>
      </c>
      <c r="AF397" s="169">
        <f>IF(AF$2&lt;=AnalysisPeriod,IF(SUM($C688:AF688)&gt;0,AE397+1,0),0)</f>
        <v>0</v>
      </c>
      <c r="AG397" s="169">
        <f>IF(AG$2&lt;=AnalysisPeriod,IF(SUM($C688:AG688)&gt;0,AF397+1,0),0)</f>
        <v>0</v>
      </c>
      <c r="AH397" s="169">
        <f>IF(AH$2&lt;=AnalysisPeriod,IF(SUM($C688:AH688)&gt;0,AG397+1,0),0)</f>
        <v>0</v>
      </c>
      <c r="AI397" s="169">
        <f>IF(AI$2&lt;=AnalysisPeriod,IF(SUM($C688:AI688)&gt;0,AH397+1,0),0)</f>
        <v>0</v>
      </c>
      <c r="AJ397" s="169">
        <f>IF(AJ$2&lt;=AnalysisPeriod,IF(SUM($C688:AJ688)&gt;0,AI397+1,0),0)</f>
        <v>0</v>
      </c>
      <c r="AK397" s="169">
        <f>IF(AK$2&lt;=AnalysisPeriod,IF(SUM($C688:AK688)&gt;0,AJ397+1,0),0)</f>
        <v>0</v>
      </c>
      <c r="AL397" s="169">
        <f>IF(AL$2&lt;=AnalysisPeriod,IF(SUM($C688:AL688)&gt;0,AK397+1,0),0)</f>
        <v>0</v>
      </c>
      <c r="AM397" s="169">
        <f>IF(AM$2&lt;=AnalysisPeriod,IF(SUM($C688:AM688)&gt;0,AL397+1,0),0)</f>
        <v>0</v>
      </c>
      <c r="AN397" s="169">
        <f>IF(AN$2&lt;=AnalysisPeriod,IF(SUM($C688:AN688)&gt;0,AM397+1,0),0)</f>
        <v>0</v>
      </c>
      <c r="AO397" s="169">
        <f>IF(AO$2&lt;=AnalysisPeriod,IF(SUM($C688:AO688)&gt;0,AN397+1,0),0)</f>
        <v>0</v>
      </c>
      <c r="AP397" s="169">
        <f>IF(AP$2&lt;=AnalysisPeriod,IF(SUM($C688:AP688)&gt;0,AO397+1,0),0)</f>
        <v>0</v>
      </c>
    </row>
    <row r="398" spans="1:42" x14ac:dyDescent="0.2">
      <c r="A398" s="101">
        <f>A397+1</f>
        <v>2</v>
      </c>
      <c r="C398" s="169">
        <f>IF(C$2&lt;=AnalysisPeriod,IF(SUM($C689:C689)&gt;0,B398+1,0),0)</f>
        <v>0</v>
      </c>
      <c r="D398" s="169">
        <f>IF(D$2&lt;=AnalysisPeriod,IF(SUM($C689:D689)&gt;0,C398+1,0),0)</f>
        <v>0</v>
      </c>
      <c r="E398" s="169">
        <f>IF(E$2&lt;=AnalysisPeriod,IF(SUM($C689:E689)&gt;0,D398+1,0),0)</f>
        <v>0</v>
      </c>
      <c r="F398" s="169">
        <f>IF(F$2&lt;=AnalysisPeriod,IF(SUM($C689:F689)&gt;0,E398+1,0),0)</f>
        <v>0</v>
      </c>
      <c r="G398" s="169">
        <f>IF(G$2&lt;=AnalysisPeriod,IF(SUM($C689:G689)&gt;0,F398+1,0),0)</f>
        <v>0</v>
      </c>
      <c r="H398" s="169">
        <f>IF(H$2&lt;=AnalysisPeriod,IF(SUM($C689:H689)&gt;0,G398+1,0),0)</f>
        <v>0</v>
      </c>
      <c r="I398" s="169">
        <f>IF(I$2&lt;=AnalysisPeriod,IF(SUM($C689:I689)&gt;0,H398+1,0),0)</f>
        <v>0</v>
      </c>
      <c r="J398" s="169">
        <f>IF(J$2&lt;=AnalysisPeriod,IF(SUM($C689:J689)&gt;0,I398+1,0),0)</f>
        <v>0</v>
      </c>
      <c r="K398" s="169">
        <f>IF(K$2&lt;=AnalysisPeriod,IF(SUM($C689:K689)&gt;0,J398+1,0),0)</f>
        <v>0</v>
      </c>
      <c r="L398" s="169">
        <f>IF(L$2&lt;=AnalysisPeriod,IF(SUM($C689:L689)&gt;0,K398+1,0),0)</f>
        <v>0</v>
      </c>
      <c r="M398" s="169">
        <f>IF(M$2&lt;=AnalysisPeriod,IF(SUM($C689:M689)&gt;0,L398+1,0),0)</f>
        <v>0</v>
      </c>
      <c r="N398" s="169">
        <f>IF(N$2&lt;=AnalysisPeriod,IF(SUM($C689:N689)&gt;0,M398+1,0),0)</f>
        <v>0</v>
      </c>
      <c r="O398" s="169">
        <f>IF(O$2&lt;=AnalysisPeriod,IF(SUM($C689:O689)&gt;0,N398+1,0),0)</f>
        <v>0</v>
      </c>
      <c r="P398" s="169">
        <f>IF(P$2&lt;=AnalysisPeriod,IF(SUM($C689:P689)&gt;0,O398+1,0),0)</f>
        <v>0</v>
      </c>
      <c r="Q398" s="169">
        <f>IF(Q$2&lt;=AnalysisPeriod,IF(SUM($C689:Q689)&gt;0,P398+1,0),0)</f>
        <v>0</v>
      </c>
      <c r="R398" s="169">
        <f>IF(R$2&lt;=AnalysisPeriod,IF(SUM($C689:R689)&gt;0,Q398+1,0),0)</f>
        <v>0</v>
      </c>
      <c r="S398" s="169">
        <f>IF(S$2&lt;=AnalysisPeriod,IF(SUM($C689:S689)&gt;0,R398+1,0),0)</f>
        <v>0</v>
      </c>
      <c r="T398" s="169">
        <f>IF(T$2&lt;=AnalysisPeriod,IF(SUM($C689:T689)&gt;0,S398+1,0),0)</f>
        <v>0</v>
      </c>
      <c r="U398" s="169">
        <f>IF(U$2&lt;=AnalysisPeriod,IF(SUM($C689:U689)&gt;0,T398+1,0),0)</f>
        <v>0</v>
      </c>
      <c r="V398" s="169">
        <f>IF(V$2&lt;=AnalysisPeriod,IF(SUM($C689:V689)&gt;0,U398+1,0),0)</f>
        <v>0</v>
      </c>
      <c r="W398" s="169">
        <f>IF(W$2&lt;=AnalysisPeriod,IF(SUM($C689:W689)&gt;0,V398+1,0),0)</f>
        <v>0</v>
      </c>
      <c r="X398" s="169">
        <f>IF(X$2&lt;=AnalysisPeriod,IF(SUM($C689:X689)&gt;0,W398+1,0),0)</f>
        <v>0</v>
      </c>
      <c r="Y398" s="169">
        <f>IF(Y$2&lt;=AnalysisPeriod,IF(SUM($C689:Y689)&gt;0,X398+1,0),0)</f>
        <v>0</v>
      </c>
      <c r="Z398" s="169">
        <f>IF(Z$2&lt;=AnalysisPeriod,IF(SUM($C689:Z689)&gt;0,Y398+1,0),0)</f>
        <v>0</v>
      </c>
      <c r="AA398" s="169">
        <f>IF(AA$2&lt;=AnalysisPeriod,IF(SUM($C689:AA689)&gt;0,Z398+1,0),0)</f>
        <v>0</v>
      </c>
      <c r="AB398" s="169">
        <f>IF(AB$2&lt;=AnalysisPeriod,IF(SUM($C689:AB689)&gt;0,AA398+1,0),0)</f>
        <v>0</v>
      </c>
      <c r="AC398" s="169">
        <f>IF(AC$2&lt;=AnalysisPeriod,IF(SUM($C689:AC689)&gt;0,AB398+1,0),0)</f>
        <v>0</v>
      </c>
      <c r="AD398" s="169">
        <f>IF(AD$2&lt;=AnalysisPeriod,IF(SUM($C689:AD689)&gt;0,AC398+1,0),0)</f>
        <v>0</v>
      </c>
      <c r="AE398" s="169">
        <f>IF(AE$2&lt;=AnalysisPeriod,IF(SUM($C689:AE689)&gt;0,AD398+1,0),0)</f>
        <v>0</v>
      </c>
      <c r="AF398" s="169">
        <f>IF(AF$2&lt;=AnalysisPeriod,IF(SUM($C689:AF689)&gt;0,AE398+1,0),0)</f>
        <v>0</v>
      </c>
      <c r="AG398" s="169">
        <f>IF(AG$2&lt;=AnalysisPeriod,IF(SUM($C689:AG689)&gt;0,AF398+1,0),0)</f>
        <v>0</v>
      </c>
      <c r="AH398" s="169">
        <f>IF(AH$2&lt;=AnalysisPeriod,IF(SUM($C689:AH689)&gt;0,AG398+1,0),0)</f>
        <v>0</v>
      </c>
      <c r="AI398" s="169">
        <f>IF(AI$2&lt;=AnalysisPeriod,IF(SUM($C689:AI689)&gt;0,AH398+1,0),0)</f>
        <v>0</v>
      </c>
      <c r="AJ398" s="169">
        <f>IF(AJ$2&lt;=AnalysisPeriod,IF(SUM($C689:AJ689)&gt;0,AI398+1,0),0)</f>
        <v>0</v>
      </c>
      <c r="AK398" s="169">
        <f>IF(AK$2&lt;=AnalysisPeriod,IF(SUM($C689:AK689)&gt;0,AJ398+1,0),0)</f>
        <v>0</v>
      </c>
      <c r="AL398" s="169">
        <f>IF(AL$2&lt;=AnalysisPeriod,IF(SUM($C689:AL689)&gt;0,AK398+1,0),0)</f>
        <v>0</v>
      </c>
      <c r="AM398" s="169">
        <f>IF(AM$2&lt;=AnalysisPeriod,IF(SUM($C689:AM689)&gt;0,AL398+1,0),0)</f>
        <v>0</v>
      </c>
      <c r="AN398" s="169">
        <f>IF(AN$2&lt;=AnalysisPeriod,IF(SUM($C689:AN689)&gt;0,AM398+1,0),0)</f>
        <v>0</v>
      </c>
      <c r="AO398" s="169">
        <f>IF(AO$2&lt;=AnalysisPeriod,IF(SUM($C689:AO689)&gt;0,AN398+1,0),0)</f>
        <v>0</v>
      </c>
      <c r="AP398" s="169">
        <f>IF(AP$2&lt;=AnalysisPeriod,IF(SUM($C689:AP689)&gt;0,AO398+1,0),0)</f>
        <v>0</v>
      </c>
    </row>
    <row r="399" spans="1:42" x14ac:dyDescent="0.2">
      <c r="A399" s="101">
        <f t="shared" ref="A399:A406" si="230">A398+1</f>
        <v>3</v>
      </c>
      <c r="C399" s="169">
        <f>IF(C$2&lt;=AnalysisPeriod,IF(SUM($C690:C690)&gt;0,B399+1,0),0)</f>
        <v>0</v>
      </c>
      <c r="D399" s="169">
        <f>IF(D$2&lt;=AnalysisPeriod,IF(SUM($C690:D690)&gt;0,C399+1,0),0)</f>
        <v>0</v>
      </c>
      <c r="E399" s="169">
        <f>IF(E$2&lt;=AnalysisPeriod,IF(SUM($C690:E690)&gt;0,D399+1,0),0)</f>
        <v>0</v>
      </c>
      <c r="F399" s="169">
        <f>IF(F$2&lt;=AnalysisPeriod,IF(SUM($C690:F690)&gt;0,E399+1,0),0)</f>
        <v>0</v>
      </c>
      <c r="G399" s="169">
        <f>IF(G$2&lt;=AnalysisPeriod,IF(SUM($C690:G690)&gt;0,F399+1,0),0)</f>
        <v>0</v>
      </c>
      <c r="H399" s="169">
        <f>IF(H$2&lt;=AnalysisPeriod,IF(SUM($C690:H690)&gt;0,G399+1,0),0)</f>
        <v>0</v>
      </c>
      <c r="I399" s="169">
        <f>IF(I$2&lt;=AnalysisPeriod,IF(SUM($C690:I690)&gt;0,H399+1,0),0)</f>
        <v>0</v>
      </c>
      <c r="J399" s="169">
        <f>IF(J$2&lt;=AnalysisPeriod,IF(SUM($C690:J690)&gt;0,I399+1,0),0)</f>
        <v>0</v>
      </c>
      <c r="K399" s="169">
        <f>IF(K$2&lt;=AnalysisPeriod,IF(SUM($C690:K690)&gt;0,J399+1,0),0)</f>
        <v>0</v>
      </c>
      <c r="L399" s="169">
        <f>IF(L$2&lt;=AnalysisPeriod,IF(SUM($C690:L690)&gt;0,K399+1,0),0)</f>
        <v>0</v>
      </c>
      <c r="M399" s="169">
        <f>IF(M$2&lt;=AnalysisPeriod,IF(SUM($C690:M690)&gt;0,L399+1,0),0)</f>
        <v>0</v>
      </c>
      <c r="N399" s="169">
        <f>IF(N$2&lt;=AnalysisPeriod,IF(SUM($C690:N690)&gt;0,M399+1,0),0)</f>
        <v>0</v>
      </c>
      <c r="O399" s="169">
        <f>IF(O$2&lt;=AnalysisPeriod,IF(SUM($C690:O690)&gt;0,N399+1,0),0)</f>
        <v>0</v>
      </c>
      <c r="P399" s="169">
        <f>IF(P$2&lt;=AnalysisPeriod,IF(SUM($C690:P690)&gt;0,O399+1,0),0)</f>
        <v>0</v>
      </c>
      <c r="Q399" s="169">
        <f>IF(Q$2&lt;=AnalysisPeriod,IF(SUM($C690:Q690)&gt;0,P399+1,0),0)</f>
        <v>0</v>
      </c>
      <c r="R399" s="169">
        <f>IF(R$2&lt;=AnalysisPeriod,IF(SUM($C690:R690)&gt;0,Q399+1,0),0)</f>
        <v>0</v>
      </c>
      <c r="S399" s="169">
        <f>IF(S$2&lt;=AnalysisPeriod,IF(SUM($C690:S690)&gt;0,R399+1,0),0)</f>
        <v>0</v>
      </c>
      <c r="T399" s="169">
        <f>IF(T$2&lt;=AnalysisPeriod,IF(SUM($C690:T690)&gt;0,S399+1,0),0)</f>
        <v>0</v>
      </c>
      <c r="U399" s="169">
        <f>IF(U$2&lt;=AnalysisPeriod,IF(SUM($C690:U690)&gt;0,T399+1,0),0)</f>
        <v>0</v>
      </c>
      <c r="V399" s="169">
        <f>IF(V$2&lt;=AnalysisPeriod,IF(SUM($C690:V690)&gt;0,U399+1,0),0)</f>
        <v>0</v>
      </c>
      <c r="W399" s="169">
        <f>IF(W$2&lt;=AnalysisPeriod,IF(SUM($C690:W690)&gt;0,V399+1,0),0)</f>
        <v>0</v>
      </c>
      <c r="X399" s="169">
        <f>IF(X$2&lt;=AnalysisPeriod,IF(SUM($C690:X690)&gt;0,W399+1,0),0)</f>
        <v>0</v>
      </c>
      <c r="Y399" s="169">
        <f>IF(Y$2&lt;=AnalysisPeriod,IF(SUM($C690:Y690)&gt;0,X399+1,0),0)</f>
        <v>0</v>
      </c>
      <c r="Z399" s="169">
        <f>IF(Z$2&lt;=AnalysisPeriod,IF(SUM($C690:Z690)&gt;0,Y399+1,0),0)</f>
        <v>0</v>
      </c>
      <c r="AA399" s="169">
        <f>IF(AA$2&lt;=AnalysisPeriod,IF(SUM($C690:AA690)&gt;0,Z399+1,0),0)</f>
        <v>0</v>
      </c>
      <c r="AB399" s="169">
        <f>IF(AB$2&lt;=AnalysisPeriod,IF(SUM($C690:AB690)&gt;0,AA399+1,0),0)</f>
        <v>0</v>
      </c>
      <c r="AC399" s="169">
        <f>IF(AC$2&lt;=AnalysisPeriod,IF(SUM($C690:AC690)&gt;0,AB399+1,0),0)</f>
        <v>0</v>
      </c>
      <c r="AD399" s="169">
        <f>IF(AD$2&lt;=AnalysisPeriod,IF(SUM($C690:AD690)&gt;0,AC399+1,0),0)</f>
        <v>0</v>
      </c>
      <c r="AE399" s="169">
        <f>IF(AE$2&lt;=AnalysisPeriod,IF(SUM($C690:AE690)&gt;0,AD399+1,0),0)</f>
        <v>0</v>
      </c>
      <c r="AF399" s="169">
        <f>IF(AF$2&lt;=AnalysisPeriod,IF(SUM($C690:AF690)&gt;0,AE399+1,0),0)</f>
        <v>0</v>
      </c>
      <c r="AG399" s="169">
        <f>IF(AG$2&lt;=AnalysisPeriod,IF(SUM($C690:AG690)&gt;0,AF399+1,0),0)</f>
        <v>0</v>
      </c>
      <c r="AH399" s="169">
        <f>IF(AH$2&lt;=AnalysisPeriod,IF(SUM($C690:AH690)&gt;0,AG399+1,0),0)</f>
        <v>0</v>
      </c>
      <c r="AI399" s="169">
        <f>IF(AI$2&lt;=AnalysisPeriod,IF(SUM($C690:AI690)&gt;0,AH399+1,0),0)</f>
        <v>0</v>
      </c>
      <c r="AJ399" s="169">
        <f>IF(AJ$2&lt;=AnalysisPeriod,IF(SUM($C690:AJ690)&gt;0,AI399+1,0),0)</f>
        <v>0</v>
      </c>
      <c r="AK399" s="169">
        <f>IF(AK$2&lt;=AnalysisPeriod,IF(SUM($C690:AK690)&gt;0,AJ399+1,0),0)</f>
        <v>0</v>
      </c>
      <c r="AL399" s="169">
        <f>IF(AL$2&lt;=AnalysisPeriod,IF(SUM($C690:AL690)&gt;0,AK399+1,0),0)</f>
        <v>0</v>
      </c>
      <c r="AM399" s="169">
        <f>IF(AM$2&lt;=AnalysisPeriod,IF(SUM($C690:AM690)&gt;0,AL399+1,0),0)</f>
        <v>0</v>
      </c>
      <c r="AN399" s="169">
        <f>IF(AN$2&lt;=AnalysisPeriod,IF(SUM($C690:AN690)&gt;0,AM399+1,0),0)</f>
        <v>0</v>
      </c>
      <c r="AO399" s="169">
        <f>IF(AO$2&lt;=AnalysisPeriod,IF(SUM($C690:AO690)&gt;0,AN399+1,0),0)</f>
        <v>0</v>
      </c>
      <c r="AP399" s="169">
        <f>IF(AP$2&lt;=AnalysisPeriod,IF(SUM($C690:AP690)&gt;0,AO399+1,0),0)</f>
        <v>0</v>
      </c>
    </row>
    <row r="400" spans="1:42" x14ac:dyDescent="0.2">
      <c r="A400" s="101">
        <f t="shared" si="230"/>
        <v>4</v>
      </c>
      <c r="C400" s="169">
        <f>IF(C$2&lt;=AnalysisPeriod,IF(SUM($C691:C691)&gt;0,B400+1,0),0)</f>
        <v>0</v>
      </c>
      <c r="D400" s="169">
        <f>IF(D$2&lt;=AnalysisPeriod,IF(SUM($C691:D691)&gt;0,C400+1,0),0)</f>
        <v>0</v>
      </c>
      <c r="E400" s="169">
        <f>IF(E$2&lt;=AnalysisPeriod,IF(SUM($C691:E691)&gt;0,D400+1,0),0)</f>
        <v>0</v>
      </c>
      <c r="F400" s="169">
        <f>IF(F$2&lt;=AnalysisPeriod,IF(SUM($C691:F691)&gt;0,E400+1,0),0)</f>
        <v>0</v>
      </c>
      <c r="G400" s="169">
        <f>IF(G$2&lt;=AnalysisPeriod,IF(SUM($C691:G691)&gt;0,F400+1,0),0)</f>
        <v>0</v>
      </c>
      <c r="H400" s="169">
        <f>IF(H$2&lt;=AnalysisPeriod,IF(SUM($C691:H691)&gt;0,G400+1,0),0)</f>
        <v>0</v>
      </c>
      <c r="I400" s="169">
        <f>IF(I$2&lt;=AnalysisPeriod,IF(SUM($C691:I691)&gt;0,H400+1,0),0)</f>
        <v>0</v>
      </c>
      <c r="J400" s="169">
        <f>IF(J$2&lt;=AnalysisPeriod,IF(SUM($C691:J691)&gt;0,I400+1,0),0)</f>
        <v>0</v>
      </c>
      <c r="K400" s="169">
        <f>IF(K$2&lt;=AnalysisPeriod,IF(SUM($C691:K691)&gt;0,J400+1,0),0)</f>
        <v>0</v>
      </c>
      <c r="L400" s="169">
        <f>IF(L$2&lt;=AnalysisPeriod,IF(SUM($C691:L691)&gt;0,K400+1,0),0)</f>
        <v>0</v>
      </c>
      <c r="M400" s="169">
        <f>IF(M$2&lt;=AnalysisPeriod,IF(SUM($C691:M691)&gt;0,L400+1,0),0)</f>
        <v>0</v>
      </c>
      <c r="N400" s="169">
        <f>IF(N$2&lt;=AnalysisPeriod,IF(SUM($C691:N691)&gt;0,M400+1,0),0)</f>
        <v>0</v>
      </c>
      <c r="O400" s="169">
        <f>IF(O$2&lt;=AnalysisPeriod,IF(SUM($C691:O691)&gt;0,N400+1,0),0)</f>
        <v>0</v>
      </c>
      <c r="P400" s="169">
        <f>IF(P$2&lt;=AnalysisPeriod,IF(SUM($C691:P691)&gt;0,O400+1,0),0)</f>
        <v>0</v>
      </c>
      <c r="Q400" s="169">
        <f>IF(Q$2&lt;=AnalysisPeriod,IF(SUM($C691:Q691)&gt;0,P400+1,0),0)</f>
        <v>0</v>
      </c>
      <c r="R400" s="169">
        <f>IF(R$2&lt;=AnalysisPeriod,IF(SUM($C691:R691)&gt;0,Q400+1,0),0)</f>
        <v>0</v>
      </c>
      <c r="S400" s="169">
        <f>IF(S$2&lt;=AnalysisPeriod,IF(SUM($C691:S691)&gt;0,R400+1,0),0)</f>
        <v>0</v>
      </c>
      <c r="T400" s="169">
        <f>IF(T$2&lt;=AnalysisPeriod,IF(SUM($C691:T691)&gt;0,S400+1,0),0)</f>
        <v>0</v>
      </c>
      <c r="U400" s="169">
        <f>IF(U$2&lt;=AnalysisPeriod,IF(SUM($C691:U691)&gt;0,T400+1,0),0)</f>
        <v>0</v>
      </c>
      <c r="V400" s="169">
        <f>IF(V$2&lt;=AnalysisPeriod,IF(SUM($C691:V691)&gt;0,U400+1,0),0)</f>
        <v>0</v>
      </c>
      <c r="W400" s="169">
        <f>IF(W$2&lt;=AnalysisPeriod,IF(SUM($C691:W691)&gt;0,V400+1,0),0)</f>
        <v>0</v>
      </c>
      <c r="X400" s="169">
        <f>IF(X$2&lt;=AnalysisPeriod,IF(SUM($C691:X691)&gt;0,W400+1,0),0)</f>
        <v>0</v>
      </c>
      <c r="Y400" s="169">
        <f>IF(Y$2&lt;=AnalysisPeriod,IF(SUM($C691:Y691)&gt;0,X400+1,0),0)</f>
        <v>0</v>
      </c>
      <c r="Z400" s="169">
        <f>IF(Z$2&lt;=AnalysisPeriod,IF(SUM($C691:Z691)&gt;0,Y400+1,0),0)</f>
        <v>0</v>
      </c>
      <c r="AA400" s="169">
        <f>IF(AA$2&lt;=AnalysisPeriod,IF(SUM($C691:AA691)&gt;0,Z400+1,0),0)</f>
        <v>0</v>
      </c>
      <c r="AB400" s="169">
        <f>IF(AB$2&lt;=AnalysisPeriod,IF(SUM($C691:AB691)&gt;0,AA400+1,0),0)</f>
        <v>0</v>
      </c>
      <c r="AC400" s="169">
        <f>IF(AC$2&lt;=AnalysisPeriod,IF(SUM($C691:AC691)&gt;0,AB400+1,0),0)</f>
        <v>0</v>
      </c>
      <c r="AD400" s="169">
        <f>IF(AD$2&lt;=AnalysisPeriod,IF(SUM($C691:AD691)&gt;0,AC400+1,0),0)</f>
        <v>0</v>
      </c>
      <c r="AE400" s="169">
        <f>IF(AE$2&lt;=AnalysisPeriod,IF(SUM($C691:AE691)&gt;0,AD400+1,0),0)</f>
        <v>0</v>
      </c>
      <c r="AF400" s="169">
        <f>IF(AF$2&lt;=AnalysisPeriod,IF(SUM($C691:AF691)&gt;0,AE400+1,0),0)</f>
        <v>0</v>
      </c>
      <c r="AG400" s="169">
        <f>IF(AG$2&lt;=AnalysisPeriod,IF(SUM($C691:AG691)&gt;0,AF400+1,0),0)</f>
        <v>0</v>
      </c>
      <c r="AH400" s="169">
        <f>IF(AH$2&lt;=AnalysisPeriod,IF(SUM($C691:AH691)&gt;0,AG400+1,0),0)</f>
        <v>0</v>
      </c>
      <c r="AI400" s="169">
        <f>IF(AI$2&lt;=AnalysisPeriod,IF(SUM($C691:AI691)&gt;0,AH400+1,0),0)</f>
        <v>0</v>
      </c>
      <c r="AJ400" s="169">
        <f>IF(AJ$2&lt;=AnalysisPeriod,IF(SUM($C691:AJ691)&gt;0,AI400+1,0),0)</f>
        <v>0</v>
      </c>
      <c r="AK400" s="169">
        <f>IF(AK$2&lt;=AnalysisPeriod,IF(SUM($C691:AK691)&gt;0,AJ400+1,0),0)</f>
        <v>0</v>
      </c>
      <c r="AL400" s="169">
        <f>IF(AL$2&lt;=AnalysisPeriod,IF(SUM($C691:AL691)&gt;0,AK400+1,0),0)</f>
        <v>0</v>
      </c>
      <c r="AM400" s="169">
        <f>IF(AM$2&lt;=AnalysisPeriod,IF(SUM($C691:AM691)&gt;0,AL400+1,0),0)</f>
        <v>0</v>
      </c>
      <c r="AN400" s="169">
        <f>IF(AN$2&lt;=AnalysisPeriod,IF(SUM($C691:AN691)&gt;0,AM400+1,0),0)</f>
        <v>0</v>
      </c>
      <c r="AO400" s="169">
        <f>IF(AO$2&lt;=AnalysisPeriod,IF(SUM($C691:AO691)&gt;0,AN400+1,0),0)</f>
        <v>0</v>
      </c>
      <c r="AP400" s="169">
        <f>IF(AP$2&lt;=AnalysisPeriod,IF(SUM($C691:AP691)&gt;0,AO400+1,0),0)</f>
        <v>0</v>
      </c>
    </row>
    <row r="401" spans="1:42" x14ac:dyDescent="0.2">
      <c r="A401" s="101">
        <f t="shared" si="230"/>
        <v>5</v>
      </c>
      <c r="C401" s="169">
        <f>IF(C$2&lt;=AnalysisPeriod,IF(SUM($C692:C692)&gt;0,B401+1,0),0)</f>
        <v>0</v>
      </c>
      <c r="D401" s="169">
        <f>IF(D$2&lt;=AnalysisPeriod,IF(SUM($C692:D692)&gt;0,C401+1,0),0)</f>
        <v>0</v>
      </c>
      <c r="E401" s="169">
        <f>IF(E$2&lt;=AnalysisPeriod,IF(SUM($C692:E692)&gt;0,D401+1,0),0)</f>
        <v>0</v>
      </c>
      <c r="F401" s="169">
        <f>IF(F$2&lt;=AnalysisPeriod,IF(SUM($C692:F692)&gt;0,E401+1,0),0)</f>
        <v>0</v>
      </c>
      <c r="G401" s="169">
        <f>IF(G$2&lt;=AnalysisPeriod,IF(SUM($C692:G692)&gt;0,F401+1,0),0)</f>
        <v>0</v>
      </c>
      <c r="H401" s="169">
        <f>IF(H$2&lt;=AnalysisPeriod,IF(SUM($C692:H692)&gt;0,G401+1,0),0)</f>
        <v>0</v>
      </c>
      <c r="I401" s="169">
        <f>IF(I$2&lt;=AnalysisPeriod,IF(SUM($C692:I692)&gt;0,H401+1,0),0)</f>
        <v>0</v>
      </c>
      <c r="J401" s="169">
        <f>IF(J$2&lt;=AnalysisPeriod,IF(SUM($C692:J692)&gt;0,I401+1,0),0)</f>
        <v>0</v>
      </c>
      <c r="K401" s="169">
        <f>IF(K$2&lt;=AnalysisPeriod,IF(SUM($C692:K692)&gt;0,J401+1,0),0)</f>
        <v>0</v>
      </c>
      <c r="L401" s="169">
        <f>IF(L$2&lt;=AnalysisPeriod,IF(SUM($C692:L692)&gt;0,K401+1,0),0)</f>
        <v>0</v>
      </c>
      <c r="M401" s="169">
        <f>IF(M$2&lt;=AnalysisPeriod,IF(SUM($C692:M692)&gt;0,L401+1,0),0)</f>
        <v>0</v>
      </c>
      <c r="N401" s="169">
        <f>IF(N$2&lt;=AnalysisPeriod,IF(SUM($C692:N692)&gt;0,M401+1,0),0)</f>
        <v>0</v>
      </c>
      <c r="O401" s="169">
        <f>IF(O$2&lt;=AnalysisPeriod,IF(SUM($C692:O692)&gt;0,N401+1,0),0)</f>
        <v>0</v>
      </c>
      <c r="P401" s="169">
        <f>IF(P$2&lt;=AnalysisPeriod,IF(SUM($C692:P692)&gt;0,O401+1,0),0)</f>
        <v>0</v>
      </c>
      <c r="Q401" s="169">
        <f>IF(Q$2&lt;=AnalysisPeriod,IF(SUM($C692:Q692)&gt;0,P401+1,0),0)</f>
        <v>0</v>
      </c>
      <c r="R401" s="169">
        <f>IF(R$2&lt;=AnalysisPeriod,IF(SUM($C692:R692)&gt;0,Q401+1,0),0)</f>
        <v>0</v>
      </c>
      <c r="S401" s="169">
        <f>IF(S$2&lt;=AnalysisPeriod,IF(SUM($C692:S692)&gt;0,R401+1,0),0)</f>
        <v>0</v>
      </c>
      <c r="T401" s="169">
        <f>IF(T$2&lt;=AnalysisPeriod,IF(SUM($C692:T692)&gt;0,S401+1,0),0)</f>
        <v>0</v>
      </c>
      <c r="U401" s="169">
        <f>IF(U$2&lt;=AnalysisPeriod,IF(SUM($C692:U692)&gt;0,T401+1,0),0)</f>
        <v>0</v>
      </c>
      <c r="V401" s="169">
        <f>IF(V$2&lt;=AnalysisPeriod,IF(SUM($C692:V692)&gt;0,U401+1,0),0)</f>
        <v>0</v>
      </c>
      <c r="W401" s="169">
        <f>IF(W$2&lt;=AnalysisPeriod,IF(SUM($C692:W692)&gt;0,V401+1,0),0)</f>
        <v>0</v>
      </c>
      <c r="X401" s="169">
        <f>IF(X$2&lt;=AnalysisPeriod,IF(SUM($C692:X692)&gt;0,W401+1,0),0)</f>
        <v>0</v>
      </c>
      <c r="Y401" s="169">
        <f>IF(Y$2&lt;=AnalysisPeriod,IF(SUM($C692:Y692)&gt;0,X401+1,0),0)</f>
        <v>0</v>
      </c>
      <c r="Z401" s="169">
        <f>IF(Z$2&lt;=AnalysisPeriod,IF(SUM($C692:Z692)&gt;0,Y401+1,0),0)</f>
        <v>0</v>
      </c>
      <c r="AA401" s="169">
        <f>IF(AA$2&lt;=AnalysisPeriod,IF(SUM($C692:AA692)&gt;0,Z401+1,0),0)</f>
        <v>0</v>
      </c>
      <c r="AB401" s="169">
        <f>IF(AB$2&lt;=AnalysisPeriod,IF(SUM($C692:AB692)&gt;0,AA401+1,0),0)</f>
        <v>0</v>
      </c>
      <c r="AC401" s="169">
        <f>IF(AC$2&lt;=AnalysisPeriod,IF(SUM($C692:AC692)&gt;0,AB401+1,0),0)</f>
        <v>0</v>
      </c>
      <c r="AD401" s="169">
        <f>IF(AD$2&lt;=AnalysisPeriod,IF(SUM($C692:AD692)&gt;0,AC401+1,0),0)</f>
        <v>0</v>
      </c>
      <c r="AE401" s="169">
        <f>IF(AE$2&lt;=AnalysisPeriod,IF(SUM($C692:AE692)&gt;0,AD401+1,0),0)</f>
        <v>0</v>
      </c>
      <c r="AF401" s="169">
        <f>IF(AF$2&lt;=AnalysisPeriod,IF(SUM($C692:AF692)&gt;0,AE401+1,0),0)</f>
        <v>0</v>
      </c>
      <c r="AG401" s="169">
        <f>IF(AG$2&lt;=AnalysisPeriod,IF(SUM($C692:AG692)&gt;0,AF401+1,0),0)</f>
        <v>0</v>
      </c>
      <c r="AH401" s="169">
        <f>IF(AH$2&lt;=AnalysisPeriod,IF(SUM($C692:AH692)&gt;0,AG401+1,0),0)</f>
        <v>0</v>
      </c>
      <c r="AI401" s="169">
        <f>IF(AI$2&lt;=AnalysisPeriod,IF(SUM($C692:AI692)&gt;0,AH401+1,0),0)</f>
        <v>0</v>
      </c>
      <c r="AJ401" s="169">
        <f>IF(AJ$2&lt;=AnalysisPeriod,IF(SUM($C692:AJ692)&gt;0,AI401+1,0),0)</f>
        <v>0</v>
      </c>
      <c r="AK401" s="169">
        <f>IF(AK$2&lt;=AnalysisPeriod,IF(SUM($C692:AK692)&gt;0,AJ401+1,0),0)</f>
        <v>0</v>
      </c>
      <c r="AL401" s="169">
        <f>IF(AL$2&lt;=AnalysisPeriod,IF(SUM($C692:AL692)&gt;0,AK401+1,0),0)</f>
        <v>0</v>
      </c>
      <c r="AM401" s="169">
        <f>IF(AM$2&lt;=AnalysisPeriod,IF(SUM($C692:AM692)&gt;0,AL401+1,0),0)</f>
        <v>0</v>
      </c>
      <c r="AN401" s="169">
        <f>IF(AN$2&lt;=AnalysisPeriod,IF(SUM($C692:AN692)&gt;0,AM401+1,0),0)</f>
        <v>0</v>
      </c>
      <c r="AO401" s="169">
        <f>IF(AO$2&lt;=AnalysisPeriod,IF(SUM($C692:AO692)&gt;0,AN401+1,0),0)</f>
        <v>0</v>
      </c>
      <c r="AP401" s="169">
        <f>IF(AP$2&lt;=AnalysisPeriod,IF(SUM($C692:AP692)&gt;0,AO401+1,0),0)</f>
        <v>0</v>
      </c>
    </row>
    <row r="402" spans="1:42" x14ac:dyDescent="0.2">
      <c r="A402" s="101">
        <f t="shared" si="230"/>
        <v>6</v>
      </c>
      <c r="C402" s="169">
        <f>IF(C$2&lt;=AnalysisPeriod,IF(SUM($C693:C693)&gt;0,B402+1,0),0)</f>
        <v>0</v>
      </c>
      <c r="D402" s="169">
        <f>IF(D$2&lt;=AnalysisPeriod,IF(SUM($C693:D693)&gt;0,C402+1,0),0)</f>
        <v>0</v>
      </c>
      <c r="E402" s="169">
        <f>IF(E$2&lt;=AnalysisPeriod,IF(SUM($C693:E693)&gt;0,D402+1,0),0)</f>
        <v>0</v>
      </c>
      <c r="F402" s="169">
        <f>IF(F$2&lt;=AnalysisPeriod,IF(SUM($C693:F693)&gt;0,E402+1,0),0)</f>
        <v>0</v>
      </c>
      <c r="G402" s="169">
        <f>IF(G$2&lt;=AnalysisPeriod,IF(SUM($C693:G693)&gt;0,F402+1,0),0)</f>
        <v>0</v>
      </c>
      <c r="H402" s="169">
        <f>IF(H$2&lt;=AnalysisPeriod,IF(SUM($C693:H693)&gt;0,G402+1,0),0)</f>
        <v>0</v>
      </c>
      <c r="I402" s="169">
        <f>IF(I$2&lt;=AnalysisPeriod,IF(SUM($C693:I693)&gt;0,H402+1,0),0)</f>
        <v>0</v>
      </c>
      <c r="J402" s="169">
        <f>IF(J$2&lt;=AnalysisPeriod,IF(SUM($C693:J693)&gt;0,I402+1,0),0)</f>
        <v>0</v>
      </c>
      <c r="K402" s="169">
        <f>IF(K$2&lt;=AnalysisPeriod,IF(SUM($C693:K693)&gt;0,J402+1,0),0)</f>
        <v>0</v>
      </c>
      <c r="L402" s="169">
        <f>IF(L$2&lt;=AnalysisPeriod,IF(SUM($C693:L693)&gt;0,K402+1,0),0)</f>
        <v>0</v>
      </c>
      <c r="M402" s="169">
        <f>IF(M$2&lt;=AnalysisPeriod,IF(SUM($C693:M693)&gt;0,L402+1,0),0)</f>
        <v>0</v>
      </c>
      <c r="N402" s="169">
        <f>IF(N$2&lt;=AnalysisPeriod,IF(SUM($C693:N693)&gt;0,M402+1,0),0)</f>
        <v>0</v>
      </c>
      <c r="O402" s="169">
        <f>IF(O$2&lt;=AnalysisPeriod,IF(SUM($C693:O693)&gt;0,N402+1,0),0)</f>
        <v>0</v>
      </c>
      <c r="P402" s="169">
        <f>IF(P$2&lt;=AnalysisPeriod,IF(SUM($C693:P693)&gt;0,O402+1,0),0)</f>
        <v>0</v>
      </c>
      <c r="Q402" s="169">
        <f>IF(Q$2&lt;=AnalysisPeriod,IF(SUM($C693:Q693)&gt;0,P402+1,0),0)</f>
        <v>0</v>
      </c>
      <c r="R402" s="169">
        <f>IF(R$2&lt;=AnalysisPeriod,IF(SUM($C693:R693)&gt;0,Q402+1,0),0)</f>
        <v>0</v>
      </c>
      <c r="S402" s="169">
        <f>IF(S$2&lt;=AnalysisPeriod,IF(SUM($C693:S693)&gt;0,R402+1,0),0)</f>
        <v>0</v>
      </c>
      <c r="T402" s="169">
        <f>IF(T$2&lt;=AnalysisPeriod,IF(SUM($C693:T693)&gt;0,S402+1,0),0)</f>
        <v>0</v>
      </c>
      <c r="U402" s="169">
        <f>IF(U$2&lt;=AnalysisPeriod,IF(SUM($C693:U693)&gt;0,T402+1,0),0)</f>
        <v>0</v>
      </c>
      <c r="V402" s="169">
        <f>IF(V$2&lt;=AnalysisPeriod,IF(SUM($C693:V693)&gt;0,U402+1,0),0)</f>
        <v>0</v>
      </c>
      <c r="W402" s="169">
        <f>IF(W$2&lt;=AnalysisPeriod,IF(SUM($C693:W693)&gt;0,V402+1,0),0)</f>
        <v>0</v>
      </c>
      <c r="X402" s="169">
        <f>IF(X$2&lt;=AnalysisPeriod,IF(SUM($C693:X693)&gt;0,W402+1,0),0)</f>
        <v>0</v>
      </c>
      <c r="Y402" s="169">
        <f>IF(Y$2&lt;=AnalysisPeriod,IF(SUM($C693:Y693)&gt;0,X402+1,0),0)</f>
        <v>0</v>
      </c>
      <c r="Z402" s="169">
        <f>IF(Z$2&lt;=AnalysisPeriod,IF(SUM($C693:Z693)&gt;0,Y402+1,0),0)</f>
        <v>0</v>
      </c>
      <c r="AA402" s="169">
        <f>IF(AA$2&lt;=AnalysisPeriod,IF(SUM($C693:AA693)&gt;0,Z402+1,0),0)</f>
        <v>0</v>
      </c>
      <c r="AB402" s="169">
        <f>IF(AB$2&lt;=AnalysisPeriod,IF(SUM($C693:AB693)&gt;0,AA402+1,0),0)</f>
        <v>0</v>
      </c>
      <c r="AC402" s="169">
        <f>IF(AC$2&lt;=AnalysisPeriod,IF(SUM($C693:AC693)&gt;0,AB402+1,0),0)</f>
        <v>0</v>
      </c>
      <c r="AD402" s="169">
        <f>IF(AD$2&lt;=AnalysisPeriod,IF(SUM($C693:AD693)&gt;0,AC402+1,0),0)</f>
        <v>0</v>
      </c>
      <c r="AE402" s="169">
        <f>IF(AE$2&lt;=AnalysisPeriod,IF(SUM($C693:AE693)&gt;0,AD402+1,0),0)</f>
        <v>0</v>
      </c>
      <c r="AF402" s="169">
        <f>IF(AF$2&lt;=AnalysisPeriod,IF(SUM($C693:AF693)&gt;0,AE402+1,0),0)</f>
        <v>0</v>
      </c>
      <c r="AG402" s="169">
        <f>IF(AG$2&lt;=AnalysisPeriod,IF(SUM($C693:AG693)&gt;0,AF402+1,0),0)</f>
        <v>0</v>
      </c>
      <c r="AH402" s="169">
        <f>IF(AH$2&lt;=AnalysisPeriod,IF(SUM($C693:AH693)&gt;0,AG402+1,0),0)</f>
        <v>0</v>
      </c>
      <c r="AI402" s="169">
        <f>IF(AI$2&lt;=AnalysisPeriod,IF(SUM($C693:AI693)&gt;0,AH402+1,0),0)</f>
        <v>0</v>
      </c>
      <c r="AJ402" s="169">
        <f>IF(AJ$2&lt;=AnalysisPeriod,IF(SUM($C693:AJ693)&gt;0,AI402+1,0),0)</f>
        <v>0</v>
      </c>
      <c r="AK402" s="169">
        <f>IF(AK$2&lt;=AnalysisPeriod,IF(SUM($C693:AK693)&gt;0,AJ402+1,0),0)</f>
        <v>0</v>
      </c>
      <c r="AL402" s="169">
        <f>IF(AL$2&lt;=AnalysisPeriod,IF(SUM($C693:AL693)&gt;0,AK402+1,0),0)</f>
        <v>0</v>
      </c>
      <c r="AM402" s="169">
        <f>IF(AM$2&lt;=AnalysisPeriod,IF(SUM($C693:AM693)&gt;0,AL402+1,0),0)</f>
        <v>0</v>
      </c>
      <c r="AN402" s="169">
        <f>IF(AN$2&lt;=AnalysisPeriod,IF(SUM($C693:AN693)&gt;0,AM402+1,0),0)</f>
        <v>0</v>
      </c>
      <c r="AO402" s="169">
        <f>IF(AO$2&lt;=AnalysisPeriod,IF(SUM($C693:AO693)&gt;0,AN402+1,0),0)</f>
        <v>0</v>
      </c>
      <c r="AP402" s="169">
        <f>IF(AP$2&lt;=AnalysisPeriod,IF(SUM($C693:AP693)&gt;0,AO402+1,0),0)</f>
        <v>0</v>
      </c>
    </row>
    <row r="403" spans="1:42" x14ac:dyDescent="0.2">
      <c r="A403" s="101">
        <f t="shared" si="230"/>
        <v>7</v>
      </c>
      <c r="C403" s="169">
        <f>IF(C$2&lt;=AnalysisPeriod,IF(SUM($C694:C694)&gt;0,B403+1,0),0)</f>
        <v>0</v>
      </c>
      <c r="D403" s="169">
        <f>IF(D$2&lt;=AnalysisPeriod,IF(SUM($C694:D694)&gt;0,C403+1,0),0)</f>
        <v>0</v>
      </c>
      <c r="E403" s="169">
        <f>IF(E$2&lt;=AnalysisPeriod,IF(SUM($C694:E694)&gt;0,D403+1,0),0)</f>
        <v>0</v>
      </c>
      <c r="F403" s="169">
        <f>IF(F$2&lt;=AnalysisPeriod,IF(SUM($C694:F694)&gt;0,E403+1,0),0)</f>
        <v>0</v>
      </c>
      <c r="G403" s="169">
        <f>IF(G$2&lt;=AnalysisPeriod,IF(SUM($C694:G694)&gt;0,F403+1,0),0)</f>
        <v>0</v>
      </c>
      <c r="H403" s="169">
        <f>IF(H$2&lt;=AnalysisPeriod,IF(SUM($C694:H694)&gt;0,G403+1,0),0)</f>
        <v>0</v>
      </c>
      <c r="I403" s="169">
        <f>IF(I$2&lt;=AnalysisPeriod,IF(SUM($C694:I694)&gt;0,H403+1,0),0)</f>
        <v>0</v>
      </c>
      <c r="J403" s="169">
        <f>IF(J$2&lt;=AnalysisPeriod,IF(SUM($C694:J694)&gt;0,I403+1,0),0)</f>
        <v>0</v>
      </c>
      <c r="K403" s="169">
        <f>IF(K$2&lt;=AnalysisPeriod,IF(SUM($C694:K694)&gt;0,J403+1,0),0)</f>
        <v>0</v>
      </c>
      <c r="L403" s="169">
        <f>IF(L$2&lt;=AnalysisPeriod,IF(SUM($C694:L694)&gt;0,K403+1,0),0)</f>
        <v>0</v>
      </c>
      <c r="M403" s="169">
        <f>IF(M$2&lt;=AnalysisPeriod,IF(SUM($C694:M694)&gt;0,L403+1,0),0)</f>
        <v>0</v>
      </c>
      <c r="N403" s="169">
        <f>IF(N$2&lt;=AnalysisPeriod,IF(SUM($C694:N694)&gt;0,M403+1,0),0)</f>
        <v>0</v>
      </c>
      <c r="O403" s="169">
        <f>IF(O$2&lt;=AnalysisPeriod,IF(SUM($C694:O694)&gt;0,N403+1,0),0)</f>
        <v>0</v>
      </c>
      <c r="P403" s="169">
        <f>IF(P$2&lt;=AnalysisPeriod,IF(SUM($C694:P694)&gt;0,O403+1,0),0)</f>
        <v>0</v>
      </c>
      <c r="Q403" s="169">
        <f>IF(Q$2&lt;=AnalysisPeriod,IF(SUM($C694:Q694)&gt;0,P403+1,0),0)</f>
        <v>0</v>
      </c>
      <c r="R403" s="169">
        <f>IF(R$2&lt;=AnalysisPeriod,IF(SUM($C694:R694)&gt;0,Q403+1,0),0)</f>
        <v>0</v>
      </c>
      <c r="S403" s="169">
        <f>IF(S$2&lt;=AnalysisPeriod,IF(SUM($C694:S694)&gt;0,R403+1,0),0)</f>
        <v>0</v>
      </c>
      <c r="T403" s="169">
        <f>IF(T$2&lt;=AnalysisPeriod,IF(SUM($C694:T694)&gt;0,S403+1,0),0)</f>
        <v>0</v>
      </c>
      <c r="U403" s="169">
        <f>IF(U$2&lt;=AnalysisPeriod,IF(SUM($C694:U694)&gt;0,T403+1,0),0)</f>
        <v>0</v>
      </c>
      <c r="V403" s="169">
        <f>IF(V$2&lt;=AnalysisPeriod,IF(SUM($C694:V694)&gt;0,U403+1,0),0)</f>
        <v>0</v>
      </c>
      <c r="W403" s="169">
        <f>IF(W$2&lt;=AnalysisPeriod,IF(SUM($C694:W694)&gt;0,V403+1,0),0)</f>
        <v>0</v>
      </c>
      <c r="X403" s="169">
        <f>IF(X$2&lt;=AnalysisPeriod,IF(SUM($C694:X694)&gt;0,W403+1,0),0)</f>
        <v>0</v>
      </c>
      <c r="Y403" s="169">
        <f>IF(Y$2&lt;=AnalysisPeriod,IF(SUM($C694:Y694)&gt;0,X403+1,0),0)</f>
        <v>0</v>
      </c>
      <c r="Z403" s="169">
        <f>IF(Z$2&lt;=AnalysisPeriod,IF(SUM($C694:Z694)&gt;0,Y403+1,0),0)</f>
        <v>0</v>
      </c>
      <c r="AA403" s="169">
        <f>IF(AA$2&lt;=AnalysisPeriod,IF(SUM($C694:AA694)&gt;0,Z403+1,0),0)</f>
        <v>0</v>
      </c>
      <c r="AB403" s="169">
        <f>IF(AB$2&lt;=AnalysisPeriod,IF(SUM($C694:AB694)&gt;0,AA403+1,0),0)</f>
        <v>0</v>
      </c>
      <c r="AC403" s="169">
        <f>IF(AC$2&lt;=AnalysisPeriod,IF(SUM($C694:AC694)&gt;0,AB403+1,0),0)</f>
        <v>0</v>
      </c>
      <c r="AD403" s="169">
        <f>IF(AD$2&lt;=AnalysisPeriod,IF(SUM($C694:AD694)&gt;0,AC403+1,0),0)</f>
        <v>0</v>
      </c>
      <c r="AE403" s="169">
        <f>IF(AE$2&lt;=AnalysisPeriod,IF(SUM($C694:AE694)&gt;0,AD403+1,0),0)</f>
        <v>0</v>
      </c>
      <c r="AF403" s="169">
        <f>IF(AF$2&lt;=AnalysisPeriod,IF(SUM($C694:AF694)&gt;0,AE403+1,0),0)</f>
        <v>0</v>
      </c>
      <c r="AG403" s="169">
        <f>IF(AG$2&lt;=AnalysisPeriod,IF(SUM($C694:AG694)&gt;0,AF403+1,0),0)</f>
        <v>0</v>
      </c>
      <c r="AH403" s="169">
        <f>IF(AH$2&lt;=AnalysisPeriod,IF(SUM($C694:AH694)&gt;0,AG403+1,0),0)</f>
        <v>0</v>
      </c>
      <c r="AI403" s="169">
        <f>IF(AI$2&lt;=AnalysisPeriod,IF(SUM($C694:AI694)&gt;0,AH403+1,0),0)</f>
        <v>0</v>
      </c>
      <c r="AJ403" s="169">
        <f>IF(AJ$2&lt;=AnalysisPeriod,IF(SUM($C694:AJ694)&gt;0,AI403+1,0),0)</f>
        <v>0</v>
      </c>
      <c r="AK403" s="169">
        <f>IF(AK$2&lt;=AnalysisPeriod,IF(SUM($C694:AK694)&gt;0,AJ403+1,0),0)</f>
        <v>0</v>
      </c>
      <c r="AL403" s="169">
        <f>IF(AL$2&lt;=AnalysisPeriod,IF(SUM($C694:AL694)&gt;0,AK403+1,0),0)</f>
        <v>0</v>
      </c>
      <c r="AM403" s="169">
        <f>IF(AM$2&lt;=AnalysisPeriod,IF(SUM($C694:AM694)&gt;0,AL403+1,0),0)</f>
        <v>0</v>
      </c>
      <c r="AN403" s="169">
        <f>IF(AN$2&lt;=AnalysisPeriod,IF(SUM($C694:AN694)&gt;0,AM403+1,0),0)</f>
        <v>0</v>
      </c>
      <c r="AO403" s="169">
        <f>IF(AO$2&lt;=AnalysisPeriod,IF(SUM($C694:AO694)&gt;0,AN403+1,0),0)</f>
        <v>0</v>
      </c>
      <c r="AP403" s="169">
        <f>IF(AP$2&lt;=AnalysisPeriod,IF(SUM($C694:AP694)&gt;0,AO403+1,0),0)</f>
        <v>0</v>
      </c>
    </row>
    <row r="404" spans="1:42" x14ac:dyDescent="0.2">
      <c r="A404" s="101">
        <f t="shared" si="230"/>
        <v>8</v>
      </c>
      <c r="C404" s="169">
        <f>IF(C$2&lt;=AnalysisPeriod,IF(SUM($C695:C695)&gt;0,B404+1,0),0)</f>
        <v>0</v>
      </c>
      <c r="D404" s="169">
        <f>IF(D$2&lt;=AnalysisPeriod,IF(SUM($C695:D695)&gt;0,C404+1,0),0)</f>
        <v>0</v>
      </c>
      <c r="E404" s="169">
        <f>IF(E$2&lt;=AnalysisPeriod,IF(SUM($C695:E695)&gt;0,D404+1,0),0)</f>
        <v>0</v>
      </c>
      <c r="F404" s="169">
        <f>IF(F$2&lt;=AnalysisPeriod,IF(SUM($C695:F695)&gt;0,E404+1,0),0)</f>
        <v>0</v>
      </c>
      <c r="G404" s="169">
        <f>IF(G$2&lt;=AnalysisPeriod,IF(SUM($C695:G695)&gt;0,F404+1,0),0)</f>
        <v>0</v>
      </c>
      <c r="H404" s="169">
        <f>IF(H$2&lt;=AnalysisPeriod,IF(SUM($C695:H695)&gt;0,G404+1,0),0)</f>
        <v>0</v>
      </c>
      <c r="I404" s="169">
        <f>IF(I$2&lt;=AnalysisPeriod,IF(SUM($C695:I695)&gt;0,H404+1,0),0)</f>
        <v>0</v>
      </c>
      <c r="J404" s="169">
        <f>IF(J$2&lt;=AnalysisPeriod,IF(SUM($C695:J695)&gt;0,I404+1,0),0)</f>
        <v>0</v>
      </c>
      <c r="K404" s="169">
        <f>IF(K$2&lt;=AnalysisPeriod,IF(SUM($C695:K695)&gt;0,J404+1,0),0)</f>
        <v>0</v>
      </c>
      <c r="L404" s="169">
        <f>IF(L$2&lt;=AnalysisPeriod,IF(SUM($C695:L695)&gt;0,K404+1,0),0)</f>
        <v>0</v>
      </c>
      <c r="M404" s="169">
        <f>IF(M$2&lt;=AnalysisPeriod,IF(SUM($C695:M695)&gt;0,L404+1,0),0)</f>
        <v>0</v>
      </c>
      <c r="N404" s="169">
        <f>IF(N$2&lt;=AnalysisPeriod,IF(SUM($C695:N695)&gt;0,M404+1,0),0)</f>
        <v>0</v>
      </c>
      <c r="O404" s="169">
        <f>IF(O$2&lt;=AnalysisPeriod,IF(SUM($C695:O695)&gt;0,N404+1,0),0)</f>
        <v>0</v>
      </c>
      <c r="P404" s="169">
        <f>IF(P$2&lt;=AnalysisPeriod,IF(SUM($C695:P695)&gt;0,O404+1,0),0)</f>
        <v>0</v>
      </c>
      <c r="Q404" s="169">
        <f>IF(Q$2&lt;=AnalysisPeriod,IF(SUM($C695:Q695)&gt;0,P404+1,0),0)</f>
        <v>0</v>
      </c>
      <c r="R404" s="169">
        <f>IF(R$2&lt;=AnalysisPeriod,IF(SUM($C695:R695)&gt;0,Q404+1,0),0)</f>
        <v>0</v>
      </c>
      <c r="S404" s="169">
        <f>IF(S$2&lt;=AnalysisPeriod,IF(SUM($C695:S695)&gt;0,R404+1,0),0)</f>
        <v>0</v>
      </c>
      <c r="T404" s="169">
        <f>IF(T$2&lt;=AnalysisPeriod,IF(SUM($C695:T695)&gt;0,S404+1,0),0)</f>
        <v>0</v>
      </c>
      <c r="U404" s="169">
        <f>IF(U$2&lt;=AnalysisPeriod,IF(SUM($C695:U695)&gt;0,T404+1,0),0)</f>
        <v>0</v>
      </c>
      <c r="V404" s="169">
        <f>IF(V$2&lt;=AnalysisPeriod,IF(SUM($C695:V695)&gt;0,U404+1,0),0)</f>
        <v>0</v>
      </c>
      <c r="W404" s="169">
        <f>IF(W$2&lt;=AnalysisPeriod,IF(SUM($C695:W695)&gt;0,V404+1,0),0)</f>
        <v>0</v>
      </c>
      <c r="X404" s="169">
        <f>IF(X$2&lt;=AnalysisPeriod,IF(SUM($C695:X695)&gt;0,W404+1,0),0)</f>
        <v>0</v>
      </c>
      <c r="Y404" s="169">
        <f>IF(Y$2&lt;=AnalysisPeriod,IF(SUM($C695:Y695)&gt;0,X404+1,0),0)</f>
        <v>0</v>
      </c>
      <c r="Z404" s="169">
        <f>IF(Z$2&lt;=AnalysisPeriod,IF(SUM($C695:Z695)&gt;0,Y404+1,0),0)</f>
        <v>0</v>
      </c>
      <c r="AA404" s="169">
        <f>IF(AA$2&lt;=AnalysisPeriod,IF(SUM($C695:AA695)&gt;0,Z404+1,0),0)</f>
        <v>0</v>
      </c>
      <c r="AB404" s="169">
        <f>IF(AB$2&lt;=AnalysisPeriod,IF(SUM($C695:AB695)&gt;0,AA404+1,0),0)</f>
        <v>0</v>
      </c>
      <c r="AC404" s="169">
        <f>IF(AC$2&lt;=AnalysisPeriod,IF(SUM($C695:AC695)&gt;0,AB404+1,0),0)</f>
        <v>0</v>
      </c>
      <c r="AD404" s="169">
        <f>IF(AD$2&lt;=AnalysisPeriod,IF(SUM($C695:AD695)&gt;0,AC404+1,0),0)</f>
        <v>0</v>
      </c>
      <c r="AE404" s="169">
        <f>IF(AE$2&lt;=AnalysisPeriod,IF(SUM($C695:AE695)&gt;0,AD404+1,0),0)</f>
        <v>0</v>
      </c>
      <c r="AF404" s="169">
        <f>IF(AF$2&lt;=AnalysisPeriod,IF(SUM($C695:AF695)&gt;0,AE404+1,0),0)</f>
        <v>0</v>
      </c>
      <c r="AG404" s="169">
        <f>IF(AG$2&lt;=AnalysisPeriod,IF(SUM($C695:AG695)&gt;0,AF404+1,0),0)</f>
        <v>0</v>
      </c>
      <c r="AH404" s="169">
        <f>IF(AH$2&lt;=AnalysisPeriod,IF(SUM($C695:AH695)&gt;0,AG404+1,0),0)</f>
        <v>0</v>
      </c>
      <c r="AI404" s="169">
        <f>IF(AI$2&lt;=AnalysisPeriod,IF(SUM($C695:AI695)&gt;0,AH404+1,0),0)</f>
        <v>0</v>
      </c>
      <c r="AJ404" s="169">
        <f>IF(AJ$2&lt;=AnalysisPeriod,IF(SUM($C695:AJ695)&gt;0,AI404+1,0),0)</f>
        <v>0</v>
      </c>
      <c r="AK404" s="169">
        <f>IF(AK$2&lt;=AnalysisPeriod,IF(SUM($C695:AK695)&gt;0,AJ404+1,0),0)</f>
        <v>0</v>
      </c>
      <c r="AL404" s="169">
        <f>IF(AL$2&lt;=AnalysisPeriod,IF(SUM($C695:AL695)&gt;0,AK404+1,0),0)</f>
        <v>0</v>
      </c>
      <c r="AM404" s="169">
        <f>IF(AM$2&lt;=AnalysisPeriod,IF(SUM($C695:AM695)&gt;0,AL404+1,0),0)</f>
        <v>0</v>
      </c>
      <c r="AN404" s="169">
        <f>IF(AN$2&lt;=AnalysisPeriod,IF(SUM($C695:AN695)&gt;0,AM404+1,0),0)</f>
        <v>0</v>
      </c>
      <c r="AO404" s="169">
        <f>IF(AO$2&lt;=AnalysisPeriod,IF(SUM($C695:AO695)&gt;0,AN404+1,0),0)</f>
        <v>0</v>
      </c>
      <c r="AP404" s="169">
        <f>IF(AP$2&lt;=AnalysisPeriod,IF(SUM($C695:AP695)&gt;0,AO404+1,0),0)</f>
        <v>0</v>
      </c>
    </row>
    <row r="405" spans="1:42" x14ac:dyDescent="0.2">
      <c r="A405" s="101">
        <f>A404+1</f>
        <v>9</v>
      </c>
      <c r="C405" s="169">
        <f>IF(C$2&lt;=AnalysisPeriod,IF(SUM($C696:C696)&gt;0,B405+1,0),0)</f>
        <v>0</v>
      </c>
      <c r="D405" s="169">
        <f>IF(D$2&lt;=AnalysisPeriod,IF(SUM($C696:D696)&gt;0,C405+1,0),0)</f>
        <v>0</v>
      </c>
      <c r="E405" s="169">
        <f>IF(E$2&lt;=AnalysisPeriod,IF(SUM($C696:E696)&gt;0,D405+1,0),0)</f>
        <v>0</v>
      </c>
      <c r="F405" s="169">
        <f>IF(F$2&lt;=AnalysisPeriod,IF(SUM($C696:F696)&gt;0,E405+1,0),0)</f>
        <v>0</v>
      </c>
      <c r="G405" s="169">
        <f>IF(G$2&lt;=AnalysisPeriod,IF(SUM($C696:G696)&gt;0,F405+1,0),0)</f>
        <v>0</v>
      </c>
      <c r="H405" s="169">
        <f>IF(H$2&lt;=AnalysisPeriod,IF(SUM($C696:H696)&gt;0,G405+1,0),0)</f>
        <v>0</v>
      </c>
      <c r="I405" s="169">
        <f>IF(I$2&lt;=AnalysisPeriod,IF(SUM($C696:I696)&gt;0,H405+1,0),0)</f>
        <v>0</v>
      </c>
      <c r="J405" s="169">
        <f>IF(J$2&lt;=AnalysisPeriod,IF(SUM($C696:J696)&gt;0,I405+1,0),0)</f>
        <v>0</v>
      </c>
      <c r="K405" s="169">
        <f>IF(K$2&lt;=AnalysisPeriod,IF(SUM($C696:K696)&gt;0,J405+1,0),0)</f>
        <v>0</v>
      </c>
      <c r="L405" s="169">
        <f>IF(L$2&lt;=AnalysisPeriod,IF(SUM($C696:L696)&gt;0,K405+1,0),0)</f>
        <v>0</v>
      </c>
      <c r="M405" s="169">
        <f>IF(M$2&lt;=AnalysisPeriod,IF(SUM($C696:M696)&gt;0,L405+1,0),0)</f>
        <v>0</v>
      </c>
      <c r="N405" s="169">
        <f>IF(N$2&lt;=AnalysisPeriod,IF(SUM($C696:N696)&gt;0,M405+1,0),0)</f>
        <v>0</v>
      </c>
      <c r="O405" s="169">
        <f>IF(O$2&lt;=AnalysisPeriod,IF(SUM($C696:O696)&gt;0,N405+1,0),0)</f>
        <v>0</v>
      </c>
      <c r="P405" s="169">
        <f>IF(P$2&lt;=AnalysisPeriod,IF(SUM($C696:P696)&gt;0,O405+1,0),0)</f>
        <v>0</v>
      </c>
      <c r="Q405" s="169">
        <f>IF(Q$2&lt;=AnalysisPeriod,IF(SUM($C696:Q696)&gt;0,P405+1,0),0)</f>
        <v>0</v>
      </c>
      <c r="R405" s="169">
        <f>IF(R$2&lt;=AnalysisPeriod,IF(SUM($C696:R696)&gt;0,Q405+1,0),0)</f>
        <v>0</v>
      </c>
      <c r="S405" s="169">
        <f>IF(S$2&lt;=AnalysisPeriod,IF(SUM($C696:S696)&gt;0,R405+1,0),0)</f>
        <v>0</v>
      </c>
      <c r="T405" s="169">
        <f>IF(T$2&lt;=AnalysisPeriod,IF(SUM($C696:T696)&gt;0,S405+1,0),0)</f>
        <v>0</v>
      </c>
      <c r="U405" s="169">
        <f>IF(U$2&lt;=AnalysisPeriod,IF(SUM($C696:U696)&gt;0,T405+1,0),0)</f>
        <v>0</v>
      </c>
      <c r="V405" s="169">
        <f>IF(V$2&lt;=AnalysisPeriod,IF(SUM($C696:V696)&gt;0,U405+1,0),0)</f>
        <v>0</v>
      </c>
      <c r="W405" s="169">
        <f>IF(W$2&lt;=AnalysisPeriod,IF(SUM($C696:W696)&gt;0,V405+1,0),0)</f>
        <v>0</v>
      </c>
      <c r="X405" s="169">
        <f>IF(X$2&lt;=AnalysisPeriod,IF(SUM($C696:X696)&gt;0,W405+1,0),0)</f>
        <v>0</v>
      </c>
      <c r="Y405" s="169">
        <f>IF(Y$2&lt;=AnalysisPeriod,IF(SUM($C696:Y696)&gt;0,X405+1,0),0)</f>
        <v>0</v>
      </c>
      <c r="Z405" s="169">
        <f>IF(Z$2&lt;=AnalysisPeriod,IF(SUM($C696:Z696)&gt;0,Y405+1,0),0)</f>
        <v>0</v>
      </c>
      <c r="AA405" s="169">
        <f>IF(AA$2&lt;=AnalysisPeriod,IF(SUM($C696:AA696)&gt;0,Z405+1,0),0)</f>
        <v>0</v>
      </c>
      <c r="AB405" s="169">
        <f>IF(AB$2&lt;=AnalysisPeriod,IF(SUM($C696:AB696)&gt;0,AA405+1,0),0)</f>
        <v>0</v>
      </c>
      <c r="AC405" s="169">
        <f>IF(AC$2&lt;=AnalysisPeriod,IF(SUM($C696:AC696)&gt;0,AB405+1,0),0)</f>
        <v>0</v>
      </c>
      <c r="AD405" s="169">
        <f>IF(AD$2&lt;=AnalysisPeriod,IF(SUM($C696:AD696)&gt;0,AC405+1,0),0)</f>
        <v>0</v>
      </c>
      <c r="AE405" s="169">
        <f>IF(AE$2&lt;=AnalysisPeriod,IF(SUM($C696:AE696)&gt;0,AD405+1,0),0)</f>
        <v>0</v>
      </c>
      <c r="AF405" s="169">
        <f>IF(AF$2&lt;=AnalysisPeriod,IF(SUM($C696:AF696)&gt;0,AE405+1,0),0)</f>
        <v>0</v>
      </c>
      <c r="AG405" s="169">
        <f>IF(AG$2&lt;=AnalysisPeriod,IF(SUM($C696:AG696)&gt;0,AF405+1,0),0)</f>
        <v>0</v>
      </c>
      <c r="AH405" s="169">
        <f>IF(AH$2&lt;=AnalysisPeriod,IF(SUM($C696:AH696)&gt;0,AG405+1,0),0)</f>
        <v>0</v>
      </c>
      <c r="AI405" s="169">
        <f>IF(AI$2&lt;=AnalysisPeriod,IF(SUM($C696:AI696)&gt;0,AH405+1,0),0)</f>
        <v>0</v>
      </c>
      <c r="AJ405" s="169">
        <f>IF(AJ$2&lt;=AnalysisPeriod,IF(SUM($C696:AJ696)&gt;0,AI405+1,0),0)</f>
        <v>0</v>
      </c>
      <c r="AK405" s="169">
        <f>IF(AK$2&lt;=AnalysisPeriod,IF(SUM($C696:AK696)&gt;0,AJ405+1,0),0)</f>
        <v>0</v>
      </c>
      <c r="AL405" s="169">
        <f>IF(AL$2&lt;=AnalysisPeriod,IF(SUM($C696:AL696)&gt;0,AK405+1,0),0)</f>
        <v>0</v>
      </c>
      <c r="AM405" s="169">
        <f>IF(AM$2&lt;=AnalysisPeriod,IF(SUM($C696:AM696)&gt;0,AL405+1,0),0)</f>
        <v>0</v>
      </c>
      <c r="AN405" s="169">
        <f>IF(AN$2&lt;=AnalysisPeriod,IF(SUM($C696:AN696)&gt;0,AM405+1,0),0)</f>
        <v>0</v>
      </c>
      <c r="AO405" s="169">
        <f>IF(AO$2&lt;=AnalysisPeriod,IF(SUM($C696:AO696)&gt;0,AN405+1,0),0)</f>
        <v>0</v>
      </c>
      <c r="AP405" s="169">
        <f>IF(AP$2&lt;=AnalysisPeriod,IF(SUM($C696:AP696)&gt;0,AO405+1,0),0)</f>
        <v>0</v>
      </c>
    </row>
    <row r="406" spans="1:42" x14ac:dyDescent="0.2">
      <c r="A406" s="101">
        <f t="shared" si="230"/>
        <v>10</v>
      </c>
      <c r="C406" s="169">
        <f>IF(C$2&lt;=AnalysisPeriod,IF(SUM($C697:C697)&gt;0,B406+1,0),0)</f>
        <v>0</v>
      </c>
      <c r="D406" s="169">
        <f>IF(D$2&lt;=AnalysisPeriod,IF(SUM($C697:D697)&gt;0,C406+1,0),0)</f>
        <v>0</v>
      </c>
      <c r="E406" s="169">
        <f>IF(E$2&lt;=AnalysisPeriod,IF(SUM($C697:E697)&gt;0,D406+1,0),0)</f>
        <v>0</v>
      </c>
      <c r="F406" s="169">
        <f>IF(F$2&lt;=AnalysisPeriod,IF(SUM($C697:F697)&gt;0,E406+1,0),0)</f>
        <v>0</v>
      </c>
      <c r="G406" s="169">
        <f>IF(G$2&lt;=AnalysisPeriod,IF(SUM($C697:G697)&gt;0,F406+1,0),0)</f>
        <v>0</v>
      </c>
      <c r="H406" s="169">
        <f>IF(H$2&lt;=AnalysisPeriod,IF(SUM($C697:H697)&gt;0,G406+1,0),0)</f>
        <v>0</v>
      </c>
      <c r="I406" s="169">
        <f>IF(I$2&lt;=AnalysisPeriod,IF(SUM($C697:I697)&gt;0,H406+1,0),0)</f>
        <v>0</v>
      </c>
      <c r="J406" s="169">
        <f>IF(J$2&lt;=AnalysisPeriod,IF(SUM($C697:J697)&gt;0,I406+1,0),0)</f>
        <v>0</v>
      </c>
      <c r="K406" s="169">
        <f>IF(K$2&lt;=AnalysisPeriod,IF(SUM($C697:K697)&gt;0,J406+1,0),0)</f>
        <v>0</v>
      </c>
      <c r="L406" s="169">
        <f>IF(L$2&lt;=AnalysisPeriod,IF(SUM($C697:L697)&gt;0,K406+1,0),0)</f>
        <v>0</v>
      </c>
      <c r="M406" s="169">
        <f>IF(M$2&lt;=AnalysisPeriod,IF(SUM($C697:M697)&gt;0,L406+1,0),0)</f>
        <v>0</v>
      </c>
      <c r="N406" s="169">
        <f>IF(N$2&lt;=AnalysisPeriod,IF(SUM($C697:N697)&gt;0,M406+1,0),0)</f>
        <v>0</v>
      </c>
      <c r="O406" s="169">
        <f>IF(O$2&lt;=AnalysisPeriod,IF(SUM($C697:O697)&gt;0,N406+1,0),0)</f>
        <v>0</v>
      </c>
      <c r="P406" s="169">
        <f>IF(P$2&lt;=AnalysisPeriod,IF(SUM($C697:P697)&gt;0,O406+1,0),0)</f>
        <v>0</v>
      </c>
      <c r="Q406" s="169">
        <f>IF(Q$2&lt;=AnalysisPeriod,IF(SUM($C697:Q697)&gt;0,P406+1,0),0)</f>
        <v>0</v>
      </c>
      <c r="R406" s="169">
        <f>IF(R$2&lt;=AnalysisPeriod,IF(SUM($C697:R697)&gt;0,Q406+1,0),0)</f>
        <v>0</v>
      </c>
      <c r="S406" s="169">
        <f>IF(S$2&lt;=AnalysisPeriod,IF(SUM($C697:S697)&gt;0,R406+1,0),0)</f>
        <v>0</v>
      </c>
      <c r="T406" s="169">
        <f>IF(T$2&lt;=AnalysisPeriod,IF(SUM($C697:T697)&gt;0,S406+1,0),0)</f>
        <v>0</v>
      </c>
      <c r="U406" s="169">
        <f>IF(U$2&lt;=AnalysisPeriod,IF(SUM($C697:U697)&gt;0,T406+1,0),0)</f>
        <v>0</v>
      </c>
      <c r="V406" s="169">
        <f>IF(V$2&lt;=AnalysisPeriod,IF(SUM($C697:V697)&gt;0,U406+1,0),0)</f>
        <v>0</v>
      </c>
      <c r="W406" s="169">
        <f>IF(W$2&lt;=AnalysisPeriod,IF(SUM($C697:W697)&gt;0,V406+1,0),0)</f>
        <v>0</v>
      </c>
      <c r="X406" s="169">
        <f>IF(X$2&lt;=AnalysisPeriod,IF(SUM($C697:X697)&gt;0,W406+1,0),0)</f>
        <v>0</v>
      </c>
      <c r="Y406" s="169">
        <f>IF(Y$2&lt;=AnalysisPeriod,IF(SUM($C697:Y697)&gt;0,X406+1,0),0)</f>
        <v>0</v>
      </c>
      <c r="Z406" s="169">
        <f>IF(Z$2&lt;=AnalysisPeriod,IF(SUM($C697:Z697)&gt;0,Y406+1,0),0)</f>
        <v>0</v>
      </c>
      <c r="AA406" s="169">
        <f>IF(AA$2&lt;=AnalysisPeriod,IF(SUM($C697:AA697)&gt;0,Z406+1,0),0)</f>
        <v>0</v>
      </c>
      <c r="AB406" s="169">
        <f>IF(AB$2&lt;=AnalysisPeriod,IF(SUM($C697:AB697)&gt;0,AA406+1,0),0)</f>
        <v>0</v>
      </c>
      <c r="AC406" s="169">
        <f>IF(AC$2&lt;=AnalysisPeriod,IF(SUM($C697:AC697)&gt;0,AB406+1,0),0)</f>
        <v>0</v>
      </c>
      <c r="AD406" s="169">
        <f>IF(AD$2&lt;=AnalysisPeriod,IF(SUM($C697:AD697)&gt;0,AC406+1,0),0)</f>
        <v>0</v>
      </c>
      <c r="AE406" s="169">
        <f>IF(AE$2&lt;=AnalysisPeriod,IF(SUM($C697:AE697)&gt;0,AD406+1,0),0)</f>
        <v>0</v>
      </c>
      <c r="AF406" s="169">
        <f>IF(AF$2&lt;=AnalysisPeriod,IF(SUM($C697:AF697)&gt;0,AE406+1,0),0)</f>
        <v>0</v>
      </c>
      <c r="AG406" s="169">
        <f>IF(AG$2&lt;=AnalysisPeriod,IF(SUM($C697:AG697)&gt;0,AF406+1,0),0)</f>
        <v>0</v>
      </c>
      <c r="AH406" s="169">
        <f>IF(AH$2&lt;=AnalysisPeriod,IF(SUM($C697:AH697)&gt;0,AG406+1,0),0)</f>
        <v>0</v>
      </c>
      <c r="AI406" s="169">
        <f>IF(AI$2&lt;=AnalysisPeriod,IF(SUM($C697:AI697)&gt;0,AH406+1,0),0)</f>
        <v>0</v>
      </c>
      <c r="AJ406" s="169">
        <f>IF(AJ$2&lt;=AnalysisPeriod,IF(SUM($C697:AJ697)&gt;0,AI406+1,0),0)</f>
        <v>0</v>
      </c>
      <c r="AK406" s="169">
        <f>IF(AK$2&lt;=AnalysisPeriod,IF(SUM($C697:AK697)&gt;0,AJ406+1,0),0)</f>
        <v>0</v>
      </c>
      <c r="AL406" s="169">
        <f>IF(AL$2&lt;=AnalysisPeriod,IF(SUM($C697:AL697)&gt;0,AK406+1,0),0)</f>
        <v>0</v>
      </c>
      <c r="AM406" s="169">
        <f>IF(AM$2&lt;=AnalysisPeriod,IF(SUM($C697:AM697)&gt;0,AL406+1,0),0)</f>
        <v>0</v>
      </c>
      <c r="AN406" s="169">
        <f>IF(AN$2&lt;=AnalysisPeriod,IF(SUM($C697:AN697)&gt;0,AM406+1,0),0)</f>
        <v>0</v>
      </c>
      <c r="AO406" s="169">
        <f>IF(AO$2&lt;=AnalysisPeriod,IF(SUM($C697:AO697)&gt;0,AN406+1,0),0)</f>
        <v>0</v>
      </c>
      <c r="AP406" s="169">
        <f>IF(AP$2&lt;=AnalysisPeriod,IF(SUM($C697:AP697)&gt;0,AO406+1,0),0)</f>
        <v>0</v>
      </c>
    </row>
    <row r="407" spans="1:42" x14ac:dyDescent="0.2">
      <c r="A407" s="187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</row>
    <row r="408" spans="1:42" x14ac:dyDescent="0.2">
      <c r="A408" s="187" t="s">
        <v>196</v>
      </c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</row>
    <row r="409" spans="1:42" x14ac:dyDescent="0.2">
      <c r="A409" s="101">
        <v>1</v>
      </c>
      <c r="B409" s="179">
        <f t="shared" ref="B409:B418" si="231">SUM(C409:AP409)</f>
        <v>0</v>
      </c>
      <c r="C409" s="208">
        <f t="shared" ref="C409:AP409" si="232">LOOKUP(C397,$B$367:$AP$367,$B$368:$AP$368)*$B688</f>
        <v>0</v>
      </c>
      <c r="D409" s="169">
        <f t="shared" si="232"/>
        <v>0</v>
      </c>
      <c r="E409" s="169">
        <f t="shared" si="232"/>
        <v>0</v>
      </c>
      <c r="F409" s="169">
        <f t="shared" si="232"/>
        <v>0</v>
      </c>
      <c r="G409" s="169">
        <f t="shared" si="232"/>
        <v>0</v>
      </c>
      <c r="H409" s="169">
        <f t="shared" si="232"/>
        <v>0</v>
      </c>
      <c r="I409" s="169">
        <f t="shared" si="232"/>
        <v>0</v>
      </c>
      <c r="J409" s="169">
        <f t="shared" si="232"/>
        <v>0</v>
      </c>
      <c r="K409" s="169">
        <f t="shared" si="232"/>
        <v>0</v>
      </c>
      <c r="L409" s="169">
        <f t="shared" si="232"/>
        <v>0</v>
      </c>
      <c r="M409" s="169">
        <f t="shared" si="232"/>
        <v>0</v>
      </c>
      <c r="N409" s="169">
        <f t="shared" si="232"/>
        <v>0</v>
      </c>
      <c r="O409" s="169">
        <f t="shared" si="232"/>
        <v>0</v>
      </c>
      <c r="P409" s="169">
        <f t="shared" si="232"/>
        <v>0</v>
      </c>
      <c r="Q409" s="169">
        <f t="shared" si="232"/>
        <v>0</v>
      </c>
      <c r="R409" s="169">
        <f t="shared" si="232"/>
        <v>0</v>
      </c>
      <c r="S409" s="169">
        <f t="shared" si="232"/>
        <v>0</v>
      </c>
      <c r="T409" s="169">
        <f t="shared" si="232"/>
        <v>0</v>
      </c>
      <c r="U409" s="169">
        <f t="shared" si="232"/>
        <v>0</v>
      </c>
      <c r="V409" s="169">
        <f t="shared" si="232"/>
        <v>0</v>
      </c>
      <c r="W409" s="169">
        <f t="shared" si="232"/>
        <v>0</v>
      </c>
      <c r="X409" s="169">
        <f t="shared" si="232"/>
        <v>0</v>
      </c>
      <c r="Y409" s="169">
        <f t="shared" si="232"/>
        <v>0</v>
      </c>
      <c r="Z409" s="169">
        <f t="shared" si="232"/>
        <v>0</v>
      </c>
      <c r="AA409" s="169">
        <f t="shared" si="232"/>
        <v>0</v>
      </c>
      <c r="AB409" s="169">
        <f t="shared" si="232"/>
        <v>0</v>
      </c>
      <c r="AC409" s="169">
        <f t="shared" si="232"/>
        <v>0</v>
      </c>
      <c r="AD409" s="169">
        <f t="shared" si="232"/>
        <v>0</v>
      </c>
      <c r="AE409" s="169">
        <f t="shared" si="232"/>
        <v>0</v>
      </c>
      <c r="AF409" s="169">
        <f t="shared" si="232"/>
        <v>0</v>
      </c>
      <c r="AG409" s="169">
        <f t="shared" si="232"/>
        <v>0</v>
      </c>
      <c r="AH409" s="169">
        <f t="shared" si="232"/>
        <v>0</v>
      </c>
      <c r="AI409" s="169">
        <f t="shared" si="232"/>
        <v>0</v>
      </c>
      <c r="AJ409" s="169">
        <f t="shared" si="232"/>
        <v>0</v>
      </c>
      <c r="AK409" s="169">
        <f t="shared" si="232"/>
        <v>0</v>
      </c>
      <c r="AL409" s="169">
        <f t="shared" si="232"/>
        <v>0</v>
      </c>
      <c r="AM409" s="169">
        <f t="shared" si="232"/>
        <v>0</v>
      </c>
      <c r="AN409" s="169">
        <f t="shared" si="232"/>
        <v>0</v>
      </c>
      <c r="AO409" s="169">
        <f t="shared" si="232"/>
        <v>0</v>
      </c>
      <c r="AP409" s="169">
        <f t="shared" si="232"/>
        <v>0</v>
      </c>
    </row>
    <row r="410" spans="1:42" x14ac:dyDescent="0.2">
      <c r="A410" s="101">
        <f>A409+1</f>
        <v>2</v>
      </c>
      <c r="B410" s="179">
        <f t="shared" si="231"/>
        <v>0</v>
      </c>
      <c r="C410" s="208">
        <f t="shared" ref="C410:AP410" si="233">LOOKUP(C398,$B$367:$AP$367,$B$368:$AP$368)*$B689</f>
        <v>0</v>
      </c>
      <c r="D410" s="169">
        <f t="shared" si="233"/>
        <v>0</v>
      </c>
      <c r="E410" s="169">
        <f t="shared" si="233"/>
        <v>0</v>
      </c>
      <c r="F410" s="169">
        <f t="shared" si="233"/>
        <v>0</v>
      </c>
      <c r="G410" s="169">
        <f t="shared" si="233"/>
        <v>0</v>
      </c>
      <c r="H410" s="169">
        <f t="shared" si="233"/>
        <v>0</v>
      </c>
      <c r="I410" s="169">
        <f t="shared" si="233"/>
        <v>0</v>
      </c>
      <c r="J410" s="169">
        <f t="shared" si="233"/>
        <v>0</v>
      </c>
      <c r="K410" s="169">
        <f t="shared" si="233"/>
        <v>0</v>
      </c>
      <c r="L410" s="169">
        <f t="shared" si="233"/>
        <v>0</v>
      </c>
      <c r="M410" s="169">
        <f t="shared" si="233"/>
        <v>0</v>
      </c>
      <c r="N410" s="169">
        <f t="shared" si="233"/>
        <v>0</v>
      </c>
      <c r="O410" s="169">
        <f t="shared" si="233"/>
        <v>0</v>
      </c>
      <c r="P410" s="169">
        <f t="shared" si="233"/>
        <v>0</v>
      </c>
      <c r="Q410" s="169">
        <f t="shared" si="233"/>
        <v>0</v>
      </c>
      <c r="R410" s="169">
        <f t="shared" si="233"/>
        <v>0</v>
      </c>
      <c r="S410" s="169">
        <f t="shared" si="233"/>
        <v>0</v>
      </c>
      <c r="T410" s="169">
        <f t="shared" si="233"/>
        <v>0</v>
      </c>
      <c r="U410" s="169">
        <f t="shared" si="233"/>
        <v>0</v>
      </c>
      <c r="V410" s="169">
        <f t="shared" si="233"/>
        <v>0</v>
      </c>
      <c r="W410" s="169">
        <f t="shared" si="233"/>
        <v>0</v>
      </c>
      <c r="X410" s="169">
        <f t="shared" si="233"/>
        <v>0</v>
      </c>
      <c r="Y410" s="169">
        <f t="shared" si="233"/>
        <v>0</v>
      </c>
      <c r="Z410" s="169">
        <f t="shared" si="233"/>
        <v>0</v>
      </c>
      <c r="AA410" s="169">
        <f t="shared" si="233"/>
        <v>0</v>
      </c>
      <c r="AB410" s="169">
        <f t="shared" si="233"/>
        <v>0</v>
      </c>
      <c r="AC410" s="169">
        <f t="shared" si="233"/>
        <v>0</v>
      </c>
      <c r="AD410" s="169">
        <f t="shared" si="233"/>
        <v>0</v>
      </c>
      <c r="AE410" s="169">
        <f t="shared" si="233"/>
        <v>0</v>
      </c>
      <c r="AF410" s="169">
        <f t="shared" si="233"/>
        <v>0</v>
      </c>
      <c r="AG410" s="169">
        <f t="shared" si="233"/>
        <v>0</v>
      </c>
      <c r="AH410" s="169">
        <f t="shared" si="233"/>
        <v>0</v>
      </c>
      <c r="AI410" s="169">
        <f t="shared" si="233"/>
        <v>0</v>
      </c>
      <c r="AJ410" s="169">
        <f t="shared" si="233"/>
        <v>0</v>
      </c>
      <c r="AK410" s="169">
        <f t="shared" si="233"/>
        <v>0</v>
      </c>
      <c r="AL410" s="169">
        <f t="shared" si="233"/>
        <v>0</v>
      </c>
      <c r="AM410" s="169">
        <f t="shared" si="233"/>
        <v>0</v>
      </c>
      <c r="AN410" s="169">
        <f t="shared" si="233"/>
        <v>0</v>
      </c>
      <c r="AO410" s="169">
        <f t="shared" si="233"/>
        <v>0</v>
      </c>
      <c r="AP410" s="169">
        <f t="shared" si="233"/>
        <v>0</v>
      </c>
    </row>
    <row r="411" spans="1:42" x14ac:dyDescent="0.2">
      <c r="A411" s="101">
        <f t="shared" ref="A411:A418" si="234">A410+1</f>
        <v>3</v>
      </c>
      <c r="B411" s="179">
        <f t="shared" si="231"/>
        <v>0</v>
      </c>
      <c r="C411" s="208">
        <f t="shared" ref="C411:AP411" si="235">LOOKUP(C399,$B$367:$AP$367,$B$368:$AP$368)*$B690</f>
        <v>0</v>
      </c>
      <c r="D411" s="169">
        <f t="shared" si="235"/>
        <v>0</v>
      </c>
      <c r="E411" s="169">
        <f t="shared" si="235"/>
        <v>0</v>
      </c>
      <c r="F411" s="169">
        <f t="shared" si="235"/>
        <v>0</v>
      </c>
      <c r="G411" s="169">
        <f t="shared" si="235"/>
        <v>0</v>
      </c>
      <c r="H411" s="169">
        <f t="shared" si="235"/>
        <v>0</v>
      </c>
      <c r="I411" s="169">
        <f t="shared" si="235"/>
        <v>0</v>
      </c>
      <c r="J411" s="169">
        <f t="shared" si="235"/>
        <v>0</v>
      </c>
      <c r="K411" s="169">
        <f t="shared" si="235"/>
        <v>0</v>
      </c>
      <c r="L411" s="169">
        <f t="shared" si="235"/>
        <v>0</v>
      </c>
      <c r="M411" s="169">
        <f t="shared" si="235"/>
        <v>0</v>
      </c>
      <c r="N411" s="169">
        <f t="shared" si="235"/>
        <v>0</v>
      </c>
      <c r="O411" s="169">
        <f t="shared" si="235"/>
        <v>0</v>
      </c>
      <c r="P411" s="169">
        <f t="shared" si="235"/>
        <v>0</v>
      </c>
      <c r="Q411" s="169">
        <f t="shared" si="235"/>
        <v>0</v>
      </c>
      <c r="R411" s="169">
        <f t="shared" si="235"/>
        <v>0</v>
      </c>
      <c r="S411" s="169">
        <f t="shared" si="235"/>
        <v>0</v>
      </c>
      <c r="T411" s="169">
        <f t="shared" si="235"/>
        <v>0</v>
      </c>
      <c r="U411" s="169">
        <f t="shared" si="235"/>
        <v>0</v>
      </c>
      <c r="V411" s="169">
        <f t="shared" si="235"/>
        <v>0</v>
      </c>
      <c r="W411" s="169">
        <f t="shared" si="235"/>
        <v>0</v>
      </c>
      <c r="X411" s="169">
        <f t="shared" si="235"/>
        <v>0</v>
      </c>
      <c r="Y411" s="169">
        <f t="shared" si="235"/>
        <v>0</v>
      </c>
      <c r="Z411" s="169">
        <f t="shared" si="235"/>
        <v>0</v>
      </c>
      <c r="AA411" s="169">
        <f t="shared" si="235"/>
        <v>0</v>
      </c>
      <c r="AB411" s="169">
        <f t="shared" si="235"/>
        <v>0</v>
      </c>
      <c r="AC411" s="169">
        <f t="shared" si="235"/>
        <v>0</v>
      </c>
      <c r="AD411" s="169">
        <f t="shared" si="235"/>
        <v>0</v>
      </c>
      <c r="AE411" s="169">
        <f t="shared" si="235"/>
        <v>0</v>
      </c>
      <c r="AF411" s="169">
        <f t="shared" si="235"/>
        <v>0</v>
      </c>
      <c r="AG411" s="169">
        <f t="shared" si="235"/>
        <v>0</v>
      </c>
      <c r="AH411" s="169">
        <f t="shared" si="235"/>
        <v>0</v>
      </c>
      <c r="AI411" s="169">
        <f t="shared" si="235"/>
        <v>0</v>
      </c>
      <c r="AJ411" s="169">
        <f t="shared" si="235"/>
        <v>0</v>
      </c>
      <c r="AK411" s="169">
        <f t="shared" si="235"/>
        <v>0</v>
      </c>
      <c r="AL411" s="169">
        <f t="shared" si="235"/>
        <v>0</v>
      </c>
      <c r="AM411" s="169">
        <f t="shared" si="235"/>
        <v>0</v>
      </c>
      <c r="AN411" s="169">
        <f t="shared" si="235"/>
        <v>0</v>
      </c>
      <c r="AO411" s="169">
        <f t="shared" si="235"/>
        <v>0</v>
      </c>
      <c r="AP411" s="169">
        <f t="shared" si="235"/>
        <v>0</v>
      </c>
    </row>
    <row r="412" spans="1:42" x14ac:dyDescent="0.2">
      <c r="A412" s="101">
        <f t="shared" si="234"/>
        <v>4</v>
      </c>
      <c r="B412" s="179">
        <f t="shared" si="231"/>
        <v>0</v>
      </c>
      <c r="C412" s="208">
        <f t="shared" ref="C412:AP412" si="236">LOOKUP(C400,$B$367:$AP$367,$B$368:$AP$368)*$B691</f>
        <v>0</v>
      </c>
      <c r="D412" s="169">
        <f t="shared" si="236"/>
        <v>0</v>
      </c>
      <c r="E412" s="169">
        <f t="shared" si="236"/>
        <v>0</v>
      </c>
      <c r="F412" s="169">
        <f t="shared" si="236"/>
        <v>0</v>
      </c>
      <c r="G412" s="169">
        <f t="shared" si="236"/>
        <v>0</v>
      </c>
      <c r="H412" s="169">
        <f t="shared" si="236"/>
        <v>0</v>
      </c>
      <c r="I412" s="169">
        <f t="shared" si="236"/>
        <v>0</v>
      </c>
      <c r="J412" s="169">
        <f t="shared" si="236"/>
        <v>0</v>
      </c>
      <c r="K412" s="169">
        <f t="shared" si="236"/>
        <v>0</v>
      </c>
      <c r="L412" s="169">
        <f t="shared" si="236"/>
        <v>0</v>
      </c>
      <c r="M412" s="169">
        <f t="shared" si="236"/>
        <v>0</v>
      </c>
      <c r="N412" s="169">
        <f t="shared" si="236"/>
        <v>0</v>
      </c>
      <c r="O412" s="169">
        <f t="shared" si="236"/>
        <v>0</v>
      </c>
      <c r="P412" s="169">
        <f t="shared" si="236"/>
        <v>0</v>
      </c>
      <c r="Q412" s="169">
        <f t="shared" si="236"/>
        <v>0</v>
      </c>
      <c r="R412" s="169">
        <f t="shared" si="236"/>
        <v>0</v>
      </c>
      <c r="S412" s="169">
        <f t="shared" si="236"/>
        <v>0</v>
      </c>
      <c r="T412" s="169">
        <f t="shared" si="236"/>
        <v>0</v>
      </c>
      <c r="U412" s="169">
        <f t="shared" si="236"/>
        <v>0</v>
      </c>
      <c r="V412" s="169">
        <f t="shared" si="236"/>
        <v>0</v>
      </c>
      <c r="W412" s="169">
        <f t="shared" si="236"/>
        <v>0</v>
      </c>
      <c r="X412" s="169">
        <f t="shared" si="236"/>
        <v>0</v>
      </c>
      <c r="Y412" s="169">
        <f t="shared" si="236"/>
        <v>0</v>
      </c>
      <c r="Z412" s="169">
        <f t="shared" si="236"/>
        <v>0</v>
      </c>
      <c r="AA412" s="169">
        <f t="shared" si="236"/>
        <v>0</v>
      </c>
      <c r="AB412" s="169">
        <f t="shared" si="236"/>
        <v>0</v>
      </c>
      <c r="AC412" s="169">
        <f t="shared" si="236"/>
        <v>0</v>
      </c>
      <c r="AD412" s="169">
        <f t="shared" si="236"/>
        <v>0</v>
      </c>
      <c r="AE412" s="169">
        <f t="shared" si="236"/>
        <v>0</v>
      </c>
      <c r="AF412" s="169">
        <f t="shared" si="236"/>
        <v>0</v>
      </c>
      <c r="AG412" s="169">
        <f t="shared" si="236"/>
        <v>0</v>
      </c>
      <c r="AH412" s="169">
        <f t="shared" si="236"/>
        <v>0</v>
      </c>
      <c r="AI412" s="169">
        <f t="shared" si="236"/>
        <v>0</v>
      </c>
      <c r="AJ412" s="169">
        <f t="shared" si="236"/>
        <v>0</v>
      </c>
      <c r="AK412" s="169">
        <f t="shared" si="236"/>
        <v>0</v>
      </c>
      <c r="AL412" s="169">
        <f t="shared" si="236"/>
        <v>0</v>
      </c>
      <c r="AM412" s="169">
        <f t="shared" si="236"/>
        <v>0</v>
      </c>
      <c r="AN412" s="169">
        <f t="shared" si="236"/>
        <v>0</v>
      </c>
      <c r="AO412" s="169">
        <f t="shared" si="236"/>
        <v>0</v>
      </c>
      <c r="AP412" s="169">
        <f t="shared" si="236"/>
        <v>0</v>
      </c>
    </row>
    <row r="413" spans="1:42" x14ac:dyDescent="0.2">
      <c r="A413" s="101">
        <f t="shared" si="234"/>
        <v>5</v>
      </c>
      <c r="B413" s="179">
        <f t="shared" si="231"/>
        <v>0</v>
      </c>
      <c r="C413" s="208">
        <f t="shared" ref="C413:AP413" si="237">LOOKUP(C401,$B$367:$AP$367,$B$368:$AP$368)*$B692</f>
        <v>0</v>
      </c>
      <c r="D413" s="169">
        <f t="shared" si="237"/>
        <v>0</v>
      </c>
      <c r="E413" s="169">
        <f t="shared" si="237"/>
        <v>0</v>
      </c>
      <c r="F413" s="169">
        <f t="shared" si="237"/>
        <v>0</v>
      </c>
      <c r="G413" s="169">
        <f t="shared" si="237"/>
        <v>0</v>
      </c>
      <c r="H413" s="169">
        <f t="shared" si="237"/>
        <v>0</v>
      </c>
      <c r="I413" s="169">
        <f t="shared" si="237"/>
        <v>0</v>
      </c>
      <c r="J413" s="169">
        <f t="shared" si="237"/>
        <v>0</v>
      </c>
      <c r="K413" s="169">
        <f t="shared" si="237"/>
        <v>0</v>
      </c>
      <c r="L413" s="169">
        <f t="shared" si="237"/>
        <v>0</v>
      </c>
      <c r="M413" s="169">
        <f t="shared" si="237"/>
        <v>0</v>
      </c>
      <c r="N413" s="169">
        <f t="shared" si="237"/>
        <v>0</v>
      </c>
      <c r="O413" s="169">
        <f t="shared" si="237"/>
        <v>0</v>
      </c>
      <c r="P413" s="169">
        <f t="shared" si="237"/>
        <v>0</v>
      </c>
      <c r="Q413" s="169">
        <f t="shared" si="237"/>
        <v>0</v>
      </c>
      <c r="R413" s="169">
        <f t="shared" si="237"/>
        <v>0</v>
      </c>
      <c r="S413" s="169">
        <f t="shared" si="237"/>
        <v>0</v>
      </c>
      <c r="T413" s="169">
        <f t="shared" si="237"/>
        <v>0</v>
      </c>
      <c r="U413" s="169">
        <f t="shared" si="237"/>
        <v>0</v>
      </c>
      <c r="V413" s="169">
        <f t="shared" si="237"/>
        <v>0</v>
      </c>
      <c r="W413" s="169">
        <f t="shared" si="237"/>
        <v>0</v>
      </c>
      <c r="X413" s="169">
        <f t="shared" si="237"/>
        <v>0</v>
      </c>
      <c r="Y413" s="169">
        <f t="shared" si="237"/>
        <v>0</v>
      </c>
      <c r="Z413" s="169">
        <f t="shared" si="237"/>
        <v>0</v>
      </c>
      <c r="AA413" s="169">
        <f t="shared" si="237"/>
        <v>0</v>
      </c>
      <c r="AB413" s="169">
        <f t="shared" si="237"/>
        <v>0</v>
      </c>
      <c r="AC413" s="169">
        <f t="shared" si="237"/>
        <v>0</v>
      </c>
      <c r="AD413" s="169">
        <f t="shared" si="237"/>
        <v>0</v>
      </c>
      <c r="AE413" s="169">
        <f t="shared" si="237"/>
        <v>0</v>
      </c>
      <c r="AF413" s="169">
        <f t="shared" si="237"/>
        <v>0</v>
      </c>
      <c r="AG413" s="169">
        <f t="shared" si="237"/>
        <v>0</v>
      </c>
      <c r="AH413" s="169">
        <f t="shared" si="237"/>
        <v>0</v>
      </c>
      <c r="AI413" s="169">
        <f t="shared" si="237"/>
        <v>0</v>
      </c>
      <c r="AJ413" s="169">
        <f t="shared" si="237"/>
        <v>0</v>
      </c>
      <c r="AK413" s="169">
        <f t="shared" si="237"/>
        <v>0</v>
      </c>
      <c r="AL413" s="169">
        <f t="shared" si="237"/>
        <v>0</v>
      </c>
      <c r="AM413" s="169">
        <f t="shared" si="237"/>
        <v>0</v>
      </c>
      <c r="AN413" s="169">
        <f t="shared" si="237"/>
        <v>0</v>
      </c>
      <c r="AO413" s="169">
        <f t="shared" si="237"/>
        <v>0</v>
      </c>
      <c r="AP413" s="169">
        <f t="shared" si="237"/>
        <v>0</v>
      </c>
    </row>
    <row r="414" spans="1:42" x14ac:dyDescent="0.2">
      <c r="A414" s="101">
        <f t="shared" si="234"/>
        <v>6</v>
      </c>
      <c r="B414" s="179">
        <f t="shared" si="231"/>
        <v>0</v>
      </c>
      <c r="C414" s="208">
        <f t="shared" ref="C414:AP414" si="238">LOOKUP(C402,$B$367:$AP$367,$B$368:$AP$368)*$B693</f>
        <v>0</v>
      </c>
      <c r="D414" s="169">
        <f t="shared" si="238"/>
        <v>0</v>
      </c>
      <c r="E414" s="169">
        <f t="shared" si="238"/>
        <v>0</v>
      </c>
      <c r="F414" s="169">
        <f t="shared" si="238"/>
        <v>0</v>
      </c>
      <c r="G414" s="169">
        <f t="shared" si="238"/>
        <v>0</v>
      </c>
      <c r="H414" s="169">
        <f t="shared" si="238"/>
        <v>0</v>
      </c>
      <c r="I414" s="169">
        <f t="shared" si="238"/>
        <v>0</v>
      </c>
      <c r="J414" s="169">
        <f t="shared" si="238"/>
        <v>0</v>
      </c>
      <c r="K414" s="169">
        <f t="shared" si="238"/>
        <v>0</v>
      </c>
      <c r="L414" s="169">
        <f t="shared" si="238"/>
        <v>0</v>
      </c>
      <c r="M414" s="169">
        <f t="shared" si="238"/>
        <v>0</v>
      </c>
      <c r="N414" s="169">
        <f t="shared" si="238"/>
        <v>0</v>
      </c>
      <c r="O414" s="169">
        <f t="shared" si="238"/>
        <v>0</v>
      </c>
      <c r="P414" s="169">
        <f t="shared" si="238"/>
        <v>0</v>
      </c>
      <c r="Q414" s="169">
        <f t="shared" si="238"/>
        <v>0</v>
      </c>
      <c r="R414" s="169">
        <f t="shared" si="238"/>
        <v>0</v>
      </c>
      <c r="S414" s="169">
        <f t="shared" si="238"/>
        <v>0</v>
      </c>
      <c r="T414" s="169">
        <f t="shared" si="238"/>
        <v>0</v>
      </c>
      <c r="U414" s="169">
        <f t="shared" si="238"/>
        <v>0</v>
      </c>
      <c r="V414" s="169">
        <f t="shared" si="238"/>
        <v>0</v>
      </c>
      <c r="W414" s="169">
        <f t="shared" si="238"/>
        <v>0</v>
      </c>
      <c r="X414" s="169">
        <f t="shared" si="238"/>
        <v>0</v>
      </c>
      <c r="Y414" s="169">
        <f t="shared" si="238"/>
        <v>0</v>
      </c>
      <c r="Z414" s="169">
        <f t="shared" si="238"/>
        <v>0</v>
      </c>
      <c r="AA414" s="169">
        <f t="shared" si="238"/>
        <v>0</v>
      </c>
      <c r="AB414" s="169">
        <f t="shared" si="238"/>
        <v>0</v>
      </c>
      <c r="AC414" s="169">
        <f t="shared" si="238"/>
        <v>0</v>
      </c>
      <c r="AD414" s="169">
        <f t="shared" si="238"/>
        <v>0</v>
      </c>
      <c r="AE414" s="169">
        <f t="shared" si="238"/>
        <v>0</v>
      </c>
      <c r="AF414" s="169">
        <f t="shared" si="238"/>
        <v>0</v>
      </c>
      <c r="AG414" s="169">
        <f t="shared" si="238"/>
        <v>0</v>
      </c>
      <c r="AH414" s="169">
        <f t="shared" si="238"/>
        <v>0</v>
      </c>
      <c r="AI414" s="169">
        <f t="shared" si="238"/>
        <v>0</v>
      </c>
      <c r="AJ414" s="169">
        <f t="shared" si="238"/>
        <v>0</v>
      </c>
      <c r="AK414" s="169">
        <f t="shared" si="238"/>
        <v>0</v>
      </c>
      <c r="AL414" s="169">
        <f t="shared" si="238"/>
        <v>0</v>
      </c>
      <c r="AM414" s="169">
        <f t="shared" si="238"/>
        <v>0</v>
      </c>
      <c r="AN414" s="169">
        <f t="shared" si="238"/>
        <v>0</v>
      </c>
      <c r="AO414" s="169">
        <f t="shared" si="238"/>
        <v>0</v>
      </c>
      <c r="AP414" s="169">
        <f t="shared" si="238"/>
        <v>0</v>
      </c>
    </row>
    <row r="415" spans="1:42" x14ac:dyDescent="0.2">
      <c r="A415" s="101">
        <f t="shared" si="234"/>
        <v>7</v>
      </c>
      <c r="B415" s="179">
        <f t="shared" si="231"/>
        <v>0</v>
      </c>
      <c r="C415" s="208">
        <f t="shared" ref="C415:AP415" si="239">LOOKUP(C403,$B$367:$AP$367,$B$368:$AP$368)*$B694</f>
        <v>0</v>
      </c>
      <c r="D415" s="169">
        <f t="shared" si="239"/>
        <v>0</v>
      </c>
      <c r="E415" s="169">
        <f t="shared" si="239"/>
        <v>0</v>
      </c>
      <c r="F415" s="169">
        <f t="shared" si="239"/>
        <v>0</v>
      </c>
      <c r="G415" s="169">
        <f t="shared" si="239"/>
        <v>0</v>
      </c>
      <c r="H415" s="169">
        <f t="shared" si="239"/>
        <v>0</v>
      </c>
      <c r="I415" s="169">
        <f t="shared" si="239"/>
        <v>0</v>
      </c>
      <c r="J415" s="169">
        <f t="shared" si="239"/>
        <v>0</v>
      </c>
      <c r="K415" s="169">
        <f t="shared" si="239"/>
        <v>0</v>
      </c>
      <c r="L415" s="169">
        <f t="shared" si="239"/>
        <v>0</v>
      </c>
      <c r="M415" s="169">
        <f t="shared" si="239"/>
        <v>0</v>
      </c>
      <c r="N415" s="169">
        <f t="shared" si="239"/>
        <v>0</v>
      </c>
      <c r="O415" s="169">
        <f t="shared" si="239"/>
        <v>0</v>
      </c>
      <c r="P415" s="169">
        <f t="shared" si="239"/>
        <v>0</v>
      </c>
      <c r="Q415" s="169">
        <f t="shared" si="239"/>
        <v>0</v>
      </c>
      <c r="R415" s="169">
        <f t="shared" si="239"/>
        <v>0</v>
      </c>
      <c r="S415" s="169">
        <f t="shared" si="239"/>
        <v>0</v>
      </c>
      <c r="T415" s="169">
        <f t="shared" si="239"/>
        <v>0</v>
      </c>
      <c r="U415" s="169">
        <f t="shared" si="239"/>
        <v>0</v>
      </c>
      <c r="V415" s="169">
        <f t="shared" si="239"/>
        <v>0</v>
      </c>
      <c r="W415" s="169">
        <f t="shared" si="239"/>
        <v>0</v>
      </c>
      <c r="X415" s="169">
        <f t="shared" si="239"/>
        <v>0</v>
      </c>
      <c r="Y415" s="169">
        <f t="shared" si="239"/>
        <v>0</v>
      </c>
      <c r="Z415" s="169">
        <f t="shared" si="239"/>
        <v>0</v>
      </c>
      <c r="AA415" s="169">
        <f t="shared" si="239"/>
        <v>0</v>
      </c>
      <c r="AB415" s="169">
        <f t="shared" si="239"/>
        <v>0</v>
      </c>
      <c r="AC415" s="169">
        <f t="shared" si="239"/>
        <v>0</v>
      </c>
      <c r="AD415" s="169">
        <f t="shared" si="239"/>
        <v>0</v>
      </c>
      <c r="AE415" s="169">
        <f t="shared" si="239"/>
        <v>0</v>
      </c>
      <c r="AF415" s="169">
        <f t="shared" si="239"/>
        <v>0</v>
      </c>
      <c r="AG415" s="169">
        <f t="shared" si="239"/>
        <v>0</v>
      </c>
      <c r="AH415" s="169">
        <f t="shared" si="239"/>
        <v>0</v>
      </c>
      <c r="AI415" s="169">
        <f t="shared" si="239"/>
        <v>0</v>
      </c>
      <c r="AJ415" s="169">
        <f t="shared" si="239"/>
        <v>0</v>
      </c>
      <c r="AK415" s="169">
        <f t="shared" si="239"/>
        <v>0</v>
      </c>
      <c r="AL415" s="169">
        <f t="shared" si="239"/>
        <v>0</v>
      </c>
      <c r="AM415" s="169">
        <f t="shared" si="239"/>
        <v>0</v>
      </c>
      <c r="AN415" s="169">
        <f t="shared" si="239"/>
        <v>0</v>
      </c>
      <c r="AO415" s="169">
        <f t="shared" si="239"/>
        <v>0</v>
      </c>
      <c r="AP415" s="169">
        <f t="shared" si="239"/>
        <v>0</v>
      </c>
    </row>
    <row r="416" spans="1:42" x14ac:dyDescent="0.2">
      <c r="A416" s="101">
        <f t="shared" si="234"/>
        <v>8</v>
      </c>
      <c r="B416" s="179">
        <f t="shared" si="231"/>
        <v>0</v>
      </c>
      <c r="C416" s="208">
        <f t="shared" ref="C416:AP416" si="240">LOOKUP(C404,$B$367:$AP$367,$B$368:$AP$368)*$B695</f>
        <v>0</v>
      </c>
      <c r="D416" s="169">
        <f t="shared" si="240"/>
        <v>0</v>
      </c>
      <c r="E416" s="169">
        <f t="shared" si="240"/>
        <v>0</v>
      </c>
      <c r="F416" s="169">
        <f t="shared" si="240"/>
        <v>0</v>
      </c>
      <c r="G416" s="169">
        <f t="shared" si="240"/>
        <v>0</v>
      </c>
      <c r="H416" s="169">
        <f t="shared" si="240"/>
        <v>0</v>
      </c>
      <c r="I416" s="169">
        <f t="shared" si="240"/>
        <v>0</v>
      </c>
      <c r="J416" s="169">
        <f t="shared" si="240"/>
        <v>0</v>
      </c>
      <c r="K416" s="169">
        <f t="shared" si="240"/>
        <v>0</v>
      </c>
      <c r="L416" s="169">
        <f t="shared" si="240"/>
        <v>0</v>
      </c>
      <c r="M416" s="169">
        <f t="shared" si="240"/>
        <v>0</v>
      </c>
      <c r="N416" s="169">
        <f t="shared" si="240"/>
        <v>0</v>
      </c>
      <c r="O416" s="169">
        <f t="shared" si="240"/>
        <v>0</v>
      </c>
      <c r="P416" s="169">
        <f t="shared" si="240"/>
        <v>0</v>
      </c>
      <c r="Q416" s="169">
        <f t="shared" si="240"/>
        <v>0</v>
      </c>
      <c r="R416" s="169">
        <f t="shared" si="240"/>
        <v>0</v>
      </c>
      <c r="S416" s="169">
        <f t="shared" si="240"/>
        <v>0</v>
      </c>
      <c r="T416" s="169">
        <f t="shared" si="240"/>
        <v>0</v>
      </c>
      <c r="U416" s="169">
        <f t="shared" si="240"/>
        <v>0</v>
      </c>
      <c r="V416" s="169">
        <f t="shared" si="240"/>
        <v>0</v>
      </c>
      <c r="W416" s="169">
        <f t="shared" si="240"/>
        <v>0</v>
      </c>
      <c r="X416" s="169">
        <f t="shared" si="240"/>
        <v>0</v>
      </c>
      <c r="Y416" s="169">
        <f t="shared" si="240"/>
        <v>0</v>
      </c>
      <c r="Z416" s="169">
        <f t="shared" si="240"/>
        <v>0</v>
      </c>
      <c r="AA416" s="169">
        <f t="shared" si="240"/>
        <v>0</v>
      </c>
      <c r="AB416" s="169">
        <f t="shared" si="240"/>
        <v>0</v>
      </c>
      <c r="AC416" s="169">
        <f t="shared" si="240"/>
        <v>0</v>
      </c>
      <c r="AD416" s="169">
        <f t="shared" si="240"/>
        <v>0</v>
      </c>
      <c r="AE416" s="169">
        <f t="shared" si="240"/>
        <v>0</v>
      </c>
      <c r="AF416" s="169">
        <f t="shared" si="240"/>
        <v>0</v>
      </c>
      <c r="AG416" s="169">
        <f t="shared" si="240"/>
        <v>0</v>
      </c>
      <c r="AH416" s="169">
        <f t="shared" si="240"/>
        <v>0</v>
      </c>
      <c r="AI416" s="169">
        <f t="shared" si="240"/>
        <v>0</v>
      </c>
      <c r="AJ416" s="169">
        <f t="shared" si="240"/>
        <v>0</v>
      </c>
      <c r="AK416" s="169">
        <f t="shared" si="240"/>
        <v>0</v>
      </c>
      <c r="AL416" s="169">
        <f t="shared" si="240"/>
        <v>0</v>
      </c>
      <c r="AM416" s="169">
        <f t="shared" si="240"/>
        <v>0</v>
      </c>
      <c r="AN416" s="169">
        <f t="shared" si="240"/>
        <v>0</v>
      </c>
      <c r="AO416" s="169">
        <f t="shared" si="240"/>
        <v>0</v>
      </c>
      <c r="AP416" s="169">
        <f t="shared" si="240"/>
        <v>0</v>
      </c>
    </row>
    <row r="417" spans="1:42" x14ac:dyDescent="0.2">
      <c r="A417" s="101">
        <f>A416+1</f>
        <v>9</v>
      </c>
      <c r="B417" s="179">
        <f t="shared" si="231"/>
        <v>0</v>
      </c>
      <c r="C417" s="208">
        <f t="shared" ref="C417:AP417" si="241">LOOKUP(C405,$B$367:$AP$367,$B$368:$AP$368)*$B696</f>
        <v>0</v>
      </c>
      <c r="D417" s="169">
        <f t="shared" si="241"/>
        <v>0</v>
      </c>
      <c r="E417" s="169">
        <f t="shared" si="241"/>
        <v>0</v>
      </c>
      <c r="F417" s="169">
        <f t="shared" si="241"/>
        <v>0</v>
      </c>
      <c r="G417" s="169">
        <f t="shared" si="241"/>
        <v>0</v>
      </c>
      <c r="H417" s="169">
        <f t="shared" si="241"/>
        <v>0</v>
      </c>
      <c r="I417" s="169">
        <f t="shared" si="241"/>
        <v>0</v>
      </c>
      <c r="J417" s="169">
        <f t="shared" si="241"/>
        <v>0</v>
      </c>
      <c r="K417" s="169">
        <f t="shared" si="241"/>
        <v>0</v>
      </c>
      <c r="L417" s="169">
        <f t="shared" si="241"/>
        <v>0</v>
      </c>
      <c r="M417" s="169">
        <f t="shared" si="241"/>
        <v>0</v>
      </c>
      <c r="N417" s="169">
        <f t="shared" si="241"/>
        <v>0</v>
      </c>
      <c r="O417" s="169">
        <f t="shared" si="241"/>
        <v>0</v>
      </c>
      <c r="P417" s="169">
        <f t="shared" si="241"/>
        <v>0</v>
      </c>
      <c r="Q417" s="169">
        <f t="shared" si="241"/>
        <v>0</v>
      </c>
      <c r="R417" s="169">
        <f t="shared" si="241"/>
        <v>0</v>
      </c>
      <c r="S417" s="169">
        <f t="shared" si="241"/>
        <v>0</v>
      </c>
      <c r="T417" s="169">
        <f t="shared" si="241"/>
        <v>0</v>
      </c>
      <c r="U417" s="169">
        <f t="shared" si="241"/>
        <v>0</v>
      </c>
      <c r="V417" s="169">
        <f t="shared" si="241"/>
        <v>0</v>
      </c>
      <c r="W417" s="169">
        <f t="shared" si="241"/>
        <v>0</v>
      </c>
      <c r="X417" s="169">
        <f t="shared" si="241"/>
        <v>0</v>
      </c>
      <c r="Y417" s="169">
        <f t="shared" si="241"/>
        <v>0</v>
      </c>
      <c r="Z417" s="169">
        <f t="shared" si="241"/>
        <v>0</v>
      </c>
      <c r="AA417" s="169">
        <f t="shared" si="241"/>
        <v>0</v>
      </c>
      <c r="AB417" s="169">
        <f t="shared" si="241"/>
        <v>0</v>
      </c>
      <c r="AC417" s="169">
        <f t="shared" si="241"/>
        <v>0</v>
      </c>
      <c r="AD417" s="169">
        <f t="shared" si="241"/>
        <v>0</v>
      </c>
      <c r="AE417" s="169">
        <f t="shared" si="241"/>
        <v>0</v>
      </c>
      <c r="AF417" s="169">
        <f t="shared" si="241"/>
        <v>0</v>
      </c>
      <c r="AG417" s="169">
        <f t="shared" si="241"/>
        <v>0</v>
      </c>
      <c r="AH417" s="169">
        <f t="shared" si="241"/>
        <v>0</v>
      </c>
      <c r="AI417" s="169">
        <f t="shared" si="241"/>
        <v>0</v>
      </c>
      <c r="AJ417" s="169">
        <f t="shared" si="241"/>
        <v>0</v>
      </c>
      <c r="AK417" s="169">
        <f t="shared" si="241"/>
        <v>0</v>
      </c>
      <c r="AL417" s="169">
        <f t="shared" si="241"/>
        <v>0</v>
      </c>
      <c r="AM417" s="169">
        <f t="shared" si="241"/>
        <v>0</v>
      </c>
      <c r="AN417" s="169">
        <f t="shared" si="241"/>
        <v>0</v>
      </c>
      <c r="AO417" s="169">
        <f t="shared" si="241"/>
        <v>0</v>
      </c>
      <c r="AP417" s="169">
        <f t="shared" si="241"/>
        <v>0</v>
      </c>
    </row>
    <row r="418" spans="1:42" x14ac:dyDescent="0.2">
      <c r="A418" s="101">
        <f t="shared" si="234"/>
        <v>10</v>
      </c>
      <c r="B418" s="179">
        <f t="shared" si="231"/>
        <v>0</v>
      </c>
      <c r="C418" s="204">
        <f t="shared" ref="C418:AP418" si="242">LOOKUP(C406,$B$367:$AP$367,$B$368:$AP$368)*$B697</f>
        <v>0</v>
      </c>
      <c r="D418" s="170">
        <f t="shared" si="242"/>
        <v>0</v>
      </c>
      <c r="E418" s="170">
        <f t="shared" si="242"/>
        <v>0</v>
      </c>
      <c r="F418" s="170">
        <f t="shared" si="242"/>
        <v>0</v>
      </c>
      <c r="G418" s="170">
        <f t="shared" si="242"/>
        <v>0</v>
      </c>
      <c r="H418" s="170">
        <f t="shared" si="242"/>
        <v>0</v>
      </c>
      <c r="I418" s="170">
        <f t="shared" si="242"/>
        <v>0</v>
      </c>
      <c r="J418" s="170">
        <f t="shared" si="242"/>
        <v>0</v>
      </c>
      <c r="K418" s="170">
        <f t="shared" si="242"/>
        <v>0</v>
      </c>
      <c r="L418" s="170">
        <f t="shared" si="242"/>
        <v>0</v>
      </c>
      <c r="M418" s="170">
        <f t="shared" si="242"/>
        <v>0</v>
      </c>
      <c r="N418" s="170">
        <f t="shared" si="242"/>
        <v>0</v>
      </c>
      <c r="O418" s="170">
        <f t="shared" si="242"/>
        <v>0</v>
      </c>
      <c r="P418" s="170">
        <f t="shared" si="242"/>
        <v>0</v>
      </c>
      <c r="Q418" s="170">
        <f t="shared" si="242"/>
        <v>0</v>
      </c>
      <c r="R418" s="170">
        <f t="shared" si="242"/>
        <v>0</v>
      </c>
      <c r="S418" s="170">
        <f t="shared" si="242"/>
        <v>0</v>
      </c>
      <c r="T418" s="170">
        <f t="shared" si="242"/>
        <v>0</v>
      </c>
      <c r="U418" s="170">
        <f t="shared" si="242"/>
        <v>0</v>
      </c>
      <c r="V418" s="170">
        <f t="shared" si="242"/>
        <v>0</v>
      </c>
      <c r="W418" s="170">
        <f t="shared" si="242"/>
        <v>0</v>
      </c>
      <c r="X418" s="170">
        <f t="shared" si="242"/>
        <v>0</v>
      </c>
      <c r="Y418" s="170">
        <f t="shared" si="242"/>
        <v>0</v>
      </c>
      <c r="Z418" s="170">
        <f t="shared" si="242"/>
        <v>0</v>
      </c>
      <c r="AA418" s="170">
        <f t="shared" si="242"/>
        <v>0</v>
      </c>
      <c r="AB418" s="170">
        <f t="shared" si="242"/>
        <v>0</v>
      </c>
      <c r="AC418" s="170">
        <f t="shared" si="242"/>
        <v>0</v>
      </c>
      <c r="AD418" s="170">
        <f t="shared" si="242"/>
        <v>0</v>
      </c>
      <c r="AE418" s="170">
        <f t="shared" si="242"/>
        <v>0</v>
      </c>
      <c r="AF418" s="170">
        <f t="shared" si="242"/>
        <v>0</v>
      </c>
      <c r="AG418" s="170">
        <f t="shared" si="242"/>
        <v>0</v>
      </c>
      <c r="AH418" s="170">
        <f t="shared" si="242"/>
        <v>0</v>
      </c>
      <c r="AI418" s="170">
        <f t="shared" si="242"/>
        <v>0</v>
      </c>
      <c r="AJ418" s="170">
        <f t="shared" si="242"/>
        <v>0</v>
      </c>
      <c r="AK418" s="170">
        <f t="shared" si="242"/>
        <v>0</v>
      </c>
      <c r="AL418" s="170">
        <f t="shared" si="242"/>
        <v>0</v>
      </c>
      <c r="AM418" s="170">
        <f t="shared" si="242"/>
        <v>0</v>
      </c>
      <c r="AN418" s="170">
        <f t="shared" si="242"/>
        <v>0</v>
      </c>
      <c r="AO418" s="170">
        <f t="shared" si="242"/>
        <v>0</v>
      </c>
      <c r="AP418" s="170">
        <f t="shared" si="242"/>
        <v>0</v>
      </c>
    </row>
    <row r="419" spans="1:42" s="101" customFormat="1" ht="12" customHeight="1" x14ac:dyDescent="0.2">
      <c r="A419" s="205" t="s">
        <v>53</v>
      </c>
      <c r="B419" s="124"/>
      <c r="C419" s="124">
        <f>SUM(C409:C418)</f>
        <v>0</v>
      </c>
      <c r="D419" s="124">
        <f t="shared" ref="D419:AP419" si="243">SUM(D409:D418)</f>
        <v>0</v>
      </c>
      <c r="E419" s="124">
        <f t="shared" si="243"/>
        <v>0</v>
      </c>
      <c r="F419" s="124">
        <f t="shared" si="243"/>
        <v>0</v>
      </c>
      <c r="G419" s="124">
        <f t="shared" si="243"/>
        <v>0</v>
      </c>
      <c r="H419" s="124">
        <f t="shared" si="243"/>
        <v>0</v>
      </c>
      <c r="I419" s="124">
        <f t="shared" si="243"/>
        <v>0</v>
      </c>
      <c r="J419" s="124">
        <f t="shared" si="243"/>
        <v>0</v>
      </c>
      <c r="K419" s="124">
        <f t="shared" si="243"/>
        <v>0</v>
      </c>
      <c r="L419" s="124">
        <f t="shared" si="243"/>
        <v>0</v>
      </c>
      <c r="M419" s="124">
        <f t="shared" si="243"/>
        <v>0</v>
      </c>
      <c r="N419" s="124">
        <f t="shared" si="243"/>
        <v>0</v>
      </c>
      <c r="O419" s="124">
        <f t="shared" si="243"/>
        <v>0</v>
      </c>
      <c r="P419" s="124">
        <f t="shared" si="243"/>
        <v>0</v>
      </c>
      <c r="Q419" s="124">
        <f t="shared" si="243"/>
        <v>0</v>
      </c>
      <c r="R419" s="124">
        <f t="shared" si="243"/>
        <v>0</v>
      </c>
      <c r="S419" s="124">
        <f t="shared" si="243"/>
        <v>0</v>
      </c>
      <c r="T419" s="124">
        <f t="shared" si="243"/>
        <v>0</v>
      </c>
      <c r="U419" s="124">
        <f t="shared" si="243"/>
        <v>0</v>
      </c>
      <c r="V419" s="124">
        <f t="shared" si="243"/>
        <v>0</v>
      </c>
      <c r="W419" s="124">
        <f t="shared" si="243"/>
        <v>0</v>
      </c>
      <c r="X419" s="124">
        <f t="shared" si="243"/>
        <v>0</v>
      </c>
      <c r="Y419" s="124">
        <f t="shared" si="243"/>
        <v>0</v>
      </c>
      <c r="Z419" s="124">
        <f t="shared" si="243"/>
        <v>0</v>
      </c>
      <c r="AA419" s="124">
        <f t="shared" si="243"/>
        <v>0</v>
      </c>
      <c r="AB419" s="124">
        <f t="shared" si="243"/>
        <v>0</v>
      </c>
      <c r="AC419" s="124">
        <f t="shared" si="243"/>
        <v>0</v>
      </c>
      <c r="AD419" s="124">
        <f t="shared" si="243"/>
        <v>0</v>
      </c>
      <c r="AE419" s="124">
        <f t="shared" si="243"/>
        <v>0</v>
      </c>
      <c r="AF419" s="124">
        <f t="shared" si="243"/>
        <v>0</v>
      </c>
      <c r="AG419" s="124">
        <f t="shared" si="243"/>
        <v>0</v>
      </c>
      <c r="AH419" s="124">
        <f t="shared" si="243"/>
        <v>0</v>
      </c>
      <c r="AI419" s="124">
        <f t="shared" si="243"/>
        <v>0</v>
      </c>
      <c r="AJ419" s="124">
        <f t="shared" si="243"/>
        <v>0</v>
      </c>
      <c r="AK419" s="124">
        <f t="shared" si="243"/>
        <v>0</v>
      </c>
      <c r="AL419" s="124">
        <f t="shared" si="243"/>
        <v>0</v>
      </c>
      <c r="AM419" s="124">
        <f t="shared" si="243"/>
        <v>0</v>
      </c>
      <c r="AN419" s="124">
        <f t="shared" si="243"/>
        <v>0</v>
      </c>
      <c r="AO419" s="124">
        <f t="shared" si="243"/>
        <v>0</v>
      </c>
      <c r="AP419" s="124">
        <f t="shared" si="243"/>
        <v>0</v>
      </c>
    </row>
    <row r="420" spans="1:42" x14ac:dyDescent="0.2">
      <c r="A420" s="187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</row>
    <row r="421" spans="1:42" x14ac:dyDescent="0.2">
      <c r="A421" s="180" t="s">
        <v>305</v>
      </c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</row>
    <row r="422" spans="1:42" x14ac:dyDescent="0.2">
      <c r="A422" s="187" t="s">
        <v>192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</row>
    <row r="423" spans="1:42" x14ac:dyDescent="0.2">
      <c r="A423" s="101">
        <v>1</v>
      </c>
      <c r="C423" s="169">
        <f>IF(C$2&lt;=AnalysisPeriod,IF(SUM($C720:C720)&gt;0,B423+1,0),0)</f>
        <v>0</v>
      </c>
      <c r="D423" s="169">
        <f>IF(D$2&lt;=AnalysisPeriod,IF(SUM($C720:D720)&gt;0,C423+1,0),0)</f>
        <v>0</v>
      </c>
      <c r="E423" s="169">
        <f>IF(E$2&lt;=AnalysisPeriod,IF(SUM($C720:E720)&gt;0,D423+1,0),0)</f>
        <v>0</v>
      </c>
      <c r="F423" s="169">
        <f>IF(F$2&lt;=AnalysisPeriod,IF(SUM($C720:F720)&gt;0,E423+1,0),0)</f>
        <v>0</v>
      </c>
      <c r="G423" s="169">
        <f>IF(G$2&lt;=AnalysisPeriod,IF(SUM($C720:G720)&gt;0,F423+1,0),0)</f>
        <v>0</v>
      </c>
      <c r="H423" s="169">
        <f>IF(H$2&lt;=AnalysisPeriod,IF(SUM($C720:H720)&gt;0,G423+1,0),0)</f>
        <v>0</v>
      </c>
      <c r="I423" s="169">
        <f>IF(I$2&lt;=AnalysisPeriod,IF(SUM($C720:I720)&gt;0,H423+1,0),0)</f>
        <v>0</v>
      </c>
      <c r="J423" s="169">
        <f>IF(J$2&lt;=AnalysisPeriod,IF(SUM($C720:J720)&gt;0,I423+1,0),0)</f>
        <v>0</v>
      </c>
      <c r="K423" s="169">
        <f>IF(K$2&lt;=AnalysisPeriod,IF(SUM($C720:K720)&gt;0,J423+1,0),0)</f>
        <v>0</v>
      </c>
      <c r="L423" s="169">
        <f>IF(L$2&lt;=AnalysisPeriod,IF(SUM($C720:L720)&gt;0,K423+1,0),0)</f>
        <v>0</v>
      </c>
      <c r="M423" s="169">
        <f>IF(M$2&lt;=AnalysisPeriod,IF(SUM($C720:M720)&gt;0,L423+1,0),0)</f>
        <v>0</v>
      </c>
      <c r="N423" s="169">
        <f>IF(N$2&lt;=AnalysisPeriod,IF(SUM($C720:N720)&gt;0,M423+1,0),0)</f>
        <v>0</v>
      </c>
      <c r="O423" s="169">
        <f>IF(O$2&lt;=AnalysisPeriod,IF(SUM($C720:O720)&gt;0,N423+1,0),0)</f>
        <v>0</v>
      </c>
      <c r="P423" s="169">
        <f>IF(P$2&lt;=AnalysisPeriod,IF(SUM($C720:P720)&gt;0,O423+1,0),0)</f>
        <v>0</v>
      </c>
      <c r="Q423" s="169">
        <f>IF(Q$2&lt;=AnalysisPeriod,IF(SUM($C720:Q720)&gt;0,P423+1,0),0)</f>
        <v>0</v>
      </c>
      <c r="R423" s="169">
        <f>IF(R$2&lt;=AnalysisPeriod,IF(SUM($C720:R720)&gt;0,Q423+1,0),0)</f>
        <v>0</v>
      </c>
      <c r="S423" s="169">
        <f>IF(S$2&lt;=AnalysisPeriod,IF(SUM($C720:S720)&gt;0,R423+1,0),0)</f>
        <v>0</v>
      </c>
      <c r="T423" s="169">
        <f>IF(T$2&lt;=AnalysisPeriod,IF(SUM($C720:T720)&gt;0,S423+1,0),0)</f>
        <v>0</v>
      </c>
      <c r="U423" s="169">
        <f>IF(U$2&lt;=AnalysisPeriod,IF(SUM($C720:U720)&gt;0,T423+1,0),0)</f>
        <v>0</v>
      </c>
      <c r="V423" s="169">
        <f>IF(V$2&lt;=AnalysisPeriod,IF(SUM($C720:V720)&gt;0,U423+1,0),0)</f>
        <v>0</v>
      </c>
      <c r="W423" s="169">
        <f>IF(W$2&lt;=AnalysisPeriod,IF(SUM($C720:W720)&gt;0,V423+1,0),0)</f>
        <v>0</v>
      </c>
      <c r="X423" s="169">
        <f>IF(X$2&lt;=AnalysisPeriod,IF(SUM($C720:X720)&gt;0,W423+1,0),0)</f>
        <v>0</v>
      </c>
      <c r="Y423" s="169">
        <f>IF(Y$2&lt;=AnalysisPeriod,IF(SUM($C720:Y720)&gt;0,X423+1,0),0)</f>
        <v>0</v>
      </c>
      <c r="Z423" s="169">
        <f>IF(Z$2&lt;=AnalysisPeriod,IF(SUM($C720:Z720)&gt;0,Y423+1,0),0)</f>
        <v>0</v>
      </c>
      <c r="AA423" s="169">
        <f>IF(AA$2&lt;=AnalysisPeriod,IF(SUM($C720:AA720)&gt;0,Z423+1,0),0)</f>
        <v>0</v>
      </c>
      <c r="AB423" s="169">
        <f>IF(AB$2&lt;=AnalysisPeriod,IF(SUM($C720:AB720)&gt;0,AA423+1,0),0)</f>
        <v>0</v>
      </c>
      <c r="AC423" s="169">
        <f>IF(AC$2&lt;=AnalysisPeriod,IF(SUM($C720:AC720)&gt;0,AB423+1,0),0)</f>
        <v>0</v>
      </c>
      <c r="AD423" s="169">
        <f>IF(AD$2&lt;=AnalysisPeriod,IF(SUM($C720:AD720)&gt;0,AC423+1,0),0)</f>
        <v>0</v>
      </c>
      <c r="AE423" s="169">
        <f>IF(AE$2&lt;=AnalysisPeriod,IF(SUM($C720:AE720)&gt;0,AD423+1,0),0)</f>
        <v>0</v>
      </c>
      <c r="AF423" s="169">
        <f>IF(AF$2&lt;=AnalysisPeriod,IF(SUM($C720:AF720)&gt;0,AE423+1,0),0)</f>
        <v>0</v>
      </c>
      <c r="AG423" s="169">
        <f>IF(AG$2&lt;=AnalysisPeriod,IF(SUM($C720:AG720)&gt;0,AF423+1,0),0)</f>
        <v>0</v>
      </c>
      <c r="AH423" s="169">
        <f>IF(AH$2&lt;=AnalysisPeriod,IF(SUM($C720:AH720)&gt;0,AG423+1,0),0)</f>
        <v>0</v>
      </c>
      <c r="AI423" s="169">
        <f>IF(AI$2&lt;=AnalysisPeriod,IF(SUM($C720:AI720)&gt;0,AH423+1,0),0)</f>
        <v>0</v>
      </c>
      <c r="AJ423" s="169">
        <f>IF(AJ$2&lt;=AnalysisPeriod,IF(SUM($C720:AJ720)&gt;0,AI423+1,0),0)</f>
        <v>0</v>
      </c>
      <c r="AK423" s="169">
        <f>IF(AK$2&lt;=AnalysisPeriod,IF(SUM($C720:AK720)&gt;0,AJ423+1,0),0)</f>
        <v>0</v>
      </c>
      <c r="AL423" s="169">
        <f>IF(AL$2&lt;=AnalysisPeriod,IF(SUM($C720:AL720)&gt;0,AK423+1,0),0)</f>
        <v>0</v>
      </c>
      <c r="AM423" s="169">
        <f>IF(AM$2&lt;=AnalysisPeriod,IF(SUM($C720:AM720)&gt;0,AL423+1,0),0)</f>
        <v>0</v>
      </c>
      <c r="AN423" s="169">
        <f>IF(AN$2&lt;=AnalysisPeriod,IF(SUM($C720:AN720)&gt;0,AM423+1,0),0)</f>
        <v>0</v>
      </c>
      <c r="AO423" s="169">
        <f>IF(AO$2&lt;=AnalysisPeriod,IF(SUM($C720:AO720)&gt;0,AN423+1,0),0)</f>
        <v>0</v>
      </c>
      <c r="AP423" s="169">
        <f>IF(AP$2&lt;=AnalysisPeriod,IF(SUM($C720:AP720)&gt;0,AO423+1,0),0)</f>
        <v>0</v>
      </c>
    </row>
    <row r="424" spans="1:42" x14ac:dyDescent="0.2">
      <c r="A424" s="101">
        <f>A423+1</f>
        <v>2</v>
      </c>
      <c r="C424" s="169">
        <f>IF(C$2&lt;=AnalysisPeriod,IF(SUM($C721:C721)&gt;0,B424+1,0),0)</f>
        <v>0</v>
      </c>
      <c r="D424" s="169">
        <f>IF(D$2&lt;=AnalysisPeriod,IF(SUM($C721:D721)&gt;0,C424+1,0),0)</f>
        <v>0</v>
      </c>
      <c r="E424" s="169">
        <f>IF(E$2&lt;=AnalysisPeriod,IF(SUM($C721:E721)&gt;0,D424+1,0),0)</f>
        <v>0</v>
      </c>
      <c r="F424" s="169">
        <f>IF(F$2&lt;=AnalysisPeriod,IF(SUM($C721:F721)&gt;0,E424+1,0),0)</f>
        <v>0</v>
      </c>
      <c r="G424" s="169">
        <f>IF(G$2&lt;=AnalysisPeriod,IF(SUM($C721:G721)&gt;0,F424+1,0),0)</f>
        <v>0</v>
      </c>
      <c r="H424" s="169">
        <f>IF(H$2&lt;=AnalysisPeriod,IF(SUM($C721:H721)&gt;0,G424+1,0),0)</f>
        <v>0</v>
      </c>
      <c r="I424" s="169">
        <f>IF(I$2&lt;=AnalysisPeriod,IF(SUM($C721:I721)&gt;0,H424+1,0),0)</f>
        <v>0</v>
      </c>
      <c r="J424" s="169">
        <f>IF(J$2&lt;=AnalysisPeriod,IF(SUM($C721:J721)&gt;0,I424+1,0),0)</f>
        <v>0</v>
      </c>
      <c r="K424" s="169">
        <f>IF(K$2&lt;=AnalysisPeriod,IF(SUM($C721:K721)&gt;0,J424+1,0),0)</f>
        <v>0</v>
      </c>
      <c r="L424" s="169">
        <f>IF(L$2&lt;=AnalysisPeriod,IF(SUM($C721:L721)&gt;0,K424+1,0),0)</f>
        <v>0</v>
      </c>
      <c r="M424" s="169">
        <f>IF(M$2&lt;=AnalysisPeriod,IF(SUM($C721:M721)&gt;0,L424+1,0),0)</f>
        <v>0</v>
      </c>
      <c r="N424" s="169">
        <f>IF(N$2&lt;=AnalysisPeriod,IF(SUM($C721:N721)&gt;0,M424+1,0),0)</f>
        <v>0</v>
      </c>
      <c r="O424" s="169">
        <f>IF(O$2&lt;=AnalysisPeriod,IF(SUM($C721:O721)&gt;0,N424+1,0),0)</f>
        <v>0</v>
      </c>
      <c r="P424" s="169">
        <f>IF(P$2&lt;=AnalysisPeriod,IF(SUM($C721:P721)&gt;0,O424+1,0),0)</f>
        <v>0</v>
      </c>
      <c r="Q424" s="169">
        <f>IF(Q$2&lt;=AnalysisPeriod,IF(SUM($C721:Q721)&gt;0,P424+1,0),0)</f>
        <v>0</v>
      </c>
      <c r="R424" s="169">
        <f>IF(R$2&lt;=AnalysisPeriod,IF(SUM($C721:R721)&gt;0,Q424+1,0),0)</f>
        <v>0</v>
      </c>
      <c r="S424" s="169">
        <f>IF(S$2&lt;=AnalysisPeriod,IF(SUM($C721:S721)&gt;0,R424+1,0),0)</f>
        <v>0</v>
      </c>
      <c r="T424" s="169">
        <f>IF(T$2&lt;=AnalysisPeriod,IF(SUM($C721:T721)&gt;0,S424+1,0),0)</f>
        <v>0</v>
      </c>
      <c r="U424" s="169">
        <f>IF(U$2&lt;=AnalysisPeriod,IF(SUM($C721:U721)&gt;0,T424+1,0),0)</f>
        <v>0</v>
      </c>
      <c r="V424" s="169">
        <f>IF(V$2&lt;=AnalysisPeriod,IF(SUM($C721:V721)&gt;0,U424+1,0),0)</f>
        <v>0</v>
      </c>
      <c r="W424" s="169">
        <f>IF(W$2&lt;=AnalysisPeriod,IF(SUM($C721:W721)&gt;0,V424+1,0),0)</f>
        <v>0</v>
      </c>
      <c r="X424" s="169">
        <f>IF(X$2&lt;=AnalysisPeriod,IF(SUM($C721:X721)&gt;0,W424+1,0),0)</f>
        <v>0</v>
      </c>
      <c r="Y424" s="169">
        <f>IF(Y$2&lt;=AnalysisPeriod,IF(SUM($C721:Y721)&gt;0,X424+1,0),0)</f>
        <v>0</v>
      </c>
      <c r="Z424" s="169">
        <f>IF(Z$2&lt;=AnalysisPeriod,IF(SUM($C721:Z721)&gt;0,Y424+1,0),0)</f>
        <v>0</v>
      </c>
      <c r="AA424" s="169">
        <f>IF(AA$2&lt;=AnalysisPeriod,IF(SUM($C721:AA721)&gt;0,Z424+1,0),0)</f>
        <v>0</v>
      </c>
      <c r="AB424" s="169">
        <f>IF(AB$2&lt;=AnalysisPeriod,IF(SUM($C721:AB721)&gt;0,AA424+1,0),0)</f>
        <v>0</v>
      </c>
      <c r="AC424" s="169">
        <f>IF(AC$2&lt;=AnalysisPeriod,IF(SUM($C721:AC721)&gt;0,AB424+1,0),0)</f>
        <v>0</v>
      </c>
      <c r="AD424" s="169">
        <f>IF(AD$2&lt;=AnalysisPeriod,IF(SUM($C721:AD721)&gt;0,AC424+1,0),0)</f>
        <v>0</v>
      </c>
      <c r="AE424" s="169">
        <f>IF(AE$2&lt;=AnalysisPeriod,IF(SUM($C721:AE721)&gt;0,AD424+1,0),0)</f>
        <v>0</v>
      </c>
      <c r="AF424" s="169">
        <f>IF(AF$2&lt;=AnalysisPeriod,IF(SUM($C721:AF721)&gt;0,AE424+1,0),0)</f>
        <v>0</v>
      </c>
      <c r="AG424" s="169">
        <f>IF(AG$2&lt;=AnalysisPeriod,IF(SUM($C721:AG721)&gt;0,AF424+1,0),0)</f>
        <v>0</v>
      </c>
      <c r="AH424" s="169">
        <f>IF(AH$2&lt;=AnalysisPeriod,IF(SUM($C721:AH721)&gt;0,AG424+1,0),0)</f>
        <v>0</v>
      </c>
      <c r="AI424" s="169">
        <f>IF(AI$2&lt;=AnalysisPeriod,IF(SUM($C721:AI721)&gt;0,AH424+1,0),0)</f>
        <v>0</v>
      </c>
      <c r="AJ424" s="169">
        <f>IF(AJ$2&lt;=AnalysisPeriod,IF(SUM($C721:AJ721)&gt;0,AI424+1,0),0)</f>
        <v>0</v>
      </c>
      <c r="AK424" s="169">
        <f>IF(AK$2&lt;=AnalysisPeriod,IF(SUM($C721:AK721)&gt;0,AJ424+1,0),0)</f>
        <v>0</v>
      </c>
      <c r="AL424" s="169">
        <f>IF(AL$2&lt;=AnalysisPeriod,IF(SUM($C721:AL721)&gt;0,AK424+1,0),0)</f>
        <v>0</v>
      </c>
      <c r="AM424" s="169">
        <f>IF(AM$2&lt;=AnalysisPeriod,IF(SUM($C721:AM721)&gt;0,AL424+1,0),0)</f>
        <v>0</v>
      </c>
      <c r="AN424" s="169">
        <f>IF(AN$2&lt;=AnalysisPeriod,IF(SUM($C721:AN721)&gt;0,AM424+1,0),0)</f>
        <v>0</v>
      </c>
      <c r="AO424" s="169">
        <f>IF(AO$2&lt;=AnalysisPeriod,IF(SUM($C721:AO721)&gt;0,AN424+1,0),0)</f>
        <v>0</v>
      </c>
      <c r="AP424" s="169">
        <f>IF(AP$2&lt;=AnalysisPeriod,IF(SUM($C721:AP721)&gt;0,AO424+1,0),0)</f>
        <v>0</v>
      </c>
    </row>
    <row r="425" spans="1:42" x14ac:dyDescent="0.2">
      <c r="A425" s="101">
        <f t="shared" ref="A425:A432" si="244">A424+1</f>
        <v>3</v>
      </c>
      <c r="C425" s="169">
        <f>IF(C$2&lt;=AnalysisPeriod,IF(SUM($C722:C722)&gt;0,B425+1,0),0)</f>
        <v>0</v>
      </c>
      <c r="D425" s="169">
        <f>IF(D$2&lt;=AnalysisPeriod,IF(SUM($C722:D722)&gt;0,C425+1,0),0)</f>
        <v>0</v>
      </c>
      <c r="E425" s="169">
        <f>IF(E$2&lt;=AnalysisPeriod,IF(SUM($C722:E722)&gt;0,D425+1,0),0)</f>
        <v>0</v>
      </c>
      <c r="F425" s="169">
        <f>IF(F$2&lt;=AnalysisPeriod,IF(SUM($C722:F722)&gt;0,E425+1,0),0)</f>
        <v>0</v>
      </c>
      <c r="G425" s="169">
        <f>IF(G$2&lt;=AnalysisPeriod,IF(SUM($C722:G722)&gt;0,F425+1,0),0)</f>
        <v>0</v>
      </c>
      <c r="H425" s="169">
        <f>IF(H$2&lt;=AnalysisPeriod,IF(SUM($C722:H722)&gt;0,G425+1,0),0)</f>
        <v>0</v>
      </c>
      <c r="I425" s="169">
        <f>IF(I$2&lt;=AnalysisPeriod,IF(SUM($C722:I722)&gt;0,H425+1,0),0)</f>
        <v>0</v>
      </c>
      <c r="J425" s="169">
        <f>IF(J$2&lt;=AnalysisPeriod,IF(SUM($C722:J722)&gt;0,I425+1,0),0)</f>
        <v>0</v>
      </c>
      <c r="K425" s="169">
        <f>IF(K$2&lt;=AnalysisPeriod,IF(SUM($C722:K722)&gt;0,J425+1,0),0)</f>
        <v>0</v>
      </c>
      <c r="L425" s="169">
        <f>IF(L$2&lt;=AnalysisPeriod,IF(SUM($C722:L722)&gt;0,K425+1,0),0)</f>
        <v>0</v>
      </c>
      <c r="M425" s="169">
        <f>IF(M$2&lt;=AnalysisPeriod,IF(SUM($C722:M722)&gt;0,L425+1,0),0)</f>
        <v>0</v>
      </c>
      <c r="N425" s="169">
        <f>IF(N$2&lt;=AnalysisPeriod,IF(SUM($C722:N722)&gt;0,M425+1,0),0)</f>
        <v>0</v>
      </c>
      <c r="O425" s="169">
        <f>IF(O$2&lt;=AnalysisPeriod,IF(SUM($C722:O722)&gt;0,N425+1,0),0)</f>
        <v>0</v>
      </c>
      <c r="P425" s="169">
        <f>IF(P$2&lt;=AnalysisPeriod,IF(SUM($C722:P722)&gt;0,O425+1,0),0)</f>
        <v>0</v>
      </c>
      <c r="Q425" s="169">
        <f>IF(Q$2&lt;=AnalysisPeriod,IF(SUM($C722:Q722)&gt;0,P425+1,0),0)</f>
        <v>0</v>
      </c>
      <c r="R425" s="169">
        <f>IF(R$2&lt;=AnalysisPeriod,IF(SUM($C722:R722)&gt;0,Q425+1,0),0)</f>
        <v>0</v>
      </c>
      <c r="S425" s="169">
        <f>IF(S$2&lt;=AnalysisPeriod,IF(SUM($C722:S722)&gt;0,R425+1,0),0)</f>
        <v>0</v>
      </c>
      <c r="T425" s="169">
        <f>IF(T$2&lt;=AnalysisPeriod,IF(SUM($C722:T722)&gt;0,S425+1,0),0)</f>
        <v>0</v>
      </c>
      <c r="U425" s="169">
        <f>IF(U$2&lt;=AnalysisPeriod,IF(SUM($C722:U722)&gt;0,T425+1,0),0)</f>
        <v>0</v>
      </c>
      <c r="V425" s="169">
        <f>IF(V$2&lt;=AnalysisPeriod,IF(SUM($C722:V722)&gt;0,U425+1,0),0)</f>
        <v>0</v>
      </c>
      <c r="W425" s="169">
        <f>IF(W$2&lt;=AnalysisPeriod,IF(SUM($C722:W722)&gt;0,V425+1,0),0)</f>
        <v>0</v>
      </c>
      <c r="X425" s="169">
        <f>IF(X$2&lt;=AnalysisPeriod,IF(SUM($C722:X722)&gt;0,W425+1,0),0)</f>
        <v>0</v>
      </c>
      <c r="Y425" s="169">
        <f>IF(Y$2&lt;=AnalysisPeriod,IF(SUM($C722:Y722)&gt;0,X425+1,0),0)</f>
        <v>0</v>
      </c>
      <c r="Z425" s="169">
        <f>IF(Z$2&lt;=AnalysisPeriod,IF(SUM($C722:Z722)&gt;0,Y425+1,0),0)</f>
        <v>0</v>
      </c>
      <c r="AA425" s="169">
        <f>IF(AA$2&lt;=AnalysisPeriod,IF(SUM($C722:AA722)&gt;0,Z425+1,0),0)</f>
        <v>0</v>
      </c>
      <c r="AB425" s="169">
        <f>IF(AB$2&lt;=AnalysisPeriod,IF(SUM($C722:AB722)&gt;0,AA425+1,0),0)</f>
        <v>0</v>
      </c>
      <c r="AC425" s="169">
        <f>IF(AC$2&lt;=AnalysisPeriod,IF(SUM($C722:AC722)&gt;0,AB425+1,0),0)</f>
        <v>0</v>
      </c>
      <c r="AD425" s="169">
        <f>IF(AD$2&lt;=AnalysisPeriod,IF(SUM($C722:AD722)&gt;0,AC425+1,0),0)</f>
        <v>0</v>
      </c>
      <c r="AE425" s="169">
        <f>IF(AE$2&lt;=AnalysisPeriod,IF(SUM($C722:AE722)&gt;0,AD425+1,0),0)</f>
        <v>0</v>
      </c>
      <c r="AF425" s="169">
        <f>IF(AF$2&lt;=AnalysisPeriod,IF(SUM($C722:AF722)&gt;0,AE425+1,0),0)</f>
        <v>0</v>
      </c>
      <c r="AG425" s="169">
        <f>IF(AG$2&lt;=AnalysisPeriod,IF(SUM($C722:AG722)&gt;0,AF425+1,0),0)</f>
        <v>0</v>
      </c>
      <c r="AH425" s="169">
        <f>IF(AH$2&lt;=AnalysisPeriod,IF(SUM($C722:AH722)&gt;0,AG425+1,0),0)</f>
        <v>0</v>
      </c>
      <c r="AI425" s="169">
        <f>IF(AI$2&lt;=AnalysisPeriod,IF(SUM($C722:AI722)&gt;0,AH425+1,0),0)</f>
        <v>0</v>
      </c>
      <c r="AJ425" s="169">
        <f>IF(AJ$2&lt;=AnalysisPeriod,IF(SUM($C722:AJ722)&gt;0,AI425+1,0),0)</f>
        <v>0</v>
      </c>
      <c r="AK425" s="169">
        <f>IF(AK$2&lt;=AnalysisPeriod,IF(SUM($C722:AK722)&gt;0,AJ425+1,0),0)</f>
        <v>0</v>
      </c>
      <c r="AL425" s="169">
        <f>IF(AL$2&lt;=AnalysisPeriod,IF(SUM($C722:AL722)&gt;0,AK425+1,0),0)</f>
        <v>0</v>
      </c>
      <c r="AM425" s="169">
        <f>IF(AM$2&lt;=AnalysisPeriod,IF(SUM($C722:AM722)&gt;0,AL425+1,0),0)</f>
        <v>0</v>
      </c>
      <c r="AN425" s="169">
        <f>IF(AN$2&lt;=AnalysisPeriod,IF(SUM($C722:AN722)&gt;0,AM425+1,0),0)</f>
        <v>0</v>
      </c>
      <c r="AO425" s="169">
        <f>IF(AO$2&lt;=AnalysisPeriod,IF(SUM($C722:AO722)&gt;0,AN425+1,0),0)</f>
        <v>0</v>
      </c>
      <c r="AP425" s="169">
        <f>IF(AP$2&lt;=AnalysisPeriod,IF(SUM($C722:AP722)&gt;0,AO425+1,0),0)</f>
        <v>0</v>
      </c>
    </row>
    <row r="426" spans="1:42" x14ac:dyDescent="0.2">
      <c r="A426" s="101">
        <f t="shared" si="244"/>
        <v>4</v>
      </c>
      <c r="C426" s="169">
        <f>IF(C$2&lt;=AnalysisPeriod,IF(SUM($C723:C723)&gt;0,B426+1,0),0)</f>
        <v>0</v>
      </c>
      <c r="D426" s="169">
        <f>IF(D$2&lt;=AnalysisPeriod,IF(SUM($C723:D723)&gt;0,C426+1,0),0)</f>
        <v>0</v>
      </c>
      <c r="E426" s="169">
        <f>IF(E$2&lt;=AnalysisPeriod,IF(SUM($C723:E723)&gt;0,D426+1,0),0)</f>
        <v>0</v>
      </c>
      <c r="F426" s="169">
        <f>IF(F$2&lt;=AnalysisPeriod,IF(SUM($C723:F723)&gt;0,E426+1,0),0)</f>
        <v>0</v>
      </c>
      <c r="G426" s="169">
        <f>IF(G$2&lt;=AnalysisPeriod,IF(SUM($C723:G723)&gt;0,F426+1,0),0)</f>
        <v>0</v>
      </c>
      <c r="H426" s="169">
        <f>IF(H$2&lt;=AnalysisPeriod,IF(SUM($C723:H723)&gt;0,G426+1,0),0)</f>
        <v>0</v>
      </c>
      <c r="I426" s="169">
        <f>IF(I$2&lt;=AnalysisPeriod,IF(SUM($C723:I723)&gt;0,H426+1,0),0)</f>
        <v>0</v>
      </c>
      <c r="J426" s="169">
        <f>IF(J$2&lt;=AnalysisPeriod,IF(SUM($C723:J723)&gt;0,I426+1,0),0)</f>
        <v>0</v>
      </c>
      <c r="K426" s="169">
        <f>IF(K$2&lt;=AnalysisPeriod,IF(SUM($C723:K723)&gt;0,J426+1,0),0)</f>
        <v>0</v>
      </c>
      <c r="L426" s="169">
        <f>IF(L$2&lt;=AnalysisPeriod,IF(SUM($C723:L723)&gt;0,K426+1,0),0)</f>
        <v>0</v>
      </c>
      <c r="M426" s="169">
        <f>IF(M$2&lt;=AnalysisPeriod,IF(SUM($C723:M723)&gt;0,L426+1,0),0)</f>
        <v>0</v>
      </c>
      <c r="N426" s="169">
        <f>IF(N$2&lt;=AnalysisPeriod,IF(SUM($C723:N723)&gt;0,M426+1,0),0)</f>
        <v>0</v>
      </c>
      <c r="O426" s="169">
        <f>IF(O$2&lt;=AnalysisPeriod,IF(SUM($C723:O723)&gt;0,N426+1,0),0)</f>
        <v>0</v>
      </c>
      <c r="P426" s="169">
        <f>IF(P$2&lt;=AnalysisPeriod,IF(SUM($C723:P723)&gt;0,O426+1,0),0)</f>
        <v>0</v>
      </c>
      <c r="Q426" s="169">
        <f>IF(Q$2&lt;=AnalysisPeriod,IF(SUM($C723:Q723)&gt;0,P426+1,0),0)</f>
        <v>0</v>
      </c>
      <c r="R426" s="169">
        <f>IF(R$2&lt;=AnalysisPeriod,IF(SUM($C723:R723)&gt;0,Q426+1,0),0)</f>
        <v>0</v>
      </c>
      <c r="S426" s="169">
        <f>IF(S$2&lt;=AnalysisPeriod,IF(SUM($C723:S723)&gt;0,R426+1,0),0)</f>
        <v>0</v>
      </c>
      <c r="T426" s="169">
        <f>IF(T$2&lt;=AnalysisPeriod,IF(SUM($C723:T723)&gt;0,S426+1,0),0)</f>
        <v>0</v>
      </c>
      <c r="U426" s="169">
        <f>IF(U$2&lt;=AnalysisPeriod,IF(SUM($C723:U723)&gt;0,T426+1,0),0)</f>
        <v>0</v>
      </c>
      <c r="V426" s="169">
        <f>IF(V$2&lt;=AnalysisPeriod,IF(SUM($C723:V723)&gt;0,U426+1,0),0)</f>
        <v>0</v>
      </c>
      <c r="W426" s="169">
        <f>IF(W$2&lt;=AnalysisPeriod,IF(SUM($C723:W723)&gt;0,V426+1,0),0)</f>
        <v>0</v>
      </c>
      <c r="X426" s="169">
        <f>IF(X$2&lt;=AnalysisPeriod,IF(SUM($C723:X723)&gt;0,W426+1,0),0)</f>
        <v>0</v>
      </c>
      <c r="Y426" s="169">
        <f>IF(Y$2&lt;=AnalysisPeriod,IF(SUM($C723:Y723)&gt;0,X426+1,0),0)</f>
        <v>0</v>
      </c>
      <c r="Z426" s="169">
        <f>IF(Z$2&lt;=AnalysisPeriod,IF(SUM($C723:Z723)&gt;0,Y426+1,0),0)</f>
        <v>0</v>
      </c>
      <c r="AA426" s="169">
        <f>IF(AA$2&lt;=AnalysisPeriod,IF(SUM($C723:AA723)&gt;0,Z426+1,0),0)</f>
        <v>0</v>
      </c>
      <c r="AB426" s="169">
        <f>IF(AB$2&lt;=AnalysisPeriod,IF(SUM($C723:AB723)&gt;0,AA426+1,0),0)</f>
        <v>0</v>
      </c>
      <c r="AC426" s="169">
        <f>IF(AC$2&lt;=AnalysisPeriod,IF(SUM($C723:AC723)&gt;0,AB426+1,0),0)</f>
        <v>0</v>
      </c>
      <c r="AD426" s="169">
        <f>IF(AD$2&lt;=AnalysisPeriod,IF(SUM($C723:AD723)&gt;0,AC426+1,0),0)</f>
        <v>0</v>
      </c>
      <c r="AE426" s="169">
        <f>IF(AE$2&lt;=AnalysisPeriod,IF(SUM($C723:AE723)&gt;0,AD426+1,0),0)</f>
        <v>0</v>
      </c>
      <c r="AF426" s="169">
        <f>IF(AF$2&lt;=AnalysisPeriod,IF(SUM($C723:AF723)&gt;0,AE426+1,0),0)</f>
        <v>0</v>
      </c>
      <c r="AG426" s="169">
        <f>IF(AG$2&lt;=AnalysisPeriod,IF(SUM($C723:AG723)&gt;0,AF426+1,0),0)</f>
        <v>0</v>
      </c>
      <c r="AH426" s="169">
        <f>IF(AH$2&lt;=AnalysisPeriod,IF(SUM($C723:AH723)&gt;0,AG426+1,0),0)</f>
        <v>0</v>
      </c>
      <c r="AI426" s="169">
        <f>IF(AI$2&lt;=AnalysisPeriod,IF(SUM($C723:AI723)&gt;0,AH426+1,0),0)</f>
        <v>0</v>
      </c>
      <c r="AJ426" s="169">
        <f>IF(AJ$2&lt;=AnalysisPeriod,IF(SUM($C723:AJ723)&gt;0,AI426+1,0),0)</f>
        <v>0</v>
      </c>
      <c r="AK426" s="169">
        <f>IF(AK$2&lt;=AnalysisPeriod,IF(SUM($C723:AK723)&gt;0,AJ426+1,0),0)</f>
        <v>0</v>
      </c>
      <c r="AL426" s="169">
        <f>IF(AL$2&lt;=AnalysisPeriod,IF(SUM($C723:AL723)&gt;0,AK426+1,0),0)</f>
        <v>0</v>
      </c>
      <c r="AM426" s="169">
        <f>IF(AM$2&lt;=AnalysisPeriod,IF(SUM($C723:AM723)&gt;0,AL426+1,0),0)</f>
        <v>0</v>
      </c>
      <c r="AN426" s="169">
        <f>IF(AN$2&lt;=AnalysisPeriod,IF(SUM($C723:AN723)&gt;0,AM426+1,0),0)</f>
        <v>0</v>
      </c>
      <c r="AO426" s="169">
        <f>IF(AO$2&lt;=AnalysisPeriod,IF(SUM($C723:AO723)&gt;0,AN426+1,0),0)</f>
        <v>0</v>
      </c>
      <c r="AP426" s="169">
        <f>IF(AP$2&lt;=AnalysisPeriod,IF(SUM($C723:AP723)&gt;0,AO426+1,0),0)</f>
        <v>0</v>
      </c>
    </row>
    <row r="427" spans="1:42" x14ac:dyDescent="0.2">
      <c r="A427" s="101">
        <f t="shared" si="244"/>
        <v>5</v>
      </c>
      <c r="C427" s="169">
        <f>IF(C$2&lt;=AnalysisPeriod,IF(SUM($C724:C724)&gt;0,B427+1,0),0)</f>
        <v>0</v>
      </c>
      <c r="D427" s="169">
        <f>IF(D$2&lt;=AnalysisPeriod,IF(SUM($C724:D724)&gt;0,C427+1,0),0)</f>
        <v>0</v>
      </c>
      <c r="E427" s="169">
        <f>IF(E$2&lt;=AnalysisPeriod,IF(SUM($C724:E724)&gt;0,D427+1,0),0)</f>
        <v>0</v>
      </c>
      <c r="F427" s="169">
        <f>IF(F$2&lt;=AnalysisPeriod,IF(SUM($C724:F724)&gt;0,E427+1,0),0)</f>
        <v>0</v>
      </c>
      <c r="G427" s="169">
        <f>IF(G$2&lt;=AnalysisPeriod,IF(SUM($C724:G724)&gt;0,F427+1,0),0)</f>
        <v>0</v>
      </c>
      <c r="H427" s="169">
        <f>IF(H$2&lt;=AnalysisPeriod,IF(SUM($C724:H724)&gt;0,G427+1,0),0)</f>
        <v>0</v>
      </c>
      <c r="I427" s="169">
        <f>IF(I$2&lt;=AnalysisPeriod,IF(SUM($C724:I724)&gt;0,H427+1,0),0)</f>
        <v>0</v>
      </c>
      <c r="J427" s="169">
        <f>IF(J$2&lt;=AnalysisPeriod,IF(SUM($C724:J724)&gt;0,I427+1,0),0)</f>
        <v>0</v>
      </c>
      <c r="K427" s="169">
        <f>IF(K$2&lt;=AnalysisPeriod,IF(SUM($C724:K724)&gt;0,J427+1,0),0)</f>
        <v>0</v>
      </c>
      <c r="L427" s="169">
        <f>IF(L$2&lt;=AnalysisPeriod,IF(SUM($C724:L724)&gt;0,K427+1,0),0)</f>
        <v>0</v>
      </c>
      <c r="M427" s="169">
        <f>IF(M$2&lt;=AnalysisPeriod,IF(SUM($C724:M724)&gt;0,L427+1,0),0)</f>
        <v>0</v>
      </c>
      <c r="N427" s="169">
        <f>IF(N$2&lt;=AnalysisPeriod,IF(SUM($C724:N724)&gt;0,M427+1,0),0)</f>
        <v>0</v>
      </c>
      <c r="O427" s="169">
        <f>IF(O$2&lt;=AnalysisPeriod,IF(SUM($C724:O724)&gt;0,N427+1,0),0)</f>
        <v>0</v>
      </c>
      <c r="P427" s="169">
        <f>IF(P$2&lt;=AnalysisPeriod,IF(SUM($C724:P724)&gt;0,O427+1,0),0)</f>
        <v>0</v>
      </c>
      <c r="Q427" s="169">
        <f>IF(Q$2&lt;=AnalysisPeriod,IF(SUM($C724:Q724)&gt;0,P427+1,0),0)</f>
        <v>0</v>
      </c>
      <c r="R427" s="169">
        <f>IF(R$2&lt;=AnalysisPeriod,IF(SUM($C724:R724)&gt;0,Q427+1,0),0)</f>
        <v>0</v>
      </c>
      <c r="S427" s="169">
        <f>IF(S$2&lt;=AnalysisPeriod,IF(SUM($C724:S724)&gt;0,R427+1,0),0)</f>
        <v>0</v>
      </c>
      <c r="T427" s="169">
        <f>IF(T$2&lt;=AnalysisPeriod,IF(SUM($C724:T724)&gt;0,S427+1,0),0)</f>
        <v>0</v>
      </c>
      <c r="U427" s="169">
        <f>IF(U$2&lt;=AnalysisPeriod,IF(SUM($C724:U724)&gt;0,T427+1,0),0)</f>
        <v>0</v>
      </c>
      <c r="V427" s="169">
        <f>IF(V$2&lt;=AnalysisPeriod,IF(SUM($C724:V724)&gt;0,U427+1,0),0)</f>
        <v>0</v>
      </c>
      <c r="W427" s="169">
        <f>IF(W$2&lt;=AnalysisPeriod,IF(SUM($C724:W724)&gt;0,V427+1,0),0)</f>
        <v>0</v>
      </c>
      <c r="X427" s="169">
        <f>IF(X$2&lt;=AnalysisPeriod,IF(SUM($C724:X724)&gt;0,W427+1,0),0)</f>
        <v>0</v>
      </c>
      <c r="Y427" s="169">
        <f>IF(Y$2&lt;=AnalysisPeriod,IF(SUM($C724:Y724)&gt;0,X427+1,0),0)</f>
        <v>0</v>
      </c>
      <c r="Z427" s="169">
        <f>IF(Z$2&lt;=AnalysisPeriod,IF(SUM($C724:Z724)&gt;0,Y427+1,0),0)</f>
        <v>0</v>
      </c>
      <c r="AA427" s="169">
        <f>IF(AA$2&lt;=AnalysisPeriod,IF(SUM($C724:AA724)&gt;0,Z427+1,0),0)</f>
        <v>0</v>
      </c>
      <c r="AB427" s="169">
        <f>IF(AB$2&lt;=AnalysisPeriod,IF(SUM($C724:AB724)&gt;0,AA427+1,0),0)</f>
        <v>0</v>
      </c>
      <c r="AC427" s="169">
        <f>IF(AC$2&lt;=AnalysisPeriod,IF(SUM($C724:AC724)&gt;0,AB427+1,0),0)</f>
        <v>0</v>
      </c>
      <c r="AD427" s="169">
        <f>IF(AD$2&lt;=AnalysisPeriod,IF(SUM($C724:AD724)&gt;0,AC427+1,0),0)</f>
        <v>0</v>
      </c>
      <c r="AE427" s="169">
        <f>IF(AE$2&lt;=AnalysisPeriod,IF(SUM($C724:AE724)&gt;0,AD427+1,0),0)</f>
        <v>0</v>
      </c>
      <c r="AF427" s="169">
        <f>IF(AF$2&lt;=AnalysisPeriod,IF(SUM($C724:AF724)&gt;0,AE427+1,0),0)</f>
        <v>0</v>
      </c>
      <c r="AG427" s="169">
        <f>IF(AG$2&lt;=AnalysisPeriod,IF(SUM($C724:AG724)&gt;0,AF427+1,0),0)</f>
        <v>0</v>
      </c>
      <c r="AH427" s="169">
        <f>IF(AH$2&lt;=AnalysisPeriod,IF(SUM($C724:AH724)&gt;0,AG427+1,0),0)</f>
        <v>0</v>
      </c>
      <c r="AI427" s="169">
        <f>IF(AI$2&lt;=AnalysisPeriod,IF(SUM($C724:AI724)&gt;0,AH427+1,0),0)</f>
        <v>0</v>
      </c>
      <c r="AJ427" s="169">
        <f>IF(AJ$2&lt;=AnalysisPeriod,IF(SUM($C724:AJ724)&gt;0,AI427+1,0),0)</f>
        <v>0</v>
      </c>
      <c r="AK427" s="169">
        <f>IF(AK$2&lt;=AnalysisPeriod,IF(SUM($C724:AK724)&gt;0,AJ427+1,0),0)</f>
        <v>0</v>
      </c>
      <c r="AL427" s="169">
        <f>IF(AL$2&lt;=AnalysisPeriod,IF(SUM($C724:AL724)&gt;0,AK427+1,0),0)</f>
        <v>0</v>
      </c>
      <c r="AM427" s="169">
        <f>IF(AM$2&lt;=AnalysisPeriod,IF(SUM($C724:AM724)&gt;0,AL427+1,0),0)</f>
        <v>0</v>
      </c>
      <c r="AN427" s="169">
        <f>IF(AN$2&lt;=AnalysisPeriod,IF(SUM($C724:AN724)&gt;0,AM427+1,0),0)</f>
        <v>0</v>
      </c>
      <c r="AO427" s="169">
        <f>IF(AO$2&lt;=AnalysisPeriod,IF(SUM($C724:AO724)&gt;0,AN427+1,0),0)</f>
        <v>0</v>
      </c>
      <c r="AP427" s="169">
        <f>IF(AP$2&lt;=AnalysisPeriod,IF(SUM($C724:AP724)&gt;0,AO427+1,0),0)</f>
        <v>0</v>
      </c>
    </row>
    <row r="428" spans="1:42" x14ac:dyDescent="0.2">
      <c r="A428" s="101">
        <f t="shared" si="244"/>
        <v>6</v>
      </c>
      <c r="C428" s="169">
        <f>IF(C$2&lt;=AnalysisPeriod,IF(SUM($C725:C725)&gt;0,B428+1,0),0)</f>
        <v>0</v>
      </c>
      <c r="D428" s="169">
        <f>IF(D$2&lt;=AnalysisPeriod,IF(SUM($C725:D725)&gt;0,C428+1,0),0)</f>
        <v>0</v>
      </c>
      <c r="E428" s="169">
        <f>IF(E$2&lt;=AnalysisPeriod,IF(SUM($C725:E725)&gt;0,D428+1,0),0)</f>
        <v>0</v>
      </c>
      <c r="F428" s="169">
        <f>IF(F$2&lt;=AnalysisPeriod,IF(SUM($C725:F725)&gt;0,E428+1,0),0)</f>
        <v>0</v>
      </c>
      <c r="G428" s="169">
        <f>IF(G$2&lt;=AnalysisPeriod,IF(SUM($C725:G725)&gt;0,F428+1,0),0)</f>
        <v>0</v>
      </c>
      <c r="H428" s="169">
        <f>IF(H$2&lt;=AnalysisPeriod,IF(SUM($C725:H725)&gt;0,G428+1,0),0)</f>
        <v>0</v>
      </c>
      <c r="I428" s="169">
        <f>IF(I$2&lt;=AnalysisPeriod,IF(SUM($C725:I725)&gt;0,H428+1,0),0)</f>
        <v>0</v>
      </c>
      <c r="J428" s="169">
        <f>IF(J$2&lt;=AnalysisPeriod,IF(SUM($C725:J725)&gt;0,I428+1,0),0)</f>
        <v>0</v>
      </c>
      <c r="K428" s="169">
        <f>IF(K$2&lt;=AnalysisPeriod,IF(SUM($C725:K725)&gt;0,J428+1,0),0)</f>
        <v>0</v>
      </c>
      <c r="L428" s="169">
        <f>IF(L$2&lt;=AnalysisPeriod,IF(SUM($C725:L725)&gt;0,K428+1,0),0)</f>
        <v>0</v>
      </c>
      <c r="M428" s="169">
        <f>IF(M$2&lt;=AnalysisPeriod,IF(SUM($C725:M725)&gt;0,L428+1,0),0)</f>
        <v>0</v>
      </c>
      <c r="N428" s="169">
        <f>IF(N$2&lt;=AnalysisPeriod,IF(SUM($C725:N725)&gt;0,M428+1,0),0)</f>
        <v>0</v>
      </c>
      <c r="O428" s="169">
        <f>IF(O$2&lt;=AnalysisPeriod,IF(SUM($C725:O725)&gt;0,N428+1,0),0)</f>
        <v>0</v>
      </c>
      <c r="P428" s="169">
        <f>IF(P$2&lt;=AnalysisPeriod,IF(SUM($C725:P725)&gt;0,O428+1,0),0)</f>
        <v>0</v>
      </c>
      <c r="Q428" s="169">
        <f>IF(Q$2&lt;=AnalysisPeriod,IF(SUM($C725:Q725)&gt;0,P428+1,0),0)</f>
        <v>0</v>
      </c>
      <c r="R428" s="169">
        <f>IF(R$2&lt;=AnalysisPeriod,IF(SUM($C725:R725)&gt;0,Q428+1,0),0)</f>
        <v>0</v>
      </c>
      <c r="S428" s="169">
        <f>IF(S$2&lt;=AnalysisPeriod,IF(SUM($C725:S725)&gt;0,R428+1,0),0)</f>
        <v>0</v>
      </c>
      <c r="T428" s="169">
        <f>IF(T$2&lt;=AnalysisPeriod,IF(SUM($C725:T725)&gt;0,S428+1,0),0)</f>
        <v>0</v>
      </c>
      <c r="U428" s="169">
        <f>IF(U$2&lt;=AnalysisPeriod,IF(SUM($C725:U725)&gt;0,T428+1,0),0)</f>
        <v>0</v>
      </c>
      <c r="V428" s="169">
        <f>IF(V$2&lt;=AnalysisPeriod,IF(SUM($C725:V725)&gt;0,U428+1,0),0)</f>
        <v>0</v>
      </c>
      <c r="W428" s="169">
        <f>IF(W$2&lt;=AnalysisPeriod,IF(SUM($C725:W725)&gt;0,V428+1,0),0)</f>
        <v>0</v>
      </c>
      <c r="X428" s="169">
        <f>IF(X$2&lt;=AnalysisPeriod,IF(SUM($C725:X725)&gt;0,W428+1,0),0)</f>
        <v>0</v>
      </c>
      <c r="Y428" s="169">
        <f>IF(Y$2&lt;=AnalysisPeriod,IF(SUM($C725:Y725)&gt;0,X428+1,0),0)</f>
        <v>0</v>
      </c>
      <c r="Z428" s="169">
        <f>IF(Z$2&lt;=AnalysisPeriod,IF(SUM($C725:Z725)&gt;0,Y428+1,0),0)</f>
        <v>0</v>
      </c>
      <c r="AA428" s="169">
        <f>IF(AA$2&lt;=AnalysisPeriod,IF(SUM($C725:AA725)&gt;0,Z428+1,0),0)</f>
        <v>0</v>
      </c>
      <c r="AB428" s="169">
        <f>IF(AB$2&lt;=AnalysisPeriod,IF(SUM($C725:AB725)&gt;0,AA428+1,0),0)</f>
        <v>0</v>
      </c>
      <c r="AC428" s="169">
        <f>IF(AC$2&lt;=AnalysisPeriod,IF(SUM($C725:AC725)&gt;0,AB428+1,0),0)</f>
        <v>0</v>
      </c>
      <c r="AD428" s="169">
        <f>IF(AD$2&lt;=AnalysisPeriod,IF(SUM($C725:AD725)&gt;0,AC428+1,0),0)</f>
        <v>0</v>
      </c>
      <c r="AE428" s="169">
        <f>IF(AE$2&lt;=AnalysisPeriod,IF(SUM($C725:AE725)&gt;0,AD428+1,0),0)</f>
        <v>0</v>
      </c>
      <c r="AF428" s="169">
        <f>IF(AF$2&lt;=AnalysisPeriod,IF(SUM($C725:AF725)&gt;0,AE428+1,0),0)</f>
        <v>0</v>
      </c>
      <c r="AG428" s="169">
        <f>IF(AG$2&lt;=AnalysisPeriod,IF(SUM($C725:AG725)&gt;0,AF428+1,0),0)</f>
        <v>0</v>
      </c>
      <c r="AH428" s="169">
        <f>IF(AH$2&lt;=AnalysisPeriod,IF(SUM($C725:AH725)&gt;0,AG428+1,0),0)</f>
        <v>0</v>
      </c>
      <c r="AI428" s="169">
        <f>IF(AI$2&lt;=AnalysisPeriod,IF(SUM($C725:AI725)&gt;0,AH428+1,0),0)</f>
        <v>0</v>
      </c>
      <c r="AJ428" s="169">
        <f>IF(AJ$2&lt;=AnalysisPeriod,IF(SUM($C725:AJ725)&gt;0,AI428+1,0),0)</f>
        <v>0</v>
      </c>
      <c r="AK428" s="169">
        <f>IF(AK$2&lt;=AnalysisPeriod,IF(SUM($C725:AK725)&gt;0,AJ428+1,0),0)</f>
        <v>0</v>
      </c>
      <c r="AL428" s="169">
        <f>IF(AL$2&lt;=AnalysisPeriod,IF(SUM($C725:AL725)&gt;0,AK428+1,0),0)</f>
        <v>0</v>
      </c>
      <c r="AM428" s="169">
        <f>IF(AM$2&lt;=AnalysisPeriod,IF(SUM($C725:AM725)&gt;0,AL428+1,0),0)</f>
        <v>0</v>
      </c>
      <c r="AN428" s="169">
        <f>IF(AN$2&lt;=AnalysisPeriod,IF(SUM($C725:AN725)&gt;0,AM428+1,0),0)</f>
        <v>0</v>
      </c>
      <c r="AO428" s="169">
        <f>IF(AO$2&lt;=AnalysisPeriod,IF(SUM($C725:AO725)&gt;0,AN428+1,0),0)</f>
        <v>0</v>
      </c>
      <c r="AP428" s="169">
        <f>IF(AP$2&lt;=AnalysisPeriod,IF(SUM($C725:AP725)&gt;0,AO428+1,0),0)</f>
        <v>0</v>
      </c>
    </row>
    <row r="429" spans="1:42" x14ac:dyDescent="0.2">
      <c r="A429" s="101">
        <f t="shared" si="244"/>
        <v>7</v>
      </c>
      <c r="C429" s="169">
        <f>IF(C$2&lt;=AnalysisPeriod,IF(SUM($C726:C726)&gt;0,B429+1,0),0)</f>
        <v>0</v>
      </c>
      <c r="D429" s="169">
        <f>IF(D$2&lt;=AnalysisPeriod,IF(SUM($C726:D726)&gt;0,C429+1,0),0)</f>
        <v>0</v>
      </c>
      <c r="E429" s="169">
        <f>IF(E$2&lt;=AnalysisPeriod,IF(SUM($C726:E726)&gt;0,D429+1,0),0)</f>
        <v>0</v>
      </c>
      <c r="F429" s="169">
        <f>IF(F$2&lt;=AnalysisPeriod,IF(SUM($C726:F726)&gt;0,E429+1,0),0)</f>
        <v>0</v>
      </c>
      <c r="G429" s="169">
        <f>IF(G$2&lt;=AnalysisPeriod,IF(SUM($C726:G726)&gt;0,F429+1,0),0)</f>
        <v>0</v>
      </c>
      <c r="H429" s="169">
        <f>IF(H$2&lt;=AnalysisPeriod,IF(SUM($C726:H726)&gt;0,G429+1,0),0)</f>
        <v>0</v>
      </c>
      <c r="I429" s="169">
        <f>IF(I$2&lt;=AnalysisPeriod,IF(SUM($C726:I726)&gt;0,H429+1,0),0)</f>
        <v>0</v>
      </c>
      <c r="J429" s="169">
        <f>IF(J$2&lt;=AnalysisPeriod,IF(SUM($C726:J726)&gt;0,I429+1,0),0)</f>
        <v>0</v>
      </c>
      <c r="K429" s="169">
        <f>IF(K$2&lt;=AnalysisPeriod,IF(SUM($C726:K726)&gt;0,J429+1,0),0)</f>
        <v>0</v>
      </c>
      <c r="L429" s="169">
        <f>IF(L$2&lt;=AnalysisPeriod,IF(SUM($C726:L726)&gt;0,K429+1,0),0)</f>
        <v>0</v>
      </c>
      <c r="M429" s="169">
        <f>IF(M$2&lt;=AnalysisPeriod,IF(SUM($C726:M726)&gt;0,L429+1,0),0)</f>
        <v>0</v>
      </c>
      <c r="N429" s="169">
        <f>IF(N$2&lt;=AnalysisPeriod,IF(SUM($C726:N726)&gt;0,M429+1,0),0)</f>
        <v>0</v>
      </c>
      <c r="O429" s="169">
        <f>IF(O$2&lt;=AnalysisPeriod,IF(SUM($C726:O726)&gt;0,N429+1,0),0)</f>
        <v>0</v>
      </c>
      <c r="P429" s="169">
        <f>IF(P$2&lt;=AnalysisPeriod,IF(SUM($C726:P726)&gt;0,O429+1,0),0)</f>
        <v>0</v>
      </c>
      <c r="Q429" s="169">
        <f>IF(Q$2&lt;=AnalysisPeriod,IF(SUM($C726:Q726)&gt;0,P429+1,0),0)</f>
        <v>0</v>
      </c>
      <c r="R429" s="169">
        <f>IF(R$2&lt;=AnalysisPeriod,IF(SUM($C726:R726)&gt;0,Q429+1,0),0)</f>
        <v>0</v>
      </c>
      <c r="S429" s="169">
        <f>IF(S$2&lt;=AnalysisPeriod,IF(SUM($C726:S726)&gt;0,R429+1,0),0)</f>
        <v>0</v>
      </c>
      <c r="T429" s="169">
        <f>IF(T$2&lt;=AnalysisPeriod,IF(SUM($C726:T726)&gt;0,S429+1,0),0)</f>
        <v>0</v>
      </c>
      <c r="U429" s="169">
        <f>IF(U$2&lt;=AnalysisPeriod,IF(SUM($C726:U726)&gt;0,T429+1,0),0)</f>
        <v>0</v>
      </c>
      <c r="V429" s="169">
        <f>IF(V$2&lt;=AnalysisPeriod,IF(SUM($C726:V726)&gt;0,U429+1,0),0)</f>
        <v>0</v>
      </c>
      <c r="W429" s="169">
        <f>IF(W$2&lt;=AnalysisPeriod,IF(SUM($C726:W726)&gt;0,V429+1,0),0)</f>
        <v>0</v>
      </c>
      <c r="X429" s="169">
        <f>IF(X$2&lt;=AnalysisPeriod,IF(SUM($C726:X726)&gt;0,W429+1,0),0)</f>
        <v>0</v>
      </c>
      <c r="Y429" s="169">
        <f>IF(Y$2&lt;=AnalysisPeriod,IF(SUM($C726:Y726)&gt;0,X429+1,0),0)</f>
        <v>0</v>
      </c>
      <c r="Z429" s="169">
        <f>IF(Z$2&lt;=AnalysisPeriod,IF(SUM($C726:Z726)&gt;0,Y429+1,0),0)</f>
        <v>0</v>
      </c>
      <c r="AA429" s="169">
        <f>IF(AA$2&lt;=AnalysisPeriod,IF(SUM($C726:AA726)&gt;0,Z429+1,0),0)</f>
        <v>0</v>
      </c>
      <c r="AB429" s="169">
        <f>IF(AB$2&lt;=AnalysisPeriod,IF(SUM($C726:AB726)&gt;0,AA429+1,0),0)</f>
        <v>0</v>
      </c>
      <c r="AC429" s="169">
        <f>IF(AC$2&lt;=AnalysisPeriod,IF(SUM($C726:AC726)&gt;0,AB429+1,0),0)</f>
        <v>0</v>
      </c>
      <c r="AD429" s="169">
        <f>IF(AD$2&lt;=AnalysisPeriod,IF(SUM($C726:AD726)&gt;0,AC429+1,0),0)</f>
        <v>0</v>
      </c>
      <c r="AE429" s="169">
        <f>IF(AE$2&lt;=AnalysisPeriod,IF(SUM($C726:AE726)&gt;0,AD429+1,0),0)</f>
        <v>0</v>
      </c>
      <c r="AF429" s="169">
        <f>IF(AF$2&lt;=AnalysisPeriod,IF(SUM($C726:AF726)&gt;0,AE429+1,0),0)</f>
        <v>0</v>
      </c>
      <c r="AG429" s="169">
        <f>IF(AG$2&lt;=AnalysisPeriod,IF(SUM($C726:AG726)&gt;0,AF429+1,0),0)</f>
        <v>0</v>
      </c>
      <c r="AH429" s="169">
        <f>IF(AH$2&lt;=AnalysisPeriod,IF(SUM($C726:AH726)&gt;0,AG429+1,0),0)</f>
        <v>0</v>
      </c>
      <c r="AI429" s="169">
        <f>IF(AI$2&lt;=AnalysisPeriod,IF(SUM($C726:AI726)&gt;0,AH429+1,0),0)</f>
        <v>0</v>
      </c>
      <c r="AJ429" s="169">
        <f>IF(AJ$2&lt;=AnalysisPeriod,IF(SUM($C726:AJ726)&gt;0,AI429+1,0),0)</f>
        <v>0</v>
      </c>
      <c r="AK429" s="169">
        <f>IF(AK$2&lt;=AnalysisPeriod,IF(SUM($C726:AK726)&gt;0,AJ429+1,0),0)</f>
        <v>0</v>
      </c>
      <c r="AL429" s="169">
        <f>IF(AL$2&lt;=AnalysisPeriod,IF(SUM($C726:AL726)&gt;0,AK429+1,0),0)</f>
        <v>0</v>
      </c>
      <c r="AM429" s="169">
        <f>IF(AM$2&lt;=AnalysisPeriod,IF(SUM($C726:AM726)&gt;0,AL429+1,0),0)</f>
        <v>0</v>
      </c>
      <c r="AN429" s="169">
        <f>IF(AN$2&lt;=AnalysisPeriod,IF(SUM($C726:AN726)&gt;0,AM429+1,0),0)</f>
        <v>0</v>
      </c>
      <c r="AO429" s="169">
        <f>IF(AO$2&lt;=AnalysisPeriod,IF(SUM($C726:AO726)&gt;0,AN429+1,0),0)</f>
        <v>0</v>
      </c>
      <c r="AP429" s="169">
        <f>IF(AP$2&lt;=AnalysisPeriod,IF(SUM($C726:AP726)&gt;0,AO429+1,0),0)</f>
        <v>0</v>
      </c>
    </row>
    <row r="430" spans="1:42" x14ac:dyDescent="0.2">
      <c r="A430" s="101">
        <f t="shared" si="244"/>
        <v>8</v>
      </c>
      <c r="C430" s="169">
        <f>IF(C$2&lt;=AnalysisPeriod,IF(SUM($C727:C727)&gt;0,B430+1,0),0)</f>
        <v>0</v>
      </c>
      <c r="D430" s="169">
        <f>IF(D$2&lt;=AnalysisPeriod,IF(SUM($C727:D727)&gt;0,C430+1,0),0)</f>
        <v>0</v>
      </c>
      <c r="E430" s="169">
        <f>IF(E$2&lt;=AnalysisPeriod,IF(SUM($C727:E727)&gt;0,D430+1,0),0)</f>
        <v>0</v>
      </c>
      <c r="F430" s="169">
        <f>IF(F$2&lt;=AnalysisPeriod,IF(SUM($C727:F727)&gt;0,E430+1,0),0)</f>
        <v>0</v>
      </c>
      <c r="G430" s="169">
        <f>IF(G$2&lt;=AnalysisPeriod,IF(SUM($C727:G727)&gt;0,F430+1,0),0)</f>
        <v>0</v>
      </c>
      <c r="H430" s="169">
        <f>IF(H$2&lt;=AnalysisPeriod,IF(SUM($C727:H727)&gt;0,G430+1,0),0)</f>
        <v>0</v>
      </c>
      <c r="I430" s="169">
        <f>IF(I$2&lt;=AnalysisPeriod,IF(SUM($C727:I727)&gt;0,H430+1,0),0)</f>
        <v>0</v>
      </c>
      <c r="J430" s="169">
        <f>IF(J$2&lt;=AnalysisPeriod,IF(SUM($C727:J727)&gt;0,I430+1,0),0)</f>
        <v>0</v>
      </c>
      <c r="K430" s="169">
        <f>IF(K$2&lt;=AnalysisPeriod,IF(SUM($C727:K727)&gt;0,J430+1,0),0)</f>
        <v>0</v>
      </c>
      <c r="L430" s="169">
        <f>IF(L$2&lt;=AnalysisPeriod,IF(SUM($C727:L727)&gt;0,K430+1,0),0)</f>
        <v>0</v>
      </c>
      <c r="M430" s="169">
        <f>IF(M$2&lt;=AnalysisPeriod,IF(SUM($C727:M727)&gt;0,L430+1,0),0)</f>
        <v>0</v>
      </c>
      <c r="N430" s="169">
        <f>IF(N$2&lt;=AnalysisPeriod,IF(SUM($C727:N727)&gt;0,M430+1,0),0)</f>
        <v>0</v>
      </c>
      <c r="O430" s="169">
        <f>IF(O$2&lt;=AnalysisPeriod,IF(SUM($C727:O727)&gt;0,N430+1,0),0)</f>
        <v>0</v>
      </c>
      <c r="P430" s="169">
        <f>IF(P$2&lt;=AnalysisPeriod,IF(SUM($C727:P727)&gt;0,O430+1,0),0)</f>
        <v>0</v>
      </c>
      <c r="Q430" s="169">
        <f>IF(Q$2&lt;=AnalysisPeriod,IF(SUM($C727:Q727)&gt;0,P430+1,0),0)</f>
        <v>0</v>
      </c>
      <c r="R430" s="169">
        <f>IF(R$2&lt;=AnalysisPeriod,IF(SUM($C727:R727)&gt;0,Q430+1,0),0)</f>
        <v>0</v>
      </c>
      <c r="S430" s="169">
        <f>IF(S$2&lt;=AnalysisPeriod,IF(SUM($C727:S727)&gt;0,R430+1,0),0)</f>
        <v>0</v>
      </c>
      <c r="T430" s="169">
        <f>IF(T$2&lt;=AnalysisPeriod,IF(SUM($C727:T727)&gt;0,S430+1,0),0)</f>
        <v>0</v>
      </c>
      <c r="U430" s="169">
        <f>IF(U$2&lt;=AnalysisPeriod,IF(SUM($C727:U727)&gt;0,T430+1,0),0)</f>
        <v>0</v>
      </c>
      <c r="V430" s="169">
        <f>IF(V$2&lt;=AnalysisPeriod,IF(SUM($C727:V727)&gt;0,U430+1,0),0)</f>
        <v>0</v>
      </c>
      <c r="W430" s="169">
        <f>IF(W$2&lt;=AnalysisPeriod,IF(SUM($C727:W727)&gt;0,V430+1,0),0)</f>
        <v>0</v>
      </c>
      <c r="X430" s="169">
        <f>IF(X$2&lt;=AnalysisPeriod,IF(SUM($C727:X727)&gt;0,W430+1,0),0)</f>
        <v>0</v>
      </c>
      <c r="Y430" s="169">
        <f>IF(Y$2&lt;=AnalysisPeriod,IF(SUM($C727:Y727)&gt;0,X430+1,0),0)</f>
        <v>0</v>
      </c>
      <c r="Z430" s="169">
        <f>IF(Z$2&lt;=AnalysisPeriod,IF(SUM($C727:Z727)&gt;0,Y430+1,0),0)</f>
        <v>0</v>
      </c>
      <c r="AA430" s="169">
        <f>IF(AA$2&lt;=AnalysisPeriod,IF(SUM($C727:AA727)&gt;0,Z430+1,0),0)</f>
        <v>0</v>
      </c>
      <c r="AB430" s="169">
        <f>IF(AB$2&lt;=AnalysisPeriod,IF(SUM($C727:AB727)&gt;0,AA430+1,0),0)</f>
        <v>0</v>
      </c>
      <c r="AC430" s="169">
        <f>IF(AC$2&lt;=AnalysisPeriod,IF(SUM($C727:AC727)&gt;0,AB430+1,0),0)</f>
        <v>0</v>
      </c>
      <c r="AD430" s="169">
        <f>IF(AD$2&lt;=AnalysisPeriod,IF(SUM($C727:AD727)&gt;0,AC430+1,0),0)</f>
        <v>0</v>
      </c>
      <c r="AE430" s="169">
        <f>IF(AE$2&lt;=AnalysisPeriod,IF(SUM($C727:AE727)&gt;0,AD430+1,0),0)</f>
        <v>0</v>
      </c>
      <c r="AF430" s="169">
        <f>IF(AF$2&lt;=AnalysisPeriod,IF(SUM($C727:AF727)&gt;0,AE430+1,0),0)</f>
        <v>0</v>
      </c>
      <c r="AG430" s="169">
        <f>IF(AG$2&lt;=AnalysisPeriod,IF(SUM($C727:AG727)&gt;0,AF430+1,0),0)</f>
        <v>0</v>
      </c>
      <c r="AH430" s="169">
        <f>IF(AH$2&lt;=AnalysisPeriod,IF(SUM($C727:AH727)&gt;0,AG430+1,0),0)</f>
        <v>0</v>
      </c>
      <c r="AI430" s="169">
        <f>IF(AI$2&lt;=AnalysisPeriod,IF(SUM($C727:AI727)&gt;0,AH430+1,0),0)</f>
        <v>0</v>
      </c>
      <c r="AJ430" s="169">
        <f>IF(AJ$2&lt;=AnalysisPeriod,IF(SUM($C727:AJ727)&gt;0,AI430+1,0),0)</f>
        <v>0</v>
      </c>
      <c r="AK430" s="169">
        <f>IF(AK$2&lt;=AnalysisPeriod,IF(SUM($C727:AK727)&gt;0,AJ430+1,0),0)</f>
        <v>0</v>
      </c>
      <c r="AL430" s="169">
        <f>IF(AL$2&lt;=AnalysisPeriod,IF(SUM($C727:AL727)&gt;0,AK430+1,0),0)</f>
        <v>0</v>
      </c>
      <c r="AM430" s="169">
        <f>IF(AM$2&lt;=AnalysisPeriod,IF(SUM($C727:AM727)&gt;0,AL430+1,0),0)</f>
        <v>0</v>
      </c>
      <c r="AN430" s="169">
        <f>IF(AN$2&lt;=AnalysisPeriod,IF(SUM($C727:AN727)&gt;0,AM430+1,0),0)</f>
        <v>0</v>
      </c>
      <c r="AO430" s="169">
        <f>IF(AO$2&lt;=AnalysisPeriod,IF(SUM($C727:AO727)&gt;0,AN430+1,0),0)</f>
        <v>0</v>
      </c>
      <c r="AP430" s="169">
        <f>IF(AP$2&lt;=AnalysisPeriod,IF(SUM($C727:AP727)&gt;0,AO430+1,0),0)</f>
        <v>0</v>
      </c>
    </row>
    <row r="431" spans="1:42" x14ac:dyDescent="0.2">
      <c r="A431" s="101">
        <f>A430+1</f>
        <v>9</v>
      </c>
      <c r="C431" s="169">
        <f>IF(C$2&lt;=AnalysisPeriod,IF(SUM($C728:C728)&gt;0,B431+1,0),0)</f>
        <v>0</v>
      </c>
      <c r="D431" s="169">
        <f>IF(D$2&lt;=AnalysisPeriod,IF(SUM($C728:D728)&gt;0,C431+1,0),0)</f>
        <v>0</v>
      </c>
      <c r="E431" s="169">
        <f>IF(E$2&lt;=AnalysisPeriod,IF(SUM($C728:E728)&gt;0,D431+1,0),0)</f>
        <v>0</v>
      </c>
      <c r="F431" s="169">
        <f>IF(F$2&lt;=AnalysisPeriod,IF(SUM($C728:F728)&gt;0,E431+1,0),0)</f>
        <v>0</v>
      </c>
      <c r="G431" s="169">
        <f>IF(G$2&lt;=AnalysisPeriod,IF(SUM($C728:G728)&gt;0,F431+1,0),0)</f>
        <v>0</v>
      </c>
      <c r="H431" s="169">
        <f>IF(H$2&lt;=AnalysisPeriod,IF(SUM($C728:H728)&gt;0,G431+1,0),0)</f>
        <v>0</v>
      </c>
      <c r="I431" s="169">
        <f>IF(I$2&lt;=AnalysisPeriod,IF(SUM($C728:I728)&gt;0,H431+1,0),0)</f>
        <v>0</v>
      </c>
      <c r="J431" s="169">
        <f>IF(J$2&lt;=AnalysisPeriod,IF(SUM($C728:J728)&gt;0,I431+1,0),0)</f>
        <v>0</v>
      </c>
      <c r="K431" s="169">
        <f>IF(K$2&lt;=AnalysisPeriod,IF(SUM($C728:K728)&gt;0,J431+1,0),0)</f>
        <v>0</v>
      </c>
      <c r="L431" s="169">
        <f>IF(L$2&lt;=AnalysisPeriod,IF(SUM($C728:L728)&gt;0,K431+1,0),0)</f>
        <v>0</v>
      </c>
      <c r="M431" s="169">
        <f>IF(M$2&lt;=AnalysisPeriod,IF(SUM($C728:M728)&gt;0,L431+1,0),0)</f>
        <v>0</v>
      </c>
      <c r="N431" s="169">
        <f>IF(N$2&lt;=AnalysisPeriod,IF(SUM($C728:N728)&gt;0,M431+1,0),0)</f>
        <v>0</v>
      </c>
      <c r="O431" s="169">
        <f>IF(O$2&lt;=AnalysisPeriod,IF(SUM($C728:O728)&gt;0,N431+1,0),0)</f>
        <v>0</v>
      </c>
      <c r="P431" s="169">
        <f>IF(P$2&lt;=AnalysisPeriod,IF(SUM($C728:P728)&gt;0,O431+1,0),0)</f>
        <v>0</v>
      </c>
      <c r="Q431" s="169">
        <f>IF(Q$2&lt;=AnalysisPeriod,IF(SUM($C728:Q728)&gt;0,P431+1,0),0)</f>
        <v>0</v>
      </c>
      <c r="R431" s="169">
        <f>IF(R$2&lt;=AnalysisPeriod,IF(SUM($C728:R728)&gt;0,Q431+1,0),0)</f>
        <v>0</v>
      </c>
      <c r="S431" s="169">
        <f>IF(S$2&lt;=AnalysisPeriod,IF(SUM($C728:S728)&gt;0,R431+1,0),0)</f>
        <v>0</v>
      </c>
      <c r="T431" s="169">
        <f>IF(T$2&lt;=AnalysisPeriod,IF(SUM($C728:T728)&gt;0,S431+1,0),0)</f>
        <v>0</v>
      </c>
      <c r="U431" s="169">
        <f>IF(U$2&lt;=AnalysisPeriod,IF(SUM($C728:U728)&gt;0,T431+1,0),0)</f>
        <v>0</v>
      </c>
      <c r="V431" s="169">
        <f>IF(V$2&lt;=AnalysisPeriod,IF(SUM($C728:V728)&gt;0,U431+1,0),0)</f>
        <v>0</v>
      </c>
      <c r="W431" s="169">
        <f>IF(W$2&lt;=AnalysisPeriod,IF(SUM($C728:W728)&gt;0,V431+1,0),0)</f>
        <v>0</v>
      </c>
      <c r="X431" s="169">
        <f>IF(X$2&lt;=AnalysisPeriod,IF(SUM($C728:X728)&gt;0,W431+1,0),0)</f>
        <v>0</v>
      </c>
      <c r="Y431" s="169">
        <f>IF(Y$2&lt;=AnalysisPeriod,IF(SUM($C728:Y728)&gt;0,X431+1,0),0)</f>
        <v>0</v>
      </c>
      <c r="Z431" s="169">
        <f>IF(Z$2&lt;=AnalysisPeriod,IF(SUM($C728:Z728)&gt;0,Y431+1,0),0)</f>
        <v>0</v>
      </c>
      <c r="AA431" s="169">
        <f>IF(AA$2&lt;=AnalysisPeriod,IF(SUM($C728:AA728)&gt;0,Z431+1,0),0)</f>
        <v>0</v>
      </c>
      <c r="AB431" s="169">
        <f>IF(AB$2&lt;=AnalysisPeriod,IF(SUM($C728:AB728)&gt;0,AA431+1,0),0)</f>
        <v>0</v>
      </c>
      <c r="AC431" s="169">
        <f>IF(AC$2&lt;=AnalysisPeriod,IF(SUM($C728:AC728)&gt;0,AB431+1,0),0)</f>
        <v>0</v>
      </c>
      <c r="AD431" s="169">
        <f>IF(AD$2&lt;=AnalysisPeriod,IF(SUM($C728:AD728)&gt;0,AC431+1,0),0)</f>
        <v>0</v>
      </c>
      <c r="AE431" s="169">
        <f>IF(AE$2&lt;=AnalysisPeriod,IF(SUM($C728:AE728)&gt;0,AD431+1,0),0)</f>
        <v>0</v>
      </c>
      <c r="AF431" s="169">
        <f>IF(AF$2&lt;=AnalysisPeriod,IF(SUM($C728:AF728)&gt;0,AE431+1,0),0)</f>
        <v>0</v>
      </c>
      <c r="AG431" s="169">
        <f>IF(AG$2&lt;=AnalysisPeriod,IF(SUM($C728:AG728)&gt;0,AF431+1,0),0)</f>
        <v>0</v>
      </c>
      <c r="AH431" s="169">
        <f>IF(AH$2&lt;=AnalysisPeriod,IF(SUM($C728:AH728)&gt;0,AG431+1,0),0)</f>
        <v>0</v>
      </c>
      <c r="AI431" s="169">
        <f>IF(AI$2&lt;=AnalysisPeriod,IF(SUM($C728:AI728)&gt;0,AH431+1,0),0)</f>
        <v>0</v>
      </c>
      <c r="AJ431" s="169">
        <f>IF(AJ$2&lt;=AnalysisPeriod,IF(SUM($C728:AJ728)&gt;0,AI431+1,0),0)</f>
        <v>0</v>
      </c>
      <c r="AK431" s="169">
        <f>IF(AK$2&lt;=AnalysisPeriod,IF(SUM($C728:AK728)&gt;0,AJ431+1,0),0)</f>
        <v>0</v>
      </c>
      <c r="AL431" s="169">
        <f>IF(AL$2&lt;=AnalysisPeriod,IF(SUM($C728:AL728)&gt;0,AK431+1,0),0)</f>
        <v>0</v>
      </c>
      <c r="AM431" s="169">
        <f>IF(AM$2&lt;=AnalysisPeriod,IF(SUM($C728:AM728)&gt;0,AL431+1,0),0)</f>
        <v>0</v>
      </c>
      <c r="AN431" s="169">
        <f>IF(AN$2&lt;=AnalysisPeriod,IF(SUM($C728:AN728)&gt;0,AM431+1,0),0)</f>
        <v>0</v>
      </c>
      <c r="AO431" s="169">
        <f>IF(AO$2&lt;=AnalysisPeriod,IF(SUM($C728:AO728)&gt;0,AN431+1,0),0)</f>
        <v>0</v>
      </c>
      <c r="AP431" s="169">
        <f>IF(AP$2&lt;=AnalysisPeriod,IF(SUM($C728:AP728)&gt;0,AO431+1,0),0)</f>
        <v>0</v>
      </c>
    </row>
    <row r="432" spans="1:42" x14ac:dyDescent="0.2">
      <c r="A432" s="101">
        <f t="shared" si="244"/>
        <v>10</v>
      </c>
      <c r="C432" s="169">
        <f>IF(C$2&lt;=AnalysisPeriod,IF(SUM($C729:C729)&gt;0,B432+1,0),0)</f>
        <v>0</v>
      </c>
      <c r="D432" s="169">
        <f>IF(D$2&lt;=AnalysisPeriod,IF(SUM($C729:D729)&gt;0,C432+1,0),0)</f>
        <v>0</v>
      </c>
      <c r="E432" s="169">
        <f>IF(E$2&lt;=AnalysisPeriod,IF(SUM($C729:E729)&gt;0,D432+1,0),0)</f>
        <v>0</v>
      </c>
      <c r="F432" s="169">
        <f>IF(F$2&lt;=AnalysisPeriod,IF(SUM($C729:F729)&gt;0,E432+1,0),0)</f>
        <v>0</v>
      </c>
      <c r="G432" s="169">
        <f>IF(G$2&lt;=AnalysisPeriod,IF(SUM($C729:G729)&gt;0,F432+1,0),0)</f>
        <v>0</v>
      </c>
      <c r="H432" s="169">
        <f>IF(H$2&lt;=AnalysisPeriod,IF(SUM($C729:H729)&gt;0,G432+1,0),0)</f>
        <v>0</v>
      </c>
      <c r="I432" s="169">
        <f>IF(I$2&lt;=AnalysisPeriod,IF(SUM($C729:I729)&gt;0,H432+1,0),0)</f>
        <v>0</v>
      </c>
      <c r="J432" s="169">
        <f>IF(J$2&lt;=AnalysisPeriod,IF(SUM($C729:J729)&gt;0,I432+1,0),0)</f>
        <v>0</v>
      </c>
      <c r="K432" s="169">
        <f>IF(K$2&lt;=AnalysisPeriod,IF(SUM($C729:K729)&gt;0,J432+1,0),0)</f>
        <v>0</v>
      </c>
      <c r="L432" s="169">
        <f>IF(L$2&lt;=AnalysisPeriod,IF(SUM($C729:L729)&gt;0,K432+1,0),0)</f>
        <v>0</v>
      </c>
      <c r="M432" s="169">
        <f>IF(M$2&lt;=AnalysisPeriod,IF(SUM($C729:M729)&gt;0,L432+1,0),0)</f>
        <v>0</v>
      </c>
      <c r="N432" s="169">
        <f>IF(N$2&lt;=AnalysisPeriod,IF(SUM($C729:N729)&gt;0,M432+1,0),0)</f>
        <v>0</v>
      </c>
      <c r="O432" s="169">
        <f>IF(O$2&lt;=AnalysisPeriod,IF(SUM($C729:O729)&gt;0,N432+1,0),0)</f>
        <v>0</v>
      </c>
      <c r="P432" s="169">
        <f>IF(P$2&lt;=AnalysisPeriod,IF(SUM($C729:P729)&gt;0,O432+1,0),0)</f>
        <v>0</v>
      </c>
      <c r="Q432" s="169">
        <f>IF(Q$2&lt;=AnalysisPeriod,IF(SUM($C729:Q729)&gt;0,P432+1,0),0)</f>
        <v>0</v>
      </c>
      <c r="R432" s="169">
        <f>IF(R$2&lt;=AnalysisPeriod,IF(SUM($C729:R729)&gt;0,Q432+1,0),0)</f>
        <v>0</v>
      </c>
      <c r="S432" s="169">
        <f>IF(S$2&lt;=AnalysisPeriod,IF(SUM($C729:S729)&gt;0,R432+1,0),0)</f>
        <v>0</v>
      </c>
      <c r="T432" s="169">
        <f>IF(T$2&lt;=AnalysisPeriod,IF(SUM($C729:T729)&gt;0,S432+1,0),0)</f>
        <v>0</v>
      </c>
      <c r="U432" s="169">
        <f>IF(U$2&lt;=AnalysisPeriod,IF(SUM($C729:U729)&gt;0,T432+1,0),0)</f>
        <v>0</v>
      </c>
      <c r="V432" s="169">
        <f>IF(V$2&lt;=AnalysisPeriod,IF(SUM($C729:V729)&gt;0,U432+1,0),0)</f>
        <v>0</v>
      </c>
      <c r="W432" s="169">
        <f>IF(W$2&lt;=AnalysisPeriod,IF(SUM($C729:W729)&gt;0,V432+1,0),0)</f>
        <v>0</v>
      </c>
      <c r="X432" s="169">
        <f>IF(X$2&lt;=AnalysisPeriod,IF(SUM($C729:X729)&gt;0,W432+1,0),0)</f>
        <v>0</v>
      </c>
      <c r="Y432" s="169">
        <f>IF(Y$2&lt;=AnalysisPeriod,IF(SUM($C729:Y729)&gt;0,X432+1,0),0)</f>
        <v>0</v>
      </c>
      <c r="Z432" s="169">
        <f>IF(Z$2&lt;=AnalysisPeriod,IF(SUM($C729:Z729)&gt;0,Y432+1,0),0)</f>
        <v>0</v>
      </c>
      <c r="AA432" s="169">
        <f>IF(AA$2&lt;=AnalysisPeriod,IF(SUM($C729:AA729)&gt;0,Z432+1,0),0)</f>
        <v>0</v>
      </c>
      <c r="AB432" s="169">
        <f>IF(AB$2&lt;=AnalysisPeriod,IF(SUM($C729:AB729)&gt;0,AA432+1,0),0)</f>
        <v>0</v>
      </c>
      <c r="AC432" s="169">
        <f>IF(AC$2&lt;=AnalysisPeriod,IF(SUM($C729:AC729)&gt;0,AB432+1,0),0)</f>
        <v>0</v>
      </c>
      <c r="AD432" s="169">
        <f>IF(AD$2&lt;=AnalysisPeriod,IF(SUM($C729:AD729)&gt;0,AC432+1,0),0)</f>
        <v>0</v>
      </c>
      <c r="AE432" s="169">
        <f>IF(AE$2&lt;=AnalysisPeriod,IF(SUM($C729:AE729)&gt;0,AD432+1,0),0)</f>
        <v>0</v>
      </c>
      <c r="AF432" s="169">
        <f>IF(AF$2&lt;=AnalysisPeriod,IF(SUM($C729:AF729)&gt;0,AE432+1,0),0)</f>
        <v>0</v>
      </c>
      <c r="AG432" s="169">
        <f>IF(AG$2&lt;=AnalysisPeriod,IF(SUM($C729:AG729)&gt;0,AF432+1,0),0)</f>
        <v>0</v>
      </c>
      <c r="AH432" s="169">
        <f>IF(AH$2&lt;=AnalysisPeriod,IF(SUM($C729:AH729)&gt;0,AG432+1,0),0)</f>
        <v>0</v>
      </c>
      <c r="AI432" s="169">
        <f>IF(AI$2&lt;=AnalysisPeriod,IF(SUM($C729:AI729)&gt;0,AH432+1,0),0)</f>
        <v>0</v>
      </c>
      <c r="AJ432" s="169">
        <f>IF(AJ$2&lt;=AnalysisPeriod,IF(SUM($C729:AJ729)&gt;0,AI432+1,0),0)</f>
        <v>0</v>
      </c>
      <c r="AK432" s="169">
        <f>IF(AK$2&lt;=AnalysisPeriod,IF(SUM($C729:AK729)&gt;0,AJ432+1,0),0)</f>
        <v>0</v>
      </c>
      <c r="AL432" s="169">
        <f>IF(AL$2&lt;=AnalysisPeriod,IF(SUM($C729:AL729)&gt;0,AK432+1,0),0)</f>
        <v>0</v>
      </c>
      <c r="AM432" s="169">
        <f>IF(AM$2&lt;=AnalysisPeriod,IF(SUM($C729:AM729)&gt;0,AL432+1,0),0)</f>
        <v>0</v>
      </c>
      <c r="AN432" s="169">
        <f>IF(AN$2&lt;=AnalysisPeriod,IF(SUM($C729:AN729)&gt;0,AM432+1,0),0)</f>
        <v>0</v>
      </c>
      <c r="AO432" s="169">
        <f>IF(AO$2&lt;=AnalysisPeriod,IF(SUM($C729:AO729)&gt;0,AN432+1,0),0)</f>
        <v>0</v>
      </c>
      <c r="AP432" s="169">
        <f>IF(AP$2&lt;=AnalysisPeriod,IF(SUM($C729:AP729)&gt;0,AO432+1,0),0)</f>
        <v>0</v>
      </c>
    </row>
    <row r="433" spans="1:42" x14ac:dyDescent="0.2">
      <c r="A433" s="187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</row>
    <row r="434" spans="1:42" x14ac:dyDescent="0.2">
      <c r="A434" s="187" t="s">
        <v>196</v>
      </c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</row>
    <row r="435" spans="1:42" x14ac:dyDescent="0.2">
      <c r="A435" s="101">
        <v>1</v>
      </c>
      <c r="B435" s="179">
        <f t="shared" ref="B435:B444" si="245">SUM(C435:AP435)</f>
        <v>0</v>
      </c>
      <c r="C435" s="208">
        <f t="shared" ref="C435:AP435" si="246">LOOKUP(C423,$B$367:$AP$367,$B$368:$AP$368)*$B720</f>
        <v>0</v>
      </c>
      <c r="D435" s="169">
        <f t="shared" si="246"/>
        <v>0</v>
      </c>
      <c r="E435" s="169">
        <f t="shared" si="246"/>
        <v>0</v>
      </c>
      <c r="F435" s="169">
        <f t="shared" si="246"/>
        <v>0</v>
      </c>
      <c r="G435" s="169">
        <f t="shared" si="246"/>
        <v>0</v>
      </c>
      <c r="H435" s="169">
        <f t="shared" si="246"/>
        <v>0</v>
      </c>
      <c r="I435" s="169">
        <f t="shared" si="246"/>
        <v>0</v>
      </c>
      <c r="J435" s="169">
        <f t="shared" si="246"/>
        <v>0</v>
      </c>
      <c r="K435" s="169">
        <f t="shared" si="246"/>
        <v>0</v>
      </c>
      <c r="L435" s="169">
        <f t="shared" si="246"/>
        <v>0</v>
      </c>
      <c r="M435" s="169">
        <f t="shared" si="246"/>
        <v>0</v>
      </c>
      <c r="N435" s="169">
        <f t="shared" si="246"/>
        <v>0</v>
      </c>
      <c r="O435" s="169">
        <f t="shared" si="246"/>
        <v>0</v>
      </c>
      <c r="P435" s="169">
        <f t="shared" si="246"/>
        <v>0</v>
      </c>
      <c r="Q435" s="169">
        <f t="shared" si="246"/>
        <v>0</v>
      </c>
      <c r="R435" s="169">
        <f t="shared" si="246"/>
        <v>0</v>
      </c>
      <c r="S435" s="169">
        <f t="shared" si="246"/>
        <v>0</v>
      </c>
      <c r="T435" s="169">
        <f t="shared" si="246"/>
        <v>0</v>
      </c>
      <c r="U435" s="169">
        <f t="shared" si="246"/>
        <v>0</v>
      </c>
      <c r="V435" s="169">
        <f t="shared" si="246"/>
        <v>0</v>
      </c>
      <c r="W435" s="169">
        <f t="shared" si="246"/>
        <v>0</v>
      </c>
      <c r="X435" s="169">
        <f t="shared" si="246"/>
        <v>0</v>
      </c>
      <c r="Y435" s="169">
        <f t="shared" si="246"/>
        <v>0</v>
      </c>
      <c r="Z435" s="169">
        <f t="shared" si="246"/>
        <v>0</v>
      </c>
      <c r="AA435" s="169">
        <f t="shared" si="246"/>
        <v>0</v>
      </c>
      <c r="AB435" s="169">
        <f t="shared" si="246"/>
        <v>0</v>
      </c>
      <c r="AC435" s="169">
        <f t="shared" si="246"/>
        <v>0</v>
      </c>
      <c r="AD435" s="169">
        <f t="shared" si="246"/>
        <v>0</v>
      </c>
      <c r="AE435" s="169">
        <f t="shared" si="246"/>
        <v>0</v>
      </c>
      <c r="AF435" s="169">
        <f t="shared" si="246"/>
        <v>0</v>
      </c>
      <c r="AG435" s="169">
        <f t="shared" si="246"/>
        <v>0</v>
      </c>
      <c r="AH435" s="169">
        <f t="shared" si="246"/>
        <v>0</v>
      </c>
      <c r="AI435" s="169">
        <f t="shared" si="246"/>
        <v>0</v>
      </c>
      <c r="AJ435" s="169">
        <f t="shared" si="246"/>
        <v>0</v>
      </c>
      <c r="AK435" s="169">
        <f t="shared" si="246"/>
        <v>0</v>
      </c>
      <c r="AL435" s="169">
        <f t="shared" si="246"/>
        <v>0</v>
      </c>
      <c r="AM435" s="169">
        <f t="shared" si="246"/>
        <v>0</v>
      </c>
      <c r="AN435" s="169">
        <f t="shared" si="246"/>
        <v>0</v>
      </c>
      <c r="AO435" s="169">
        <f t="shared" si="246"/>
        <v>0</v>
      </c>
      <c r="AP435" s="169">
        <f t="shared" si="246"/>
        <v>0</v>
      </c>
    </row>
    <row r="436" spans="1:42" x14ac:dyDescent="0.2">
      <c r="A436" s="101">
        <f>A435+1</f>
        <v>2</v>
      </c>
      <c r="B436" s="179">
        <f t="shared" si="245"/>
        <v>0</v>
      </c>
      <c r="C436" s="208">
        <f t="shared" ref="C436:AP436" si="247">LOOKUP(C424,$B$367:$AP$367,$B$368:$AP$368)*$B721</f>
        <v>0</v>
      </c>
      <c r="D436" s="169">
        <f t="shared" si="247"/>
        <v>0</v>
      </c>
      <c r="E436" s="169">
        <f t="shared" si="247"/>
        <v>0</v>
      </c>
      <c r="F436" s="169">
        <f t="shared" si="247"/>
        <v>0</v>
      </c>
      <c r="G436" s="169">
        <f t="shared" si="247"/>
        <v>0</v>
      </c>
      <c r="H436" s="169">
        <f t="shared" si="247"/>
        <v>0</v>
      </c>
      <c r="I436" s="169">
        <f t="shared" si="247"/>
        <v>0</v>
      </c>
      <c r="J436" s="169">
        <f t="shared" si="247"/>
        <v>0</v>
      </c>
      <c r="K436" s="169">
        <f t="shared" si="247"/>
        <v>0</v>
      </c>
      <c r="L436" s="169">
        <f t="shared" si="247"/>
        <v>0</v>
      </c>
      <c r="M436" s="169">
        <f t="shared" si="247"/>
        <v>0</v>
      </c>
      <c r="N436" s="169">
        <f t="shared" si="247"/>
        <v>0</v>
      </c>
      <c r="O436" s="169">
        <f t="shared" si="247"/>
        <v>0</v>
      </c>
      <c r="P436" s="169">
        <f t="shared" si="247"/>
        <v>0</v>
      </c>
      <c r="Q436" s="169">
        <f t="shared" si="247"/>
        <v>0</v>
      </c>
      <c r="R436" s="169">
        <f t="shared" si="247"/>
        <v>0</v>
      </c>
      <c r="S436" s="169">
        <f t="shared" si="247"/>
        <v>0</v>
      </c>
      <c r="T436" s="169">
        <f t="shared" si="247"/>
        <v>0</v>
      </c>
      <c r="U436" s="169">
        <f t="shared" si="247"/>
        <v>0</v>
      </c>
      <c r="V436" s="169">
        <f t="shared" si="247"/>
        <v>0</v>
      </c>
      <c r="W436" s="169">
        <f t="shared" si="247"/>
        <v>0</v>
      </c>
      <c r="X436" s="169">
        <f t="shared" si="247"/>
        <v>0</v>
      </c>
      <c r="Y436" s="169">
        <f t="shared" si="247"/>
        <v>0</v>
      </c>
      <c r="Z436" s="169">
        <f t="shared" si="247"/>
        <v>0</v>
      </c>
      <c r="AA436" s="169">
        <f t="shared" si="247"/>
        <v>0</v>
      </c>
      <c r="AB436" s="169">
        <f t="shared" si="247"/>
        <v>0</v>
      </c>
      <c r="AC436" s="169">
        <f t="shared" si="247"/>
        <v>0</v>
      </c>
      <c r="AD436" s="169">
        <f t="shared" si="247"/>
        <v>0</v>
      </c>
      <c r="AE436" s="169">
        <f t="shared" si="247"/>
        <v>0</v>
      </c>
      <c r="AF436" s="169">
        <f t="shared" si="247"/>
        <v>0</v>
      </c>
      <c r="AG436" s="169">
        <f t="shared" si="247"/>
        <v>0</v>
      </c>
      <c r="AH436" s="169">
        <f t="shared" si="247"/>
        <v>0</v>
      </c>
      <c r="AI436" s="169">
        <f t="shared" si="247"/>
        <v>0</v>
      </c>
      <c r="AJ436" s="169">
        <f t="shared" si="247"/>
        <v>0</v>
      </c>
      <c r="AK436" s="169">
        <f t="shared" si="247"/>
        <v>0</v>
      </c>
      <c r="AL436" s="169">
        <f t="shared" si="247"/>
        <v>0</v>
      </c>
      <c r="AM436" s="169">
        <f t="shared" si="247"/>
        <v>0</v>
      </c>
      <c r="AN436" s="169">
        <f t="shared" si="247"/>
        <v>0</v>
      </c>
      <c r="AO436" s="169">
        <f t="shared" si="247"/>
        <v>0</v>
      </c>
      <c r="AP436" s="169">
        <f t="shared" si="247"/>
        <v>0</v>
      </c>
    </row>
    <row r="437" spans="1:42" x14ac:dyDescent="0.2">
      <c r="A437" s="101">
        <f t="shared" ref="A437:A444" si="248">A436+1</f>
        <v>3</v>
      </c>
      <c r="B437" s="179">
        <f t="shared" si="245"/>
        <v>0</v>
      </c>
      <c r="C437" s="208">
        <f t="shared" ref="C437:AP437" si="249">LOOKUP(C425,$B$367:$AP$367,$B$368:$AP$368)*$B722</f>
        <v>0</v>
      </c>
      <c r="D437" s="169">
        <f t="shared" si="249"/>
        <v>0</v>
      </c>
      <c r="E437" s="169">
        <f t="shared" si="249"/>
        <v>0</v>
      </c>
      <c r="F437" s="169">
        <f t="shared" si="249"/>
        <v>0</v>
      </c>
      <c r="G437" s="169">
        <f t="shared" si="249"/>
        <v>0</v>
      </c>
      <c r="H437" s="169">
        <f t="shared" si="249"/>
        <v>0</v>
      </c>
      <c r="I437" s="169">
        <f t="shared" si="249"/>
        <v>0</v>
      </c>
      <c r="J437" s="169">
        <f t="shared" si="249"/>
        <v>0</v>
      </c>
      <c r="K437" s="169">
        <f t="shared" si="249"/>
        <v>0</v>
      </c>
      <c r="L437" s="169">
        <f t="shared" si="249"/>
        <v>0</v>
      </c>
      <c r="M437" s="169">
        <f t="shared" si="249"/>
        <v>0</v>
      </c>
      <c r="N437" s="169">
        <f t="shared" si="249"/>
        <v>0</v>
      </c>
      <c r="O437" s="169">
        <f t="shared" si="249"/>
        <v>0</v>
      </c>
      <c r="P437" s="169">
        <f t="shared" si="249"/>
        <v>0</v>
      </c>
      <c r="Q437" s="169">
        <f t="shared" si="249"/>
        <v>0</v>
      </c>
      <c r="R437" s="169">
        <f t="shared" si="249"/>
        <v>0</v>
      </c>
      <c r="S437" s="169">
        <f t="shared" si="249"/>
        <v>0</v>
      </c>
      <c r="T437" s="169">
        <f t="shared" si="249"/>
        <v>0</v>
      </c>
      <c r="U437" s="169">
        <f t="shared" si="249"/>
        <v>0</v>
      </c>
      <c r="V437" s="169">
        <f t="shared" si="249"/>
        <v>0</v>
      </c>
      <c r="W437" s="169">
        <f t="shared" si="249"/>
        <v>0</v>
      </c>
      <c r="X437" s="169">
        <f t="shared" si="249"/>
        <v>0</v>
      </c>
      <c r="Y437" s="169">
        <f t="shared" si="249"/>
        <v>0</v>
      </c>
      <c r="Z437" s="169">
        <f t="shared" si="249"/>
        <v>0</v>
      </c>
      <c r="AA437" s="169">
        <f t="shared" si="249"/>
        <v>0</v>
      </c>
      <c r="AB437" s="169">
        <f t="shared" si="249"/>
        <v>0</v>
      </c>
      <c r="AC437" s="169">
        <f t="shared" si="249"/>
        <v>0</v>
      </c>
      <c r="AD437" s="169">
        <f t="shared" si="249"/>
        <v>0</v>
      </c>
      <c r="AE437" s="169">
        <f t="shared" si="249"/>
        <v>0</v>
      </c>
      <c r="AF437" s="169">
        <f t="shared" si="249"/>
        <v>0</v>
      </c>
      <c r="AG437" s="169">
        <f t="shared" si="249"/>
        <v>0</v>
      </c>
      <c r="AH437" s="169">
        <f t="shared" si="249"/>
        <v>0</v>
      </c>
      <c r="AI437" s="169">
        <f t="shared" si="249"/>
        <v>0</v>
      </c>
      <c r="AJ437" s="169">
        <f t="shared" si="249"/>
        <v>0</v>
      </c>
      <c r="AK437" s="169">
        <f t="shared" si="249"/>
        <v>0</v>
      </c>
      <c r="AL437" s="169">
        <f t="shared" si="249"/>
        <v>0</v>
      </c>
      <c r="AM437" s="169">
        <f t="shared" si="249"/>
        <v>0</v>
      </c>
      <c r="AN437" s="169">
        <f t="shared" si="249"/>
        <v>0</v>
      </c>
      <c r="AO437" s="169">
        <f t="shared" si="249"/>
        <v>0</v>
      </c>
      <c r="AP437" s="169">
        <f t="shared" si="249"/>
        <v>0</v>
      </c>
    </row>
    <row r="438" spans="1:42" x14ac:dyDescent="0.2">
      <c r="A438" s="101">
        <f t="shared" si="248"/>
        <v>4</v>
      </c>
      <c r="B438" s="179">
        <f t="shared" si="245"/>
        <v>0</v>
      </c>
      <c r="C438" s="208">
        <f t="shared" ref="C438:AP438" si="250">LOOKUP(C426,$B$367:$AP$367,$B$368:$AP$368)*$B723</f>
        <v>0</v>
      </c>
      <c r="D438" s="169">
        <f t="shared" si="250"/>
        <v>0</v>
      </c>
      <c r="E438" s="169">
        <f t="shared" si="250"/>
        <v>0</v>
      </c>
      <c r="F438" s="169">
        <f t="shared" si="250"/>
        <v>0</v>
      </c>
      <c r="G438" s="169">
        <f t="shared" si="250"/>
        <v>0</v>
      </c>
      <c r="H438" s="169">
        <f t="shared" si="250"/>
        <v>0</v>
      </c>
      <c r="I438" s="169">
        <f t="shared" si="250"/>
        <v>0</v>
      </c>
      <c r="J438" s="169">
        <f t="shared" si="250"/>
        <v>0</v>
      </c>
      <c r="K438" s="169">
        <f t="shared" si="250"/>
        <v>0</v>
      </c>
      <c r="L438" s="169">
        <f t="shared" si="250"/>
        <v>0</v>
      </c>
      <c r="M438" s="169">
        <f t="shared" si="250"/>
        <v>0</v>
      </c>
      <c r="N438" s="169">
        <f t="shared" si="250"/>
        <v>0</v>
      </c>
      <c r="O438" s="169">
        <f t="shared" si="250"/>
        <v>0</v>
      </c>
      <c r="P438" s="169">
        <f t="shared" si="250"/>
        <v>0</v>
      </c>
      <c r="Q438" s="169">
        <f t="shared" si="250"/>
        <v>0</v>
      </c>
      <c r="R438" s="169">
        <f t="shared" si="250"/>
        <v>0</v>
      </c>
      <c r="S438" s="169">
        <f t="shared" si="250"/>
        <v>0</v>
      </c>
      <c r="T438" s="169">
        <f t="shared" si="250"/>
        <v>0</v>
      </c>
      <c r="U438" s="169">
        <f t="shared" si="250"/>
        <v>0</v>
      </c>
      <c r="V438" s="169">
        <f t="shared" si="250"/>
        <v>0</v>
      </c>
      <c r="W438" s="169">
        <f t="shared" si="250"/>
        <v>0</v>
      </c>
      <c r="X438" s="169">
        <f t="shared" si="250"/>
        <v>0</v>
      </c>
      <c r="Y438" s="169">
        <f t="shared" si="250"/>
        <v>0</v>
      </c>
      <c r="Z438" s="169">
        <f t="shared" si="250"/>
        <v>0</v>
      </c>
      <c r="AA438" s="169">
        <f t="shared" si="250"/>
        <v>0</v>
      </c>
      <c r="AB438" s="169">
        <f t="shared" si="250"/>
        <v>0</v>
      </c>
      <c r="AC438" s="169">
        <f t="shared" si="250"/>
        <v>0</v>
      </c>
      <c r="AD438" s="169">
        <f t="shared" si="250"/>
        <v>0</v>
      </c>
      <c r="AE438" s="169">
        <f t="shared" si="250"/>
        <v>0</v>
      </c>
      <c r="AF438" s="169">
        <f t="shared" si="250"/>
        <v>0</v>
      </c>
      <c r="AG438" s="169">
        <f t="shared" si="250"/>
        <v>0</v>
      </c>
      <c r="AH438" s="169">
        <f t="shared" si="250"/>
        <v>0</v>
      </c>
      <c r="AI438" s="169">
        <f t="shared" si="250"/>
        <v>0</v>
      </c>
      <c r="AJ438" s="169">
        <f t="shared" si="250"/>
        <v>0</v>
      </c>
      <c r="AK438" s="169">
        <f t="shared" si="250"/>
        <v>0</v>
      </c>
      <c r="AL438" s="169">
        <f t="shared" si="250"/>
        <v>0</v>
      </c>
      <c r="AM438" s="169">
        <f t="shared" si="250"/>
        <v>0</v>
      </c>
      <c r="AN438" s="169">
        <f t="shared" si="250"/>
        <v>0</v>
      </c>
      <c r="AO438" s="169">
        <f t="shared" si="250"/>
        <v>0</v>
      </c>
      <c r="AP438" s="169">
        <f t="shared" si="250"/>
        <v>0</v>
      </c>
    </row>
    <row r="439" spans="1:42" x14ac:dyDescent="0.2">
      <c r="A439" s="101">
        <f t="shared" si="248"/>
        <v>5</v>
      </c>
      <c r="B439" s="179">
        <f t="shared" si="245"/>
        <v>0</v>
      </c>
      <c r="C439" s="208">
        <f t="shared" ref="C439:AP439" si="251">LOOKUP(C427,$B$367:$AP$367,$B$368:$AP$368)*$B724</f>
        <v>0</v>
      </c>
      <c r="D439" s="169">
        <f t="shared" si="251"/>
        <v>0</v>
      </c>
      <c r="E439" s="169">
        <f t="shared" si="251"/>
        <v>0</v>
      </c>
      <c r="F439" s="169">
        <f t="shared" si="251"/>
        <v>0</v>
      </c>
      <c r="G439" s="169">
        <f t="shared" si="251"/>
        <v>0</v>
      </c>
      <c r="H439" s="169">
        <f t="shared" si="251"/>
        <v>0</v>
      </c>
      <c r="I439" s="169">
        <f t="shared" si="251"/>
        <v>0</v>
      </c>
      <c r="J439" s="169">
        <f t="shared" si="251"/>
        <v>0</v>
      </c>
      <c r="K439" s="169">
        <f t="shared" si="251"/>
        <v>0</v>
      </c>
      <c r="L439" s="169">
        <f t="shared" si="251"/>
        <v>0</v>
      </c>
      <c r="M439" s="169">
        <f t="shared" si="251"/>
        <v>0</v>
      </c>
      <c r="N439" s="169">
        <f t="shared" si="251"/>
        <v>0</v>
      </c>
      <c r="O439" s="169">
        <f t="shared" si="251"/>
        <v>0</v>
      </c>
      <c r="P439" s="169">
        <f t="shared" si="251"/>
        <v>0</v>
      </c>
      <c r="Q439" s="169">
        <f t="shared" si="251"/>
        <v>0</v>
      </c>
      <c r="R439" s="169">
        <f t="shared" si="251"/>
        <v>0</v>
      </c>
      <c r="S439" s="169">
        <f t="shared" si="251"/>
        <v>0</v>
      </c>
      <c r="T439" s="169">
        <f t="shared" si="251"/>
        <v>0</v>
      </c>
      <c r="U439" s="169">
        <f t="shared" si="251"/>
        <v>0</v>
      </c>
      <c r="V439" s="169">
        <f t="shared" si="251"/>
        <v>0</v>
      </c>
      <c r="W439" s="169">
        <f t="shared" si="251"/>
        <v>0</v>
      </c>
      <c r="X439" s="169">
        <f t="shared" si="251"/>
        <v>0</v>
      </c>
      <c r="Y439" s="169">
        <f t="shared" si="251"/>
        <v>0</v>
      </c>
      <c r="Z439" s="169">
        <f t="shared" si="251"/>
        <v>0</v>
      </c>
      <c r="AA439" s="169">
        <f t="shared" si="251"/>
        <v>0</v>
      </c>
      <c r="AB439" s="169">
        <f t="shared" si="251"/>
        <v>0</v>
      </c>
      <c r="AC439" s="169">
        <f t="shared" si="251"/>
        <v>0</v>
      </c>
      <c r="AD439" s="169">
        <f t="shared" si="251"/>
        <v>0</v>
      </c>
      <c r="AE439" s="169">
        <f t="shared" si="251"/>
        <v>0</v>
      </c>
      <c r="AF439" s="169">
        <f t="shared" si="251"/>
        <v>0</v>
      </c>
      <c r="AG439" s="169">
        <f t="shared" si="251"/>
        <v>0</v>
      </c>
      <c r="AH439" s="169">
        <f t="shared" si="251"/>
        <v>0</v>
      </c>
      <c r="AI439" s="169">
        <f t="shared" si="251"/>
        <v>0</v>
      </c>
      <c r="AJ439" s="169">
        <f t="shared" si="251"/>
        <v>0</v>
      </c>
      <c r="AK439" s="169">
        <f t="shared" si="251"/>
        <v>0</v>
      </c>
      <c r="AL439" s="169">
        <f t="shared" si="251"/>
        <v>0</v>
      </c>
      <c r="AM439" s="169">
        <f t="shared" si="251"/>
        <v>0</v>
      </c>
      <c r="AN439" s="169">
        <f t="shared" si="251"/>
        <v>0</v>
      </c>
      <c r="AO439" s="169">
        <f t="shared" si="251"/>
        <v>0</v>
      </c>
      <c r="AP439" s="169">
        <f t="shared" si="251"/>
        <v>0</v>
      </c>
    </row>
    <row r="440" spans="1:42" x14ac:dyDescent="0.2">
      <c r="A440" s="101">
        <f t="shared" si="248"/>
        <v>6</v>
      </c>
      <c r="B440" s="179">
        <f t="shared" si="245"/>
        <v>0</v>
      </c>
      <c r="C440" s="208">
        <f t="shared" ref="C440:AP440" si="252">LOOKUP(C428,$B$367:$AP$367,$B$368:$AP$368)*$B725</f>
        <v>0</v>
      </c>
      <c r="D440" s="169">
        <f t="shared" si="252"/>
        <v>0</v>
      </c>
      <c r="E440" s="169">
        <f t="shared" si="252"/>
        <v>0</v>
      </c>
      <c r="F440" s="169">
        <f t="shared" si="252"/>
        <v>0</v>
      </c>
      <c r="G440" s="169">
        <f t="shared" si="252"/>
        <v>0</v>
      </c>
      <c r="H440" s="169">
        <f t="shared" si="252"/>
        <v>0</v>
      </c>
      <c r="I440" s="169">
        <f t="shared" si="252"/>
        <v>0</v>
      </c>
      <c r="J440" s="169">
        <f t="shared" si="252"/>
        <v>0</v>
      </c>
      <c r="K440" s="169">
        <f t="shared" si="252"/>
        <v>0</v>
      </c>
      <c r="L440" s="169">
        <f t="shared" si="252"/>
        <v>0</v>
      </c>
      <c r="M440" s="169">
        <f t="shared" si="252"/>
        <v>0</v>
      </c>
      <c r="N440" s="169">
        <f t="shared" si="252"/>
        <v>0</v>
      </c>
      <c r="O440" s="169">
        <f t="shared" si="252"/>
        <v>0</v>
      </c>
      <c r="P440" s="169">
        <f t="shared" si="252"/>
        <v>0</v>
      </c>
      <c r="Q440" s="169">
        <f t="shared" si="252"/>
        <v>0</v>
      </c>
      <c r="R440" s="169">
        <f t="shared" si="252"/>
        <v>0</v>
      </c>
      <c r="S440" s="169">
        <f t="shared" si="252"/>
        <v>0</v>
      </c>
      <c r="T440" s="169">
        <f t="shared" si="252"/>
        <v>0</v>
      </c>
      <c r="U440" s="169">
        <f t="shared" si="252"/>
        <v>0</v>
      </c>
      <c r="V440" s="169">
        <f t="shared" si="252"/>
        <v>0</v>
      </c>
      <c r="W440" s="169">
        <f t="shared" si="252"/>
        <v>0</v>
      </c>
      <c r="X440" s="169">
        <f t="shared" si="252"/>
        <v>0</v>
      </c>
      <c r="Y440" s="169">
        <f t="shared" si="252"/>
        <v>0</v>
      </c>
      <c r="Z440" s="169">
        <f t="shared" si="252"/>
        <v>0</v>
      </c>
      <c r="AA440" s="169">
        <f t="shared" si="252"/>
        <v>0</v>
      </c>
      <c r="AB440" s="169">
        <f t="shared" si="252"/>
        <v>0</v>
      </c>
      <c r="AC440" s="169">
        <f t="shared" si="252"/>
        <v>0</v>
      </c>
      <c r="AD440" s="169">
        <f t="shared" si="252"/>
        <v>0</v>
      </c>
      <c r="AE440" s="169">
        <f t="shared" si="252"/>
        <v>0</v>
      </c>
      <c r="AF440" s="169">
        <f t="shared" si="252"/>
        <v>0</v>
      </c>
      <c r="AG440" s="169">
        <f t="shared" si="252"/>
        <v>0</v>
      </c>
      <c r="AH440" s="169">
        <f t="shared" si="252"/>
        <v>0</v>
      </c>
      <c r="AI440" s="169">
        <f t="shared" si="252"/>
        <v>0</v>
      </c>
      <c r="AJ440" s="169">
        <f t="shared" si="252"/>
        <v>0</v>
      </c>
      <c r="AK440" s="169">
        <f t="shared" si="252"/>
        <v>0</v>
      </c>
      <c r="AL440" s="169">
        <f t="shared" si="252"/>
        <v>0</v>
      </c>
      <c r="AM440" s="169">
        <f t="shared" si="252"/>
        <v>0</v>
      </c>
      <c r="AN440" s="169">
        <f t="shared" si="252"/>
        <v>0</v>
      </c>
      <c r="AO440" s="169">
        <f t="shared" si="252"/>
        <v>0</v>
      </c>
      <c r="AP440" s="169">
        <f t="shared" si="252"/>
        <v>0</v>
      </c>
    </row>
    <row r="441" spans="1:42" x14ac:dyDescent="0.2">
      <c r="A441" s="101">
        <f t="shared" si="248"/>
        <v>7</v>
      </c>
      <c r="B441" s="179">
        <f t="shared" si="245"/>
        <v>0</v>
      </c>
      <c r="C441" s="208">
        <f t="shared" ref="C441:AP441" si="253">LOOKUP(C429,$B$367:$AP$367,$B$368:$AP$368)*$B726</f>
        <v>0</v>
      </c>
      <c r="D441" s="169">
        <f t="shared" si="253"/>
        <v>0</v>
      </c>
      <c r="E441" s="169">
        <f t="shared" si="253"/>
        <v>0</v>
      </c>
      <c r="F441" s="169">
        <f t="shared" si="253"/>
        <v>0</v>
      </c>
      <c r="G441" s="169">
        <f t="shared" si="253"/>
        <v>0</v>
      </c>
      <c r="H441" s="169">
        <f t="shared" si="253"/>
        <v>0</v>
      </c>
      <c r="I441" s="169">
        <f t="shared" si="253"/>
        <v>0</v>
      </c>
      <c r="J441" s="169">
        <f t="shared" si="253"/>
        <v>0</v>
      </c>
      <c r="K441" s="169">
        <f t="shared" si="253"/>
        <v>0</v>
      </c>
      <c r="L441" s="169">
        <f t="shared" si="253"/>
        <v>0</v>
      </c>
      <c r="M441" s="169">
        <f t="shared" si="253"/>
        <v>0</v>
      </c>
      <c r="N441" s="169">
        <f t="shared" si="253"/>
        <v>0</v>
      </c>
      <c r="O441" s="169">
        <f t="shared" si="253"/>
        <v>0</v>
      </c>
      <c r="P441" s="169">
        <f t="shared" si="253"/>
        <v>0</v>
      </c>
      <c r="Q441" s="169">
        <f t="shared" si="253"/>
        <v>0</v>
      </c>
      <c r="R441" s="169">
        <f t="shared" si="253"/>
        <v>0</v>
      </c>
      <c r="S441" s="169">
        <f t="shared" si="253"/>
        <v>0</v>
      </c>
      <c r="T441" s="169">
        <f t="shared" si="253"/>
        <v>0</v>
      </c>
      <c r="U441" s="169">
        <f t="shared" si="253"/>
        <v>0</v>
      </c>
      <c r="V441" s="169">
        <f t="shared" si="253"/>
        <v>0</v>
      </c>
      <c r="W441" s="169">
        <f t="shared" si="253"/>
        <v>0</v>
      </c>
      <c r="X441" s="169">
        <f t="shared" si="253"/>
        <v>0</v>
      </c>
      <c r="Y441" s="169">
        <f t="shared" si="253"/>
        <v>0</v>
      </c>
      <c r="Z441" s="169">
        <f t="shared" si="253"/>
        <v>0</v>
      </c>
      <c r="AA441" s="169">
        <f t="shared" si="253"/>
        <v>0</v>
      </c>
      <c r="AB441" s="169">
        <f t="shared" si="253"/>
        <v>0</v>
      </c>
      <c r="AC441" s="169">
        <f t="shared" si="253"/>
        <v>0</v>
      </c>
      <c r="AD441" s="169">
        <f t="shared" si="253"/>
        <v>0</v>
      </c>
      <c r="AE441" s="169">
        <f t="shared" si="253"/>
        <v>0</v>
      </c>
      <c r="AF441" s="169">
        <f t="shared" si="253"/>
        <v>0</v>
      </c>
      <c r="AG441" s="169">
        <f t="shared" si="253"/>
        <v>0</v>
      </c>
      <c r="AH441" s="169">
        <f t="shared" si="253"/>
        <v>0</v>
      </c>
      <c r="AI441" s="169">
        <f t="shared" si="253"/>
        <v>0</v>
      </c>
      <c r="AJ441" s="169">
        <f t="shared" si="253"/>
        <v>0</v>
      </c>
      <c r="AK441" s="169">
        <f t="shared" si="253"/>
        <v>0</v>
      </c>
      <c r="AL441" s="169">
        <f t="shared" si="253"/>
        <v>0</v>
      </c>
      <c r="AM441" s="169">
        <f t="shared" si="253"/>
        <v>0</v>
      </c>
      <c r="AN441" s="169">
        <f t="shared" si="253"/>
        <v>0</v>
      </c>
      <c r="AO441" s="169">
        <f t="shared" si="253"/>
        <v>0</v>
      </c>
      <c r="AP441" s="169">
        <f t="shared" si="253"/>
        <v>0</v>
      </c>
    </row>
    <row r="442" spans="1:42" x14ac:dyDescent="0.2">
      <c r="A442" s="101">
        <f t="shared" si="248"/>
        <v>8</v>
      </c>
      <c r="B442" s="179">
        <f t="shared" si="245"/>
        <v>0</v>
      </c>
      <c r="C442" s="208">
        <f t="shared" ref="C442:AP442" si="254">LOOKUP(C430,$B$367:$AP$367,$B$368:$AP$368)*$B727</f>
        <v>0</v>
      </c>
      <c r="D442" s="169">
        <f t="shared" si="254"/>
        <v>0</v>
      </c>
      <c r="E442" s="169">
        <f t="shared" si="254"/>
        <v>0</v>
      </c>
      <c r="F442" s="169">
        <f t="shared" si="254"/>
        <v>0</v>
      </c>
      <c r="G442" s="169">
        <f t="shared" si="254"/>
        <v>0</v>
      </c>
      <c r="H442" s="169">
        <f t="shared" si="254"/>
        <v>0</v>
      </c>
      <c r="I442" s="169">
        <f t="shared" si="254"/>
        <v>0</v>
      </c>
      <c r="J442" s="169">
        <f t="shared" si="254"/>
        <v>0</v>
      </c>
      <c r="K442" s="169">
        <f t="shared" si="254"/>
        <v>0</v>
      </c>
      <c r="L442" s="169">
        <f t="shared" si="254"/>
        <v>0</v>
      </c>
      <c r="M442" s="169">
        <f t="shared" si="254"/>
        <v>0</v>
      </c>
      <c r="N442" s="169">
        <f t="shared" si="254"/>
        <v>0</v>
      </c>
      <c r="O442" s="169">
        <f t="shared" si="254"/>
        <v>0</v>
      </c>
      <c r="P442" s="169">
        <f t="shared" si="254"/>
        <v>0</v>
      </c>
      <c r="Q442" s="169">
        <f t="shared" si="254"/>
        <v>0</v>
      </c>
      <c r="R442" s="169">
        <f t="shared" si="254"/>
        <v>0</v>
      </c>
      <c r="S442" s="169">
        <f t="shared" si="254"/>
        <v>0</v>
      </c>
      <c r="T442" s="169">
        <f t="shared" si="254"/>
        <v>0</v>
      </c>
      <c r="U442" s="169">
        <f t="shared" si="254"/>
        <v>0</v>
      </c>
      <c r="V442" s="169">
        <f t="shared" si="254"/>
        <v>0</v>
      </c>
      <c r="W442" s="169">
        <f t="shared" si="254"/>
        <v>0</v>
      </c>
      <c r="X442" s="169">
        <f t="shared" si="254"/>
        <v>0</v>
      </c>
      <c r="Y442" s="169">
        <f t="shared" si="254"/>
        <v>0</v>
      </c>
      <c r="Z442" s="169">
        <f t="shared" si="254"/>
        <v>0</v>
      </c>
      <c r="AA442" s="169">
        <f t="shared" si="254"/>
        <v>0</v>
      </c>
      <c r="AB442" s="169">
        <f t="shared" si="254"/>
        <v>0</v>
      </c>
      <c r="AC442" s="169">
        <f t="shared" si="254"/>
        <v>0</v>
      </c>
      <c r="AD442" s="169">
        <f t="shared" si="254"/>
        <v>0</v>
      </c>
      <c r="AE442" s="169">
        <f t="shared" si="254"/>
        <v>0</v>
      </c>
      <c r="AF442" s="169">
        <f t="shared" si="254"/>
        <v>0</v>
      </c>
      <c r="AG442" s="169">
        <f t="shared" si="254"/>
        <v>0</v>
      </c>
      <c r="AH442" s="169">
        <f t="shared" si="254"/>
        <v>0</v>
      </c>
      <c r="AI442" s="169">
        <f t="shared" si="254"/>
        <v>0</v>
      </c>
      <c r="AJ442" s="169">
        <f t="shared" si="254"/>
        <v>0</v>
      </c>
      <c r="AK442" s="169">
        <f t="shared" si="254"/>
        <v>0</v>
      </c>
      <c r="AL442" s="169">
        <f t="shared" si="254"/>
        <v>0</v>
      </c>
      <c r="AM442" s="169">
        <f t="shared" si="254"/>
        <v>0</v>
      </c>
      <c r="AN442" s="169">
        <f t="shared" si="254"/>
        <v>0</v>
      </c>
      <c r="AO442" s="169">
        <f t="shared" si="254"/>
        <v>0</v>
      </c>
      <c r="AP442" s="169">
        <f t="shared" si="254"/>
        <v>0</v>
      </c>
    </row>
    <row r="443" spans="1:42" x14ac:dyDescent="0.2">
      <c r="A443" s="101">
        <f>A442+1</f>
        <v>9</v>
      </c>
      <c r="B443" s="179">
        <f t="shared" si="245"/>
        <v>0</v>
      </c>
      <c r="C443" s="208">
        <f t="shared" ref="C443:AP443" si="255">LOOKUP(C431,$B$367:$AP$367,$B$368:$AP$368)*$B728</f>
        <v>0</v>
      </c>
      <c r="D443" s="169">
        <f t="shared" si="255"/>
        <v>0</v>
      </c>
      <c r="E443" s="169">
        <f t="shared" si="255"/>
        <v>0</v>
      </c>
      <c r="F443" s="169">
        <f t="shared" si="255"/>
        <v>0</v>
      </c>
      <c r="G443" s="169">
        <f t="shared" si="255"/>
        <v>0</v>
      </c>
      <c r="H443" s="169">
        <f t="shared" si="255"/>
        <v>0</v>
      </c>
      <c r="I443" s="169">
        <f t="shared" si="255"/>
        <v>0</v>
      </c>
      <c r="J443" s="169">
        <f t="shared" si="255"/>
        <v>0</v>
      </c>
      <c r="K443" s="169">
        <f t="shared" si="255"/>
        <v>0</v>
      </c>
      <c r="L443" s="169">
        <f t="shared" si="255"/>
        <v>0</v>
      </c>
      <c r="M443" s="169">
        <f t="shared" si="255"/>
        <v>0</v>
      </c>
      <c r="N443" s="169">
        <f t="shared" si="255"/>
        <v>0</v>
      </c>
      <c r="O443" s="169">
        <f t="shared" si="255"/>
        <v>0</v>
      </c>
      <c r="P443" s="169">
        <f t="shared" si="255"/>
        <v>0</v>
      </c>
      <c r="Q443" s="169">
        <f t="shared" si="255"/>
        <v>0</v>
      </c>
      <c r="R443" s="169">
        <f t="shared" si="255"/>
        <v>0</v>
      </c>
      <c r="S443" s="169">
        <f t="shared" si="255"/>
        <v>0</v>
      </c>
      <c r="T443" s="169">
        <f t="shared" si="255"/>
        <v>0</v>
      </c>
      <c r="U443" s="169">
        <f t="shared" si="255"/>
        <v>0</v>
      </c>
      <c r="V443" s="169">
        <f t="shared" si="255"/>
        <v>0</v>
      </c>
      <c r="W443" s="169">
        <f t="shared" si="255"/>
        <v>0</v>
      </c>
      <c r="X443" s="169">
        <f t="shared" si="255"/>
        <v>0</v>
      </c>
      <c r="Y443" s="169">
        <f t="shared" si="255"/>
        <v>0</v>
      </c>
      <c r="Z443" s="169">
        <f t="shared" si="255"/>
        <v>0</v>
      </c>
      <c r="AA443" s="169">
        <f t="shared" si="255"/>
        <v>0</v>
      </c>
      <c r="AB443" s="169">
        <f t="shared" si="255"/>
        <v>0</v>
      </c>
      <c r="AC443" s="169">
        <f t="shared" si="255"/>
        <v>0</v>
      </c>
      <c r="AD443" s="169">
        <f t="shared" si="255"/>
        <v>0</v>
      </c>
      <c r="AE443" s="169">
        <f t="shared" si="255"/>
        <v>0</v>
      </c>
      <c r="AF443" s="169">
        <f t="shared" si="255"/>
        <v>0</v>
      </c>
      <c r="AG443" s="169">
        <f t="shared" si="255"/>
        <v>0</v>
      </c>
      <c r="AH443" s="169">
        <f t="shared" si="255"/>
        <v>0</v>
      </c>
      <c r="AI443" s="169">
        <f t="shared" si="255"/>
        <v>0</v>
      </c>
      <c r="AJ443" s="169">
        <f t="shared" si="255"/>
        <v>0</v>
      </c>
      <c r="AK443" s="169">
        <f t="shared" si="255"/>
        <v>0</v>
      </c>
      <c r="AL443" s="169">
        <f t="shared" si="255"/>
        <v>0</v>
      </c>
      <c r="AM443" s="169">
        <f t="shared" si="255"/>
        <v>0</v>
      </c>
      <c r="AN443" s="169">
        <f t="shared" si="255"/>
        <v>0</v>
      </c>
      <c r="AO443" s="169">
        <f t="shared" si="255"/>
        <v>0</v>
      </c>
      <c r="AP443" s="169">
        <f t="shared" si="255"/>
        <v>0</v>
      </c>
    </row>
    <row r="444" spans="1:42" x14ac:dyDescent="0.2">
      <c r="A444" s="101">
        <f t="shared" si="248"/>
        <v>10</v>
      </c>
      <c r="B444" s="179">
        <f t="shared" si="245"/>
        <v>0</v>
      </c>
      <c r="C444" s="204">
        <f t="shared" ref="C444:AP444" si="256">LOOKUP(C432,$B$367:$AP$367,$B$368:$AP$368)*$B729</f>
        <v>0</v>
      </c>
      <c r="D444" s="170">
        <f t="shared" si="256"/>
        <v>0</v>
      </c>
      <c r="E444" s="170">
        <f t="shared" si="256"/>
        <v>0</v>
      </c>
      <c r="F444" s="170">
        <f t="shared" si="256"/>
        <v>0</v>
      </c>
      <c r="G444" s="170">
        <f t="shared" si="256"/>
        <v>0</v>
      </c>
      <c r="H444" s="170">
        <f t="shared" si="256"/>
        <v>0</v>
      </c>
      <c r="I444" s="170">
        <f t="shared" si="256"/>
        <v>0</v>
      </c>
      <c r="J444" s="170">
        <f t="shared" si="256"/>
        <v>0</v>
      </c>
      <c r="K444" s="170">
        <f t="shared" si="256"/>
        <v>0</v>
      </c>
      <c r="L444" s="170">
        <f t="shared" si="256"/>
        <v>0</v>
      </c>
      <c r="M444" s="170">
        <f t="shared" si="256"/>
        <v>0</v>
      </c>
      <c r="N444" s="170">
        <f t="shared" si="256"/>
        <v>0</v>
      </c>
      <c r="O444" s="170">
        <f t="shared" si="256"/>
        <v>0</v>
      </c>
      <c r="P444" s="170">
        <f t="shared" si="256"/>
        <v>0</v>
      </c>
      <c r="Q444" s="170">
        <f t="shared" si="256"/>
        <v>0</v>
      </c>
      <c r="R444" s="170">
        <f t="shared" si="256"/>
        <v>0</v>
      </c>
      <c r="S444" s="170">
        <f t="shared" si="256"/>
        <v>0</v>
      </c>
      <c r="T444" s="170">
        <f t="shared" si="256"/>
        <v>0</v>
      </c>
      <c r="U444" s="170">
        <f t="shared" si="256"/>
        <v>0</v>
      </c>
      <c r="V444" s="170">
        <f t="shared" si="256"/>
        <v>0</v>
      </c>
      <c r="W444" s="170">
        <f t="shared" si="256"/>
        <v>0</v>
      </c>
      <c r="X444" s="170">
        <f t="shared" si="256"/>
        <v>0</v>
      </c>
      <c r="Y444" s="170">
        <f t="shared" si="256"/>
        <v>0</v>
      </c>
      <c r="Z444" s="170">
        <f t="shared" si="256"/>
        <v>0</v>
      </c>
      <c r="AA444" s="170">
        <f t="shared" si="256"/>
        <v>0</v>
      </c>
      <c r="AB444" s="170">
        <f t="shared" si="256"/>
        <v>0</v>
      </c>
      <c r="AC444" s="170">
        <f t="shared" si="256"/>
        <v>0</v>
      </c>
      <c r="AD444" s="170">
        <f t="shared" si="256"/>
        <v>0</v>
      </c>
      <c r="AE444" s="170">
        <f t="shared" si="256"/>
        <v>0</v>
      </c>
      <c r="AF444" s="170">
        <f t="shared" si="256"/>
        <v>0</v>
      </c>
      <c r="AG444" s="170">
        <f t="shared" si="256"/>
        <v>0</v>
      </c>
      <c r="AH444" s="170">
        <f t="shared" si="256"/>
        <v>0</v>
      </c>
      <c r="AI444" s="170">
        <f t="shared" si="256"/>
        <v>0</v>
      </c>
      <c r="AJ444" s="170">
        <f t="shared" si="256"/>
        <v>0</v>
      </c>
      <c r="AK444" s="170">
        <f t="shared" si="256"/>
        <v>0</v>
      </c>
      <c r="AL444" s="170">
        <f t="shared" si="256"/>
        <v>0</v>
      </c>
      <c r="AM444" s="170">
        <f t="shared" si="256"/>
        <v>0</v>
      </c>
      <c r="AN444" s="170">
        <f t="shared" si="256"/>
        <v>0</v>
      </c>
      <c r="AO444" s="170">
        <f t="shared" si="256"/>
        <v>0</v>
      </c>
      <c r="AP444" s="170">
        <f t="shared" si="256"/>
        <v>0</v>
      </c>
    </row>
    <row r="445" spans="1:42" s="101" customFormat="1" ht="12" customHeight="1" x14ac:dyDescent="0.2">
      <c r="A445" s="205" t="s">
        <v>53</v>
      </c>
      <c r="B445" s="124"/>
      <c r="C445" s="124">
        <f>SUM(C435:C444)</f>
        <v>0</v>
      </c>
      <c r="D445" s="124">
        <f t="shared" ref="D445:AP445" si="257">SUM(D435:D444)</f>
        <v>0</v>
      </c>
      <c r="E445" s="124">
        <f t="shared" si="257"/>
        <v>0</v>
      </c>
      <c r="F445" s="124">
        <f t="shared" si="257"/>
        <v>0</v>
      </c>
      <c r="G445" s="124">
        <f t="shared" si="257"/>
        <v>0</v>
      </c>
      <c r="H445" s="124">
        <f t="shared" si="257"/>
        <v>0</v>
      </c>
      <c r="I445" s="124">
        <f t="shared" si="257"/>
        <v>0</v>
      </c>
      <c r="J445" s="124">
        <f t="shared" si="257"/>
        <v>0</v>
      </c>
      <c r="K445" s="124">
        <f t="shared" si="257"/>
        <v>0</v>
      </c>
      <c r="L445" s="124">
        <f t="shared" si="257"/>
        <v>0</v>
      </c>
      <c r="M445" s="124">
        <f t="shared" si="257"/>
        <v>0</v>
      </c>
      <c r="N445" s="124">
        <f t="shared" si="257"/>
        <v>0</v>
      </c>
      <c r="O445" s="124">
        <f t="shared" si="257"/>
        <v>0</v>
      </c>
      <c r="P445" s="124">
        <f t="shared" si="257"/>
        <v>0</v>
      </c>
      <c r="Q445" s="124">
        <f t="shared" si="257"/>
        <v>0</v>
      </c>
      <c r="R445" s="124">
        <f t="shared" si="257"/>
        <v>0</v>
      </c>
      <c r="S445" s="124">
        <f t="shared" si="257"/>
        <v>0</v>
      </c>
      <c r="T445" s="124">
        <f t="shared" si="257"/>
        <v>0</v>
      </c>
      <c r="U445" s="124">
        <f t="shared" si="257"/>
        <v>0</v>
      </c>
      <c r="V445" s="124">
        <f t="shared" si="257"/>
        <v>0</v>
      </c>
      <c r="W445" s="124">
        <f t="shared" si="257"/>
        <v>0</v>
      </c>
      <c r="X445" s="124">
        <f t="shared" si="257"/>
        <v>0</v>
      </c>
      <c r="Y445" s="124">
        <f t="shared" si="257"/>
        <v>0</v>
      </c>
      <c r="Z445" s="124">
        <f t="shared" si="257"/>
        <v>0</v>
      </c>
      <c r="AA445" s="124">
        <f t="shared" si="257"/>
        <v>0</v>
      </c>
      <c r="AB445" s="124">
        <f t="shared" si="257"/>
        <v>0</v>
      </c>
      <c r="AC445" s="124">
        <f t="shared" si="257"/>
        <v>0</v>
      </c>
      <c r="AD445" s="124">
        <f t="shared" si="257"/>
        <v>0</v>
      </c>
      <c r="AE445" s="124">
        <f t="shared" si="257"/>
        <v>0</v>
      </c>
      <c r="AF445" s="124">
        <f t="shared" si="257"/>
        <v>0</v>
      </c>
      <c r="AG445" s="124">
        <f t="shared" si="257"/>
        <v>0</v>
      </c>
      <c r="AH445" s="124">
        <f t="shared" si="257"/>
        <v>0</v>
      </c>
      <c r="AI445" s="124">
        <f t="shared" si="257"/>
        <v>0</v>
      </c>
      <c r="AJ445" s="124">
        <f t="shared" si="257"/>
        <v>0</v>
      </c>
      <c r="AK445" s="124">
        <f t="shared" si="257"/>
        <v>0</v>
      </c>
      <c r="AL445" s="124">
        <f t="shared" si="257"/>
        <v>0</v>
      </c>
      <c r="AM445" s="124">
        <f t="shared" si="257"/>
        <v>0</v>
      </c>
      <c r="AN445" s="124">
        <f t="shared" si="257"/>
        <v>0</v>
      </c>
      <c r="AO445" s="124">
        <f t="shared" si="257"/>
        <v>0</v>
      </c>
      <c r="AP445" s="124">
        <f t="shared" si="257"/>
        <v>0</v>
      </c>
    </row>
    <row r="446" spans="1:42" x14ac:dyDescent="0.2">
      <c r="A446" s="187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</row>
    <row r="447" spans="1:42" x14ac:dyDescent="0.2">
      <c r="A447" s="178" t="s">
        <v>395</v>
      </c>
    </row>
    <row r="448" spans="1:42" x14ac:dyDescent="0.2">
      <c r="A448" s="101" t="s">
        <v>82</v>
      </c>
      <c r="G448" s="267" t="s">
        <v>153</v>
      </c>
      <c r="H448" s="268"/>
      <c r="I448" s="268"/>
      <c r="J448" s="269"/>
      <c r="K448" s="209" t="s">
        <v>154</v>
      </c>
      <c r="L448" s="210"/>
    </row>
    <row r="449" spans="1:17" ht="51" x14ac:dyDescent="0.2">
      <c r="A449" s="101"/>
      <c r="B449" s="112" t="s">
        <v>143</v>
      </c>
      <c r="C449" s="112" t="s">
        <v>139</v>
      </c>
      <c r="D449" s="112" t="s">
        <v>141</v>
      </c>
      <c r="E449" s="189" t="s">
        <v>142</v>
      </c>
      <c r="F449" s="112" t="s">
        <v>144</v>
      </c>
      <c r="G449" s="112" t="s">
        <v>148</v>
      </c>
      <c r="H449" s="112" t="s">
        <v>150</v>
      </c>
      <c r="I449" s="112" t="s">
        <v>149</v>
      </c>
      <c r="J449" s="112" t="s">
        <v>151</v>
      </c>
      <c r="K449" s="211" t="s">
        <v>34</v>
      </c>
      <c r="L449" s="112" t="s">
        <v>151</v>
      </c>
      <c r="M449" s="190" t="s">
        <v>155</v>
      </c>
      <c r="N449" s="190" t="s">
        <v>156</v>
      </c>
      <c r="O449" s="112" t="s">
        <v>145</v>
      </c>
      <c r="P449" s="191" t="s">
        <v>268</v>
      </c>
      <c r="Q449" s="112" t="s">
        <v>273</v>
      </c>
    </row>
    <row r="450" spans="1:17" s="101" customFormat="1" x14ac:dyDescent="0.2">
      <c r="A450" s="234" t="str">
        <f>A316</f>
        <v>5-yr MACRS</v>
      </c>
      <c r="B450" s="324">
        <f>C450/$C$457</f>
        <v>0.95</v>
      </c>
      <c r="C450" s="124">
        <f>'Inputs &amp; Results'!D254</f>
        <v>41049590.962499999</v>
      </c>
      <c r="D450" s="124">
        <f>IF(FedBasisReduction="5-Yr MACRS",D457,$B450*D$457)</f>
        <v>0</v>
      </c>
      <c r="E450" s="124">
        <f>IF(FedBasisReduction="5-Yr MACRS",E457,$B450*E$457)</f>
        <v>0</v>
      </c>
      <c r="F450" s="206">
        <f>C450-D450-E450</f>
        <v>41049590.962499999</v>
      </c>
      <c r="G450" s="325">
        <f>IF('Inputs &amp; Results'!B292="Yes",F450,0)</f>
        <v>41049590.962499999</v>
      </c>
      <c r="H450" s="369">
        <f>IF($G$457=0,0,G450/$G$457)</f>
        <v>1</v>
      </c>
      <c r="I450" s="326">
        <f t="shared" ref="I450:I455" si="258">$I$457*H450</f>
        <v>12314877.288749998</v>
      </c>
      <c r="J450" s="327">
        <f>I450*0.5</f>
        <v>6157438.6443749992</v>
      </c>
      <c r="K450" s="328">
        <f t="shared" ref="K450:K455" si="259">H450*$K$457</f>
        <v>0</v>
      </c>
      <c r="L450" s="327">
        <f>K450*0.5</f>
        <v>0</v>
      </c>
      <c r="M450" s="124">
        <f t="shared" ref="M450:M455" si="260">IF(ITCStateFixedFedDeprec="Yes",L316,0)+IF(ITCStatePercentFedDeprec="Yes",J316,0)</f>
        <v>0</v>
      </c>
      <c r="N450" s="124">
        <f t="shared" ref="N450:N455" si="261">IF(ITCFedFixedFedDeprec="Yes",L450,0)+IF(ITCFedPercentFedDeprec="Yes",J450,0)</f>
        <v>6157438.6443749992</v>
      </c>
      <c r="O450" s="329">
        <f t="shared" ref="O450:O455" si="262">F450-M450-N450</f>
        <v>34892152.318125002</v>
      </c>
      <c r="P450" s="124">
        <f>IF('Inputs &amp; Results'!B275="Yes",O450*FedBonusDeprec,0)</f>
        <v>0</v>
      </c>
      <c r="Q450" s="206">
        <f>O450-P450</f>
        <v>34892152.318125002</v>
      </c>
    </row>
    <row r="451" spans="1:17" s="101" customFormat="1" x14ac:dyDescent="0.2">
      <c r="A451" s="234" t="str">
        <f t="shared" ref="A451:A455" si="263">A317</f>
        <v>15-yr MACRS</v>
      </c>
      <c r="B451" s="324">
        <f t="shared" ref="B451:B455" si="264">C451/$C$457</f>
        <v>1.5000000000000001E-2</v>
      </c>
      <c r="C451" s="124">
        <f>'Inputs &amp; Results'!D255</f>
        <v>648151.43625000003</v>
      </c>
      <c r="D451" s="124">
        <f t="shared" ref="D451:E455" si="265">IF(FedBasisReduction="5-Yr MACRS",0,$B451*D$457)</f>
        <v>0</v>
      </c>
      <c r="E451" s="124">
        <f t="shared" si="265"/>
        <v>0</v>
      </c>
      <c r="F451" s="206">
        <f t="shared" ref="F451:F455" si="266">C451-D451-E451</f>
        <v>648151.43625000003</v>
      </c>
      <c r="G451" s="328">
        <f>IF('Inputs &amp; Results'!B293="Yes",F451,0)</f>
        <v>0</v>
      </c>
      <c r="H451" s="370">
        <f t="shared" ref="H451:H455" si="267">IF($G$457=0,0,G451/$G$457)</f>
        <v>0</v>
      </c>
      <c r="I451" s="124">
        <f t="shared" si="258"/>
        <v>0</v>
      </c>
      <c r="J451" s="300">
        <f t="shared" ref="J451:J455" si="268">I451*0.5</f>
        <v>0</v>
      </c>
      <c r="K451" s="328">
        <f t="shared" si="259"/>
        <v>0</v>
      </c>
      <c r="L451" s="300">
        <f t="shared" ref="L451:L455" si="269">K451*0.5</f>
        <v>0</v>
      </c>
      <c r="M451" s="124">
        <f t="shared" si="260"/>
        <v>0</v>
      </c>
      <c r="N451" s="124">
        <f t="shared" si="261"/>
        <v>0</v>
      </c>
      <c r="O451" s="206">
        <f t="shared" si="262"/>
        <v>648151.43625000003</v>
      </c>
      <c r="P451" s="124">
        <f>IF('Inputs &amp; Results'!B276="Yes",O451*FedBonusDeprec,0)</f>
        <v>0</v>
      </c>
      <c r="Q451" s="206">
        <f t="shared" ref="Q451:Q455" si="270">O451-P451</f>
        <v>648151.43625000003</v>
      </c>
    </row>
    <row r="452" spans="1:17" s="101" customFormat="1" x14ac:dyDescent="0.2">
      <c r="A452" s="234" t="str">
        <f t="shared" si="263"/>
        <v>5-yr SL</v>
      </c>
      <c r="B452" s="324">
        <f t="shared" si="264"/>
        <v>0</v>
      </c>
      <c r="C452" s="124">
        <f>'Inputs &amp; Results'!D256</f>
        <v>0</v>
      </c>
      <c r="D452" s="124">
        <f t="shared" si="265"/>
        <v>0</v>
      </c>
      <c r="E452" s="124">
        <f t="shared" si="265"/>
        <v>0</v>
      </c>
      <c r="F452" s="206">
        <f t="shared" si="266"/>
        <v>0</v>
      </c>
      <c r="G452" s="328">
        <f>IF('Inputs &amp; Results'!B294="Yes",F452,0)</f>
        <v>0</v>
      </c>
      <c r="H452" s="370">
        <f t="shared" si="267"/>
        <v>0</v>
      </c>
      <c r="I452" s="124">
        <f t="shared" si="258"/>
        <v>0</v>
      </c>
      <c r="J452" s="300">
        <f t="shared" si="268"/>
        <v>0</v>
      </c>
      <c r="K452" s="328">
        <f t="shared" si="259"/>
        <v>0</v>
      </c>
      <c r="L452" s="300">
        <f t="shared" si="269"/>
        <v>0</v>
      </c>
      <c r="M452" s="124">
        <f t="shared" si="260"/>
        <v>0</v>
      </c>
      <c r="N452" s="124">
        <f t="shared" si="261"/>
        <v>0</v>
      </c>
      <c r="O452" s="206">
        <f t="shared" si="262"/>
        <v>0</v>
      </c>
      <c r="P452" s="124">
        <f>IF('Inputs &amp; Results'!B277="Yes",O452*FedBonusDeprec,0)</f>
        <v>0</v>
      </c>
      <c r="Q452" s="206">
        <f t="shared" si="270"/>
        <v>0</v>
      </c>
    </row>
    <row r="453" spans="1:17" s="101" customFormat="1" x14ac:dyDescent="0.2">
      <c r="A453" s="234" t="str">
        <f t="shared" si="263"/>
        <v>15-yr SL</v>
      </c>
      <c r="B453" s="324">
        <f t="shared" si="264"/>
        <v>1.5000000000000001E-2</v>
      </c>
      <c r="C453" s="124">
        <f>'Inputs &amp; Results'!D257</f>
        <v>648151.43625000003</v>
      </c>
      <c r="D453" s="124">
        <f t="shared" si="265"/>
        <v>0</v>
      </c>
      <c r="E453" s="124">
        <f t="shared" si="265"/>
        <v>0</v>
      </c>
      <c r="F453" s="206">
        <f t="shared" si="266"/>
        <v>648151.43625000003</v>
      </c>
      <c r="G453" s="328">
        <f>IF('Inputs &amp; Results'!B295="Yes",F453,0)</f>
        <v>0</v>
      </c>
      <c r="H453" s="370">
        <f t="shared" si="267"/>
        <v>0</v>
      </c>
      <c r="I453" s="124">
        <f t="shared" si="258"/>
        <v>0</v>
      </c>
      <c r="J453" s="300">
        <f t="shared" si="268"/>
        <v>0</v>
      </c>
      <c r="K453" s="328">
        <f t="shared" si="259"/>
        <v>0</v>
      </c>
      <c r="L453" s="300">
        <f t="shared" si="269"/>
        <v>0</v>
      </c>
      <c r="M453" s="124">
        <f t="shared" si="260"/>
        <v>0</v>
      </c>
      <c r="N453" s="124">
        <f t="shared" si="261"/>
        <v>0</v>
      </c>
      <c r="O453" s="206">
        <f t="shared" si="262"/>
        <v>648151.43625000003</v>
      </c>
      <c r="P453" s="124">
        <f>IF('Inputs &amp; Results'!B278="Yes",O453*FedBonusDeprec,0)</f>
        <v>0</v>
      </c>
      <c r="Q453" s="206">
        <f t="shared" si="270"/>
        <v>648151.43625000003</v>
      </c>
    </row>
    <row r="454" spans="1:17" s="101" customFormat="1" x14ac:dyDescent="0.2">
      <c r="A454" s="234" t="str">
        <f t="shared" si="263"/>
        <v>20-yr SL</v>
      </c>
      <c r="B454" s="324">
        <f t="shared" si="264"/>
        <v>1.5000000000000001E-2</v>
      </c>
      <c r="C454" s="124">
        <f>'Inputs &amp; Results'!D258</f>
        <v>648151.43625000003</v>
      </c>
      <c r="D454" s="124">
        <f t="shared" si="265"/>
        <v>0</v>
      </c>
      <c r="E454" s="124">
        <f t="shared" si="265"/>
        <v>0</v>
      </c>
      <c r="F454" s="206">
        <f t="shared" si="266"/>
        <v>648151.43625000003</v>
      </c>
      <c r="G454" s="328">
        <f>IF('Inputs &amp; Results'!B296="Yes",F454,0)</f>
        <v>0</v>
      </c>
      <c r="H454" s="370">
        <f t="shared" si="267"/>
        <v>0</v>
      </c>
      <c r="I454" s="124">
        <f t="shared" si="258"/>
        <v>0</v>
      </c>
      <c r="J454" s="300">
        <f t="shared" si="268"/>
        <v>0</v>
      </c>
      <c r="K454" s="328">
        <f t="shared" si="259"/>
        <v>0</v>
      </c>
      <c r="L454" s="300">
        <f t="shared" si="269"/>
        <v>0</v>
      </c>
      <c r="M454" s="124">
        <f t="shared" si="260"/>
        <v>0</v>
      </c>
      <c r="N454" s="124">
        <f t="shared" si="261"/>
        <v>0</v>
      </c>
      <c r="O454" s="206">
        <f t="shared" si="262"/>
        <v>648151.43625000003</v>
      </c>
      <c r="P454" s="124">
        <f>IF('Inputs &amp; Results'!B279="Yes",O454*FedBonusDeprec,0)</f>
        <v>0</v>
      </c>
      <c r="Q454" s="206">
        <f t="shared" si="270"/>
        <v>648151.43625000003</v>
      </c>
    </row>
    <row r="455" spans="1:17" s="101" customFormat="1" x14ac:dyDescent="0.2">
      <c r="A455" s="234" t="str">
        <f t="shared" si="263"/>
        <v>39-yr SL</v>
      </c>
      <c r="B455" s="324">
        <f t="shared" si="264"/>
        <v>5.0000000000000001E-3</v>
      </c>
      <c r="C455" s="124">
        <f>'Inputs &amp; Results'!D259</f>
        <v>216050.47875000001</v>
      </c>
      <c r="D455" s="124">
        <f t="shared" si="265"/>
        <v>0</v>
      </c>
      <c r="E455" s="124">
        <f t="shared" si="265"/>
        <v>0</v>
      </c>
      <c r="F455" s="206">
        <f t="shared" si="266"/>
        <v>216050.47875000001</v>
      </c>
      <c r="G455" s="328">
        <f>IF('Inputs &amp; Results'!B297="Yes",F455,0)</f>
        <v>0</v>
      </c>
      <c r="H455" s="370">
        <f t="shared" si="267"/>
        <v>0</v>
      </c>
      <c r="I455" s="124">
        <f t="shared" si="258"/>
        <v>0</v>
      </c>
      <c r="J455" s="300">
        <f t="shared" si="268"/>
        <v>0</v>
      </c>
      <c r="K455" s="328">
        <f t="shared" si="259"/>
        <v>0</v>
      </c>
      <c r="L455" s="300">
        <f t="shared" si="269"/>
        <v>0</v>
      </c>
      <c r="M455" s="124">
        <f t="shared" si="260"/>
        <v>0</v>
      </c>
      <c r="N455" s="124">
        <f t="shared" si="261"/>
        <v>0</v>
      </c>
      <c r="O455" s="206">
        <f t="shared" si="262"/>
        <v>216050.47875000001</v>
      </c>
      <c r="P455" s="124">
        <f>IF('Inputs &amp; Results'!B280="Yes",O455*FedBonusDeprec,0)</f>
        <v>0</v>
      </c>
      <c r="Q455" s="206">
        <f t="shared" si="270"/>
        <v>216050.47875000001</v>
      </c>
    </row>
    <row r="456" spans="1:17" x14ac:dyDescent="0.2">
      <c r="A456" s="238" t="s">
        <v>311</v>
      </c>
      <c r="B456" s="192"/>
      <c r="C456" s="193"/>
      <c r="D456" s="194"/>
      <c r="E456" s="194"/>
      <c r="F456" s="86"/>
      <c r="G456" s="192"/>
      <c r="H456" s="213"/>
      <c r="I456" s="213"/>
      <c r="J456" s="270"/>
      <c r="K456" s="192"/>
      <c r="L456" s="270"/>
      <c r="M456" s="194"/>
      <c r="N456" s="194"/>
      <c r="O456" s="86"/>
      <c r="P456" s="194"/>
      <c r="Q456" s="86"/>
    </row>
    <row r="457" spans="1:17" s="101" customFormat="1" x14ac:dyDescent="0.2">
      <c r="B457" s="330">
        <f>SUM(B450:B456)</f>
        <v>1</v>
      </c>
      <c r="C457" s="186">
        <f>SUM(C450:C456)</f>
        <v>43210095.75</v>
      </c>
      <c r="D457" s="186">
        <f>B466+B472</f>
        <v>0</v>
      </c>
      <c r="E457" s="186">
        <f>B478</f>
        <v>0</v>
      </c>
      <c r="F457" s="207">
        <f t="shared" ref="F457:Q457" si="271">SUM(F450:F456)</f>
        <v>43210095.75</v>
      </c>
      <c r="G457" s="207">
        <f>SUM(G450:G456)</f>
        <v>41049590.962499999</v>
      </c>
      <c r="H457" s="331">
        <f>SUM(H450:H456)</f>
        <v>1</v>
      </c>
      <c r="I457" s="207">
        <f>MIN(ITCFedMax,ITCFedPercent*G457)</f>
        <v>12314877.288749998</v>
      </c>
      <c r="J457" s="207">
        <f>SUM(J450:J456)</f>
        <v>6157438.6443749992</v>
      </c>
      <c r="K457" s="207">
        <f>ITCFedFixed</f>
        <v>0</v>
      </c>
      <c r="L457" s="207">
        <f>SUM(L450:L456)</f>
        <v>0</v>
      </c>
      <c r="M457" s="186">
        <f t="shared" si="271"/>
        <v>0</v>
      </c>
      <c r="N457" s="186">
        <f t="shared" si="271"/>
        <v>6157438.6443749992</v>
      </c>
      <c r="O457" s="207">
        <f t="shared" si="271"/>
        <v>37052657.105625004</v>
      </c>
      <c r="P457" s="207">
        <f t="shared" si="271"/>
        <v>0</v>
      </c>
      <c r="Q457" s="207">
        <f t="shared" si="271"/>
        <v>37052657.105625004</v>
      </c>
    </row>
    <row r="458" spans="1:17" x14ac:dyDescent="0.2">
      <c r="A458" s="101"/>
    </row>
    <row r="459" spans="1:17" x14ac:dyDescent="0.2">
      <c r="A459" s="101" t="s">
        <v>152</v>
      </c>
    </row>
    <row r="460" spans="1:17" x14ac:dyDescent="0.2">
      <c r="A460" s="234" t="str">
        <f>A326</f>
        <v>Investment Based Incentive (IBI)</v>
      </c>
    </row>
    <row r="461" spans="1:17" x14ac:dyDescent="0.2">
      <c r="A461" s="235" t="str">
        <f t="shared" ref="A461:A479" si="272">A327</f>
        <v>Fixed Amount ($)</v>
      </c>
    </row>
    <row r="462" spans="1:17" x14ac:dyDescent="0.2">
      <c r="A462" s="236" t="str">
        <f t="shared" si="272"/>
        <v>Federal</v>
      </c>
      <c r="B462" s="135">
        <f>IF(IBIFedFixedFedDeprec="Yes",IBIFedFixed,0)</f>
        <v>0</v>
      </c>
    </row>
    <row r="463" spans="1:17" x14ac:dyDescent="0.2">
      <c r="A463" s="236" t="str">
        <f t="shared" si="272"/>
        <v>State</v>
      </c>
      <c r="B463" s="135">
        <f>IF(IBIStateFixedFedDeprec="Yes",IBIStateFixed,0)</f>
        <v>0</v>
      </c>
    </row>
    <row r="464" spans="1:17" x14ac:dyDescent="0.2">
      <c r="A464" s="236" t="str">
        <f t="shared" si="272"/>
        <v>Utility</v>
      </c>
      <c r="B464" s="135">
        <f>IF(IBIUtilityFixedFedDeprec="Yes",IBIUtilityFixed,0)</f>
        <v>0</v>
      </c>
    </row>
    <row r="465" spans="1:2" x14ac:dyDescent="0.2">
      <c r="A465" s="236" t="str">
        <f t="shared" si="272"/>
        <v>Other</v>
      </c>
      <c r="B465" s="170">
        <f>IF(IBIOtherFixedFedDeprec="Yes",IBIOtherFixed,0)</f>
        <v>0</v>
      </c>
    </row>
    <row r="466" spans="1:2" x14ac:dyDescent="0.2">
      <c r="A466" s="236" t="str">
        <f t="shared" si="272"/>
        <v>Total</v>
      </c>
      <c r="B466" s="135">
        <f>SUM(B462:B465)</f>
        <v>0</v>
      </c>
    </row>
    <row r="467" spans="1:2" x14ac:dyDescent="0.2">
      <c r="A467" s="235" t="str">
        <f t="shared" si="272"/>
        <v>Percentage of Pre-Financing Costs</v>
      </c>
    </row>
    <row r="468" spans="1:2" x14ac:dyDescent="0.2">
      <c r="A468" s="236" t="str">
        <f t="shared" si="272"/>
        <v>Federal</v>
      </c>
      <c r="B468" s="135">
        <f>IF(IBIFedPercentFedDeprec="Yes",IBIFedPercent,0)</f>
        <v>0</v>
      </c>
    </row>
    <row r="469" spans="1:2" x14ac:dyDescent="0.2">
      <c r="A469" s="236" t="str">
        <f t="shared" si="272"/>
        <v>State</v>
      </c>
      <c r="B469" s="135">
        <f>IF(IBIStatePercentFedDeprec="Yes",IBIStatePercent,0)</f>
        <v>0</v>
      </c>
    </row>
    <row r="470" spans="1:2" x14ac:dyDescent="0.2">
      <c r="A470" s="236" t="str">
        <f t="shared" si="272"/>
        <v>Utility</v>
      </c>
      <c r="B470" s="135">
        <f>IF(IBIUtilityPercentFedDeprec="Yes",IBIUtilityPercent,0)</f>
        <v>0</v>
      </c>
    </row>
    <row r="471" spans="1:2" x14ac:dyDescent="0.2">
      <c r="A471" s="236" t="str">
        <f t="shared" si="272"/>
        <v>Other</v>
      </c>
      <c r="B471" s="170">
        <f>IF(IBIOtherPercentFedDeprec="Yes",IBIOtherPercent,0)</f>
        <v>0</v>
      </c>
    </row>
    <row r="472" spans="1:2" x14ac:dyDescent="0.2">
      <c r="A472" s="236" t="str">
        <f t="shared" si="272"/>
        <v>Total</v>
      </c>
      <c r="B472" s="135">
        <f>SUM(B468:B471)</f>
        <v>0</v>
      </c>
    </row>
    <row r="473" spans="1:2" x14ac:dyDescent="0.2">
      <c r="A473" s="234" t="str">
        <f t="shared" si="272"/>
        <v>Capacity Based Incentive (CBI)</v>
      </c>
    </row>
    <row r="474" spans="1:2" x14ac:dyDescent="0.2">
      <c r="A474" s="235" t="str">
        <f t="shared" si="272"/>
        <v>Federal</v>
      </c>
      <c r="B474" s="135">
        <f>IF(CBIFedFedDeprec="Yes",CBIFed,0)</f>
        <v>0</v>
      </c>
    </row>
    <row r="475" spans="1:2" x14ac:dyDescent="0.2">
      <c r="A475" s="235" t="str">
        <f t="shared" si="272"/>
        <v>State</v>
      </c>
      <c r="B475" s="135">
        <f>IF(CBIStateFedDeprec="Yes",CBIState,0)</f>
        <v>0</v>
      </c>
    </row>
    <row r="476" spans="1:2" x14ac:dyDescent="0.2">
      <c r="A476" s="235" t="str">
        <f t="shared" si="272"/>
        <v>Utility</v>
      </c>
      <c r="B476" s="135">
        <f>IF(CBIUtilityFedDeprec="Yes",CBIUtility,0)</f>
        <v>0</v>
      </c>
    </row>
    <row r="477" spans="1:2" x14ac:dyDescent="0.2">
      <c r="A477" s="235" t="str">
        <f t="shared" si="272"/>
        <v>Other</v>
      </c>
      <c r="B477" s="170">
        <f>IF(CBIOtherFedDeprec="Yes",CBIOther,0)</f>
        <v>0</v>
      </c>
    </row>
    <row r="478" spans="1:2" x14ac:dyDescent="0.2">
      <c r="A478" s="235" t="str">
        <f t="shared" si="272"/>
        <v>Total</v>
      </c>
      <c r="B478" s="177">
        <f>SUM(B474:B477)</f>
        <v>0</v>
      </c>
    </row>
    <row r="479" spans="1:2" x14ac:dyDescent="0.2">
      <c r="A479" s="234" t="str">
        <f t="shared" si="272"/>
        <v>Total Basis Reduction</v>
      </c>
      <c r="B479" s="135">
        <f>B466+B472+B478</f>
        <v>0</v>
      </c>
    </row>
    <row r="480" spans="1:2" x14ac:dyDescent="0.2">
      <c r="A480" s="101"/>
    </row>
    <row r="481" spans="1:42" x14ac:dyDescent="0.2">
      <c r="A481" s="101" t="s">
        <v>236</v>
      </c>
    </row>
    <row r="482" spans="1:42" x14ac:dyDescent="0.2">
      <c r="A482" s="234" t="s">
        <v>146</v>
      </c>
    </row>
    <row r="483" spans="1:42" x14ac:dyDescent="0.2">
      <c r="A483" s="188" t="str">
        <f>A450</f>
        <v>5-yr MACRS</v>
      </c>
      <c r="B483" s="197">
        <f>SUM(C483:AP483)</f>
        <v>0.99999999999999989</v>
      </c>
      <c r="C483" s="198">
        <f>LOOKUP(C$2,'Depreciation Schedules'!$A$3:$A$42,'Depreciation Schedules'!$B$3:$B$42)</f>
        <v>0.2</v>
      </c>
      <c r="D483" s="198">
        <f>LOOKUP(D$2,'Depreciation Schedules'!$A$3:$A$42,'Depreciation Schedules'!$B$3:$B$42)</f>
        <v>0.32</v>
      </c>
      <c r="E483" s="198">
        <f>LOOKUP(E$2,'Depreciation Schedules'!$A$3:$A$42,'Depreciation Schedules'!$B$3:$B$42)</f>
        <v>0.192</v>
      </c>
      <c r="F483" s="198">
        <f>LOOKUP(F$2,'Depreciation Schedules'!$A$3:$A$42,'Depreciation Schedules'!$B$3:$B$42)</f>
        <v>0.1152</v>
      </c>
      <c r="G483" s="198">
        <f>LOOKUP(G$2,'Depreciation Schedules'!$A$3:$A$42,'Depreciation Schedules'!$B$3:$B$42)</f>
        <v>0.1152</v>
      </c>
      <c r="H483" s="198">
        <f>LOOKUP(H$2,'Depreciation Schedules'!$A$3:$A$42,'Depreciation Schedules'!$B$3:$B$42)</f>
        <v>5.7599999999999998E-2</v>
      </c>
      <c r="I483" s="198">
        <f>LOOKUP(I$2,'Depreciation Schedules'!$A$3:$A$42,'Depreciation Schedules'!$B$3:$B$42)</f>
        <v>0</v>
      </c>
      <c r="J483" s="198">
        <f>LOOKUP(J$2,'Depreciation Schedules'!$A$3:$A$42,'Depreciation Schedules'!$B$3:$B$42)</f>
        <v>0</v>
      </c>
      <c r="K483" s="198">
        <f>LOOKUP(K$2,'Depreciation Schedules'!$A$3:$A$42,'Depreciation Schedules'!$B$3:$B$42)</f>
        <v>0</v>
      </c>
      <c r="L483" s="198">
        <f>LOOKUP(L$2,'Depreciation Schedules'!$A$3:$A$42,'Depreciation Schedules'!$B$3:$B$42)</f>
        <v>0</v>
      </c>
      <c r="M483" s="198">
        <f>LOOKUP(M$2,'Depreciation Schedules'!$A$3:$A$42,'Depreciation Schedules'!$B$3:$B$42)</f>
        <v>0</v>
      </c>
      <c r="N483" s="198">
        <f>LOOKUP(N$2,'Depreciation Schedules'!$A$3:$A$42,'Depreciation Schedules'!$B$3:$B$42)</f>
        <v>0</v>
      </c>
      <c r="O483" s="198">
        <f>LOOKUP(O$2,'Depreciation Schedules'!$A$3:$A$42,'Depreciation Schedules'!$B$3:$B$42)</f>
        <v>0</v>
      </c>
      <c r="P483" s="198">
        <f>LOOKUP(P$2,'Depreciation Schedules'!$A$3:$A$42,'Depreciation Schedules'!$B$3:$B$42)</f>
        <v>0</v>
      </c>
      <c r="Q483" s="198">
        <f>LOOKUP(Q$2,'Depreciation Schedules'!$A$3:$A$42,'Depreciation Schedules'!$B$3:$B$42)</f>
        <v>0</v>
      </c>
      <c r="R483" s="198">
        <f>LOOKUP(R$2,'Depreciation Schedules'!$A$3:$A$42,'Depreciation Schedules'!$B$3:$B$42)</f>
        <v>0</v>
      </c>
      <c r="S483" s="198">
        <f>LOOKUP(S$2,'Depreciation Schedules'!$A$3:$A$42,'Depreciation Schedules'!$B$3:$B$42)</f>
        <v>0</v>
      </c>
      <c r="T483" s="198">
        <f>LOOKUP(T$2,'Depreciation Schedules'!$A$3:$A$42,'Depreciation Schedules'!$B$3:$B$42)</f>
        <v>0</v>
      </c>
      <c r="U483" s="198">
        <f>LOOKUP(U$2,'Depreciation Schedules'!$A$3:$A$42,'Depreciation Schedules'!$B$3:$B$42)</f>
        <v>0</v>
      </c>
      <c r="V483" s="198">
        <f>LOOKUP(V$2,'Depreciation Schedules'!$A$3:$A$42,'Depreciation Schedules'!$B$3:$B$42)</f>
        <v>0</v>
      </c>
      <c r="W483" s="198">
        <f>LOOKUP(W$2,'Depreciation Schedules'!$A$3:$A$42,'Depreciation Schedules'!$B$3:$B$42)</f>
        <v>0</v>
      </c>
      <c r="X483" s="198">
        <f>LOOKUP(X$2,'Depreciation Schedules'!$A$3:$A$42,'Depreciation Schedules'!$B$3:$B$42)</f>
        <v>0</v>
      </c>
      <c r="Y483" s="198">
        <f>LOOKUP(Y$2,'Depreciation Schedules'!$A$3:$A$42,'Depreciation Schedules'!$B$3:$B$42)</f>
        <v>0</v>
      </c>
      <c r="Z483" s="198">
        <f>LOOKUP(Z$2,'Depreciation Schedules'!$A$3:$A$42,'Depreciation Schedules'!$B$3:$B$42)</f>
        <v>0</v>
      </c>
      <c r="AA483" s="198">
        <f>LOOKUP(AA$2,'Depreciation Schedules'!$A$3:$A$42,'Depreciation Schedules'!$B$3:$B$42)</f>
        <v>0</v>
      </c>
      <c r="AB483" s="198">
        <f>LOOKUP(AB$2,'Depreciation Schedules'!$A$3:$A$42,'Depreciation Schedules'!$B$3:$B$42)</f>
        <v>0</v>
      </c>
      <c r="AC483" s="198">
        <f>LOOKUP(AC$2,'Depreciation Schedules'!$A$3:$A$42,'Depreciation Schedules'!$B$3:$B$42)</f>
        <v>0</v>
      </c>
      <c r="AD483" s="198">
        <f>LOOKUP(AD$2,'Depreciation Schedules'!$A$3:$A$42,'Depreciation Schedules'!$B$3:$B$42)</f>
        <v>0</v>
      </c>
      <c r="AE483" s="198">
        <f>LOOKUP(AE$2,'Depreciation Schedules'!$A$3:$A$42,'Depreciation Schedules'!$B$3:$B$42)</f>
        <v>0</v>
      </c>
      <c r="AF483" s="198">
        <f>LOOKUP(AF$2,'Depreciation Schedules'!$A$3:$A$42,'Depreciation Schedules'!$B$3:$B$42)</f>
        <v>0</v>
      </c>
      <c r="AG483" s="198">
        <f>LOOKUP(AG$2,'Depreciation Schedules'!$A$3:$A$42,'Depreciation Schedules'!$B$3:$B$42)</f>
        <v>0</v>
      </c>
      <c r="AH483" s="198">
        <f>LOOKUP(AH$2,'Depreciation Schedules'!$A$3:$A$42,'Depreciation Schedules'!$B$3:$B$42)</f>
        <v>0</v>
      </c>
      <c r="AI483" s="198">
        <f>LOOKUP(AI$2,'Depreciation Schedules'!$A$3:$A$42,'Depreciation Schedules'!$B$3:$B$42)</f>
        <v>0</v>
      </c>
      <c r="AJ483" s="198">
        <f>LOOKUP(AJ$2,'Depreciation Schedules'!$A$3:$A$42,'Depreciation Schedules'!$B$3:$B$42)</f>
        <v>0</v>
      </c>
      <c r="AK483" s="198">
        <f>LOOKUP(AK$2,'Depreciation Schedules'!$A$3:$A$42,'Depreciation Schedules'!$B$3:$B$42)</f>
        <v>0</v>
      </c>
      <c r="AL483" s="198">
        <f>LOOKUP(AL$2,'Depreciation Schedules'!$A$3:$A$42,'Depreciation Schedules'!$B$3:$B$42)</f>
        <v>0</v>
      </c>
      <c r="AM483" s="198">
        <f>LOOKUP(AM$2,'Depreciation Schedules'!$A$3:$A$42,'Depreciation Schedules'!$B$3:$B$42)</f>
        <v>0</v>
      </c>
      <c r="AN483" s="198">
        <f>LOOKUP(AN$2,'Depreciation Schedules'!$A$3:$A$42,'Depreciation Schedules'!$B$3:$B$42)</f>
        <v>0</v>
      </c>
      <c r="AO483" s="198">
        <f>LOOKUP(AO$2,'Depreciation Schedules'!$A$3:$A$42,'Depreciation Schedules'!$B$3:$B$42)</f>
        <v>0</v>
      </c>
      <c r="AP483" s="198">
        <f>LOOKUP(AP$2,'Depreciation Schedules'!$A$3:$A$42,'Depreciation Schedules'!$B$3:$B$42)</f>
        <v>0</v>
      </c>
    </row>
    <row r="484" spans="1:42" x14ac:dyDescent="0.2">
      <c r="A484" s="188" t="str">
        <f t="shared" ref="A484:A488" si="273">A451</f>
        <v>15-yr MACRS</v>
      </c>
      <c r="B484" s="199">
        <f t="shared" ref="B484:B488" si="274">SUM(C484:AP484)</f>
        <v>1.0000000000000002</v>
      </c>
      <c r="C484" s="198">
        <f>LOOKUP(C$2,'Depreciation Schedules'!$A$3:$A$42,'Depreciation Schedules'!$C$3:$C$42)</f>
        <v>0.05</v>
      </c>
      <c r="D484" s="198">
        <f>LOOKUP(D$2,'Depreciation Schedules'!$A$3:$A$42,'Depreciation Schedules'!$C$3:$C$42)</f>
        <v>9.5000000000000001E-2</v>
      </c>
      <c r="E484" s="198">
        <f>LOOKUP(E$2,'Depreciation Schedules'!$A$3:$A$42,'Depreciation Schedules'!$C$3:$C$42)</f>
        <v>8.5500000000000007E-2</v>
      </c>
      <c r="F484" s="198">
        <f>LOOKUP(F$2,'Depreciation Schedules'!$A$3:$A$42,'Depreciation Schedules'!$C$3:$C$42)</f>
        <v>7.6999999999999999E-2</v>
      </c>
      <c r="G484" s="198">
        <f>LOOKUP(G$2,'Depreciation Schedules'!$A$3:$A$42,'Depreciation Schedules'!$C$3:$C$42)</f>
        <v>6.93E-2</v>
      </c>
      <c r="H484" s="198">
        <f>LOOKUP(H$2,'Depreciation Schedules'!$A$3:$A$42,'Depreciation Schedules'!$C$3:$C$42)</f>
        <v>6.2300000000000001E-2</v>
      </c>
      <c r="I484" s="198">
        <f>LOOKUP(I$2,'Depreciation Schedules'!$A$3:$A$42,'Depreciation Schedules'!$C$3:$C$42)</f>
        <v>5.8999999999999997E-2</v>
      </c>
      <c r="J484" s="198">
        <f>LOOKUP(J$2,'Depreciation Schedules'!$A$3:$A$42,'Depreciation Schedules'!$C$3:$C$42)</f>
        <v>5.8999999999999997E-2</v>
      </c>
      <c r="K484" s="198">
        <f>LOOKUP(K$2,'Depreciation Schedules'!$A$3:$A$42,'Depreciation Schedules'!$C$3:$C$42)</f>
        <v>5.91E-2</v>
      </c>
      <c r="L484" s="198">
        <f>LOOKUP(L$2,'Depreciation Schedules'!$A$3:$A$42,'Depreciation Schedules'!$C$3:$C$42)</f>
        <v>5.8999999999999997E-2</v>
      </c>
      <c r="M484" s="198">
        <f>LOOKUP(M$2,'Depreciation Schedules'!$A$3:$A$42,'Depreciation Schedules'!$C$3:$C$42)</f>
        <v>5.91E-2</v>
      </c>
      <c r="N484" s="198">
        <f>LOOKUP(N$2,'Depreciation Schedules'!$A$3:$A$42,'Depreciation Schedules'!$C$3:$C$42)</f>
        <v>5.8999999999999997E-2</v>
      </c>
      <c r="O484" s="198">
        <f>LOOKUP(O$2,'Depreciation Schedules'!$A$3:$A$42,'Depreciation Schedules'!$C$3:$C$42)</f>
        <v>5.91E-2</v>
      </c>
      <c r="P484" s="198">
        <f>LOOKUP(P$2,'Depreciation Schedules'!$A$3:$A$42,'Depreciation Schedules'!$C$3:$C$42)</f>
        <v>5.8999999999999997E-2</v>
      </c>
      <c r="Q484" s="198">
        <f>LOOKUP(Q$2,'Depreciation Schedules'!$A$3:$A$42,'Depreciation Schedules'!$C$3:$C$42)</f>
        <v>5.91E-2</v>
      </c>
      <c r="R484" s="198">
        <f>LOOKUP(R$2,'Depreciation Schedules'!$A$3:$A$42,'Depreciation Schedules'!$C$3:$C$42)</f>
        <v>2.9499999999999998E-2</v>
      </c>
      <c r="S484" s="198">
        <f>LOOKUP(S$2,'Depreciation Schedules'!$A$3:$A$42,'Depreciation Schedules'!$C$3:$C$42)</f>
        <v>0</v>
      </c>
      <c r="T484" s="198">
        <f>LOOKUP(T$2,'Depreciation Schedules'!$A$3:$A$42,'Depreciation Schedules'!$C$3:$C$42)</f>
        <v>0</v>
      </c>
      <c r="U484" s="198">
        <f>LOOKUP(U$2,'Depreciation Schedules'!$A$3:$A$42,'Depreciation Schedules'!$C$3:$C$42)</f>
        <v>0</v>
      </c>
      <c r="V484" s="198">
        <f>LOOKUP(V$2,'Depreciation Schedules'!$A$3:$A$42,'Depreciation Schedules'!$C$3:$C$42)</f>
        <v>0</v>
      </c>
      <c r="W484" s="198">
        <f>LOOKUP(W$2,'Depreciation Schedules'!$A$3:$A$42,'Depreciation Schedules'!$C$3:$C$42)</f>
        <v>0</v>
      </c>
      <c r="X484" s="198">
        <f>LOOKUP(X$2,'Depreciation Schedules'!$A$3:$A$42,'Depreciation Schedules'!$C$3:$C$42)</f>
        <v>0</v>
      </c>
      <c r="Y484" s="198">
        <f>LOOKUP(Y$2,'Depreciation Schedules'!$A$3:$A$42,'Depreciation Schedules'!$C$3:$C$42)</f>
        <v>0</v>
      </c>
      <c r="Z484" s="198">
        <f>LOOKUP(Z$2,'Depreciation Schedules'!$A$3:$A$42,'Depreciation Schedules'!$C$3:$C$42)</f>
        <v>0</v>
      </c>
      <c r="AA484" s="198">
        <f>LOOKUP(AA$2,'Depreciation Schedules'!$A$3:$A$42,'Depreciation Schedules'!$C$3:$C$42)</f>
        <v>0</v>
      </c>
      <c r="AB484" s="198">
        <f>LOOKUP(AB$2,'Depreciation Schedules'!$A$3:$A$42,'Depreciation Schedules'!$C$3:$C$42)</f>
        <v>0</v>
      </c>
      <c r="AC484" s="198">
        <f>LOOKUP(AC$2,'Depreciation Schedules'!$A$3:$A$42,'Depreciation Schedules'!$C$3:$C$42)</f>
        <v>0</v>
      </c>
      <c r="AD484" s="198">
        <f>LOOKUP(AD$2,'Depreciation Schedules'!$A$3:$A$42,'Depreciation Schedules'!$C$3:$C$42)</f>
        <v>0</v>
      </c>
      <c r="AE484" s="198">
        <f>LOOKUP(AE$2,'Depreciation Schedules'!$A$3:$A$42,'Depreciation Schedules'!$C$3:$C$42)</f>
        <v>0</v>
      </c>
      <c r="AF484" s="198">
        <f>LOOKUP(AF$2,'Depreciation Schedules'!$A$3:$A$42,'Depreciation Schedules'!$C$3:$C$42)</f>
        <v>0</v>
      </c>
      <c r="AG484" s="198">
        <f>LOOKUP(AG$2,'Depreciation Schedules'!$A$3:$A$42,'Depreciation Schedules'!$C$3:$C$42)</f>
        <v>0</v>
      </c>
      <c r="AH484" s="198">
        <f>LOOKUP(AH$2,'Depreciation Schedules'!$A$3:$A$42,'Depreciation Schedules'!$C$3:$C$42)</f>
        <v>0</v>
      </c>
      <c r="AI484" s="198">
        <f>LOOKUP(AI$2,'Depreciation Schedules'!$A$3:$A$42,'Depreciation Schedules'!$C$3:$C$42)</f>
        <v>0</v>
      </c>
      <c r="AJ484" s="198">
        <f>LOOKUP(AJ$2,'Depreciation Schedules'!$A$3:$A$42,'Depreciation Schedules'!$C$3:$C$42)</f>
        <v>0</v>
      </c>
      <c r="AK484" s="198">
        <f>LOOKUP(AK$2,'Depreciation Schedules'!$A$3:$A$42,'Depreciation Schedules'!$C$3:$C$42)</f>
        <v>0</v>
      </c>
      <c r="AL484" s="198">
        <f>LOOKUP(AL$2,'Depreciation Schedules'!$A$3:$A$42,'Depreciation Schedules'!$C$3:$C$42)</f>
        <v>0</v>
      </c>
      <c r="AM484" s="198">
        <f>LOOKUP(AM$2,'Depreciation Schedules'!$A$3:$A$42,'Depreciation Schedules'!$C$3:$C$42)</f>
        <v>0</v>
      </c>
      <c r="AN484" s="198">
        <f>LOOKUP(AN$2,'Depreciation Schedules'!$A$3:$A$42,'Depreciation Schedules'!$C$3:$C$42)</f>
        <v>0</v>
      </c>
      <c r="AO484" s="198">
        <f>LOOKUP(AO$2,'Depreciation Schedules'!$A$3:$A$42,'Depreciation Schedules'!$C$3:$C$42)</f>
        <v>0</v>
      </c>
      <c r="AP484" s="198">
        <f>LOOKUP(AP$2,'Depreciation Schedules'!$A$3:$A$42,'Depreciation Schedules'!$C$3:$C$42)</f>
        <v>0</v>
      </c>
    </row>
    <row r="485" spans="1:42" x14ac:dyDescent="0.2">
      <c r="A485" s="188" t="str">
        <f t="shared" si="273"/>
        <v>5-yr SL</v>
      </c>
      <c r="B485" s="199">
        <f t="shared" si="274"/>
        <v>0.99999999999999989</v>
      </c>
      <c r="C485" s="198">
        <f>LOOKUP(C$2,'Depreciation Schedules'!$A$3:$A$42,'Depreciation Schedules'!$D$3:$D$42)</f>
        <v>0.1</v>
      </c>
      <c r="D485" s="198">
        <f>LOOKUP(D$2,'Depreciation Schedules'!$A$3:$A$42,'Depreciation Schedules'!$D$3:$D$42)</f>
        <v>0.2</v>
      </c>
      <c r="E485" s="198">
        <f>LOOKUP(E$2,'Depreciation Schedules'!$A$3:$A$42,'Depreciation Schedules'!$D$3:$D$42)</f>
        <v>0.2</v>
      </c>
      <c r="F485" s="198">
        <f>LOOKUP(F$2,'Depreciation Schedules'!$A$3:$A$42,'Depreciation Schedules'!$D$3:$D$42)</f>
        <v>0.2</v>
      </c>
      <c r="G485" s="198">
        <f>LOOKUP(G$2,'Depreciation Schedules'!$A$3:$A$42,'Depreciation Schedules'!$D$3:$D$42)</f>
        <v>0.2</v>
      </c>
      <c r="H485" s="198">
        <f>LOOKUP(H$2,'Depreciation Schedules'!$A$3:$A$42,'Depreciation Schedules'!$D$3:$D$42)</f>
        <v>0.1</v>
      </c>
      <c r="I485" s="198">
        <f>LOOKUP(I$2,'Depreciation Schedules'!$A$3:$A$42,'Depreciation Schedules'!$D$3:$D$42)</f>
        <v>0</v>
      </c>
      <c r="J485" s="198">
        <f>LOOKUP(J$2,'Depreciation Schedules'!$A$3:$A$42,'Depreciation Schedules'!$D$3:$D$42)</f>
        <v>0</v>
      </c>
      <c r="K485" s="198">
        <f>LOOKUP(K$2,'Depreciation Schedules'!$A$3:$A$42,'Depreciation Schedules'!$D$3:$D$42)</f>
        <v>0</v>
      </c>
      <c r="L485" s="198">
        <f>LOOKUP(L$2,'Depreciation Schedules'!$A$3:$A$42,'Depreciation Schedules'!$D$3:$D$42)</f>
        <v>0</v>
      </c>
      <c r="M485" s="198">
        <f>LOOKUP(M$2,'Depreciation Schedules'!$A$3:$A$42,'Depreciation Schedules'!$D$3:$D$42)</f>
        <v>0</v>
      </c>
      <c r="N485" s="198">
        <f>LOOKUP(N$2,'Depreciation Schedules'!$A$3:$A$42,'Depreciation Schedules'!$D$3:$D$42)</f>
        <v>0</v>
      </c>
      <c r="O485" s="198">
        <f>LOOKUP(O$2,'Depreciation Schedules'!$A$3:$A$42,'Depreciation Schedules'!$D$3:$D$42)</f>
        <v>0</v>
      </c>
      <c r="P485" s="198">
        <f>LOOKUP(P$2,'Depreciation Schedules'!$A$3:$A$42,'Depreciation Schedules'!$D$3:$D$42)</f>
        <v>0</v>
      </c>
      <c r="Q485" s="198">
        <f>LOOKUP(Q$2,'Depreciation Schedules'!$A$3:$A$42,'Depreciation Schedules'!$D$3:$D$42)</f>
        <v>0</v>
      </c>
      <c r="R485" s="198">
        <f>LOOKUP(R$2,'Depreciation Schedules'!$A$3:$A$42,'Depreciation Schedules'!$D$3:$D$42)</f>
        <v>0</v>
      </c>
      <c r="S485" s="198">
        <f>LOOKUP(S$2,'Depreciation Schedules'!$A$3:$A$42,'Depreciation Schedules'!$D$3:$D$42)</f>
        <v>0</v>
      </c>
      <c r="T485" s="198">
        <f>LOOKUP(T$2,'Depreciation Schedules'!$A$3:$A$42,'Depreciation Schedules'!$D$3:$D$42)</f>
        <v>0</v>
      </c>
      <c r="U485" s="198">
        <f>LOOKUP(U$2,'Depreciation Schedules'!$A$3:$A$42,'Depreciation Schedules'!$D$3:$D$42)</f>
        <v>0</v>
      </c>
      <c r="V485" s="198">
        <f>LOOKUP(V$2,'Depreciation Schedules'!$A$3:$A$42,'Depreciation Schedules'!$D$3:$D$42)</f>
        <v>0</v>
      </c>
      <c r="W485" s="198">
        <f>LOOKUP(W$2,'Depreciation Schedules'!$A$3:$A$42,'Depreciation Schedules'!$D$3:$D$42)</f>
        <v>0</v>
      </c>
      <c r="X485" s="198">
        <f>LOOKUP(X$2,'Depreciation Schedules'!$A$3:$A$42,'Depreciation Schedules'!$D$3:$D$42)</f>
        <v>0</v>
      </c>
      <c r="Y485" s="198">
        <f>LOOKUP(Y$2,'Depreciation Schedules'!$A$3:$A$42,'Depreciation Schedules'!$D$3:$D$42)</f>
        <v>0</v>
      </c>
      <c r="Z485" s="198">
        <f>LOOKUP(Z$2,'Depreciation Schedules'!$A$3:$A$42,'Depreciation Schedules'!$D$3:$D$42)</f>
        <v>0</v>
      </c>
      <c r="AA485" s="198">
        <f>LOOKUP(AA$2,'Depreciation Schedules'!$A$3:$A$42,'Depreciation Schedules'!$D$3:$D$42)</f>
        <v>0</v>
      </c>
      <c r="AB485" s="198">
        <f>LOOKUP(AB$2,'Depreciation Schedules'!$A$3:$A$42,'Depreciation Schedules'!$D$3:$D$42)</f>
        <v>0</v>
      </c>
      <c r="AC485" s="198">
        <f>LOOKUP(AC$2,'Depreciation Schedules'!$A$3:$A$42,'Depreciation Schedules'!$D$3:$D$42)</f>
        <v>0</v>
      </c>
      <c r="AD485" s="198">
        <f>LOOKUP(AD$2,'Depreciation Schedules'!$A$3:$A$42,'Depreciation Schedules'!$D$3:$D$42)</f>
        <v>0</v>
      </c>
      <c r="AE485" s="198">
        <f>LOOKUP(AE$2,'Depreciation Schedules'!$A$3:$A$42,'Depreciation Schedules'!$D$3:$D$42)</f>
        <v>0</v>
      </c>
      <c r="AF485" s="198">
        <f>LOOKUP(AF$2,'Depreciation Schedules'!$A$3:$A$42,'Depreciation Schedules'!$D$3:$D$42)</f>
        <v>0</v>
      </c>
      <c r="AG485" s="198">
        <f>LOOKUP(AG$2,'Depreciation Schedules'!$A$3:$A$42,'Depreciation Schedules'!$D$3:$D$42)</f>
        <v>0</v>
      </c>
      <c r="AH485" s="198">
        <f>LOOKUP(AH$2,'Depreciation Schedules'!$A$3:$A$42,'Depreciation Schedules'!$D$3:$D$42)</f>
        <v>0</v>
      </c>
      <c r="AI485" s="198">
        <f>LOOKUP(AI$2,'Depreciation Schedules'!$A$3:$A$42,'Depreciation Schedules'!$D$3:$D$42)</f>
        <v>0</v>
      </c>
      <c r="AJ485" s="198">
        <f>LOOKUP(AJ$2,'Depreciation Schedules'!$A$3:$A$42,'Depreciation Schedules'!$D$3:$D$42)</f>
        <v>0</v>
      </c>
      <c r="AK485" s="198">
        <f>LOOKUP(AK$2,'Depreciation Schedules'!$A$3:$A$42,'Depreciation Schedules'!$D$3:$D$42)</f>
        <v>0</v>
      </c>
      <c r="AL485" s="198">
        <f>LOOKUP(AL$2,'Depreciation Schedules'!$A$3:$A$42,'Depreciation Schedules'!$D$3:$D$42)</f>
        <v>0</v>
      </c>
      <c r="AM485" s="198">
        <f>LOOKUP(AM$2,'Depreciation Schedules'!$A$3:$A$42,'Depreciation Schedules'!$D$3:$D$42)</f>
        <v>0</v>
      </c>
      <c r="AN485" s="198">
        <f>LOOKUP(AN$2,'Depreciation Schedules'!$A$3:$A$42,'Depreciation Schedules'!$D$3:$D$42)</f>
        <v>0</v>
      </c>
      <c r="AO485" s="198">
        <f>LOOKUP(AO$2,'Depreciation Schedules'!$A$3:$A$42,'Depreciation Schedules'!$D$3:$D$42)</f>
        <v>0</v>
      </c>
      <c r="AP485" s="198">
        <f>LOOKUP(AP$2,'Depreciation Schedules'!$A$3:$A$42,'Depreciation Schedules'!$D$3:$D$42)</f>
        <v>0</v>
      </c>
    </row>
    <row r="486" spans="1:42" x14ac:dyDescent="0.2">
      <c r="A486" s="188" t="str">
        <f t="shared" si="273"/>
        <v>15-yr SL</v>
      </c>
      <c r="B486" s="199">
        <f t="shared" si="274"/>
        <v>0.99999999999999989</v>
      </c>
      <c r="C486" s="198">
        <f>LOOKUP(C$2,'Depreciation Schedules'!$A$3:$A$42,'Depreciation Schedules'!$E$3:$E$42)</f>
        <v>3.3300000000000003E-2</v>
      </c>
      <c r="D486" s="198">
        <f>LOOKUP(D$2,'Depreciation Schedules'!$A$3:$A$42,'Depreciation Schedules'!$E$3:$E$42)</f>
        <v>6.6699999999999995E-2</v>
      </c>
      <c r="E486" s="198">
        <f>LOOKUP(E$2,'Depreciation Schedules'!$A$3:$A$42,'Depreciation Schedules'!$E$3:$E$42)</f>
        <v>6.6699999999999995E-2</v>
      </c>
      <c r="F486" s="198">
        <f>LOOKUP(F$2,'Depreciation Schedules'!$A$3:$A$42,'Depreciation Schedules'!$E$3:$E$42)</f>
        <v>6.6699999999999995E-2</v>
      </c>
      <c r="G486" s="198">
        <f>LOOKUP(G$2,'Depreciation Schedules'!$A$3:$A$42,'Depreciation Schedules'!$E$3:$E$42)</f>
        <v>6.6699999999999995E-2</v>
      </c>
      <c r="H486" s="198">
        <f>LOOKUP(H$2,'Depreciation Schedules'!$A$3:$A$42,'Depreciation Schedules'!$E$3:$E$42)</f>
        <v>6.6699999999999995E-2</v>
      </c>
      <c r="I486" s="198">
        <f>LOOKUP(I$2,'Depreciation Schedules'!$A$3:$A$42,'Depreciation Schedules'!$E$3:$E$42)</f>
        <v>6.6699999999999995E-2</v>
      </c>
      <c r="J486" s="198">
        <f>LOOKUP(J$2,'Depreciation Schedules'!$A$3:$A$42,'Depreciation Schedules'!$E$3:$E$42)</f>
        <v>6.6600000000000006E-2</v>
      </c>
      <c r="K486" s="198">
        <f>LOOKUP(K$2,'Depreciation Schedules'!$A$3:$A$42,'Depreciation Schedules'!$E$3:$E$42)</f>
        <v>6.6699999999999995E-2</v>
      </c>
      <c r="L486" s="198">
        <f>LOOKUP(L$2,'Depreciation Schedules'!$A$3:$A$42,'Depreciation Schedules'!$E$3:$E$42)</f>
        <v>6.6600000000000006E-2</v>
      </c>
      <c r="M486" s="198">
        <f>LOOKUP(M$2,'Depreciation Schedules'!$A$3:$A$42,'Depreciation Schedules'!$E$3:$E$42)</f>
        <v>6.6699999999999995E-2</v>
      </c>
      <c r="N486" s="198">
        <f>LOOKUP(N$2,'Depreciation Schedules'!$A$3:$A$42,'Depreciation Schedules'!$E$3:$E$42)</f>
        <v>6.6600000000000006E-2</v>
      </c>
      <c r="O486" s="198">
        <f>LOOKUP(O$2,'Depreciation Schedules'!$A$3:$A$42,'Depreciation Schedules'!$E$3:$E$42)</f>
        <v>6.6699999999999995E-2</v>
      </c>
      <c r="P486" s="198">
        <f>LOOKUP(P$2,'Depreciation Schedules'!$A$3:$A$42,'Depreciation Schedules'!$E$3:$E$42)</f>
        <v>6.6600000000000006E-2</v>
      </c>
      <c r="Q486" s="198">
        <f>LOOKUP(Q$2,'Depreciation Schedules'!$A$3:$A$42,'Depreciation Schedules'!$E$3:$E$42)</f>
        <v>6.6699999999999995E-2</v>
      </c>
      <c r="R486" s="198">
        <f>LOOKUP(R$2,'Depreciation Schedules'!$A$3:$A$42,'Depreciation Schedules'!$E$3:$E$42)</f>
        <v>3.3300000000000003E-2</v>
      </c>
      <c r="S486" s="198">
        <f>LOOKUP(S$2,'Depreciation Schedules'!$A$3:$A$42,'Depreciation Schedules'!$E$3:$E$42)</f>
        <v>0</v>
      </c>
      <c r="T486" s="198">
        <f>LOOKUP(T$2,'Depreciation Schedules'!$A$3:$A$42,'Depreciation Schedules'!$E$3:$E$42)</f>
        <v>0</v>
      </c>
      <c r="U486" s="198">
        <f>LOOKUP(U$2,'Depreciation Schedules'!$A$3:$A$42,'Depreciation Schedules'!$E$3:$E$42)</f>
        <v>0</v>
      </c>
      <c r="V486" s="198">
        <f>LOOKUP(V$2,'Depreciation Schedules'!$A$3:$A$42,'Depreciation Schedules'!$E$3:$E$42)</f>
        <v>0</v>
      </c>
      <c r="W486" s="198">
        <f>LOOKUP(W$2,'Depreciation Schedules'!$A$3:$A$42,'Depreciation Schedules'!$E$3:$E$42)</f>
        <v>0</v>
      </c>
      <c r="X486" s="198">
        <f>LOOKUP(X$2,'Depreciation Schedules'!$A$3:$A$42,'Depreciation Schedules'!$E$3:$E$42)</f>
        <v>0</v>
      </c>
      <c r="Y486" s="198">
        <f>LOOKUP(Y$2,'Depreciation Schedules'!$A$3:$A$42,'Depreciation Schedules'!$E$3:$E$42)</f>
        <v>0</v>
      </c>
      <c r="Z486" s="198">
        <f>LOOKUP(Z$2,'Depreciation Schedules'!$A$3:$A$42,'Depreciation Schedules'!$E$3:$E$42)</f>
        <v>0</v>
      </c>
      <c r="AA486" s="198">
        <f>LOOKUP(AA$2,'Depreciation Schedules'!$A$3:$A$42,'Depreciation Schedules'!$E$3:$E$42)</f>
        <v>0</v>
      </c>
      <c r="AB486" s="198">
        <f>LOOKUP(AB$2,'Depreciation Schedules'!$A$3:$A$42,'Depreciation Schedules'!$E$3:$E$42)</f>
        <v>0</v>
      </c>
      <c r="AC486" s="198">
        <f>LOOKUP(AC$2,'Depreciation Schedules'!$A$3:$A$42,'Depreciation Schedules'!$E$3:$E$42)</f>
        <v>0</v>
      </c>
      <c r="AD486" s="198">
        <f>LOOKUP(AD$2,'Depreciation Schedules'!$A$3:$A$42,'Depreciation Schedules'!$E$3:$E$42)</f>
        <v>0</v>
      </c>
      <c r="AE486" s="198">
        <f>LOOKUP(AE$2,'Depreciation Schedules'!$A$3:$A$42,'Depreciation Schedules'!$E$3:$E$42)</f>
        <v>0</v>
      </c>
      <c r="AF486" s="198">
        <f>LOOKUP(AF$2,'Depreciation Schedules'!$A$3:$A$42,'Depreciation Schedules'!$E$3:$E$42)</f>
        <v>0</v>
      </c>
      <c r="AG486" s="198">
        <f>LOOKUP(AG$2,'Depreciation Schedules'!$A$3:$A$42,'Depreciation Schedules'!$E$3:$E$42)</f>
        <v>0</v>
      </c>
      <c r="AH486" s="198">
        <f>LOOKUP(AH$2,'Depreciation Schedules'!$A$3:$A$42,'Depreciation Schedules'!$E$3:$E$42)</f>
        <v>0</v>
      </c>
      <c r="AI486" s="198">
        <f>LOOKUP(AI$2,'Depreciation Schedules'!$A$3:$A$42,'Depreciation Schedules'!$E$3:$E$42)</f>
        <v>0</v>
      </c>
      <c r="AJ486" s="198">
        <f>LOOKUP(AJ$2,'Depreciation Schedules'!$A$3:$A$42,'Depreciation Schedules'!$E$3:$E$42)</f>
        <v>0</v>
      </c>
      <c r="AK486" s="198">
        <f>LOOKUP(AK$2,'Depreciation Schedules'!$A$3:$A$42,'Depreciation Schedules'!$E$3:$E$42)</f>
        <v>0</v>
      </c>
      <c r="AL486" s="198">
        <f>LOOKUP(AL$2,'Depreciation Schedules'!$A$3:$A$42,'Depreciation Schedules'!$E$3:$E$42)</f>
        <v>0</v>
      </c>
      <c r="AM486" s="198">
        <f>LOOKUP(AM$2,'Depreciation Schedules'!$A$3:$A$42,'Depreciation Schedules'!$E$3:$E$42)</f>
        <v>0</v>
      </c>
      <c r="AN486" s="198">
        <f>LOOKUP(AN$2,'Depreciation Schedules'!$A$3:$A$42,'Depreciation Schedules'!$E$3:$E$42)</f>
        <v>0</v>
      </c>
      <c r="AO486" s="198">
        <f>LOOKUP(AO$2,'Depreciation Schedules'!$A$3:$A$42,'Depreciation Schedules'!$E$3:$E$42)</f>
        <v>0</v>
      </c>
      <c r="AP486" s="198">
        <f>LOOKUP(AP$2,'Depreciation Schedules'!$A$3:$A$42,'Depreciation Schedules'!$E$3:$E$42)</f>
        <v>0</v>
      </c>
    </row>
    <row r="487" spans="1:42" x14ac:dyDescent="0.2">
      <c r="A487" s="188" t="str">
        <f t="shared" si="273"/>
        <v>20-yr SL</v>
      </c>
      <c r="B487" s="199">
        <f t="shared" si="274"/>
        <v>1.0000000000000002</v>
      </c>
      <c r="C487" s="198">
        <f>LOOKUP(C$2,'Depreciation Schedules'!$A$3:$A$42,'Depreciation Schedules'!$F$3:$F$42)</f>
        <v>2.5000000000000001E-2</v>
      </c>
      <c r="D487" s="198">
        <f>LOOKUP(D$2,'Depreciation Schedules'!$A$3:$A$42,'Depreciation Schedules'!$F$3:$F$42)</f>
        <v>0.05</v>
      </c>
      <c r="E487" s="198">
        <f>LOOKUP(E$2,'Depreciation Schedules'!$A$3:$A$42,'Depreciation Schedules'!$F$3:$F$42)</f>
        <v>0.05</v>
      </c>
      <c r="F487" s="198">
        <f>LOOKUP(F$2,'Depreciation Schedules'!$A$3:$A$42,'Depreciation Schedules'!$F$3:$F$42)</f>
        <v>0.05</v>
      </c>
      <c r="G487" s="198">
        <f>LOOKUP(G$2,'Depreciation Schedules'!$A$3:$A$42,'Depreciation Schedules'!$F$3:$F$42)</f>
        <v>0.05</v>
      </c>
      <c r="H487" s="198">
        <f>LOOKUP(H$2,'Depreciation Schedules'!$A$3:$A$42,'Depreciation Schedules'!$F$3:$F$42)</f>
        <v>0.05</v>
      </c>
      <c r="I487" s="198">
        <f>LOOKUP(I$2,'Depreciation Schedules'!$A$3:$A$42,'Depreciation Schedules'!$F$3:$F$42)</f>
        <v>0.05</v>
      </c>
      <c r="J487" s="198">
        <f>LOOKUP(J$2,'Depreciation Schedules'!$A$3:$A$42,'Depreciation Schedules'!$F$3:$F$42)</f>
        <v>0.05</v>
      </c>
      <c r="K487" s="198">
        <f>LOOKUP(K$2,'Depreciation Schedules'!$A$3:$A$42,'Depreciation Schedules'!$F$3:$F$42)</f>
        <v>0.05</v>
      </c>
      <c r="L487" s="198">
        <f>LOOKUP(L$2,'Depreciation Schedules'!$A$3:$A$42,'Depreciation Schedules'!$F$3:$F$42)</f>
        <v>0.05</v>
      </c>
      <c r="M487" s="198">
        <f>LOOKUP(M$2,'Depreciation Schedules'!$A$3:$A$42,'Depreciation Schedules'!$F$3:$F$42)</f>
        <v>0.05</v>
      </c>
      <c r="N487" s="198">
        <f>LOOKUP(N$2,'Depreciation Schedules'!$A$3:$A$42,'Depreciation Schedules'!$F$3:$F$42)</f>
        <v>0.05</v>
      </c>
      <c r="O487" s="198">
        <f>LOOKUP(O$2,'Depreciation Schedules'!$A$3:$A$42,'Depreciation Schedules'!$F$3:$F$42)</f>
        <v>0.05</v>
      </c>
      <c r="P487" s="198">
        <f>LOOKUP(P$2,'Depreciation Schedules'!$A$3:$A$42,'Depreciation Schedules'!$F$3:$F$42)</f>
        <v>0.05</v>
      </c>
      <c r="Q487" s="198">
        <f>LOOKUP(Q$2,'Depreciation Schedules'!$A$3:$A$42,'Depreciation Schedules'!$F$3:$F$42)</f>
        <v>0.05</v>
      </c>
      <c r="R487" s="198">
        <f>LOOKUP(R$2,'Depreciation Schedules'!$A$3:$A$42,'Depreciation Schedules'!$F$3:$F$42)</f>
        <v>0.05</v>
      </c>
      <c r="S487" s="198">
        <f>LOOKUP(S$2,'Depreciation Schedules'!$A$3:$A$42,'Depreciation Schedules'!$F$3:$F$42)</f>
        <v>0.05</v>
      </c>
      <c r="T487" s="198">
        <f>LOOKUP(T$2,'Depreciation Schedules'!$A$3:$A$42,'Depreciation Schedules'!$F$3:$F$42)</f>
        <v>0.05</v>
      </c>
      <c r="U487" s="198">
        <f>LOOKUP(U$2,'Depreciation Schedules'!$A$3:$A$42,'Depreciation Schedules'!$F$3:$F$42)</f>
        <v>0.05</v>
      </c>
      <c r="V487" s="198">
        <f>LOOKUP(V$2,'Depreciation Schedules'!$A$3:$A$42,'Depreciation Schedules'!$F$3:$F$42)</f>
        <v>0.05</v>
      </c>
      <c r="W487" s="198">
        <f>LOOKUP(W$2,'Depreciation Schedules'!$A$3:$A$42,'Depreciation Schedules'!$F$3:$F$42)</f>
        <v>2.5000000000000001E-2</v>
      </c>
      <c r="X487" s="198">
        <f>LOOKUP(X$2,'Depreciation Schedules'!$A$3:$A$42,'Depreciation Schedules'!$F$3:$F$42)</f>
        <v>0</v>
      </c>
      <c r="Y487" s="198">
        <f>LOOKUP(Y$2,'Depreciation Schedules'!$A$3:$A$42,'Depreciation Schedules'!$F$3:$F$42)</f>
        <v>0</v>
      </c>
      <c r="Z487" s="198">
        <f>LOOKUP(Z$2,'Depreciation Schedules'!$A$3:$A$42,'Depreciation Schedules'!$F$3:$F$42)</f>
        <v>0</v>
      </c>
      <c r="AA487" s="198">
        <f>LOOKUP(AA$2,'Depreciation Schedules'!$A$3:$A$42,'Depreciation Schedules'!$F$3:$F$42)</f>
        <v>0</v>
      </c>
      <c r="AB487" s="198">
        <f>LOOKUP(AB$2,'Depreciation Schedules'!$A$3:$A$42,'Depreciation Schedules'!$F$3:$F$42)</f>
        <v>0</v>
      </c>
      <c r="AC487" s="198">
        <f>LOOKUP(AC$2,'Depreciation Schedules'!$A$3:$A$42,'Depreciation Schedules'!$F$3:$F$42)</f>
        <v>0</v>
      </c>
      <c r="AD487" s="198">
        <f>LOOKUP(AD$2,'Depreciation Schedules'!$A$3:$A$42,'Depreciation Schedules'!$F$3:$F$42)</f>
        <v>0</v>
      </c>
      <c r="AE487" s="198">
        <f>LOOKUP(AE$2,'Depreciation Schedules'!$A$3:$A$42,'Depreciation Schedules'!$F$3:$F$42)</f>
        <v>0</v>
      </c>
      <c r="AF487" s="198">
        <f>LOOKUP(AF$2,'Depreciation Schedules'!$A$3:$A$42,'Depreciation Schedules'!$F$3:$F$42)</f>
        <v>0</v>
      </c>
      <c r="AG487" s="198">
        <f>LOOKUP(AG$2,'Depreciation Schedules'!$A$3:$A$42,'Depreciation Schedules'!$F$3:$F$42)</f>
        <v>0</v>
      </c>
      <c r="AH487" s="198">
        <f>LOOKUP(AH$2,'Depreciation Schedules'!$A$3:$A$42,'Depreciation Schedules'!$F$3:$F$42)</f>
        <v>0</v>
      </c>
      <c r="AI487" s="198">
        <f>LOOKUP(AI$2,'Depreciation Schedules'!$A$3:$A$42,'Depreciation Schedules'!$F$3:$F$42)</f>
        <v>0</v>
      </c>
      <c r="AJ487" s="198">
        <f>LOOKUP(AJ$2,'Depreciation Schedules'!$A$3:$A$42,'Depreciation Schedules'!$F$3:$F$42)</f>
        <v>0</v>
      </c>
      <c r="AK487" s="198">
        <f>LOOKUP(AK$2,'Depreciation Schedules'!$A$3:$A$42,'Depreciation Schedules'!$F$3:$F$42)</f>
        <v>0</v>
      </c>
      <c r="AL487" s="198">
        <f>LOOKUP(AL$2,'Depreciation Schedules'!$A$3:$A$42,'Depreciation Schedules'!$F$3:$F$42)</f>
        <v>0</v>
      </c>
      <c r="AM487" s="198">
        <f>LOOKUP(AM$2,'Depreciation Schedules'!$A$3:$A$42,'Depreciation Schedules'!$F$3:$F$42)</f>
        <v>0</v>
      </c>
      <c r="AN487" s="198">
        <f>LOOKUP(AN$2,'Depreciation Schedules'!$A$3:$A$42,'Depreciation Schedules'!$F$3:$F$42)</f>
        <v>0</v>
      </c>
      <c r="AO487" s="198">
        <f>LOOKUP(AO$2,'Depreciation Schedules'!$A$3:$A$42,'Depreciation Schedules'!$F$3:$F$42)</f>
        <v>0</v>
      </c>
      <c r="AP487" s="198">
        <f>LOOKUP(AP$2,'Depreciation Schedules'!$A$3:$A$42,'Depreciation Schedules'!$F$3:$F$42)</f>
        <v>0</v>
      </c>
    </row>
    <row r="488" spans="1:42" x14ac:dyDescent="0.2">
      <c r="A488" s="188" t="str">
        <f t="shared" si="273"/>
        <v>39-yr SL</v>
      </c>
      <c r="B488" s="200">
        <f t="shared" si="274"/>
        <v>1.0000000000000004</v>
      </c>
      <c r="C488" s="198">
        <f>LOOKUP(C$2,'Depreciation Schedules'!$A$3:$A$42,'Depreciation Schedules'!$G$3:$G$42)</f>
        <v>1.2820512820512799E-2</v>
      </c>
      <c r="D488" s="198">
        <f>LOOKUP(D$2,'Depreciation Schedules'!$A$3:$A$42,'Depreciation Schedules'!$G$3:$G$42)</f>
        <v>2.564102564102564E-2</v>
      </c>
      <c r="E488" s="198">
        <f>LOOKUP(E$2,'Depreciation Schedules'!$A$3:$A$42,'Depreciation Schedules'!$G$3:$G$42)</f>
        <v>2.564102564102564E-2</v>
      </c>
      <c r="F488" s="198">
        <f>LOOKUP(F$2,'Depreciation Schedules'!$A$3:$A$42,'Depreciation Schedules'!$G$3:$G$42)</f>
        <v>2.564102564102564E-2</v>
      </c>
      <c r="G488" s="198">
        <f>LOOKUP(G$2,'Depreciation Schedules'!$A$3:$A$42,'Depreciation Schedules'!$G$3:$G$42)</f>
        <v>2.564102564102564E-2</v>
      </c>
      <c r="H488" s="198">
        <f>LOOKUP(H$2,'Depreciation Schedules'!$A$3:$A$42,'Depreciation Schedules'!$G$3:$G$42)</f>
        <v>2.564102564102564E-2</v>
      </c>
      <c r="I488" s="198">
        <f>LOOKUP(I$2,'Depreciation Schedules'!$A$3:$A$42,'Depreciation Schedules'!$G$3:$G$42)</f>
        <v>2.564102564102564E-2</v>
      </c>
      <c r="J488" s="198">
        <f>LOOKUP(J$2,'Depreciation Schedules'!$A$3:$A$42,'Depreciation Schedules'!$G$3:$G$42)</f>
        <v>2.564102564102564E-2</v>
      </c>
      <c r="K488" s="198">
        <f>LOOKUP(K$2,'Depreciation Schedules'!$A$3:$A$42,'Depreciation Schedules'!$G$3:$G$42)</f>
        <v>2.564102564102564E-2</v>
      </c>
      <c r="L488" s="198">
        <f>LOOKUP(L$2,'Depreciation Schedules'!$A$3:$A$42,'Depreciation Schedules'!$G$3:$G$42)</f>
        <v>2.564102564102564E-2</v>
      </c>
      <c r="M488" s="198">
        <f>LOOKUP(M$2,'Depreciation Schedules'!$A$3:$A$42,'Depreciation Schedules'!$G$3:$G$42)</f>
        <v>2.564102564102564E-2</v>
      </c>
      <c r="N488" s="198">
        <f>LOOKUP(N$2,'Depreciation Schedules'!$A$3:$A$42,'Depreciation Schedules'!$G$3:$G$42)</f>
        <v>2.564102564102564E-2</v>
      </c>
      <c r="O488" s="198">
        <f>LOOKUP(O$2,'Depreciation Schedules'!$A$3:$A$42,'Depreciation Schedules'!$G$3:$G$42)</f>
        <v>2.564102564102564E-2</v>
      </c>
      <c r="P488" s="198">
        <f>LOOKUP(P$2,'Depreciation Schedules'!$A$3:$A$42,'Depreciation Schedules'!$G$3:$G$42)</f>
        <v>2.564102564102564E-2</v>
      </c>
      <c r="Q488" s="198">
        <f>LOOKUP(Q$2,'Depreciation Schedules'!$A$3:$A$42,'Depreciation Schedules'!$G$3:$G$42)</f>
        <v>2.564102564102564E-2</v>
      </c>
      <c r="R488" s="198">
        <f>LOOKUP(R$2,'Depreciation Schedules'!$A$3:$A$42,'Depreciation Schedules'!$G$3:$G$42)</f>
        <v>2.564102564102564E-2</v>
      </c>
      <c r="S488" s="198">
        <f>LOOKUP(S$2,'Depreciation Schedules'!$A$3:$A$42,'Depreciation Schedules'!$G$3:$G$42)</f>
        <v>2.564102564102564E-2</v>
      </c>
      <c r="T488" s="198">
        <f>LOOKUP(T$2,'Depreciation Schedules'!$A$3:$A$42,'Depreciation Schedules'!$G$3:$G$42)</f>
        <v>2.564102564102564E-2</v>
      </c>
      <c r="U488" s="198">
        <f>LOOKUP(U$2,'Depreciation Schedules'!$A$3:$A$42,'Depreciation Schedules'!$G$3:$G$42)</f>
        <v>2.564102564102564E-2</v>
      </c>
      <c r="V488" s="198">
        <f>LOOKUP(V$2,'Depreciation Schedules'!$A$3:$A$42,'Depreciation Schedules'!$G$3:$G$42)</f>
        <v>2.564102564102564E-2</v>
      </c>
      <c r="W488" s="198">
        <f>LOOKUP(W$2,'Depreciation Schedules'!$A$3:$A$42,'Depreciation Schedules'!$G$3:$G$42)</f>
        <v>2.564102564102564E-2</v>
      </c>
      <c r="X488" s="198">
        <f>LOOKUP(X$2,'Depreciation Schedules'!$A$3:$A$42,'Depreciation Schedules'!$G$3:$G$42)</f>
        <v>2.564102564102564E-2</v>
      </c>
      <c r="Y488" s="198">
        <f>LOOKUP(Y$2,'Depreciation Schedules'!$A$3:$A$42,'Depreciation Schedules'!$G$3:$G$42)</f>
        <v>2.564102564102564E-2</v>
      </c>
      <c r="Z488" s="198">
        <f>LOOKUP(Z$2,'Depreciation Schedules'!$A$3:$A$42,'Depreciation Schedules'!$G$3:$G$42)</f>
        <v>2.564102564102564E-2</v>
      </c>
      <c r="AA488" s="198">
        <f>LOOKUP(AA$2,'Depreciation Schedules'!$A$3:$A$42,'Depreciation Schedules'!$G$3:$G$42)</f>
        <v>2.564102564102564E-2</v>
      </c>
      <c r="AB488" s="198">
        <f>LOOKUP(AB$2,'Depreciation Schedules'!$A$3:$A$42,'Depreciation Schedules'!$G$3:$G$42)</f>
        <v>2.564102564102564E-2</v>
      </c>
      <c r="AC488" s="198">
        <f>LOOKUP(AC$2,'Depreciation Schedules'!$A$3:$A$42,'Depreciation Schedules'!$G$3:$G$42)</f>
        <v>2.564102564102564E-2</v>
      </c>
      <c r="AD488" s="198">
        <f>LOOKUP(AD$2,'Depreciation Schedules'!$A$3:$A$42,'Depreciation Schedules'!$G$3:$G$42)</f>
        <v>2.564102564102564E-2</v>
      </c>
      <c r="AE488" s="198">
        <f>LOOKUP(AE$2,'Depreciation Schedules'!$A$3:$A$42,'Depreciation Schedules'!$G$3:$G$42)</f>
        <v>2.564102564102564E-2</v>
      </c>
      <c r="AF488" s="198">
        <f>LOOKUP(AF$2,'Depreciation Schedules'!$A$3:$A$42,'Depreciation Schedules'!$G$3:$G$42)</f>
        <v>2.564102564102564E-2</v>
      </c>
      <c r="AG488" s="198">
        <f>LOOKUP(AG$2,'Depreciation Schedules'!$A$3:$A$42,'Depreciation Schedules'!$G$3:$G$42)</f>
        <v>2.564102564102564E-2</v>
      </c>
      <c r="AH488" s="198">
        <f>LOOKUP(AH$2,'Depreciation Schedules'!$A$3:$A$42,'Depreciation Schedules'!$G$3:$G$42)</f>
        <v>2.564102564102564E-2</v>
      </c>
      <c r="AI488" s="198">
        <f>LOOKUP(AI$2,'Depreciation Schedules'!$A$3:$A$42,'Depreciation Schedules'!$G$3:$G$42)</f>
        <v>2.564102564102564E-2</v>
      </c>
      <c r="AJ488" s="198">
        <f>LOOKUP(AJ$2,'Depreciation Schedules'!$A$3:$A$42,'Depreciation Schedules'!$G$3:$G$42)</f>
        <v>2.564102564102564E-2</v>
      </c>
      <c r="AK488" s="198">
        <f>LOOKUP(AK$2,'Depreciation Schedules'!$A$3:$A$42,'Depreciation Schedules'!$G$3:$G$42)</f>
        <v>2.564102564102564E-2</v>
      </c>
      <c r="AL488" s="198">
        <f>LOOKUP(AL$2,'Depreciation Schedules'!$A$3:$A$42,'Depreciation Schedules'!$G$3:$G$42)</f>
        <v>2.564102564102564E-2</v>
      </c>
      <c r="AM488" s="198">
        <f>LOOKUP(AM$2,'Depreciation Schedules'!$A$3:$A$42,'Depreciation Schedules'!$G$3:$G$42)</f>
        <v>2.564102564102564E-2</v>
      </c>
      <c r="AN488" s="198">
        <f>LOOKUP(AN$2,'Depreciation Schedules'!$A$3:$A$42,'Depreciation Schedules'!$G$3:$G$42)</f>
        <v>2.564102564102564E-2</v>
      </c>
      <c r="AO488" s="198">
        <f>LOOKUP(AO$2,'Depreciation Schedules'!$A$3:$A$42,'Depreciation Schedules'!$G$3:$G$42)</f>
        <v>2.564102564102564E-2</v>
      </c>
      <c r="AP488" s="198">
        <f>LOOKUP(AP$2,'Depreciation Schedules'!$A$3:$A$42,'Depreciation Schedules'!$G$3:$G$42)</f>
        <v>1.2820512820512799E-2</v>
      </c>
    </row>
    <row r="489" spans="1:42" x14ac:dyDescent="0.2">
      <c r="A489" s="234" t="s">
        <v>34</v>
      </c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</row>
    <row r="490" spans="1:42" x14ac:dyDescent="0.2">
      <c r="A490" s="188" t="str">
        <f>A483</f>
        <v>5-yr MACRS</v>
      </c>
      <c r="B490" s="201">
        <f>SUM(C490:AP490)</f>
        <v>34892152.318125002</v>
      </c>
      <c r="C490" s="169">
        <f t="shared" ref="C490:AP490" si="275">C483*$Q450</f>
        <v>6978430.4636250008</v>
      </c>
      <c r="D490" s="169">
        <f t="shared" si="275"/>
        <v>11165488.741800001</v>
      </c>
      <c r="E490" s="169">
        <f t="shared" si="275"/>
        <v>6699293.2450800007</v>
      </c>
      <c r="F490" s="169">
        <f t="shared" si="275"/>
        <v>4019575.9470480001</v>
      </c>
      <c r="G490" s="169">
        <f t="shared" si="275"/>
        <v>4019575.9470480001</v>
      </c>
      <c r="H490" s="169">
        <f t="shared" si="275"/>
        <v>2009787.973524</v>
      </c>
      <c r="I490" s="169">
        <f t="shared" si="275"/>
        <v>0</v>
      </c>
      <c r="J490" s="169">
        <f t="shared" si="275"/>
        <v>0</v>
      </c>
      <c r="K490" s="169">
        <f t="shared" si="275"/>
        <v>0</v>
      </c>
      <c r="L490" s="169">
        <f t="shared" si="275"/>
        <v>0</v>
      </c>
      <c r="M490" s="169">
        <f t="shared" si="275"/>
        <v>0</v>
      </c>
      <c r="N490" s="169">
        <f t="shared" si="275"/>
        <v>0</v>
      </c>
      <c r="O490" s="169">
        <f t="shared" si="275"/>
        <v>0</v>
      </c>
      <c r="P490" s="169">
        <f t="shared" si="275"/>
        <v>0</v>
      </c>
      <c r="Q490" s="169">
        <f t="shared" si="275"/>
        <v>0</v>
      </c>
      <c r="R490" s="169">
        <f t="shared" si="275"/>
        <v>0</v>
      </c>
      <c r="S490" s="169">
        <f t="shared" si="275"/>
        <v>0</v>
      </c>
      <c r="T490" s="169">
        <f t="shared" si="275"/>
        <v>0</v>
      </c>
      <c r="U490" s="169">
        <f t="shared" si="275"/>
        <v>0</v>
      </c>
      <c r="V490" s="169">
        <f t="shared" si="275"/>
        <v>0</v>
      </c>
      <c r="W490" s="169">
        <f t="shared" si="275"/>
        <v>0</v>
      </c>
      <c r="X490" s="169">
        <f t="shared" si="275"/>
        <v>0</v>
      </c>
      <c r="Y490" s="169">
        <f t="shared" si="275"/>
        <v>0</v>
      </c>
      <c r="Z490" s="169">
        <f t="shared" si="275"/>
        <v>0</v>
      </c>
      <c r="AA490" s="169">
        <f t="shared" si="275"/>
        <v>0</v>
      </c>
      <c r="AB490" s="169">
        <f t="shared" si="275"/>
        <v>0</v>
      </c>
      <c r="AC490" s="169">
        <f t="shared" si="275"/>
        <v>0</v>
      </c>
      <c r="AD490" s="169">
        <f t="shared" si="275"/>
        <v>0</v>
      </c>
      <c r="AE490" s="169">
        <f t="shared" si="275"/>
        <v>0</v>
      </c>
      <c r="AF490" s="169">
        <f t="shared" si="275"/>
        <v>0</v>
      </c>
      <c r="AG490" s="169">
        <f t="shared" si="275"/>
        <v>0</v>
      </c>
      <c r="AH490" s="169">
        <f t="shared" si="275"/>
        <v>0</v>
      </c>
      <c r="AI490" s="169">
        <f t="shared" si="275"/>
        <v>0</v>
      </c>
      <c r="AJ490" s="169">
        <f t="shared" si="275"/>
        <v>0</v>
      </c>
      <c r="AK490" s="169">
        <f t="shared" si="275"/>
        <v>0</v>
      </c>
      <c r="AL490" s="169">
        <f t="shared" si="275"/>
        <v>0</v>
      </c>
      <c r="AM490" s="169">
        <f t="shared" si="275"/>
        <v>0</v>
      </c>
      <c r="AN490" s="169">
        <f t="shared" si="275"/>
        <v>0</v>
      </c>
      <c r="AO490" s="169">
        <f t="shared" si="275"/>
        <v>0</v>
      </c>
      <c r="AP490" s="169">
        <f t="shared" si="275"/>
        <v>0</v>
      </c>
    </row>
    <row r="491" spans="1:42" x14ac:dyDescent="0.2">
      <c r="A491" s="188" t="str">
        <f t="shared" ref="A491:A495" si="276">A484</f>
        <v>15-yr MACRS</v>
      </c>
      <c r="B491" s="136">
        <f t="shared" ref="B491:B497" si="277">SUM(C491:AP491)</f>
        <v>648151.43625000003</v>
      </c>
      <c r="C491" s="169">
        <f t="shared" ref="C491:AP491" si="278">C484*$Q451</f>
        <v>32407.571812500002</v>
      </c>
      <c r="D491" s="169">
        <f t="shared" si="278"/>
        <v>61574.386443750001</v>
      </c>
      <c r="E491" s="169">
        <f t="shared" si="278"/>
        <v>55416.947799375004</v>
      </c>
      <c r="F491" s="169">
        <f t="shared" si="278"/>
        <v>49907.660591250002</v>
      </c>
      <c r="G491" s="169">
        <f t="shared" si="278"/>
        <v>44916.894532124999</v>
      </c>
      <c r="H491" s="169">
        <f t="shared" si="278"/>
        <v>40379.834478375</v>
      </c>
      <c r="I491" s="169">
        <f t="shared" si="278"/>
        <v>38240.934738750002</v>
      </c>
      <c r="J491" s="169">
        <f t="shared" si="278"/>
        <v>38240.934738750002</v>
      </c>
      <c r="K491" s="169">
        <f t="shared" si="278"/>
        <v>38305.749882374999</v>
      </c>
      <c r="L491" s="169">
        <f t="shared" si="278"/>
        <v>38240.934738750002</v>
      </c>
      <c r="M491" s="169">
        <f t="shared" si="278"/>
        <v>38305.749882374999</v>
      </c>
      <c r="N491" s="169">
        <f t="shared" si="278"/>
        <v>38240.934738750002</v>
      </c>
      <c r="O491" s="169">
        <f t="shared" si="278"/>
        <v>38305.749882374999</v>
      </c>
      <c r="P491" s="169">
        <f t="shared" si="278"/>
        <v>38240.934738750002</v>
      </c>
      <c r="Q491" s="169">
        <f t="shared" si="278"/>
        <v>38305.749882374999</v>
      </c>
      <c r="R491" s="169">
        <f t="shared" si="278"/>
        <v>19120.467369375001</v>
      </c>
      <c r="S491" s="169">
        <f t="shared" si="278"/>
        <v>0</v>
      </c>
      <c r="T491" s="169">
        <f t="shared" si="278"/>
        <v>0</v>
      </c>
      <c r="U491" s="169">
        <f t="shared" si="278"/>
        <v>0</v>
      </c>
      <c r="V491" s="169">
        <f t="shared" si="278"/>
        <v>0</v>
      </c>
      <c r="W491" s="169">
        <f t="shared" si="278"/>
        <v>0</v>
      </c>
      <c r="X491" s="169">
        <f t="shared" si="278"/>
        <v>0</v>
      </c>
      <c r="Y491" s="169">
        <f t="shared" si="278"/>
        <v>0</v>
      </c>
      <c r="Z491" s="169">
        <f t="shared" si="278"/>
        <v>0</v>
      </c>
      <c r="AA491" s="169">
        <f t="shared" si="278"/>
        <v>0</v>
      </c>
      <c r="AB491" s="169">
        <f t="shared" si="278"/>
        <v>0</v>
      </c>
      <c r="AC491" s="169">
        <f t="shared" si="278"/>
        <v>0</v>
      </c>
      <c r="AD491" s="169">
        <f t="shared" si="278"/>
        <v>0</v>
      </c>
      <c r="AE491" s="169">
        <f t="shared" si="278"/>
        <v>0</v>
      </c>
      <c r="AF491" s="169">
        <f t="shared" si="278"/>
        <v>0</v>
      </c>
      <c r="AG491" s="169">
        <f t="shared" si="278"/>
        <v>0</v>
      </c>
      <c r="AH491" s="169">
        <f t="shared" si="278"/>
        <v>0</v>
      </c>
      <c r="AI491" s="169">
        <f t="shared" si="278"/>
        <v>0</v>
      </c>
      <c r="AJ491" s="169">
        <f t="shared" si="278"/>
        <v>0</v>
      </c>
      <c r="AK491" s="169">
        <f t="shared" si="278"/>
        <v>0</v>
      </c>
      <c r="AL491" s="169">
        <f t="shared" si="278"/>
        <v>0</v>
      </c>
      <c r="AM491" s="169">
        <f t="shared" si="278"/>
        <v>0</v>
      </c>
      <c r="AN491" s="169">
        <f t="shared" si="278"/>
        <v>0</v>
      </c>
      <c r="AO491" s="169">
        <f t="shared" si="278"/>
        <v>0</v>
      </c>
      <c r="AP491" s="169">
        <f t="shared" si="278"/>
        <v>0</v>
      </c>
    </row>
    <row r="492" spans="1:42" x14ac:dyDescent="0.2">
      <c r="A492" s="188" t="str">
        <f t="shared" si="276"/>
        <v>5-yr SL</v>
      </c>
      <c r="B492" s="136">
        <f t="shared" si="277"/>
        <v>0</v>
      </c>
      <c r="C492" s="169">
        <f t="shared" ref="C492:AP492" si="279">C485*$Q452</f>
        <v>0</v>
      </c>
      <c r="D492" s="169">
        <f t="shared" si="279"/>
        <v>0</v>
      </c>
      <c r="E492" s="169">
        <f t="shared" si="279"/>
        <v>0</v>
      </c>
      <c r="F492" s="169">
        <f t="shared" si="279"/>
        <v>0</v>
      </c>
      <c r="G492" s="169">
        <f t="shared" si="279"/>
        <v>0</v>
      </c>
      <c r="H492" s="169">
        <f t="shared" si="279"/>
        <v>0</v>
      </c>
      <c r="I492" s="169">
        <f t="shared" si="279"/>
        <v>0</v>
      </c>
      <c r="J492" s="169">
        <f t="shared" si="279"/>
        <v>0</v>
      </c>
      <c r="K492" s="169">
        <f t="shared" si="279"/>
        <v>0</v>
      </c>
      <c r="L492" s="169">
        <f t="shared" si="279"/>
        <v>0</v>
      </c>
      <c r="M492" s="169">
        <f t="shared" si="279"/>
        <v>0</v>
      </c>
      <c r="N492" s="169">
        <f t="shared" si="279"/>
        <v>0</v>
      </c>
      <c r="O492" s="169">
        <f t="shared" si="279"/>
        <v>0</v>
      </c>
      <c r="P492" s="169">
        <f t="shared" si="279"/>
        <v>0</v>
      </c>
      <c r="Q492" s="169">
        <f t="shared" si="279"/>
        <v>0</v>
      </c>
      <c r="R492" s="169">
        <f t="shared" si="279"/>
        <v>0</v>
      </c>
      <c r="S492" s="169">
        <f t="shared" si="279"/>
        <v>0</v>
      </c>
      <c r="T492" s="169">
        <f t="shared" si="279"/>
        <v>0</v>
      </c>
      <c r="U492" s="169">
        <f t="shared" si="279"/>
        <v>0</v>
      </c>
      <c r="V492" s="169">
        <f t="shared" si="279"/>
        <v>0</v>
      </c>
      <c r="W492" s="169">
        <f t="shared" si="279"/>
        <v>0</v>
      </c>
      <c r="X492" s="169">
        <f t="shared" si="279"/>
        <v>0</v>
      </c>
      <c r="Y492" s="169">
        <f t="shared" si="279"/>
        <v>0</v>
      </c>
      <c r="Z492" s="169">
        <f t="shared" si="279"/>
        <v>0</v>
      </c>
      <c r="AA492" s="169">
        <f t="shared" si="279"/>
        <v>0</v>
      </c>
      <c r="AB492" s="169">
        <f t="shared" si="279"/>
        <v>0</v>
      </c>
      <c r="AC492" s="169">
        <f t="shared" si="279"/>
        <v>0</v>
      </c>
      <c r="AD492" s="169">
        <f t="shared" si="279"/>
        <v>0</v>
      </c>
      <c r="AE492" s="169">
        <f t="shared" si="279"/>
        <v>0</v>
      </c>
      <c r="AF492" s="169">
        <f t="shared" si="279"/>
        <v>0</v>
      </c>
      <c r="AG492" s="169">
        <f t="shared" si="279"/>
        <v>0</v>
      </c>
      <c r="AH492" s="169">
        <f t="shared" si="279"/>
        <v>0</v>
      </c>
      <c r="AI492" s="169">
        <f t="shared" si="279"/>
        <v>0</v>
      </c>
      <c r="AJ492" s="169">
        <f t="shared" si="279"/>
        <v>0</v>
      </c>
      <c r="AK492" s="169">
        <f t="shared" si="279"/>
        <v>0</v>
      </c>
      <c r="AL492" s="169">
        <f t="shared" si="279"/>
        <v>0</v>
      </c>
      <c r="AM492" s="169">
        <f t="shared" si="279"/>
        <v>0</v>
      </c>
      <c r="AN492" s="169">
        <f t="shared" si="279"/>
        <v>0</v>
      </c>
      <c r="AO492" s="169">
        <f t="shared" si="279"/>
        <v>0</v>
      </c>
      <c r="AP492" s="169">
        <f t="shared" si="279"/>
        <v>0</v>
      </c>
    </row>
    <row r="493" spans="1:42" x14ac:dyDescent="0.2">
      <c r="A493" s="188" t="str">
        <f t="shared" si="276"/>
        <v>15-yr SL</v>
      </c>
      <c r="B493" s="136">
        <f t="shared" si="277"/>
        <v>648151.43624999991</v>
      </c>
      <c r="C493" s="169">
        <f t="shared" ref="C493:AP493" si="280">C486*$Q453</f>
        <v>21583.442827125004</v>
      </c>
      <c r="D493" s="169">
        <f t="shared" si="280"/>
        <v>43231.700797874997</v>
      </c>
      <c r="E493" s="169">
        <f t="shared" si="280"/>
        <v>43231.700797874997</v>
      </c>
      <c r="F493" s="169">
        <f t="shared" si="280"/>
        <v>43231.700797874997</v>
      </c>
      <c r="G493" s="169">
        <f t="shared" si="280"/>
        <v>43231.700797874997</v>
      </c>
      <c r="H493" s="169">
        <f t="shared" si="280"/>
        <v>43231.700797874997</v>
      </c>
      <c r="I493" s="169">
        <f t="shared" si="280"/>
        <v>43231.700797874997</v>
      </c>
      <c r="J493" s="169">
        <f t="shared" si="280"/>
        <v>43166.885654250007</v>
      </c>
      <c r="K493" s="169">
        <f t="shared" si="280"/>
        <v>43231.700797874997</v>
      </c>
      <c r="L493" s="169">
        <f t="shared" si="280"/>
        <v>43166.885654250007</v>
      </c>
      <c r="M493" s="169">
        <f t="shared" si="280"/>
        <v>43231.700797874997</v>
      </c>
      <c r="N493" s="169">
        <f t="shared" si="280"/>
        <v>43166.885654250007</v>
      </c>
      <c r="O493" s="169">
        <f t="shared" si="280"/>
        <v>43231.700797874997</v>
      </c>
      <c r="P493" s="169">
        <f t="shared" si="280"/>
        <v>43166.885654250007</v>
      </c>
      <c r="Q493" s="169">
        <f t="shared" si="280"/>
        <v>43231.700797874997</v>
      </c>
      <c r="R493" s="169">
        <f t="shared" si="280"/>
        <v>21583.442827125004</v>
      </c>
      <c r="S493" s="169">
        <f t="shared" si="280"/>
        <v>0</v>
      </c>
      <c r="T493" s="169">
        <f t="shared" si="280"/>
        <v>0</v>
      </c>
      <c r="U493" s="169">
        <f t="shared" si="280"/>
        <v>0</v>
      </c>
      <c r="V493" s="169">
        <f t="shared" si="280"/>
        <v>0</v>
      </c>
      <c r="W493" s="169">
        <f t="shared" si="280"/>
        <v>0</v>
      </c>
      <c r="X493" s="169">
        <f t="shared" si="280"/>
        <v>0</v>
      </c>
      <c r="Y493" s="169">
        <f t="shared" si="280"/>
        <v>0</v>
      </c>
      <c r="Z493" s="169">
        <f t="shared" si="280"/>
        <v>0</v>
      </c>
      <c r="AA493" s="169">
        <f t="shared" si="280"/>
        <v>0</v>
      </c>
      <c r="AB493" s="169">
        <f t="shared" si="280"/>
        <v>0</v>
      </c>
      <c r="AC493" s="169">
        <f t="shared" si="280"/>
        <v>0</v>
      </c>
      <c r="AD493" s="169">
        <f t="shared" si="280"/>
        <v>0</v>
      </c>
      <c r="AE493" s="169">
        <f t="shared" si="280"/>
        <v>0</v>
      </c>
      <c r="AF493" s="169">
        <f t="shared" si="280"/>
        <v>0</v>
      </c>
      <c r="AG493" s="169">
        <f t="shared" si="280"/>
        <v>0</v>
      </c>
      <c r="AH493" s="169">
        <f t="shared" si="280"/>
        <v>0</v>
      </c>
      <c r="AI493" s="169">
        <f t="shared" si="280"/>
        <v>0</v>
      </c>
      <c r="AJ493" s="169">
        <f t="shared" si="280"/>
        <v>0</v>
      </c>
      <c r="AK493" s="169">
        <f t="shared" si="280"/>
        <v>0</v>
      </c>
      <c r="AL493" s="169">
        <f t="shared" si="280"/>
        <v>0</v>
      </c>
      <c r="AM493" s="169">
        <f t="shared" si="280"/>
        <v>0</v>
      </c>
      <c r="AN493" s="169">
        <f t="shared" si="280"/>
        <v>0</v>
      </c>
      <c r="AO493" s="169">
        <f t="shared" si="280"/>
        <v>0</v>
      </c>
      <c r="AP493" s="169">
        <f t="shared" si="280"/>
        <v>0</v>
      </c>
    </row>
    <row r="494" spans="1:42" x14ac:dyDescent="0.2">
      <c r="A494" s="188" t="str">
        <f t="shared" si="276"/>
        <v>20-yr SL</v>
      </c>
      <c r="B494" s="136">
        <f t="shared" si="277"/>
        <v>648151.43625000014</v>
      </c>
      <c r="C494" s="169">
        <f t="shared" ref="C494:AP494" si="281">C487*$Q454</f>
        <v>16203.785906250001</v>
      </c>
      <c r="D494" s="169">
        <f t="shared" si="281"/>
        <v>32407.571812500002</v>
      </c>
      <c r="E494" s="169">
        <f t="shared" si="281"/>
        <v>32407.571812500002</v>
      </c>
      <c r="F494" s="169">
        <f t="shared" si="281"/>
        <v>32407.571812500002</v>
      </c>
      <c r="G494" s="169">
        <f t="shared" si="281"/>
        <v>32407.571812500002</v>
      </c>
      <c r="H494" s="169">
        <f t="shared" si="281"/>
        <v>32407.571812500002</v>
      </c>
      <c r="I494" s="169">
        <f t="shared" si="281"/>
        <v>32407.571812500002</v>
      </c>
      <c r="J494" s="169">
        <f t="shared" si="281"/>
        <v>32407.571812500002</v>
      </c>
      <c r="K494" s="169">
        <f t="shared" si="281"/>
        <v>32407.571812500002</v>
      </c>
      <c r="L494" s="169">
        <f t="shared" si="281"/>
        <v>32407.571812500002</v>
      </c>
      <c r="M494" s="169">
        <f t="shared" si="281"/>
        <v>32407.571812500002</v>
      </c>
      <c r="N494" s="169">
        <f t="shared" si="281"/>
        <v>32407.571812500002</v>
      </c>
      <c r="O494" s="169">
        <f t="shared" si="281"/>
        <v>32407.571812500002</v>
      </c>
      <c r="P494" s="169">
        <f t="shared" si="281"/>
        <v>32407.571812500002</v>
      </c>
      <c r="Q494" s="169">
        <f t="shared" si="281"/>
        <v>32407.571812500002</v>
      </c>
      <c r="R494" s="169">
        <f t="shared" si="281"/>
        <v>32407.571812500002</v>
      </c>
      <c r="S494" s="169">
        <f t="shared" si="281"/>
        <v>32407.571812500002</v>
      </c>
      <c r="T494" s="169">
        <f t="shared" si="281"/>
        <v>32407.571812500002</v>
      </c>
      <c r="U494" s="169">
        <f t="shared" si="281"/>
        <v>32407.571812500002</v>
      </c>
      <c r="V494" s="169">
        <f t="shared" si="281"/>
        <v>32407.571812500002</v>
      </c>
      <c r="W494" s="169">
        <f t="shared" si="281"/>
        <v>16203.785906250001</v>
      </c>
      <c r="X494" s="169">
        <f t="shared" si="281"/>
        <v>0</v>
      </c>
      <c r="Y494" s="169">
        <f t="shared" si="281"/>
        <v>0</v>
      </c>
      <c r="Z494" s="169">
        <f t="shared" si="281"/>
        <v>0</v>
      </c>
      <c r="AA494" s="169">
        <f t="shared" si="281"/>
        <v>0</v>
      </c>
      <c r="AB494" s="169">
        <f t="shared" si="281"/>
        <v>0</v>
      </c>
      <c r="AC494" s="169">
        <f t="shared" si="281"/>
        <v>0</v>
      </c>
      <c r="AD494" s="169">
        <f t="shared" si="281"/>
        <v>0</v>
      </c>
      <c r="AE494" s="169">
        <f t="shared" si="281"/>
        <v>0</v>
      </c>
      <c r="AF494" s="169">
        <f t="shared" si="281"/>
        <v>0</v>
      </c>
      <c r="AG494" s="169">
        <f t="shared" si="281"/>
        <v>0</v>
      </c>
      <c r="AH494" s="169">
        <f t="shared" si="281"/>
        <v>0</v>
      </c>
      <c r="AI494" s="169">
        <f t="shared" si="281"/>
        <v>0</v>
      </c>
      <c r="AJ494" s="169">
        <f t="shared" si="281"/>
        <v>0</v>
      </c>
      <c r="AK494" s="169">
        <f t="shared" si="281"/>
        <v>0</v>
      </c>
      <c r="AL494" s="169">
        <f t="shared" si="281"/>
        <v>0</v>
      </c>
      <c r="AM494" s="169">
        <f t="shared" si="281"/>
        <v>0</v>
      </c>
      <c r="AN494" s="169">
        <f t="shared" si="281"/>
        <v>0</v>
      </c>
      <c r="AO494" s="169">
        <f t="shared" si="281"/>
        <v>0</v>
      </c>
      <c r="AP494" s="169">
        <f t="shared" si="281"/>
        <v>0</v>
      </c>
    </row>
    <row r="495" spans="1:42" x14ac:dyDescent="0.2">
      <c r="A495" s="188" t="str">
        <f t="shared" si="276"/>
        <v>39-yr SL</v>
      </c>
      <c r="B495" s="136">
        <f t="shared" si="277"/>
        <v>216050.4787500001</v>
      </c>
      <c r="C495" s="169">
        <f t="shared" ref="C495:AP495" si="282">C488*$Q455</f>
        <v>2769.8779326923031</v>
      </c>
      <c r="D495" s="169">
        <f t="shared" si="282"/>
        <v>5539.7558653846154</v>
      </c>
      <c r="E495" s="169">
        <f t="shared" si="282"/>
        <v>5539.7558653846154</v>
      </c>
      <c r="F495" s="169">
        <f t="shared" si="282"/>
        <v>5539.7558653846154</v>
      </c>
      <c r="G495" s="169">
        <f t="shared" si="282"/>
        <v>5539.7558653846154</v>
      </c>
      <c r="H495" s="169">
        <f t="shared" si="282"/>
        <v>5539.7558653846154</v>
      </c>
      <c r="I495" s="169">
        <f t="shared" si="282"/>
        <v>5539.7558653846154</v>
      </c>
      <c r="J495" s="169">
        <f t="shared" si="282"/>
        <v>5539.7558653846154</v>
      </c>
      <c r="K495" s="169">
        <f t="shared" si="282"/>
        <v>5539.7558653846154</v>
      </c>
      <c r="L495" s="169">
        <f t="shared" si="282"/>
        <v>5539.7558653846154</v>
      </c>
      <c r="M495" s="169">
        <f t="shared" si="282"/>
        <v>5539.7558653846154</v>
      </c>
      <c r="N495" s="169">
        <f t="shared" si="282"/>
        <v>5539.7558653846154</v>
      </c>
      <c r="O495" s="169">
        <f t="shared" si="282"/>
        <v>5539.7558653846154</v>
      </c>
      <c r="P495" s="169">
        <f t="shared" si="282"/>
        <v>5539.7558653846154</v>
      </c>
      <c r="Q495" s="169">
        <f t="shared" si="282"/>
        <v>5539.7558653846154</v>
      </c>
      <c r="R495" s="169">
        <f t="shared" si="282"/>
        <v>5539.7558653846154</v>
      </c>
      <c r="S495" s="169">
        <f t="shared" si="282"/>
        <v>5539.7558653846154</v>
      </c>
      <c r="T495" s="169">
        <f t="shared" si="282"/>
        <v>5539.7558653846154</v>
      </c>
      <c r="U495" s="169">
        <f t="shared" si="282"/>
        <v>5539.7558653846154</v>
      </c>
      <c r="V495" s="169">
        <f t="shared" si="282"/>
        <v>5539.7558653846154</v>
      </c>
      <c r="W495" s="169">
        <f t="shared" si="282"/>
        <v>5539.7558653846154</v>
      </c>
      <c r="X495" s="169">
        <f t="shared" si="282"/>
        <v>5539.7558653846154</v>
      </c>
      <c r="Y495" s="169">
        <f t="shared" si="282"/>
        <v>5539.7558653846154</v>
      </c>
      <c r="Z495" s="169">
        <f t="shared" si="282"/>
        <v>5539.7558653846154</v>
      </c>
      <c r="AA495" s="169">
        <f t="shared" si="282"/>
        <v>5539.7558653846154</v>
      </c>
      <c r="AB495" s="169">
        <f t="shared" si="282"/>
        <v>5539.7558653846154</v>
      </c>
      <c r="AC495" s="169">
        <f t="shared" si="282"/>
        <v>5539.7558653846154</v>
      </c>
      <c r="AD495" s="169">
        <f t="shared" si="282"/>
        <v>5539.7558653846154</v>
      </c>
      <c r="AE495" s="169">
        <f t="shared" si="282"/>
        <v>5539.7558653846154</v>
      </c>
      <c r="AF495" s="169">
        <f t="shared" si="282"/>
        <v>5539.7558653846154</v>
      </c>
      <c r="AG495" s="169">
        <f t="shared" si="282"/>
        <v>5539.7558653846154</v>
      </c>
      <c r="AH495" s="169">
        <f t="shared" si="282"/>
        <v>5539.7558653846154</v>
      </c>
      <c r="AI495" s="169">
        <f t="shared" si="282"/>
        <v>5539.7558653846154</v>
      </c>
      <c r="AJ495" s="169">
        <f t="shared" si="282"/>
        <v>5539.7558653846154</v>
      </c>
      <c r="AK495" s="169">
        <f t="shared" si="282"/>
        <v>5539.7558653846154</v>
      </c>
      <c r="AL495" s="169">
        <f t="shared" si="282"/>
        <v>5539.7558653846154</v>
      </c>
      <c r="AM495" s="169">
        <f t="shared" si="282"/>
        <v>5539.7558653846154</v>
      </c>
      <c r="AN495" s="169">
        <f t="shared" si="282"/>
        <v>5539.7558653846154</v>
      </c>
      <c r="AO495" s="169">
        <f t="shared" si="282"/>
        <v>5539.7558653846154</v>
      </c>
      <c r="AP495" s="169">
        <f t="shared" si="282"/>
        <v>2769.8779326923031</v>
      </c>
    </row>
    <row r="496" spans="1:42" x14ac:dyDescent="0.2">
      <c r="A496" s="188" t="s">
        <v>268</v>
      </c>
      <c r="B496" s="195">
        <f t="shared" si="277"/>
        <v>0</v>
      </c>
      <c r="C496" s="170">
        <f>P457</f>
        <v>0</v>
      </c>
      <c r="D496" s="170">
        <v>0</v>
      </c>
      <c r="E496" s="170">
        <v>0</v>
      </c>
      <c r="F496" s="170">
        <v>0</v>
      </c>
      <c r="G496" s="170">
        <v>0</v>
      </c>
      <c r="H496" s="170">
        <v>0</v>
      </c>
      <c r="I496" s="170">
        <v>0</v>
      </c>
      <c r="J496" s="170">
        <v>0</v>
      </c>
      <c r="K496" s="170">
        <v>0</v>
      </c>
      <c r="L496" s="170">
        <v>0</v>
      </c>
      <c r="M496" s="170">
        <v>0</v>
      </c>
      <c r="N496" s="170">
        <v>0</v>
      </c>
      <c r="O496" s="170">
        <v>0</v>
      </c>
      <c r="P496" s="170">
        <v>0</v>
      </c>
      <c r="Q496" s="170">
        <v>0</v>
      </c>
      <c r="R496" s="170">
        <v>0</v>
      </c>
      <c r="S496" s="170">
        <v>0</v>
      </c>
      <c r="T496" s="170">
        <v>0</v>
      </c>
      <c r="U496" s="170">
        <v>0</v>
      </c>
      <c r="V496" s="170">
        <v>0</v>
      </c>
      <c r="W496" s="170">
        <v>0</v>
      </c>
      <c r="X496" s="170">
        <v>0</v>
      </c>
      <c r="Y496" s="170">
        <v>0</v>
      </c>
      <c r="Z496" s="170">
        <v>0</v>
      </c>
      <c r="AA496" s="170">
        <v>0</v>
      </c>
      <c r="AB496" s="170">
        <v>0</v>
      </c>
      <c r="AC496" s="170">
        <v>0</v>
      </c>
      <c r="AD496" s="170">
        <v>0</v>
      </c>
      <c r="AE496" s="170">
        <v>0</v>
      </c>
      <c r="AF496" s="170">
        <v>0</v>
      </c>
      <c r="AG496" s="170">
        <v>0</v>
      </c>
      <c r="AH496" s="170">
        <v>0</v>
      </c>
      <c r="AI496" s="170">
        <v>0</v>
      </c>
      <c r="AJ496" s="170">
        <v>0</v>
      </c>
      <c r="AK496" s="170">
        <v>0</v>
      </c>
      <c r="AL496" s="170">
        <v>0</v>
      </c>
      <c r="AM496" s="170">
        <v>0</v>
      </c>
      <c r="AN496" s="170">
        <v>0</v>
      </c>
      <c r="AO496" s="170">
        <v>0</v>
      </c>
      <c r="AP496" s="170">
        <v>0</v>
      </c>
    </row>
    <row r="497" spans="1:42" x14ac:dyDescent="0.2">
      <c r="A497" s="187"/>
      <c r="B497" s="195">
        <f t="shared" si="277"/>
        <v>37052657.105625041</v>
      </c>
      <c r="C497" s="169">
        <f>SUM(C490:C496)</f>
        <v>7051395.1421035677</v>
      </c>
      <c r="D497" s="169">
        <f t="shared" ref="D497:AP497" si="283">SUM(D490:D496)</f>
        <v>11308242.15671951</v>
      </c>
      <c r="E497" s="169">
        <f t="shared" si="283"/>
        <v>6835889.2213551365</v>
      </c>
      <c r="F497" s="169">
        <f t="shared" si="283"/>
        <v>4150662.6361150094</v>
      </c>
      <c r="G497" s="169">
        <f t="shared" si="283"/>
        <v>4145671.8700558846</v>
      </c>
      <c r="H497" s="169">
        <f t="shared" si="283"/>
        <v>2131346.8364781346</v>
      </c>
      <c r="I497" s="169">
        <f t="shared" si="283"/>
        <v>119419.96321450961</v>
      </c>
      <c r="J497" s="169">
        <f t="shared" si="283"/>
        <v>119355.14807088462</v>
      </c>
      <c r="K497" s="169">
        <f t="shared" si="283"/>
        <v>119484.77835813462</v>
      </c>
      <c r="L497" s="169">
        <f t="shared" si="283"/>
        <v>119355.14807088462</v>
      </c>
      <c r="M497" s="169">
        <f t="shared" si="283"/>
        <v>119484.77835813462</v>
      </c>
      <c r="N497" s="169">
        <f t="shared" si="283"/>
        <v>119355.14807088462</v>
      </c>
      <c r="O497" s="169">
        <f t="shared" si="283"/>
        <v>119484.77835813462</v>
      </c>
      <c r="P497" s="169">
        <f t="shared" si="283"/>
        <v>119355.14807088462</v>
      </c>
      <c r="Q497" s="169">
        <f t="shared" si="283"/>
        <v>119484.77835813462</v>
      </c>
      <c r="R497" s="169">
        <f t="shared" si="283"/>
        <v>78651.23787438462</v>
      </c>
      <c r="S497" s="169">
        <f t="shared" si="283"/>
        <v>37947.327677884619</v>
      </c>
      <c r="T497" s="169">
        <f t="shared" si="283"/>
        <v>37947.327677884619</v>
      </c>
      <c r="U497" s="169">
        <f t="shared" si="283"/>
        <v>37947.327677884619</v>
      </c>
      <c r="V497" s="169">
        <f t="shared" si="283"/>
        <v>37947.327677884619</v>
      </c>
      <c r="W497" s="169">
        <f t="shared" si="283"/>
        <v>21743.541771634616</v>
      </c>
      <c r="X497" s="169">
        <f t="shared" si="283"/>
        <v>5539.7558653846154</v>
      </c>
      <c r="Y497" s="169">
        <f t="shared" si="283"/>
        <v>5539.7558653846154</v>
      </c>
      <c r="Z497" s="169">
        <f t="shared" si="283"/>
        <v>5539.7558653846154</v>
      </c>
      <c r="AA497" s="169">
        <f t="shared" si="283"/>
        <v>5539.7558653846154</v>
      </c>
      <c r="AB497" s="169">
        <f t="shared" si="283"/>
        <v>5539.7558653846154</v>
      </c>
      <c r="AC497" s="169">
        <f t="shared" si="283"/>
        <v>5539.7558653846154</v>
      </c>
      <c r="AD497" s="169">
        <f t="shared" si="283"/>
        <v>5539.7558653846154</v>
      </c>
      <c r="AE497" s="169">
        <f t="shared" si="283"/>
        <v>5539.7558653846154</v>
      </c>
      <c r="AF497" s="169">
        <f t="shared" si="283"/>
        <v>5539.7558653846154</v>
      </c>
      <c r="AG497" s="169">
        <f t="shared" si="283"/>
        <v>5539.7558653846154</v>
      </c>
      <c r="AH497" s="169">
        <f t="shared" si="283"/>
        <v>5539.7558653846154</v>
      </c>
      <c r="AI497" s="169">
        <f t="shared" si="283"/>
        <v>5539.7558653846154</v>
      </c>
      <c r="AJ497" s="169">
        <f t="shared" si="283"/>
        <v>5539.7558653846154</v>
      </c>
      <c r="AK497" s="169">
        <f t="shared" si="283"/>
        <v>5539.7558653846154</v>
      </c>
      <c r="AL497" s="169">
        <f t="shared" si="283"/>
        <v>5539.7558653846154</v>
      </c>
      <c r="AM497" s="169">
        <f t="shared" si="283"/>
        <v>5539.7558653846154</v>
      </c>
      <c r="AN497" s="169">
        <f t="shared" si="283"/>
        <v>5539.7558653846154</v>
      </c>
      <c r="AO497" s="169">
        <f t="shared" si="283"/>
        <v>5539.7558653846154</v>
      </c>
      <c r="AP497" s="169">
        <f t="shared" si="283"/>
        <v>2769.8779326923031</v>
      </c>
    </row>
    <row r="498" spans="1:42" x14ac:dyDescent="0.2">
      <c r="A498" s="187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</row>
    <row r="499" spans="1:42" x14ac:dyDescent="0.2">
      <c r="A499" s="180" t="s">
        <v>191</v>
      </c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</row>
    <row r="500" spans="1:42" x14ac:dyDescent="0.2">
      <c r="A500" s="187" t="s">
        <v>193</v>
      </c>
      <c r="B500" s="202" t="str">
        <f>MMFedTaxTreatment</f>
        <v>5-yr MACRS</v>
      </c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</row>
    <row r="501" spans="1:42" x14ac:dyDescent="0.2">
      <c r="A501" s="187" t="s">
        <v>194</v>
      </c>
      <c r="B501" s="169">
        <f t="shared" ref="B501:AP501" si="284">B2</f>
        <v>0</v>
      </c>
      <c r="C501" s="169">
        <f t="shared" si="284"/>
        <v>1</v>
      </c>
      <c r="D501" s="169">
        <f t="shared" si="284"/>
        <v>2</v>
      </c>
      <c r="E501" s="169">
        <f t="shared" si="284"/>
        <v>3</v>
      </c>
      <c r="F501" s="169">
        <f t="shared" si="284"/>
        <v>4</v>
      </c>
      <c r="G501" s="169">
        <f t="shared" si="284"/>
        <v>5</v>
      </c>
      <c r="H501" s="169">
        <f t="shared" si="284"/>
        <v>6</v>
      </c>
      <c r="I501" s="169">
        <f t="shared" si="284"/>
        <v>7</v>
      </c>
      <c r="J501" s="169">
        <f t="shared" si="284"/>
        <v>8</v>
      </c>
      <c r="K501" s="169">
        <f t="shared" si="284"/>
        <v>9</v>
      </c>
      <c r="L501" s="169">
        <f t="shared" si="284"/>
        <v>10</v>
      </c>
      <c r="M501" s="169">
        <f t="shared" si="284"/>
        <v>11</v>
      </c>
      <c r="N501" s="169">
        <f t="shared" si="284"/>
        <v>12</v>
      </c>
      <c r="O501" s="169">
        <f t="shared" si="284"/>
        <v>13</v>
      </c>
      <c r="P501" s="169">
        <f t="shared" si="284"/>
        <v>14</v>
      </c>
      <c r="Q501" s="169">
        <f t="shared" si="284"/>
        <v>15</v>
      </c>
      <c r="R501" s="169">
        <f t="shared" si="284"/>
        <v>16</v>
      </c>
      <c r="S501" s="169">
        <f t="shared" si="284"/>
        <v>17</v>
      </c>
      <c r="T501" s="169">
        <f t="shared" si="284"/>
        <v>18</v>
      </c>
      <c r="U501" s="169">
        <f t="shared" si="284"/>
        <v>19</v>
      </c>
      <c r="V501" s="169">
        <f t="shared" si="284"/>
        <v>20</v>
      </c>
      <c r="W501" s="169">
        <f t="shared" si="284"/>
        <v>21</v>
      </c>
      <c r="X501" s="169">
        <f t="shared" si="284"/>
        <v>22</v>
      </c>
      <c r="Y501" s="169">
        <f t="shared" si="284"/>
        <v>23</v>
      </c>
      <c r="Z501" s="169">
        <f t="shared" si="284"/>
        <v>24</v>
      </c>
      <c r="AA501" s="169">
        <f t="shared" si="284"/>
        <v>25</v>
      </c>
      <c r="AB501" s="169">
        <f t="shared" si="284"/>
        <v>26</v>
      </c>
      <c r="AC501" s="169">
        <f t="shared" si="284"/>
        <v>27</v>
      </c>
      <c r="AD501" s="169">
        <f t="shared" si="284"/>
        <v>28</v>
      </c>
      <c r="AE501" s="169">
        <f t="shared" si="284"/>
        <v>29</v>
      </c>
      <c r="AF501" s="169">
        <f t="shared" si="284"/>
        <v>30</v>
      </c>
      <c r="AG501" s="169">
        <f t="shared" si="284"/>
        <v>31</v>
      </c>
      <c r="AH501" s="169">
        <f t="shared" si="284"/>
        <v>32</v>
      </c>
      <c r="AI501" s="169">
        <f t="shared" si="284"/>
        <v>33</v>
      </c>
      <c r="AJ501" s="169">
        <f t="shared" si="284"/>
        <v>34</v>
      </c>
      <c r="AK501" s="169">
        <f t="shared" si="284"/>
        <v>35</v>
      </c>
      <c r="AL501" s="169">
        <f t="shared" si="284"/>
        <v>36</v>
      </c>
      <c r="AM501" s="169">
        <f t="shared" si="284"/>
        <v>37</v>
      </c>
      <c r="AN501" s="169">
        <f t="shared" si="284"/>
        <v>38</v>
      </c>
      <c r="AO501" s="169">
        <f t="shared" si="284"/>
        <v>39</v>
      </c>
      <c r="AP501" s="169">
        <f t="shared" si="284"/>
        <v>40</v>
      </c>
    </row>
    <row r="502" spans="1:42" x14ac:dyDescent="0.2">
      <c r="A502" s="187" t="s">
        <v>195</v>
      </c>
      <c r="B502" s="203">
        <v>0</v>
      </c>
      <c r="C502" s="198">
        <f t="shared" ref="C502:AP502" si="285">IF($B$500=$A483,C483,0)+IF($B$500=$A484,C484,0)+IF($B$500=$A485,C485,0)+IF($B$500=$A486,C486,0)+IF($B$500=$A487,C487,0)+IF($B$500=$A488,C488,0)</f>
        <v>0.2</v>
      </c>
      <c r="D502" s="198">
        <f t="shared" si="285"/>
        <v>0.32</v>
      </c>
      <c r="E502" s="198">
        <f t="shared" si="285"/>
        <v>0.192</v>
      </c>
      <c r="F502" s="198">
        <f t="shared" si="285"/>
        <v>0.1152</v>
      </c>
      <c r="G502" s="198">
        <f t="shared" si="285"/>
        <v>0.1152</v>
      </c>
      <c r="H502" s="198">
        <f t="shared" si="285"/>
        <v>5.7599999999999998E-2</v>
      </c>
      <c r="I502" s="198">
        <f t="shared" si="285"/>
        <v>0</v>
      </c>
      <c r="J502" s="198">
        <f t="shared" si="285"/>
        <v>0</v>
      </c>
      <c r="K502" s="198">
        <f t="shared" si="285"/>
        <v>0</v>
      </c>
      <c r="L502" s="198">
        <f t="shared" si="285"/>
        <v>0</v>
      </c>
      <c r="M502" s="198">
        <f t="shared" si="285"/>
        <v>0</v>
      </c>
      <c r="N502" s="198">
        <f t="shared" si="285"/>
        <v>0</v>
      </c>
      <c r="O502" s="198">
        <f t="shared" si="285"/>
        <v>0</v>
      </c>
      <c r="P502" s="198">
        <f t="shared" si="285"/>
        <v>0</v>
      </c>
      <c r="Q502" s="198">
        <f t="shared" si="285"/>
        <v>0</v>
      </c>
      <c r="R502" s="198">
        <f t="shared" si="285"/>
        <v>0</v>
      </c>
      <c r="S502" s="198">
        <f t="shared" si="285"/>
        <v>0</v>
      </c>
      <c r="T502" s="198">
        <f t="shared" si="285"/>
        <v>0</v>
      </c>
      <c r="U502" s="198">
        <f t="shared" si="285"/>
        <v>0</v>
      </c>
      <c r="V502" s="198">
        <f t="shared" si="285"/>
        <v>0</v>
      </c>
      <c r="W502" s="198">
        <f t="shared" si="285"/>
        <v>0</v>
      </c>
      <c r="X502" s="198">
        <f t="shared" si="285"/>
        <v>0</v>
      </c>
      <c r="Y502" s="198">
        <f t="shared" si="285"/>
        <v>0</v>
      </c>
      <c r="Z502" s="198">
        <f t="shared" si="285"/>
        <v>0</v>
      </c>
      <c r="AA502" s="198">
        <f t="shared" si="285"/>
        <v>0</v>
      </c>
      <c r="AB502" s="198">
        <f t="shared" si="285"/>
        <v>0</v>
      </c>
      <c r="AC502" s="198">
        <f t="shared" si="285"/>
        <v>0</v>
      </c>
      <c r="AD502" s="198">
        <f t="shared" si="285"/>
        <v>0</v>
      </c>
      <c r="AE502" s="198">
        <f t="shared" si="285"/>
        <v>0</v>
      </c>
      <c r="AF502" s="198">
        <f t="shared" si="285"/>
        <v>0</v>
      </c>
      <c r="AG502" s="198">
        <f t="shared" si="285"/>
        <v>0</v>
      </c>
      <c r="AH502" s="198">
        <f t="shared" si="285"/>
        <v>0</v>
      </c>
      <c r="AI502" s="198">
        <f t="shared" si="285"/>
        <v>0</v>
      </c>
      <c r="AJ502" s="198">
        <f t="shared" si="285"/>
        <v>0</v>
      </c>
      <c r="AK502" s="198">
        <f t="shared" si="285"/>
        <v>0</v>
      </c>
      <c r="AL502" s="198">
        <f t="shared" si="285"/>
        <v>0</v>
      </c>
      <c r="AM502" s="198">
        <f t="shared" si="285"/>
        <v>0</v>
      </c>
      <c r="AN502" s="198">
        <f t="shared" si="285"/>
        <v>0</v>
      </c>
      <c r="AO502" s="198">
        <f t="shared" si="285"/>
        <v>0</v>
      </c>
      <c r="AP502" s="198">
        <f t="shared" si="285"/>
        <v>0</v>
      </c>
    </row>
    <row r="503" spans="1:42" x14ac:dyDescent="0.2">
      <c r="A503" s="180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</row>
    <row r="504" spans="1:42" x14ac:dyDescent="0.2">
      <c r="A504" s="180" t="s">
        <v>303</v>
      </c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</row>
    <row r="505" spans="1:42" x14ac:dyDescent="0.2">
      <c r="A505" s="187" t="s">
        <v>192</v>
      </c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</row>
    <row r="506" spans="1:42" x14ac:dyDescent="0.2">
      <c r="A506" s="101">
        <v>1</v>
      </c>
      <c r="C506" s="169">
        <f>C372</f>
        <v>0</v>
      </c>
      <c r="D506" s="169">
        <f t="shared" ref="D506:AP512" si="286">D372</f>
        <v>0</v>
      </c>
      <c r="E506" s="169">
        <f t="shared" si="286"/>
        <v>0</v>
      </c>
      <c r="F506" s="169">
        <f t="shared" si="286"/>
        <v>0</v>
      </c>
      <c r="G506" s="169">
        <f t="shared" si="286"/>
        <v>0</v>
      </c>
      <c r="H506" s="169">
        <f t="shared" si="286"/>
        <v>0</v>
      </c>
      <c r="I506" s="169">
        <f t="shared" si="286"/>
        <v>0</v>
      </c>
      <c r="J506" s="169">
        <f t="shared" si="286"/>
        <v>0</v>
      </c>
      <c r="K506" s="169">
        <f t="shared" si="286"/>
        <v>0</v>
      </c>
      <c r="L506" s="169">
        <f t="shared" si="286"/>
        <v>0</v>
      </c>
      <c r="M506" s="169">
        <f t="shared" si="286"/>
        <v>0</v>
      </c>
      <c r="N506" s="169">
        <f t="shared" si="286"/>
        <v>1</v>
      </c>
      <c r="O506" s="169">
        <f t="shared" si="286"/>
        <v>2</v>
      </c>
      <c r="P506" s="169">
        <f t="shared" si="286"/>
        <v>3</v>
      </c>
      <c r="Q506" s="169">
        <f t="shared" si="286"/>
        <v>4</v>
      </c>
      <c r="R506" s="169">
        <f t="shared" si="286"/>
        <v>5</v>
      </c>
      <c r="S506" s="169">
        <f t="shared" si="286"/>
        <v>6</v>
      </c>
      <c r="T506" s="169">
        <f t="shared" si="286"/>
        <v>7</v>
      </c>
      <c r="U506" s="169">
        <f t="shared" si="286"/>
        <v>8</v>
      </c>
      <c r="V506" s="169">
        <f t="shared" si="286"/>
        <v>9</v>
      </c>
      <c r="W506" s="169">
        <f t="shared" si="286"/>
        <v>10</v>
      </c>
      <c r="X506" s="169">
        <f t="shared" si="286"/>
        <v>11</v>
      </c>
      <c r="Y506" s="169">
        <f t="shared" si="286"/>
        <v>12</v>
      </c>
      <c r="Z506" s="169">
        <f t="shared" si="286"/>
        <v>13</v>
      </c>
      <c r="AA506" s="169">
        <f t="shared" si="286"/>
        <v>14</v>
      </c>
      <c r="AB506" s="169">
        <f t="shared" si="286"/>
        <v>15</v>
      </c>
      <c r="AC506" s="169">
        <f t="shared" si="286"/>
        <v>16</v>
      </c>
      <c r="AD506" s="169">
        <f t="shared" si="286"/>
        <v>17</v>
      </c>
      <c r="AE506" s="169">
        <f t="shared" si="286"/>
        <v>18</v>
      </c>
      <c r="AF506" s="169">
        <f t="shared" si="286"/>
        <v>19</v>
      </c>
      <c r="AG506" s="169">
        <f t="shared" si="286"/>
        <v>20</v>
      </c>
      <c r="AH506" s="169">
        <f t="shared" si="286"/>
        <v>21</v>
      </c>
      <c r="AI506" s="169">
        <f t="shared" si="286"/>
        <v>22</v>
      </c>
      <c r="AJ506" s="169">
        <f t="shared" si="286"/>
        <v>23</v>
      </c>
      <c r="AK506" s="169">
        <f t="shared" si="286"/>
        <v>24</v>
      </c>
      <c r="AL506" s="169">
        <f t="shared" si="286"/>
        <v>25</v>
      </c>
      <c r="AM506" s="169">
        <f t="shared" si="286"/>
        <v>26</v>
      </c>
      <c r="AN506" s="169">
        <f t="shared" si="286"/>
        <v>27</v>
      </c>
      <c r="AO506" s="169">
        <f t="shared" si="286"/>
        <v>28</v>
      </c>
      <c r="AP506" s="169">
        <f t="shared" si="286"/>
        <v>29</v>
      </c>
    </row>
    <row r="507" spans="1:42" x14ac:dyDescent="0.2">
      <c r="A507" s="101">
        <f>A506+1</f>
        <v>2</v>
      </c>
      <c r="C507" s="169">
        <f t="shared" ref="C507:R515" si="287">C373</f>
        <v>0</v>
      </c>
      <c r="D507" s="169">
        <f t="shared" si="286"/>
        <v>0</v>
      </c>
      <c r="E507" s="169">
        <f t="shared" si="286"/>
        <v>0</v>
      </c>
      <c r="F507" s="169">
        <f t="shared" si="286"/>
        <v>0</v>
      </c>
      <c r="G507" s="169">
        <f t="shared" si="286"/>
        <v>0</v>
      </c>
      <c r="H507" s="169">
        <f t="shared" si="286"/>
        <v>0</v>
      </c>
      <c r="I507" s="169">
        <f t="shared" si="286"/>
        <v>0</v>
      </c>
      <c r="J507" s="169">
        <f t="shared" si="286"/>
        <v>0</v>
      </c>
      <c r="K507" s="169">
        <f t="shared" si="286"/>
        <v>0</v>
      </c>
      <c r="L507" s="169">
        <f t="shared" si="286"/>
        <v>0</v>
      </c>
      <c r="M507" s="169">
        <f t="shared" si="286"/>
        <v>0</v>
      </c>
      <c r="N507" s="169">
        <f t="shared" si="286"/>
        <v>0</v>
      </c>
      <c r="O507" s="169">
        <f t="shared" si="286"/>
        <v>0</v>
      </c>
      <c r="P507" s="169">
        <f t="shared" si="286"/>
        <v>0</v>
      </c>
      <c r="Q507" s="169">
        <f t="shared" si="286"/>
        <v>0</v>
      </c>
      <c r="R507" s="169">
        <f t="shared" si="286"/>
        <v>0</v>
      </c>
      <c r="S507" s="169">
        <f t="shared" si="286"/>
        <v>0</v>
      </c>
      <c r="T507" s="169">
        <f t="shared" si="286"/>
        <v>0</v>
      </c>
      <c r="U507" s="169">
        <f t="shared" si="286"/>
        <v>0</v>
      </c>
      <c r="V507" s="169">
        <f t="shared" si="286"/>
        <v>0</v>
      </c>
      <c r="W507" s="169">
        <f t="shared" si="286"/>
        <v>0</v>
      </c>
      <c r="X507" s="169">
        <f t="shared" si="286"/>
        <v>0</v>
      </c>
      <c r="Y507" s="169">
        <f t="shared" si="286"/>
        <v>0</v>
      </c>
      <c r="Z507" s="169">
        <f t="shared" si="286"/>
        <v>1</v>
      </c>
      <c r="AA507" s="169">
        <f t="shared" si="286"/>
        <v>2</v>
      </c>
      <c r="AB507" s="169">
        <f t="shared" si="286"/>
        <v>3</v>
      </c>
      <c r="AC507" s="169">
        <f t="shared" si="286"/>
        <v>4</v>
      </c>
      <c r="AD507" s="169">
        <f t="shared" si="286"/>
        <v>5</v>
      </c>
      <c r="AE507" s="169">
        <f t="shared" si="286"/>
        <v>6</v>
      </c>
      <c r="AF507" s="169">
        <f t="shared" si="286"/>
        <v>7</v>
      </c>
      <c r="AG507" s="169">
        <f t="shared" si="286"/>
        <v>8</v>
      </c>
      <c r="AH507" s="169">
        <f t="shared" si="286"/>
        <v>9</v>
      </c>
      <c r="AI507" s="169">
        <f t="shared" si="286"/>
        <v>10</v>
      </c>
      <c r="AJ507" s="169">
        <f t="shared" si="286"/>
        <v>11</v>
      </c>
      <c r="AK507" s="169">
        <f t="shared" si="286"/>
        <v>12</v>
      </c>
      <c r="AL507" s="169">
        <f t="shared" si="286"/>
        <v>13</v>
      </c>
      <c r="AM507" s="169">
        <f t="shared" si="286"/>
        <v>14</v>
      </c>
      <c r="AN507" s="169">
        <f t="shared" si="286"/>
        <v>15</v>
      </c>
      <c r="AO507" s="169">
        <f t="shared" si="286"/>
        <v>16</v>
      </c>
      <c r="AP507" s="169">
        <f t="shared" si="286"/>
        <v>17</v>
      </c>
    </row>
    <row r="508" spans="1:42" x14ac:dyDescent="0.2">
      <c r="A508" s="101">
        <f t="shared" ref="A508:A513" si="288">A507+1</f>
        <v>3</v>
      </c>
      <c r="C508" s="169">
        <f t="shared" si="287"/>
        <v>0</v>
      </c>
      <c r="D508" s="169">
        <f t="shared" si="286"/>
        <v>0</v>
      </c>
      <c r="E508" s="169">
        <f t="shared" si="286"/>
        <v>0</v>
      </c>
      <c r="F508" s="169">
        <f t="shared" si="286"/>
        <v>0</v>
      </c>
      <c r="G508" s="169">
        <f t="shared" si="286"/>
        <v>0</v>
      </c>
      <c r="H508" s="169">
        <f t="shared" si="286"/>
        <v>0</v>
      </c>
      <c r="I508" s="169">
        <f t="shared" si="286"/>
        <v>0</v>
      </c>
      <c r="J508" s="169">
        <f t="shared" si="286"/>
        <v>0</v>
      </c>
      <c r="K508" s="169">
        <f t="shared" si="286"/>
        <v>0</v>
      </c>
      <c r="L508" s="169">
        <f t="shared" si="286"/>
        <v>0</v>
      </c>
      <c r="M508" s="169">
        <f t="shared" si="286"/>
        <v>0</v>
      </c>
      <c r="N508" s="169">
        <f t="shared" si="286"/>
        <v>0</v>
      </c>
      <c r="O508" s="169">
        <f t="shared" si="286"/>
        <v>0</v>
      </c>
      <c r="P508" s="169">
        <f t="shared" si="286"/>
        <v>0</v>
      </c>
      <c r="Q508" s="169">
        <f t="shared" si="286"/>
        <v>0</v>
      </c>
      <c r="R508" s="169">
        <f t="shared" si="286"/>
        <v>0</v>
      </c>
      <c r="S508" s="169">
        <f t="shared" si="286"/>
        <v>0</v>
      </c>
      <c r="T508" s="169">
        <f t="shared" si="286"/>
        <v>0</v>
      </c>
      <c r="U508" s="169">
        <f t="shared" si="286"/>
        <v>0</v>
      </c>
      <c r="V508" s="169">
        <f t="shared" si="286"/>
        <v>0</v>
      </c>
      <c r="W508" s="169">
        <f t="shared" si="286"/>
        <v>0</v>
      </c>
      <c r="X508" s="169">
        <f t="shared" si="286"/>
        <v>0</v>
      </c>
      <c r="Y508" s="169">
        <f t="shared" si="286"/>
        <v>0</v>
      </c>
      <c r="Z508" s="169">
        <f t="shared" si="286"/>
        <v>0</v>
      </c>
      <c r="AA508" s="169">
        <f t="shared" si="286"/>
        <v>0</v>
      </c>
      <c r="AB508" s="169">
        <f t="shared" si="286"/>
        <v>0</v>
      </c>
      <c r="AC508" s="169">
        <f t="shared" si="286"/>
        <v>0</v>
      </c>
      <c r="AD508" s="169">
        <f t="shared" si="286"/>
        <v>0</v>
      </c>
      <c r="AE508" s="169">
        <f t="shared" si="286"/>
        <v>0</v>
      </c>
      <c r="AF508" s="169">
        <f t="shared" si="286"/>
        <v>0</v>
      </c>
      <c r="AG508" s="169">
        <f t="shared" si="286"/>
        <v>0</v>
      </c>
      <c r="AH508" s="169">
        <f t="shared" si="286"/>
        <v>0</v>
      </c>
      <c r="AI508" s="169">
        <f t="shared" si="286"/>
        <v>0</v>
      </c>
      <c r="AJ508" s="169">
        <f t="shared" si="286"/>
        <v>0</v>
      </c>
      <c r="AK508" s="169">
        <f t="shared" si="286"/>
        <v>0</v>
      </c>
      <c r="AL508" s="169">
        <f t="shared" si="286"/>
        <v>1</v>
      </c>
      <c r="AM508" s="169">
        <f t="shared" si="286"/>
        <v>2</v>
      </c>
      <c r="AN508" s="169">
        <f t="shared" si="286"/>
        <v>3</v>
      </c>
      <c r="AO508" s="169">
        <f t="shared" si="286"/>
        <v>4</v>
      </c>
      <c r="AP508" s="169">
        <f t="shared" si="286"/>
        <v>5</v>
      </c>
    </row>
    <row r="509" spans="1:42" x14ac:dyDescent="0.2">
      <c r="A509" s="101">
        <f t="shared" si="288"/>
        <v>4</v>
      </c>
      <c r="C509" s="169">
        <f t="shared" si="287"/>
        <v>0</v>
      </c>
      <c r="D509" s="169">
        <f t="shared" si="286"/>
        <v>0</v>
      </c>
      <c r="E509" s="169">
        <f t="shared" si="286"/>
        <v>0</v>
      </c>
      <c r="F509" s="169">
        <f t="shared" si="286"/>
        <v>0</v>
      </c>
      <c r="G509" s="169">
        <f t="shared" si="286"/>
        <v>0</v>
      </c>
      <c r="H509" s="169">
        <f t="shared" si="286"/>
        <v>0</v>
      </c>
      <c r="I509" s="169">
        <f t="shared" si="286"/>
        <v>0</v>
      </c>
      <c r="J509" s="169">
        <f t="shared" si="286"/>
        <v>0</v>
      </c>
      <c r="K509" s="169">
        <f t="shared" si="286"/>
        <v>0</v>
      </c>
      <c r="L509" s="169">
        <f t="shared" si="286"/>
        <v>0</v>
      </c>
      <c r="M509" s="169">
        <f t="shared" si="286"/>
        <v>0</v>
      </c>
      <c r="N509" s="169">
        <f t="shared" si="286"/>
        <v>0</v>
      </c>
      <c r="O509" s="169">
        <f t="shared" si="286"/>
        <v>0</v>
      </c>
      <c r="P509" s="169">
        <f t="shared" si="286"/>
        <v>0</v>
      </c>
      <c r="Q509" s="169">
        <f t="shared" si="286"/>
        <v>0</v>
      </c>
      <c r="R509" s="169">
        <f t="shared" si="286"/>
        <v>0</v>
      </c>
      <c r="S509" s="169">
        <f t="shared" si="286"/>
        <v>0</v>
      </c>
      <c r="T509" s="169">
        <f t="shared" si="286"/>
        <v>0</v>
      </c>
      <c r="U509" s="169">
        <f t="shared" si="286"/>
        <v>0</v>
      </c>
      <c r="V509" s="169">
        <f t="shared" si="286"/>
        <v>0</v>
      </c>
      <c r="W509" s="169">
        <f t="shared" si="286"/>
        <v>0</v>
      </c>
      <c r="X509" s="169">
        <f t="shared" si="286"/>
        <v>0</v>
      </c>
      <c r="Y509" s="169">
        <f t="shared" si="286"/>
        <v>0</v>
      </c>
      <c r="Z509" s="169">
        <f t="shared" si="286"/>
        <v>0</v>
      </c>
      <c r="AA509" s="169">
        <f t="shared" si="286"/>
        <v>0</v>
      </c>
      <c r="AB509" s="169">
        <f t="shared" si="286"/>
        <v>0</v>
      </c>
      <c r="AC509" s="169">
        <f t="shared" si="286"/>
        <v>0</v>
      </c>
      <c r="AD509" s="169">
        <f t="shared" si="286"/>
        <v>0</v>
      </c>
      <c r="AE509" s="169">
        <f t="shared" si="286"/>
        <v>0</v>
      </c>
      <c r="AF509" s="169">
        <f t="shared" si="286"/>
        <v>0</v>
      </c>
      <c r="AG509" s="169">
        <f t="shared" si="286"/>
        <v>0</v>
      </c>
      <c r="AH509" s="169">
        <f t="shared" si="286"/>
        <v>0</v>
      </c>
      <c r="AI509" s="169">
        <f t="shared" si="286"/>
        <v>0</v>
      </c>
      <c r="AJ509" s="169">
        <f t="shared" si="286"/>
        <v>0</v>
      </c>
      <c r="AK509" s="169">
        <f t="shared" si="286"/>
        <v>0</v>
      </c>
      <c r="AL509" s="169">
        <f t="shared" si="286"/>
        <v>0</v>
      </c>
      <c r="AM509" s="169">
        <f t="shared" si="286"/>
        <v>0</v>
      </c>
      <c r="AN509" s="169">
        <f t="shared" si="286"/>
        <v>0</v>
      </c>
      <c r="AO509" s="169">
        <f t="shared" si="286"/>
        <v>0</v>
      </c>
      <c r="AP509" s="169">
        <f t="shared" si="286"/>
        <v>0</v>
      </c>
    </row>
    <row r="510" spans="1:42" x14ac:dyDescent="0.2">
      <c r="A510" s="101">
        <f t="shared" si="288"/>
        <v>5</v>
      </c>
      <c r="C510" s="169">
        <f t="shared" si="287"/>
        <v>0</v>
      </c>
      <c r="D510" s="169">
        <f t="shared" si="286"/>
        <v>0</v>
      </c>
      <c r="E510" s="169">
        <f t="shared" si="286"/>
        <v>0</v>
      </c>
      <c r="F510" s="169">
        <f t="shared" si="286"/>
        <v>0</v>
      </c>
      <c r="G510" s="169">
        <f t="shared" si="286"/>
        <v>0</v>
      </c>
      <c r="H510" s="169">
        <f t="shared" si="286"/>
        <v>0</v>
      </c>
      <c r="I510" s="169">
        <f t="shared" si="286"/>
        <v>0</v>
      </c>
      <c r="J510" s="169">
        <f t="shared" si="286"/>
        <v>0</v>
      </c>
      <c r="K510" s="169">
        <f t="shared" si="286"/>
        <v>0</v>
      </c>
      <c r="L510" s="169">
        <f t="shared" si="286"/>
        <v>0</v>
      </c>
      <c r="M510" s="169">
        <f t="shared" si="286"/>
        <v>0</v>
      </c>
      <c r="N510" s="169">
        <f t="shared" si="286"/>
        <v>0</v>
      </c>
      <c r="O510" s="169">
        <f t="shared" si="286"/>
        <v>0</v>
      </c>
      <c r="P510" s="169">
        <f t="shared" si="286"/>
        <v>0</v>
      </c>
      <c r="Q510" s="169">
        <f t="shared" si="286"/>
        <v>0</v>
      </c>
      <c r="R510" s="169">
        <f t="shared" si="286"/>
        <v>0</v>
      </c>
      <c r="S510" s="169">
        <f t="shared" si="286"/>
        <v>0</v>
      </c>
      <c r="T510" s="169">
        <f t="shared" si="286"/>
        <v>0</v>
      </c>
      <c r="U510" s="169">
        <f t="shared" si="286"/>
        <v>0</v>
      </c>
      <c r="V510" s="169">
        <f t="shared" si="286"/>
        <v>0</v>
      </c>
      <c r="W510" s="169">
        <f t="shared" si="286"/>
        <v>0</v>
      </c>
      <c r="X510" s="169">
        <f t="shared" si="286"/>
        <v>0</v>
      </c>
      <c r="Y510" s="169">
        <f t="shared" si="286"/>
        <v>0</v>
      </c>
      <c r="Z510" s="169">
        <f t="shared" si="286"/>
        <v>0</v>
      </c>
      <c r="AA510" s="169">
        <f t="shared" si="286"/>
        <v>0</v>
      </c>
      <c r="AB510" s="169">
        <f t="shared" si="286"/>
        <v>0</v>
      </c>
      <c r="AC510" s="169">
        <f t="shared" si="286"/>
        <v>0</v>
      </c>
      <c r="AD510" s="169">
        <f t="shared" si="286"/>
        <v>0</v>
      </c>
      <c r="AE510" s="169">
        <f t="shared" si="286"/>
        <v>0</v>
      </c>
      <c r="AF510" s="169">
        <f t="shared" si="286"/>
        <v>0</v>
      </c>
      <c r="AG510" s="169">
        <f t="shared" si="286"/>
        <v>0</v>
      </c>
      <c r="AH510" s="169">
        <f t="shared" si="286"/>
        <v>0</v>
      </c>
      <c r="AI510" s="169">
        <f t="shared" si="286"/>
        <v>0</v>
      </c>
      <c r="AJ510" s="169">
        <f t="shared" si="286"/>
        <v>0</v>
      </c>
      <c r="AK510" s="169">
        <f t="shared" si="286"/>
        <v>0</v>
      </c>
      <c r="AL510" s="169">
        <f t="shared" si="286"/>
        <v>0</v>
      </c>
      <c r="AM510" s="169">
        <f t="shared" si="286"/>
        <v>0</v>
      </c>
      <c r="AN510" s="169">
        <f t="shared" si="286"/>
        <v>0</v>
      </c>
      <c r="AO510" s="169">
        <f t="shared" si="286"/>
        <v>0</v>
      </c>
      <c r="AP510" s="169">
        <f t="shared" si="286"/>
        <v>0</v>
      </c>
    </row>
    <row r="511" spans="1:42" x14ac:dyDescent="0.2">
      <c r="A511" s="101">
        <f t="shared" si="288"/>
        <v>6</v>
      </c>
      <c r="C511" s="169">
        <f t="shared" si="287"/>
        <v>0</v>
      </c>
      <c r="D511" s="169">
        <f t="shared" si="286"/>
        <v>0</v>
      </c>
      <c r="E511" s="169">
        <f t="shared" si="286"/>
        <v>0</v>
      </c>
      <c r="F511" s="169">
        <f t="shared" si="286"/>
        <v>0</v>
      </c>
      <c r="G511" s="169">
        <f t="shared" si="286"/>
        <v>0</v>
      </c>
      <c r="H511" s="169">
        <f t="shared" si="286"/>
        <v>0</v>
      </c>
      <c r="I511" s="169">
        <f t="shared" si="286"/>
        <v>0</v>
      </c>
      <c r="J511" s="169">
        <f t="shared" si="286"/>
        <v>0</v>
      </c>
      <c r="K511" s="169">
        <f t="shared" si="286"/>
        <v>0</v>
      </c>
      <c r="L511" s="169">
        <f t="shared" si="286"/>
        <v>0</v>
      </c>
      <c r="M511" s="169">
        <f t="shared" si="286"/>
        <v>0</v>
      </c>
      <c r="N511" s="169">
        <f t="shared" si="286"/>
        <v>0</v>
      </c>
      <c r="O511" s="169">
        <f t="shared" si="286"/>
        <v>0</v>
      </c>
      <c r="P511" s="169">
        <f t="shared" si="286"/>
        <v>0</v>
      </c>
      <c r="Q511" s="169">
        <f t="shared" si="286"/>
        <v>0</v>
      </c>
      <c r="R511" s="169">
        <f t="shared" si="286"/>
        <v>0</v>
      </c>
      <c r="S511" s="169">
        <f t="shared" si="286"/>
        <v>0</v>
      </c>
      <c r="T511" s="169">
        <f t="shared" si="286"/>
        <v>0</v>
      </c>
      <c r="U511" s="169">
        <f t="shared" si="286"/>
        <v>0</v>
      </c>
      <c r="V511" s="169">
        <f t="shared" si="286"/>
        <v>0</v>
      </c>
      <c r="W511" s="169">
        <f t="shared" si="286"/>
        <v>0</v>
      </c>
      <c r="X511" s="169">
        <f t="shared" si="286"/>
        <v>0</v>
      </c>
      <c r="Y511" s="169">
        <f t="shared" si="286"/>
        <v>0</v>
      </c>
      <c r="Z511" s="169">
        <f t="shared" si="286"/>
        <v>0</v>
      </c>
      <c r="AA511" s="169">
        <f t="shared" si="286"/>
        <v>0</v>
      </c>
      <c r="AB511" s="169">
        <f t="shared" si="286"/>
        <v>0</v>
      </c>
      <c r="AC511" s="169">
        <f t="shared" si="286"/>
        <v>0</v>
      </c>
      <c r="AD511" s="169">
        <f t="shared" si="286"/>
        <v>0</v>
      </c>
      <c r="AE511" s="169">
        <f t="shared" si="286"/>
        <v>0</v>
      </c>
      <c r="AF511" s="169">
        <f t="shared" si="286"/>
        <v>0</v>
      </c>
      <c r="AG511" s="169">
        <f t="shared" si="286"/>
        <v>0</v>
      </c>
      <c r="AH511" s="169">
        <f t="shared" si="286"/>
        <v>0</v>
      </c>
      <c r="AI511" s="169">
        <f t="shared" si="286"/>
        <v>0</v>
      </c>
      <c r="AJ511" s="169">
        <f t="shared" si="286"/>
        <v>0</v>
      </c>
      <c r="AK511" s="169">
        <f t="shared" si="286"/>
        <v>0</v>
      </c>
      <c r="AL511" s="169">
        <f t="shared" si="286"/>
        <v>0</v>
      </c>
      <c r="AM511" s="169">
        <f t="shared" si="286"/>
        <v>0</v>
      </c>
      <c r="AN511" s="169">
        <f t="shared" si="286"/>
        <v>0</v>
      </c>
      <c r="AO511" s="169">
        <f t="shared" si="286"/>
        <v>0</v>
      </c>
      <c r="AP511" s="169">
        <f t="shared" si="286"/>
        <v>0</v>
      </c>
    </row>
    <row r="512" spans="1:42" x14ac:dyDescent="0.2">
      <c r="A512" s="101">
        <f t="shared" si="288"/>
        <v>7</v>
      </c>
      <c r="C512" s="169">
        <f t="shared" si="287"/>
        <v>0</v>
      </c>
      <c r="D512" s="169">
        <f t="shared" si="286"/>
        <v>0</v>
      </c>
      <c r="E512" s="169">
        <f t="shared" si="286"/>
        <v>0</v>
      </c>
      <c r="F512" s="169">
        <f t="shared" si="286"/>
        <v>0</v>
      </c>
      <c r="G512" s="169">
        <f t="shared" si="286"/>
        <v>0</v>
      </c>
      <c r="H512" s="169">
        <f t="shared" si="286"/>
        <v>0</v>
      </c>
      <c r="I512" s="169">
        <f t="shared" si="286"/>
        <v>0</v>
      </c>
      <c r="J512" s="169">
        <f t="shared" si="286"/>
        <v>0</v>
      </c>
      <c r="K512" s="169">
        <f t="shared" si="286"/>
        <v>0</v>
      </c>
      <c r="L512" s="169">
        <f t="shared" si="286"/>
        <v>0</v>
      </c>
      <c r="M512" s="169">
        <f t="shared" si="286"/>
        <v>0</v>
      </c>
      <c r="N512" s="169">
        <f t="shared" si="286"/>
        <v>0</v>
      </c>
      <c r="O512" s="169">
        <f t="shared" si="286"/>
        <v>0</v>
      </c>
      <c r="P512" s="169">
        <f t="shared" si="286"/>
        <v>0</v>
      </c>
      <c r="Q512" s="169">
        <f t="shared" si="286"/>
        <v>0</v>
      </c>
      <c r="R512" s="169">
        <f t="shared" si="286"/>
        <v>0</v>
      </c>
      <c r="S512" s="169">
        <f t="shared" si="286"/>
        <v>0</v>
      </c>
      <c r="T512" s="169">
        <f t="shared" si="286"/>
        <v>0</v>
      </c>
      <c r="U512" s="169">
        <f t="shared" si="286"/>
        <v>0</v>
      </c>
      <c r="V512" s="169">
        <f t="shared" si="286"/>
        <v>0</v>
      </c>
      <c r="W512" s="169">
        <f t="shared" si="286"/>
        <v>0</v>
      </c>
      <c r="X512" s="169">
        <f t="shared" si="286"/>
        <v>0</v>
      </c>
      <c r="Y512" s="169">
        <f t="shared" ref="Y512:AP512" si="289">Y378</f>
        <v>0</v>
      </c>
      <c r="Z512" s="169">
        <f t="shared" si="289"/>
        <v>0</v>
      </c>
      <c r="AA512" s="169">
        <f t="shared" si="289"/>
        <v>0</v>
      </c>
      <c r="AB512" s="169">
        <f t="shared" si="289"/>
        <v>0</v>
      </c>
      <c r="AC512" s="169">
        <f t="shared" si="289"/>
        <v>0</v>
      </c>
      <c r="AD512" s="169">
        <f t="shared" si="289"/>
        <v>0</v>
      </c>
      <c r="AE512" s="169">
        <f t="shared" si="289"/>
        <v>0</v>
      </c>
      <c r="AF512" s="169">
        <f t="shared" si="289"/>
        <v>0</v>
      </c>
      <c r="AG512" s="169">
        <f t="shared" si="289"/>
        <v>0</v>
      </c>
      <c r="AH512" s="169">
        <f t="shared" si="289"/>
        <v>0</v>
      </c>
      <c r="AI512" s="169">
        <f t="shared" si="289"/>
        <v>0</v>
      </c>
      <c r="AJ512" s="169">
        <f t="shared" si="289"/>
        <v>0</v>
      </c>
      <c r="AK512" s="169">
        <f t="shared" si="289"/>
        <v>0</v>
      </c>
      <c r="AL512" s="169">
        <f t="shared" si="289"/>
        <v>0</v>
      </c>
      <c r="AM512" s="169">
        <f t="shared" si="289"/>
        <v>0</v>
      </c>
      <c r="AN512" s="169">
        <f t="shared" si="289"/>
        <v>0</v>
      </c>
      <c r="AO512" s="169">
        <f t="shared" si="289"/>
        <v>0</v>
      </c>
      <c r="AP512" s="169">
        <f t="shared" si="289"/>
        <v>0</v>
      </c>
    </row>
    <row r="513" spans="1:42" x14ac:dyDescent="0.2">
      <c r="A513" s="101">
        <f t="shared" si="288"/>
        <v>8</v>
      </c>
      <c r="C513" s="169">
        <f t="shared" si="287"/>
        <v>0</v>
      </c>
      <c r="D513" s="169">
        <f t="shared" si="287"/>
        <v>0</v>
      </c>
      <c r="E513" s="169">
        <f t="shared" si="287"/>
        <v>0</v>
      </c>
      <c r="F513" s="169">
        <f t="shared" si="287"/>
        <v>0</v>
      </c>
      <c r="G513" s="169">
        <f t="shared" si="287"/>
        <v>0</v>
      </c>
      <c r="H513" s="169">
        <f t="shared" si="287"/>
        <v>0</v>
      </c>
      <c r="I513" s="169">
        <f t="shared" si="287"/>
        <v>0</v>
      </c>
      <c r="J513" s="169">
        <f t="shared" si="287"/>
        <v>0</v>
      </c>
      <c r="K513" s="169">
        <f t="shared" si="287"/>
        <v>0</v>
      </c>
      <c r="L513" s="169">
        <f t="shared" si="287"/>
        <v>0</v>
      </c>
      <c r="M513" s="169">
        <f t="shared" si="287"/>
        <v>0</v>
      </c>
      <c r="N513" s="169">
        <f t="shared" si="287"/>
        <v>0</v>
      </c>
      <c r="O513" s="169">
        <f t="shared" si="287"/>
        <v>0</v>
      </c>
      <c r="P513" s="169">
        <f t="shared" si="287"/>
        <v>0</v>
      </c>
      <c r="Q513" s="169">
        <f t="shared" si="287"/>
        <v>0</v>
      </c>
      <c r="R513" s="169">
        <f t="shared" si="287"/>
        <v>0</v>
      </c>
      <c r="S513" s="169">
        <f t="shared" ref="S513:AP515" si="290">S379</f>
        <v>0</v>
      </c>
      <c r="T513" s="169">
        <f t="shared" si="290"/>
        <v>0</v>
      </c>
      <c r="U513" s="169">
        <f t="shared" si="290"/>
        <v>0</v>
      </c>
      <c r="V513" s="169">
        <f t="shared" si="290"/>
        <v>0</v>
      </c>
      <c r="W513" s="169">
        <f t="shared" si="290"/>
        <v>0</v>
      </c>
      <c r="X513" s="169">
        <f t="shared" si="290"/>
        <v>0</v>
      </c>
      <c r="Y513" s="169">
        <f t="shared" si="290"/>
        <v>0</v>
      </c>
      <c r="Z513" s="169">
        <f t="shared" si="290"/>
        <v>0</v>
      </c>
      <c r="AA513" s="169">
        <f t="shared" si="290"/>
        <v>0</v>
      </c>
      <c r="AB513" s="169">
        <f t="shared" si="290"/>
        <v>0</v>
      </c>
      <c r="AC513" s="169">
        <f t="shared" si="290"/>
        <v>0</v>
      </c>
      <c r="AD513" s="169">
        <f t="shared" si="290"/>
        <v>0</v>
      </c>
      <c r="AE513" s="169">
        <f t="shared" si="290"/>
        <v>0</v>
      </c>
      <c r="AF513" s="169">
        <f t="shared" si="290"/>
        <v>0</v>
      </c>
      <c r="AG513" s="169">
        <f t="shared" si="290"/>
        <v>0</v>
      </c>
      <c r="AH513" s="169">
        <f t="shared" si="290"/>
        <v>0</v>
      </c>
      <c r="AI513" s="169">
        <f t="shared" si="290"/>
        <v>0</v>
      </c>
      <c r="AJ513" s="169">
        <f t="shared" si="290"/>
        <v>0</v>
      </c>
      <c r="AK513" s="169">
        <f t="shared" si="290"/>
        <v>0</v>
      </c>
      <c r="AL513" s="169">
        <f t="shared" si="290"/>
        <v>0</v>
      </c>
      <c r="AM513" s="169">
        <f t="shared" si="290"/>
        <v>0</v>
      </c>
      <c r="AN513" s="169">
        <f t="shared" si="290"/>
        <v>0</v>
      </c>
      <c r="AO513" s="169">
        <f t="shared" si="290"/>
        <v>0</v>
      </c>
      <c r="AP513" s="169">
        <f t="shared" si="290"/>
        <v>0</v>
      </c>
    </row>
    <row r="514" spans="1:42" x14ac:dyDescent="0.2">
      <c r="A514" s="101">
        <f>A513+1</f>
        <v>9</v>
      </c>
      <c r="C514" s="169">
        <f t="shared" si="287"/>
        <v>0</v>
      </c>
      <c r="D514" s="169">
        <f t="shared" si="287"/>
        <v>0</v>
      </c>
      <c r="E514" s="169">
        <f t="shared" si="287"/>
        <v>0</v>
      </c>
      <c r="F514" s="169">
        <f t="shared" si="287"/>
        <v>0</v>
      </c>
      <c r="G514" s="169">
        <f t="shared" si="287"/>
        <v>0</v>
      </c>
      <c r="H514" s="169">
        <f t="shared" si="287"/>
        <v>0</v>
      </c>
      <c r="I514" s="169">
        <f t="shared" si="287"/>
        <v>0</v>
      </c>
      <c r="J514" s="169">
        <f t="shared" si="287"/>
        <v>0</v>
      </c>
      <c r="K514" s="169">
        <f t="shared" si="287"/>
        <v>0</v>
      </c>
      <c r="L514" s="169">
        <f t="shared" si="287"/>
        <v>0</v>
      </c>
      <c r="M514" s="169">
        <f t="shared" si="287"/>
        <v>0</v>
      </c>
      <c r="N514" s="169">
        <f t="shared" si="287"/>
        <v>0</v>
      </c>
      <c r="O514" s="169">
        <f t="shared" si="287"/>
        <v>0</v>
      </c>
      <c r="P514" s="169">
        <f t="shared" si="287"/>
        <v>0</v>
      </c>
      <c r="Q514" s="169">
        <f t="shared" si="287"/>
        <v>0</v>
      </c>
      <c r="R514" s="169">
        <f t="shared" si="287"/>
        <v>0</v>
      </c>
      <c r="S514" s="169">
        <f t="shared" si="290"/>
        <v>0</v>
      </c>
      <c r="T514" s="169">
        <f t="shared" si="290"/>
        <v>0</v>
      </c>
      <c r="U514" s="169">
        <f t="shared" si="290"/>
        <v>0</v>
      </c>
      <c r="V514" s="169">
        <f t="shared" si="290"/>
        <v>0</v>
      </c>
      <c r="W514" s="169">
        <f t="shared" si="290"/>
        <v>0</v>
      </c>
      <c r="X514" s="169">
        <f t="shared" si="290"/>
        <v>0</v>
      </c>
      <c r="Y514" s="169">
        <f t="shared" si="290"/>
        <v>0</v>
      </c>
      <c r="Z514" s="169">
        <f t="shared" si="290"/>
        <v>0</v>
      </c>
      <c r="AA514" s="169">
        <f t="shared" si="290"/>
        <v>0</v>
      </c>
      <c r="AB514" s="169">
        <f t="shared" si="290"/>
        <v>0</v>
      </c>
      <c r="AC514" s="169">
        <f t="shared" si="290"/>
        <v>0</v>
      </c>
      <c r="AD514" s="169">
        <f t="shared" si="290"/>
        <v>0</v>
      </c>
      <c r="AE514" s="169">
        <f t="shared" si="290"/>
        <v>0</v>
      </c>
      <c r="AF514" s="169">
        <f t="shared" si="290"/>
        <v>0</v>
      </c>
      <c r="AG514" s="169">
        <f t="shared" si="290"/>
        <v>0</v>
      </c>
      <c r="AH514" s="169">
        <f t="shared" si="290"/>
        <v>0</v>
      </c>
      <c r="AI514" s="169">
        <f t="shared" si="290"/>
        <v>0</v>
      </c>
      <c r="AJ514" s="169">
        <f t="shared" si="290"/>
        <v>0</v>
      </c>
      <c r="AK514" s="169">
        <f t="shared" si="290"/>
        <v>0</v>
      </c>
      <c r="AL514" s="169">
        <f t="shared" si="290"/>
        <v>0</v>
      </c>
      <c r="AM514" s="169">
        <f t="shared" si="290"/>
        <v>0</v>
      </c>
      <c r="AN514" s="169">
        <f t="shared" si="290"/>
        <v>0</v>
      </c>
      <c r="AO514" s="169">
        <f t="shared" si="290"/>
        <v>0</v>
      </c>
      <c r="AP514" s="169">
        <f t="shared" si="290"/>
        <v>0</v>
      </c>
    </row>
    <row r="515" spans="1:42" x14ac:dyDescent="0.2">
      <c r="A515" s="101">
        <f t="shared" ref="A515" si="291">A514+1</f>
        <v>10</v>
      </c>
      <c r="C515" s="169">
        <f t="shared" si="287"/>
        <v>0</v>
      </c>
      <c r="D515" s="169">
        <f t="shared" si="287"/>
        <v>0</v>
      </c>
      <c r="E515" s="169">
        <f t="shared" si="287"/>
        <v>0</v>
      </c>
      <c r="F515" s="169">
        <f t="shared" si="287"/>
        <v>0</v>
      </c>
      <c r="G515" s="169">
        <f t="shared" si="287"/>
        <v>0</v>
      </c>
      <c r="H515" s="169">
        <f t="shared" si="287"/>
        <v>0</v>
      </c>
      <c r="I515" s="169">
        <f t="shared" si="287"/>
        <v>0</v>
      </c>
      <c r="J515" s="169">
        <f t="shared" si="287"/>
        <v>0</v>
      </c>
      <c r="K515" s="169">
        <f t="shared" si="287"/>
        <v>0</v>
      </c>
      <c r="L515" s="169">
        <f t="shared" si="287"/>
        <v>0</v>
      </c>
      <c r="M515" s="169">
        <f t="shared" si="287"/>
        <v>0</v>
      </c>
      <c r="N515" s="169">
        <f t="shared" si="287"/>
        <v>0</v>
      </c>
      <c r="O515" s="169">
        <f t="shared" si="287"/>
        <v>0</v>
      </c>
      <c r="P515" s="169">
        <f t="shared" si="287"/>
        <v>0</v>
      </c>
      <c r="Q515" s="169">
        <f t="shared" si="287"/>
        <v>0</v>
      </c>
      <c r="R515" s="169">
        <f t="shared" si="287"/>
        <v>0</v>
      </c>
      <c r="S515" s="169">
        <f t="shared" si="290"/>
        <v>0</v>
      </c>
      <c r="T515" s="169">
        <f t="shared" si="290"/>
        <v>0</v>
      </c>
      <c r="U515" s="169">
        <f t="shared" si="290"/>
        <v>0</v>
      </c>
      <c r="V515" s="169">
        <f t="shared" si="290"/>
        <v>0</v>
      </c>
      <c r="W515" s="169">
        <f t="shared" si="290"/>
        <v>0</v>
      </c>
      <c r="X515" s="169">
        <f t="shared" si="290"/>
        <v>0</v>
      </c>
      <c r="Y515" s="169">
        <f t="shared" si="290"/>
        <v>0</v>
      </c>
      <c r="Z515" s="169">
        <f t="shared" si="290"/>
        <v>0</v>
      </c>
      <c r="AA515" s="169">
        <f t="shared" si="290"/>
        <v>0</v>
      </c>
      <c r="AB515" s="169">
        <f t="shared" si="290"/>
        <v>0</v>
      </c>
      <c r="AC515" s="169">
        <f t="shared" si="290"/>
        <v>0</v>
      </c>
      <c r="AD515" s="169">
        <f t="shared" si="290"/>
        <v>0</v>
      </c>
      <c r="AE515" s="169">
        <f t="shared" si="290"/>
        <v>0</v>
      </c>
      <c r="AF515" s="169">
        <f t="shared" si="290"/>
        <v>0</v>
      </c>
      <c r="AG515" s="169">
        <f t="shared" si="290"/>
        <v>0</v>
      </c>
      <c r="AH515" s="169">
        <f t="shared" si="290"/>
        <v>0</v>
      </c>
      <c r="AI515" s="169">
        <f t="shared" si="290"/>
        <v>0</v>
      </c>
      <c r="AJ515" s="169">
        <f t="shared" si="290"/>
        <v>0</v>
      </c>
      <c r="AK515" s="169">
        <f t="shared" si="290"/>
        <v>0</v>
      </c>
      <c r="AL515" s="169">
        <f t="shared" si="290"/>
        <v>0</v>
      </c>
      <c r="AM515" s="169">
        <f t="shared" si="290"/>
        <v>0</v>
      </c>
      <c r="AN515" s="169">
        <f t="shared" si="290"/>
        <v>0</v>
      </c>
      <c r="AO515" s="169">
        <f t="shared" si="290"/>
        <v>0</v>
      </c>
      <c r="AP515" s="169">
        <f t="shared" si="290"/>
        <v>0</v>
      </c>
    </row>
    <row r="516" spans="1:42" x14ac:dyDescent="0.2">
      <c r="A516" s="187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</row>
    <row r="517" spans="1:42" x14ac:dyDescent="0.2">
      <c r="A517" s="187" t="s">
        <v>196</v>
      </c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</row>
    <row r="518" spans="1:42" x14ac:dyDescent="0.2">
      <c r="A518" s="101">
        <v>1</v>
      </c>
      <c r="B518" s="179">
        <f t="shared" ref="B518:B527" si="292">SUM(C518:AP518)</f>
        <v>2944872.3435013141</v>
      </c>
      <c r="C518" s="208">
        <f t="shared" ref="C518:AP518" si="293">LOOKUP(C506,$B$501:$AP$501,$B$502:$AP$502)*$B656</f>
        <v>0</v>
      </c>
      <c r="D518" s="169">
        <f t="shared" si="293"/>
        <v>0</v>
      </c>
      <c r="E518" s="169">
        <f t="shared" si="293"/>
        <v>0</v>
      </c>
      <c r="F518" s="169">
        <f t="shared" si="293"/>
        <v>0</v>
      </c>
      <c r="G518" s="169">
        <f t="shared" si="293"/>
        <v>0</v>
      </c>
      <c r="H518" s="169">
        <f t="shared" si="293"/>
        <v>0</v>
      </c>
      <c r="I518" s="169">
        <f t="shared" si="293"/>
        <v>0</v>
      </c>
      <c r="J518" s="169">
        <f t="shared" si="293"/>
        <v>0</v>
      </c>
      <c r="K518" s="169">
        <f t="shared" si="293"/>
        <v>0</v>
      </c>
      <c r="L518" s="169">
        <f t="shared" si="293"/>
        <v>0</v>
      </c>
      <c r="M518" s="169">
        <f t="shared" si="293"/>
        <v>0</v>
      </c>
      <c r="N518" s="169">
        <f t="shared" si="293"/>
        <v>588974.46870026283</v>
      </c>
      <c r="O518" s="169">
        <f t="shared" si="293"/>
        <v>942359.14992042049</v>
      </c>
      <c r="P518" s="169">
        <f t="shared" si="293"/>
        <v>565415.48995225236</v>
      </c>
      <c r="Q518" s="169">
        <f t="shared" si="293"/>
        <v>339249.29397135135</v>
      </c>
      <c r="R518" s="169">
        <f t="shared" si="293"/>
        <v>339249.29397135135</v>
      </c>
      <c r="S518" s="169">
        <f t="shared" si="293"/>
        <v>169624.64698567567</v>
      </c>
      <c r="T518" s="169">
        <f t="shared" si="293"/>
        <v>0</v>
      </c>
      <c r="U518" s="169">
        <f t="shared" si="293"/>
        <v>0</v>
      </c>
      <c r="V518" s="169">
        <f t="shared" si="293"/>
        <v>0</v>
      </c>
      <c r="W518" s="169">
        <f t="shared" si="293"/>
        <v>0</v>
      </c>
      <c r="X518" s="169">
        <f t="shared" si="293"/>
        <v>0</v>
      </c>
      <c r="Y518" s="169">
        <f t="shared" si="293"/>
        <v>0</v>
      </c>
      <c r="Z518" s="169">
        <f t="shared" si="293"/>
        <v>0</v>
      </c>
      <c r="AA518" s="169">
        <f t="shared" si="293"/>
        <v>0</v>
      </c>
      <c r="AB518" s="169">
        <f t="shared" si="293"/>
        <v>0</v>
      </c>
      <c r="AC518" s="169">
        <f t="shared" si="293"/>
        <v>0</v>
      </c>
      <c r="AD518" s="169">
        <f t="shared" si="293"/>
        <v>0</v>
      </c>
      <c r="AE518" s="169">
        <f t="shared" si="293"/>
        <v>0</v>
      </c>
      <c r="AF518" s="169">
        <f t="shared" si="293"/>
        <v>0</v>
      </c>
      <c r="AG518" s="169">
        <f t="shared" si="293"/>
        <v>0</v>
      </c>
      <c r="AH518" s="169">
        <f t="shared" si="293"/>
        <v>0</v>
      </c>
      <c r="AI518" s="169">
        <f t="shared" si="293"/>
        <v>0</v>
      </c>
      <c r="AJ518" s="169">
        <f t="shared" si="293"/>
        <v>0</v>
      </c>
      <c r="AK518" s="169">
        <f t="shared" si="293"/>
        <v>0</v>
      </c>
      <c r="AL518" s="169">
        <f t="shared" si="293"/>
        <v>0</v>
      </c>
      <c r="AM518" s="169">
        <f t="shared" si="293"/>
        <v>0</v>
      </c>
      <c r="AN518" s="169">
        <f t="shared" si="293"/>
        <v>0</v>
      </c>
      <c r="AO518" s="169">
        <f t="shared" si="293"/>
        <v>0</v>
      </c>
      <c r="AP518" s="169">
        <f t="shared" si="293"/>
        <v>0</v>
      </c>
    </row>
    <row r="519" spans="1:42" x14ac:dyDescent="0.2">
      <c r="A519" s="101">
        <f>A518+1</f>
        <v>2</v>
      </c>
      <c r="B519" s="179">
        <f t="shared" si="292"/>
        <v>3520942.886524681</v>
      </c>
      <c r="C519" s="208">
        <f t="shared" ref="C519:AP519" si="294">LOOKUP(C507,$B$501:$AP$501,$B$502:$AP$502)*$B657</f>
        <v>0</v>
      </c>
      <c r="D519" s="169">
        <f t="shared" si="294"/>
        <v>0</v>
      </c>
      <c r="E519" s="169">
        <f t="shared" si="294"/>
        <v>0</v>
      </c>
      <c r="F519" s="169">
        <f t="shared" si="294"/>
        <v>0</v>
      </c>
      <c r="G519" s="169">
        <f t="shared" si="294"/>
        <v>0</v>
      </c>
      <c r="H519" s="169">
        <f t="shared" si="294"/>
        <v>0</v>
      </c>
      <c r="I519" s="169">
        <f t="shared" si="294"/>
        <v>0</v>
      </c>
      <c r="J519" s="169">
        <f t="shared" si="294"/>
        <v>0</v>
      </c>
      <c r="K519" s="169">
        <f t="shared" si="294"/>
        <v>0</v>
      </c>
      <c r="L519" s="169">
        <f t="shared" si="294"/>
        <v>0</v>
      </c>
      <c r="M519" s="169">
        <f t="shared" si="294"/>
        <v>0</v>
      </c>
      <c r="N519" s="169">
        <f t="shared" si="294"/>
        <v>0</v>
      </c>
      <c r="O519" s="169">
        <f t="shared" si="294"/>
        <v>0</v>
      </c>
      <c r="P519" s="169">
        <f t="shared" si="294"/>
        <v>0</v>
      </c>
      <c r="Q519" s="169">
        <f t="shared" si="294"/>
        <v>0</v>
      </c>
      <c r="R519" s="169">
        <f t="shared" si="294"/>
        <v>0</v>
      </c>
      <c r="S519" s="169">
        <f t="shared" si="294"/>
        <v>0</v>
      </c>
      <c r="T519" s="169">
        <f t="shared" si="294"/>
        <v>0</v>
      </c>
      <c r="U519" s="169">
        <f t="shared" si="294"/>
        <v>0</v>
      </c>
      <c r="V519" s="169">
        <f t="shared" si="294"/>
        <v>0</v>
      </c>
      <c r="W519" s="169">
        <f t="shared" si="294"/>
        <v>0</v>
      </c>
      <c r="X519" s="169">
        <f t="shared" si="294"/>
        <v>0</v>
      </c>
      <c r="Y519" s="169">
        <f t="shared" si="294"/>
        <v>0</v>
      </c>
      <c r="Z519" s="169">
        <f t="shared" si="294"/>
        <v>704188.57730493625</v>
      </c>
      <c r="AA519" s="169">
        <f t="shared" si="294"/>
        <v>1126701.7236878979</v>
      </c>
      <c r="AB519" s="169">
        <f t="shared" si="294"/>
        <v>676021.03421273874</v>
      </c>
      <c r="AC519" s="169">
        <f t="shared" si="294"/>
        <v>405612.62052764324</v>
      </c>
      <c r="AD519" s="169">
        <f t="shared" si="294"/>
        <v>405612.62052764324</v>
      </c>
      <c r="AE519" s="169">
        <f t="shared" si="294"/>
        <v>202806.31026382162</v>
      </c>
      <c r="AF519" s="169">
        <f t="shared" si="294"/>
        <v>0</v>
      </c>
      <c r="AG519" s="169">
        <f t="shared" si="294"/>
        <v>0</v>
      </c>
      <c r="AH519" s="169">
        <f t="shared" si="294"/>
        <v>0</v>
      </c>
      <c r="AI519" s="169">
        <f t="shared" si="294"/>
        <v>0</v>
      </c>
      <c r="AJ519" s="169">
        <f t="shared" si="294"/>
        <v>0</v>
      </c>
      <c r="AK519" s="169">
        <f t="shared" si="294"/>
        <v>0</v>
      </c>
      <c r="AL519" s="169">
        <f t="shared" si="294"/>
        <v>0</v>
      </c>
      <c r="AM519" s="169">
        <f t="shared" si="294"/>
        <v>0</v>
      </c>
      <c r="AN519" s="169">
        <f t="shared" si="294"/>
        <v>0</v>
      </c>
      <c r="AO519" s="169">
        <f t="shared" si="294"/>
        <v>0</v>
      </c>
      <c r="AP519" s="169">
        <f t="shared" si="294"/>
        <v>0</v>
      </c>
    </row>
    <row r="520" spans="1:42" x14ac:dyDescent="0.2">
      <c r="A520" s="101">
        <f t="shared" ref="A520:A525" si="295">A519+1</f>
        <v>3</v>
      </c>
      <c r="B520" s="179">
        <f t="shared" si="292"/>
        <v>3967224.3859686418</v>
      </c>
      <c r="C520" s="208">
        <f t="shared" ref="C520:AP520" si="296">LOOKUP(C508,$B$501:$AP$501,$B$502:$AP$502)*$B658</f>
        <v>0</v>
      </c>
      <c r="D520" s="169">
        <f t="shared" si="296"/>
        <v>0</v>
      </c>
      <c r="E520" s="169">
        <f t="shared" si="296"/>
        <v>0</v>
      </c>
      <c r="F520" s="169">
        <f t="shared" si="296"/>
        <v>0</v>
      </c>
      <c r="G520" s="169">
        <f t="shared" si="296"/>
        <v>0</v>
      </c>
      <c r="H520" s="169">
        <f t="shared" si="296"/>
        <v>0</v>
      </c>
      <c r="I520" s="169">
        <f t="shared" si="296"/>
        <v>0</v>
      </c>
      <c r="J520" s="169">
        <f t="shared" si="296"/>
        <v>0</v>
      </c>
      <c r="K520" s="169">
        <f t="shared" si="296"/>
        <v>0</v>
      </c>
      <c r="L520" s="169">
        <f t="shared" si="296"/>
        <v>0</v>
      </c>
      <c r="M520" s="169">
        <f t="shared" si="296"/>
        <v>0</v>
      </c>
      <c r="N520" s="169">
        <f t="shared" si="296"/>
        <v>0</v>
      </c>
      <c r="O520" s="169">
        <f t="shared" si="296"/>
        <v>0</v>
      </c>
      <c r="P520" s="169">
        <f t="shared" si="296"/>
        <v>0</v>
      </c>
      <c r="Q520" s="169">
        <f t="shared" si="296"/>
        <v>0</v>
      </c>
      <c r="R520" s="169">
        <f t="shared" si="296"/>
        <v>0</v>
      </c>
      <c r="S520" s="169">
        <f t="shared" si="296"/>
        <v>0</v>
      </c>
      <c r="T520" s="169">
        <f t="shared" si="296"/>
        <v>0</v>
      </c>
      <c r="U520" s="169">
        <f t="shared" si="296"/>
        <v>0</v>
      </c>
      <c r="V520" s="169">
        <f t="shared" si="296"/>
        <v>0</v>
      </c>
      <c r="W520" s="169">
        <f t="shared" si="296"/>
        <v>0</v>
      </c>
      <c r="X520" s="169">
        <f t="shared" si="296"/>
        <v>0</v>
      </c>
      <c r="Y520" s="169">
        <f t="shared" si="296"/>
        <v>0</v>
      </c>
      <c r="Z520" s="169">
        <f t="shared" si="296"/>
        <v>0</v>
      </c>
      <c r="AA520" s="169">
        <f t="shared" si="296"/>
        <v>0</v>
      </c>
      <c r="AB520" s="169">
        <f t="shared" si="296"/>
        <v>0</v>
      </c>
      <c r="AC520" s="169">
        <f t="shared" si="296"/>
        <v>0</v>
      </c>
      <c r="AD520" s="169">
        <f t="shared" si="296"/>
        <v>0</v>
      </c>
      <c r="AE520" s="169">
        <f t="shared" si="296"/>
        <v>0</v>
      </c>
      <c r="AF520" s="169">
        <f t="shared" si="296"/>
        <v>0</v>
      </c>
      <c r="AG520" s="169">
        <f t="shared" si="296"/>
        <v>0</v>
      </c>
      <c r="AH520" s="169">
        <f t="shared" si="296"/>
        <v>0</v>
      </c>
      <c r="AI520" s="169">
        <f t="shared" si="296"/>
        <v>0</v>
      </c>
      <c r="AJ520" s="169">
        <f t="shared" si="296"/>
        <v>0</v>
      </c>
      <c r="AK520" s="169">
        <f t="shared" si="296"/>
        <v>0</v>
      </c>
      <c r="AL520" s="169">
        <f t="shared" si="296"/>
        <v>841940.65916142659</v>
      </c>
      <c r="AM520" s="169">
        <f t="shared" si="296"/>
        <v>1347105.0546582823</v>
      </c>
      <c r="AN520" s="169">
        <f t="shared" si="296"/>
        <v>808263.03279496951</v>
      </c>
      <c r="AO520" s="169">
        <f t="shared" si="296"/>
        <v>484957.81967698166</v>
      </c>
      <c r="AP520" s="169">
        <f t="shared" si="296"/>
        <v>484957.81967698166</v>
      </c>
    </row>
    <row r="521" spans="1:42" x14ac:dyDescent="0.2">
      <c r="A521" s="101">
        <f t="shared" si="295"/>
        <v>4</v>
      </c>
      <c r="B521" s="179">
        <f t="shared" si="292"/>
        <v>0</v>
      </c>
      <c r="C521" s="208">
        <f t="shared" ref="C521:AP521" si="297">LOOKUP(C509,$B$501:$AP$501,$B$502:$AP$502)*$B659</f>
        <v>0</v>
      </c>
      <c r="D521" s="169">
        <f t="shared" si="297"/>
        <v>0</v>
      </c>
      <c r="E521" s="169">
        <f t="shared" si="297"/>
        <v>0</v>
      </c>
      <c r="F521" s="169">
        <f t="shared" si="297"/>
        <v>0</v>
      </c>
      <c r="G521" s="169">
        <f t="shared" si="297"/>
        <v>0</v>
      </c>
      <c r="H521" s="169">
        <f t="shared" si="297"/>
        <v>0</v>
      </c>
      <c r="I521" s="169">
        <f t="shared" si="297"/>
        <v>0</v>
      </c>
      <c r="J521" s="169">
        <f t="shared" si="297"/>
        <v>0</v>
      </c>
      <c r="K521" s="169">
        <f t="shared" si="297"/>
        <v>0</v>
      </c>
      <c r="L521" s="169">
        <f t="shared" si="297"/>
        <v>0</v>
      </c>
      <c r="M521" s="169">
        <f t="shared" si="297"/>
        <v>0</v>
      </c>
      <c r="N521" s="169">
        <f t="shared" si="297"/>
        <v>0</v>
      </c>
      <c r="O521" s="169">
        <f t="shared" si="297"/>
        <v>0</v>
      </c>
      <c r="P521" s="169">
        <f t="shared" si="297"/>
        <v>0</v>
      </c>
      <c r="Q521" s="169">
        <f t="shared" si="297"/>
        <v>0</v>
      </c>
      <c r="R521" s="169">
        <f t="shared" si="297"/>
        <v>0</v>
      </c>
      <c r="S521" s="169">
        <f t="shared" si="297"/>
        <v>0</v>
      </c>
      <c r="T521" s="169">
        <f t="shared" si="297"/>
        <v>0</v>
      </c>
      <c r="U521" s="169">
        <f t="shared" si="297"/>
        <v>0</v>
      </c>
      <c r="V521" s="169">
        <f t="shared" si="297"/>
        <v>0</v>
      </c>
      <c r="W521" s="169">
        <f t="shared" si="297"/>
        <v>0</v>
      </c>
      <c r="X521" s="169">
        <f t="shared" si="297"/>
        <v>0</v>
      </c>
      <c r="Y521" s="169">
        <f t="shared" si="297"/>
        <v>0</v>
      </c>
      <c r="Z521" s="169">
        <f t="shared" si="297"/>
        <v>0</v>
      </c>
      <c r="AA521" s="169">
        <f t="shared" si="297"/>
        <v>0</v>
      </c>
      <c r="AB521" s="169">
        <f t="shared" si="297"/>
        <v>0</v>
      </c>
      <c r="AC521" s="169">
        <f t="shared" si="297"/>
        <v>0</v>
      </c>
      <c r="AD521" s="169">
        <f t="shared" si="297"/>
        <v>0</v>
      </c>
      <c r="AE521" s="169">
        <f t="shared" si="297"/>
        <v>0</v>
      </c>
      <c r="AF521" s="169">
        <f t="shared" si="297"/>
        <v>0</v>
      </c>
      <c r="AG521" s="169">
        <f t="shared" si="297"/>
        <v>0</v>
      </c>
      <c r="AH521" s="169">
        <f t="shared" si="297"/>
        <v>0</v>
      </c>
      <c r="AI521" s="169">
        <f t="shared" si="297"/>
        <v>0</v>
      </c>
      <c r="AJ521" s="169">
        <f t="shared" si="297"/>
        <v>0</v>
      </c>
      <c r="AK521" s="169">
        <f t="shared" si="297"/>
        <v>0</v>
      </c>
      <c r="AL521" s="169">
        <f t="shared" si="297"/>
        <v>0</v>
      </c>
      <c r="AM521" s="169">
        <f t="shared" si="297"/>
        <v>0</v>
      </c>
      <c r="AN521" s="169">
        <f t="shared" si="297"/>
        <v>0</v>
      </c>
      <c r="AO521" s="169">
        <f t="shared" si="297"/>
        <v>0</v>
      </c>
      <c r="AP521" s="169">
        <f t="shared" si="297"/>
        <v>0</v>
      </c>
    </row>
    <row r="522" spans="1:42" x14ac:dyDescent="0.2">
      <c r="A522" s="101">
        <f t="shared" si="295"/>
        <v>5</v>
      </c>
      <c r="B522" s="179">
        <f t="shared" si="292"/>
        <v>0</v>
      </c>
      <c r="C522" s="208">
        <f t="shared" ref="C522:AP522" si="298">LOOKUP(C510,$B$501:$AP$501,$B$502:$AP$502)*$B660</f>
        <v>0</v>
      </c>
      <c r="D522" s="169">
        <f t="shared" si="298"/>
        <v>0</v>
      </c>
      <c r="E522" s="169">
        <f t="shared" si="298"/>
        <v>0</v>
      </c>
      <c r="F522" s="169">
        <f t="shared" si="298"/>
        <v>0</v>
      </c>
      <c r="G522" s="169">
        <f t="shared" si="298"/>
        <v>0</v>
      </c>
      <c r="H522" s="169">
        <f t="shared" si="298"/>
        <v>0</v>
      </c>
      <c r="I522" s="169">
        <f t="shared" si="298"/>
        <v>0</v>
      </c>
      <c r="J522" s="169">
        <f t="shared" si="298"/>
        <v>0</v>
      </c>
      <c r="K522" s="169">
        <f t="shared" si="298"/>
        <v>0</v>
      </c>
      <c r="L522" s="169">
        <f t="shared" si="298"/>
        <v>0</v>
      </c>
      <c r="M522" s="169">
        <f t="shared" si="298"/>
        <v>0</v>
      </c>
      <c r="N522" s="169">
        <f t="shared" si="298"/>
        <v>0</v>
      </c>
      <c r="O522" s="169">
        <f t="shared" si="298"/>
        <v>0</v>
      </c>
      <c r="P522" s="169">
        <f t="shared" si="298"/>
        <v>0</v>
      </c>
      <c r="Q522" s="169">
        <f t="shared" si="298"/>
        <v>0</v>
      </c>
      <c r="R522" s="169">
        <f t="shared" si="298"/>
        <v>0</v>
      </c>
      <c r="S522" s="169">
        <f t="shared" si="298"/>
        <v>0</v>
      </c>
      <c r="T522" s="169">
        <f t="shared" si="298"/>
        <v>0</v>
      </c>
      <c r="U522" s="169">
        <f t="shared" si="298"/>
        <v>0</v>
      </c>
      <c r="V522" s="169">
        <f t="shared" si="298"/>
        <v>0</v>
      </c>
      <c r="W522" s="169">
        <f t="shared" si="298"/>
        <v>0</v>
      </c>
      <c r="X522" s="169">
        <f t="shared" si="298"/>
        <v>0</v>
      </c>
      <c r="Y522" s="169">
        <f t="shared" si="298"/>
        <v>0</v>
      </c>
      <c r="Z522" s="169">
        <f t="shared" si="298"/>
        <v>0</v>
      </c>
      <c r="AA522" s="169">
        <f t="shared" si="298"/>
        <v>0</v>
      </c>
      <c r="AB522" s="169">
        <f t="shared" si="298"/>
        <v>0</v>
      </c>
      <c r="AC522" s="169">
        <f t="shared" si="298"/>
        <v>0</v>
      </c>
      <c r="AD522" s="169">
        <f t="shared" si="298"/>
        <v>0</v>
      </c>
      <c r="AE522" s="169">
        <f t="shared" si="298"/>
        <v>0</v>
      </c>
      <c r="AF522" s="169">
        <f t="shared" si="298"/>
        <v>0</v>
      </c>
      <c r="AG522" s="169">
        <f t="shared" si="298"/>
        <v>0</v>
      </c>
      <c r="AH522" s="169">
        <f t="shared" si="298"/>
        <v>0</v>
      </c>
      <c r="AI522" s="169">
        <f t="shared" si="298"/>
        <v>0</v>
      </c>
      <c r="AJ522" s="169">
        <f t="shared" si="298"/>
        <v>0</v>
      </c>
      <c r="AK522" s="169">
        <f t="shared" si="298"/>
        <v>0</v>
      </c>
      <c r="AL522" s="169">
        <f t="shared" si="298"/>
        <v>0</v>
      </c>
      <c r="AM522" s="169">
        <f t="shared" si="298"/>
        <v>0</v>
      </c>
      <c r="AN522" s="169">
        <f t="shared" si="298"/>
        <v>0</v>
      </c>
      <c r="AO522" s="169">
        <f t="shared" si="298"/>
        <v>0</v>
      </c>
      <c r="AP522" s="169">
        <f t="shared" si="298"/>
        <v>0</v>
      </c>
    </row>
    <row r="523" spans="1:42" x14ac:dyDescent="0.2">
      <c r="A523" s="101">
        <f t="shared" si="295"/>
        <v>6</v>
      </c>
      <c r="B523" s="179">
        <f t="shared" si="292"/>
        <v>0</v>
      </c>
      <c r="C523" s="208">
        <f t="shared" ref="C523:AP523" si="299">LOOKUP(C511,$B$501:$AP$501,$B$502:$AP$502)*$B661</f>
        <v>0</v>
      </c>
      <c r="D523" s="169">
        <f t="shared" si="299"/>
        <v>0</v>
      </c>
      <c r="E523" s="169">
        <f t="shared" si="299"/>
        <v>0</v>
      </c>
      <c r="F523" s="169">
        <f t="shared" si="299"/>
        <v>0</v>
      </c>
      <c r="G523" s="169">
        <f t="shared" si="299"/>
        <v>0</v>
      </c>
      <c r="H523" s="169">
        <f t="shared" si="299"/>
        <v>0</v>
      </c>
      <c r="I523" s="169">
        <f t="shared" si="299"/>
        <v>0</v>
      </c>
      <c r="J523" s="169">
        <f t="shared" si="299"/>
        <v>0</v>
      </c>
      <c r="K523" s="169">
        <f t="shared" si="299"/>
        <v>0</v>
      </c>
      <c r="L523" s="169">
        <f t="shared" si="299"/>
        <v>0</v>
      </c>
      <c r="M523" s="169">
        <f t="shared" si="299"/>
        <v>0</v>
      </c>
      <c r="N523" s="169">
        <f t="shared" si="299"/>
        <v>0</v>
      </c>
      <c r="O523" s="169">
        <f t="shared" si="299"/>
        <v>0</v>
      </c>
      <c r="P523" s="169">
        <f t="shared" si="299"/>
        <v>0</v>
      </c>
      <c r="Q523" s="169">
        <f t="shared" si="299"/>
        <v>0</v>
      </c>
      <c r="R523" s="169">
        <f t="shared" si="299"/>
        <v>0</v>
      </c>
      <c r="S523" s="169">
        <f t="shared" si="299"/>
        <v>0</v>
      </c>
      <c r="T523" s="169">
        <f t="shared" si="299"/>
        <v>0</v>
      </c>
      <c r="U523" s="169">
        <f t="shared" si="299"/>
        <v>0</v>
      </c>
      <c r="V523" s="169">
        <f t="shared" si="299"/>
        <v>0</v>
      </c>
      <c r="W523" s="169">
        <f t="shared" si="299"/>
        <v>0</v>
      </c>
      <c r="X523" s="169">
        <f t="shared" si="299"/>
        <v>0</v>
      </c>
      <c r="Y523" s="169">
        <f t="shared" si="299"/>
        <v>0</v>
      </c>
      <c r="Z523" s="169">
        <f t="shared" si="299"/>
        <v>0</v>
      </c>
      <c r="AA523" s="169">
        <f t="shared" si="299"/>
        <v>0</v>
      </c>
      <c r="AB523" s="169">
        <f t="shared" si="299"/>
        <v>0</v>
      </c>
      <c r="AC523" s="169">
        <f t="shared" si="299"/>
        <v>0</v>
      </c>
      <c r="AD523" s="169">
        <f t="shared" si="299"/>
        <v>0</v>
      </c>
      <c r="AE523" s="169">
        <f t="shared" si="299"/>
        <v>0</v>
      </c>
      <c r="AF523" s="169">
        <f t="shared" si="299"/>
        <v>0</v>
      </c>
      <c r="AG523" s="169">
        <f t="shared" si="299"/>
        <v>0</v>
      </c>
      <c r="AH523" s="169">
        <f t="shared" si="299"/>
        <v>0</v>
      </c>
      <c r="AI523" s="169">
        <f t="shared" si="299"/>
        <v>0</v>
      </c>
      <c r="AJ523" s="169">
        <f t="shared" si="299"/>
        <v>0</v>
      </c>
      <c r="AK523" s="169">
        <f t="shared" si="299"/>
        <v>0</v>
      </c>
      <c r="AL523" s="169">
        <f t="shared" si="299"/>
        <v>0</v>
      </c>
      <c r="AM523" s="169">
        <f t="shared" si="299"/>
        <v>0</v>
      </c>
      <c r="AN523" s="169">
        <f t="shared" si="299"/>
        <v>0</v>
      </c>
      <c r="AO523" s="169">
        <f t="shared" si="299"/>
        <v>0</v>
      </c>
      <c r="AP523" s="169">
        <f t="shared" si="299"/>
        <v>0</v>
      </c>
    </row>
    <row r="524" spans="1:42" x14ac:dyDescent="0.2">
      <c r="A524" s="101">
        <f t="shared" si="295"/>
        <v>7</v>
      </c>
      <c r="B524" s="179">
        <f t="shared" si="292"/>
        <v>0</v>
      </c>
      <c r="C524" s="208">
        <f t="shared" ref="C524:AP524" si="300">LOOKUP(C512,$B$501:$AP$501,$B$502:$AP$502)*$B662</f>
        <v>0</v>
      </c>
      <c r="D524" s="169">
        <f t="shared" si="300"/>
        <v>0</v>
      </c>
      <c r="E524" s="169">
        <f t="shared" si="300"/>
        <v>0</v>
      </c>
      <c r="F524" s="169">
        <f t="shared" si="300"/>
        <v>0</v>
      </c>
      <c r="G524" s="169">
        <f t="shared" si="300"/>
        <v>0</v>
      </c>
      <c r="H524" s="169">
        <f t="shared" si="300"/>
        <v>0</v>
      </c>
      <c r="I524" s="169">
        <f t="shared" si="300"/>
        <v>0</v>
      </c>
      <c r="J524" s="169">
        <f t="shared" si="300"/>
        <v>0</v>
      </c>
      <c r="K524" s="169">
        <f t="shared" si="300"/>
        <v>0</v>
      </c>
      <c r="L524" s="169">
        <f t="shared" si="300"/>
        <v>0</v>
      </c>
      <c r="M524" s="169">
        <f t="shared" si="300"/>
        <v>0</v>
      </c>
      <c r="N524" s="169">
        <f t="shared" si="300"/>
        <v>0</v>
      </c>
      <c r="O524" s="169">
        <f t="shared" si="300"/>
        <v>0</v>
      </c>
      <c r="P524" s="169">
        <f t="shared" si="300"/>
        <v>0</v>
      </c>
      <c r="Q524" s="169">
        <f t="shared" si="300"/>
        <v>0</v>
      </c>
      <c r="R524" s="169">
        <f t="shared" si="300"/>
        <v>0</v>
      </c>
      <c r="S524" s="169">
        <f t="shared" si="300"/>
        <v>0</v>
      </c>
      <c r="T524" s="169">
        <f t="shared" si="300"/>
        <v>0</v>
      </c>
      <c r="U524" s="169">
        <f t="shared" si="300"/>
        <v>0</v>
      </c>
      <c r="V524" s="169">
        <f t="shared" si="300"/>
        <v>0</v>
      </c>
      <c r="W524" s="169">
        <f t="shared" si="300"/>
        <v>0</v>
      </c>
      <c r="X524" s="169">
        <f t="shared" si="300"/>
        <v>0</v>
      </c>
      <c r="Y524" s="169">
        <f t="shared" si="300"/>
        <v>0</v>
      </c>
      <c r="Z524" s="169">
        <f t="shared" si="300"/>
        <v>0</v>
      </c>
      <c r="AA524" s="169">
        <f t="shared" si="300"/>
        <v>0</v>
      </c>
      <c r="AB524" s="169">
        <f t="shared" si="300"/>
        <v>0</v>
      </c>
      <c r="AC524" s="169">
        <f t="shared" si="300"/>
        <v>0</v>
      </c>
      <c r="AD524" s="169">
        <f t="shared" si="300"/>
        <v>0</v>
      </c>
      <c r="AE524" s="169">
        <f t="shared" si="300"/>
        <v>0</v>
      </c>
      <c r="AF524" s="169">
        <f t="shared" si="300"/>
        <v>0</v>
      </c>
      <c r="AG524" s="169">
        <f t="shared" si="300"/>
        <v>0</v>
      </c>
      <c r="AH524" s="169">
        <f t="shared" si="300"/>
        <v>0</v>
      </c>
      <c r="AI524" s="169">
        <f t="shared" si="300"/>
        <v>0</v>
      </c>
      <c r="AJ524" s="169">
        <f t="shared" si="300"/>
        <v>0</v>
      </c>
      <c r="AK524" s="169">
        <f t="shared" si="300"/>
        <v>0</v>
      </c>
      <c r="AL524" s="169">
        <f t="shared" si="300"/>
        <v>0</v>
      </c>
      <c r="AM524" s="169">
        <f t="shared" si="300"/>
        <v>0</v>
      </c>
      <c r="AN524" s="169">
        <f t="shared" si="300"/>
        <v>0</v>
      </c>
      <c r="AO524" s="169">
        <f t="shared" si="300"/>
        <v>0</v>
      </c>
      <c r="AP524" s="169">
        <f t="shared" si="300"/>
        <v>0</v>
      </c>
    </row>
    <row r="525" spans="1:42" x14ac:dyDescent="0.2">
      <c r="A525" s="101">
        <f t="shared" si="295"/>
        <v>8</v>
      </c>
      <c r="B525" s="179">
        <f t="shared" si="292"/>
        <v>0</v>
      </c>
      <c r="C525" s="208">
        <f t="shared" ref="C525:AP525" si="301">LOOKUP(C513,$B$501:$AP$501,$B$502:$AP$502)*$B663</f>
        <v>0</v>
      </c>
      <c r="D525" s="169">
        <f t="shared" si="301"/>
        <v>0</v>
      </c>
      <c r="E525" s="169">
        <f t="shared" si="301"/>
        <v>0</v>
      </c>
      <c r="F525" s="169">
        <f t="shared" si="301"/>
        <v>0</v>
      </c>
      <c r="G525" s="169">
        <f t="shared" si="301"/>
        <v>0</v>
      </c>
      <c r="H525" s="169">
        <f t="shared" si="301"/>
        <v>0</v>
      </c>
      <c r="I525" s="169">
        <f t="shared" si="301"/>
        <v>0</v>
      </c>
      <c r="J525" s="169">
        <f t="shared" si="301"/>
        <v>0</v>
      </c>
      <c r="K525" s="169">
        <f t="shared" si="301"/>
        <v>0</v>
      </c>
      <c r="L525" s="169">
        <f t="shared" si="301"/>
        <v>0</v>
      </c>
      <c r="M525" s="169">
        <f t="shared" si="301"/>
        <v>0</v>
      </c>
      <c r="N525" s="169">
        <f t="shared" si="301"/>
        <v>0</v>
      </c>
      <c r="O525" s="169">
        <f t="shared" si="301"/>
        <v>0</v>
      </c>
      <c r="P525" s="169">
        <f t="shared" si="301"/>
        <v>0</v>
      </c>
      <c r="Q525" s="169">
        <f t="shared" si="301"/>
        <v>0</v>
      </c>
      <c r="R525" s="169">
        <f t="shared" si="301"/>
        <v>0</v>
      </c>
      <c r="S525" s="169">
        <f t="shared" si="301"/>
        <v>0</v>
      </c>
      <c r="T525" s="169">
        <f t="shared" si="301"/>
        <v>0</v>
      </c>
      <c r="U525" s="169">
        <f t="shared" si="301"/>
        <v>0</v>
      </c>
      <c r="V525" s="169">
        <f t="shared" si="301"/>
        <v>0</v>
      </c>
      <c r="W525" s="169">
        <f t="shared" si="301"/>
        <v>0</v>
      </c>
      <c r="X525" s="169">
        <f t="shared" si="301"/>
        <v>0</v>
      </c>
      <c r="Y525" s="169">
        <f t="shared" si="301"/>
        <v>0</v>
      </c>
      <c r="Z525" s="169">
        <f t="shared" si="301"/>
        <v>0</v>
      </c>
      <c r="AA525" s="169">
        <f t="shared" si="301"/>
        <v>0</v>
      </c>
      <c r="AB525" s="169">
        <f t="shared" si="301"/>
        <v>0</v>
      </c>
      <c r="AC525" s="169">
        <f t="shared" si="301"/>
        <v>0</v>
      </c>
      <c r="AD525" s="169">
        <f t="shared" si="301"/>
        <v>0</v>
      </c>
      <c r="AE525" s="169">
        <f t="shared" si="301"/>
        <v>0</v>
      </c>
      <c r="AF525" s="169">
        <f t="shared" si="301"/>
        <v>0</v>
      </c>
      <c r="AG525" s="169">
        <f t="shared" si="301"/>
        <v>0</v>
      </c>
      <c r="AH525" s="169">
        <f t="shared" si="301"/>
        <v>0</v>
      </c>
      <c r="AI525" s="169">
        <f t="shared" si="301"/>
        <v>0</v>
      </c>
      <c r="AJ525" s="169">
        <f t="shared" si="301"/>
        <v>0</v>
      </c>
      <c r="AK525" s="169">
        <f t="shared" si="301"/>
        <v>0</v>
      </c>
      <c r="AL525" s="169">
        <f t="shared" si="301"/>
        <v>0</v>
      </c>
      <c r="AM525" s="169">
        <f t="shared" si="301"/>
        <v>0</v>
      </c>
      <c r="AN525" s="169">
        <f t="shared" si="301"/>
        <v>0</v>
      </c>
      <c r="AO525" s="169">
        <f t="shared" si="301"/>
        <v>0</v>
      </c>
      <c r="AP525" s="169">
        <f t="shared" si="301"/>
        <v>0</v>
      </c>
    </row>
    <row r="526" spans="1:42" x14ac:dyDescent="0.2">
      <c r="A526" s="101">
        <f>A525+1</f>
        <v>9</v>
      </c>
      <c r="B526" s="179">
        <f t="shared" si="292"/>
        <v>0</v>
      </c>
      <c r="C526" s="208">
        <f t="shared" ref="C526:AP526" si="302">LOOKUP(C514,$B$501:$AP$501,$B$502:$AP$502)*$B664</f>
        <v>0</v>
      </c>
      <c r="D526" s="169">
        <f t="shared" si="302"/>
        <v>0</v>
      </c>
      <c r="E526" s="169">
        <f t="shared" si="302"/>
        <v>0</v>
      </c>
      <c r="F526" s="169">
        <f t="shared" si="302"/>
        <v>0</v>
      </c>
      <c r="G526" s="169">
        <f t="shared" si="302"/>
        <v>0</v>
      </c>
      <c r="H526" s="169">
        <f t="shared" si="302"/>
        <v>0</v>
      </c>
      <c r="I526" s="169">
        <f t="shared" si="302"/>
        <v>0</v>
      </c>
      <c r="J526" s="169">
        <f t="shared" si="302"/>
        <v>0</v>
      </c>
      <c r="K526" s="169">
        <f t="shared" si="302"/>
        <v>0</v>
      </c>
      <c r="L526" s="169">
        <f t="shared" si="302"/>
        <v>0</v>
      </c>
      <c r="M526" s="169">
        <f t="shared" si="302"/>
        <v>0</v>
      </c>
      <c r="N526" s="169">
        <f t="shared" si="302"/>
        <v>0</v>
      </c>
      <c r="O526" s="169">
        <f t="shared" si="302"/>
        <v>0</v>
      </c>
      <c r="P526" s="169">
        <f t="shared" si="302"/>
        <v>0</v>
      </c>
      <c r="Q526" s="169">
        <f t="shared" si="302"/>
        <v>0</v>
      </c>
      <c r="R526" s="169">
        <f t="shared" si="302"/>
        <v>0</v>
      </c>
      <c r="S526" s="169">
        <f t="shared" si="302"/>
        <v>0</v>
      </c>
      <c r="T526" s="169">
        <f t="shared" si="302"/>
        <v>0</v>
      </c>
      <c r="U526" s="169">
        <f t="shared" si="302"/>
        <v>0</v>
      </c>
      <c r="V526" s="169">
        <f t="shared" si="302"/>
        <v>0</v>
      </c>
      <c r="W526" s="169">
        <f t="shared" si="302"/>
        <v>0</v>
      </c>
      <c r="X526" s="169">
        <f t="shared" si="302"/>
        <v>0</v>
      </c>
      <c r="Y526" s="169">
        <f t="shared" si="302"/>
        <v>0</v>
      </c>
      <c r="Z526" s="169">
        <f t="shared" si="302"/>
        <v>0</v>
      </c>
      <c r="AA526" s="169">
        <f t="shared" si="302"/>
        <v>0</v>
      </c>
      <c r="AB526" s="169">
        <f t="shared" si="302"/>
        <v>0</v>
      </c>
      <c r="AC526" s="169">
        <f t="shared" si="302"/>
        <v>0</v>
      </c>
      <c r="AD526" s="169">
        <f t="shared" si="302"/>
        <v>0</v>
      </c>
      <c r="AE526" s="169">
        <f t="shared" si="302"/>
        <v>0</v>
      </c>
      <c r="AF526" s="169">
        <f t="shared" si="302"/>
        <v>0</v>
      </c>
      <c r="AG526" s="169">
        <f t="shared" si="302"/>
        <v>0</v>
      </c>
      <c r="AH526" s="169">
        <f t="shared" si="302"/>
        <v>0</v>
      </c>
      <c r="AI526" s="169">
        <f t="shared" si="302"/>
        <v>0</v>
      </c>
      <c r="AJ526" s="169">
        <f t="shared" si="302"/>
        <v>0</v>
      </c>
      <c r="AK526" s="169">
        <f t="shared" si="302"/>
        <v>0</v>
      </c>
      <c r="AL526" s="169">
        <f t="shared" si="302"/>
        <v>0</v>
      </c>
      <c r="AM526" s="169">
        <f t="shared" si="302"/>
        <v>0</v>
      </c>
      <c r="AN526" s="169">
        <f t="shared" si="302"/>
        <v>0</v>
      </c>
      <c r="AO526" s="169">
        <f t="shared" si="302"/>
        <v>0</v>
      </c>
      <c r="AP526" s="169">
        <f t="shared" si="302"/>
        <v>0</v>
      </c>
    </row>
    <row r="527" spans="1:42" x14ac:dyDescent="0.2">
      <c r="A527" s="101">
        <f t="shared" ref="A527" si="303">A526+1</f>
        <v>10</v>
      </c>
      <c r="B527" s="179">
        <f t="shared" si="292"/>
        <v>0</v>
      </c>
      <c r="C527" s="204">
        <f t="shared" ref="C527:AP527" si="304">LOOKUP(C515,$B$501:$AP$501,$B$502:$AP$502)*$B665</f>
        <v>0</v>
      </c>
      <c r="D527" s="170">
        <f t="shared" si="304"/>
        <v>0</v>
      </c>
      <c r="E527" s="170">
        <f t="shared" si="304"/>
        <v>0</v>
      </c>
      <c r="F527" s="170">
        <f t="shared" si="304"/>
        <v>0</v>
      </c>
      <c r="G527" s="170">
        <f t="shared" si="304"/>
        <v>0</v>
      </c>
      <c r="H527" s="170">
        <f t="shared" si="304"/>
        <v>0</v>
      </c>
      <c r="I527" s="170">
        <f t="shared" si="304"/>
        <v>0</v>
      </c>
      <c r="J527" s="170">
        <f t="shared" si="304"/>
        <v>0</v>
      </c>
      <c r="K527" s="170">
        <f t="shared" si="304"/>
        <v>0</v>
      </c>
      <c r="L527" s="170">
        <f t="shared" si="304"/>
        <v>0</v>
      </c>
      <c r="M527" s="170">
        <f t="shared" si="304"/>
        <v>0</v>
      </c>
      <c r="N527" s="170">
        <f t="shared" si="304"/>
        <v>0</v>
      </c>
      <c r="O527" s="170">
        <f t="shared" si="304"/>
        <v>0</v>
      </c>
      <c r="P527" s="170">
        <f t="shared" si="304"/>
        <v>0</v>
      </c>
      <c r="Q527" s="170">
        <f t="shared" si="304"/>
        <v>0</v>
      </c>
      <c r="R527" s="170">
        <f t="shared" si="304"/>
        <v>0</v>
      </c>
      <c r="S527" s="170">
        <f t="shared" si="304"/>
        <v>0</v>
      </c>
      <c r="T527" s="170">
        <f t="shared" si="304"/>
        <v>0</v>
      </c>
      <c r="U527" s="170">
        <f t="shared" si="304"/>
        <v>0</v>
      </c>
      <c r="V527" s="170">
        <f t="shared" si="304"/>
        <v>0</v>
      </c>
      <c r="W527" s="170">
        <f t="shared" si="304"/>
        <v>0</v>
      </c>
      <c r="X527" s="170">
        <f t="shared" si="304"/>
        <v>0</v>
      </c>
      <c r="Y527" s="170">
        <f t="shared" si="304"/>
        <v>0</v>
      </c>
      <c r="Z527" s="170">
        <f t="shared" si="304"/>
        <v>0</v>
      </c>
      <c r="AA527" s="170">
        <f t="shared" si="304"/>
        <v>0</v>
      </c>
      <c r="AB527" s="170">
        <f t="shared" si="304"/>
        <v>0</v>
      </c>
      <c r="AC527" s="170">
        <f t="shared" si="304"/>
        <v>0</v>
      </c>
      <c r="AD527" s="170">
        <f t="shared" si="304"/>
        <v>0</v>
      </c>
      <c r="AE527" s="170">
        <f t="shared" si="304"/>
        <v>0</v>
      </c>
      <c r="AF527" s="170">
        <f t="shared" si="304"/>
        <v>0</v>
      </c>
      <c r="AG527" s="170">
        <f t="shared" si="304"/>
        <v>0</v>
      </c>
      <c r="AH527" s="170">
        <f t="shared" si="304"/>
        <v>0</v>
      </c>
      <c r="AI527" s="170">
        <f t="shared" si="304"/>
        <v>0</v>
      </c>
      <c r="AJ527" s="170">
        <f t="shared" si="304"/>
        <v>0</v>
      </c>
      <c r="AK527" s="170">
        <f t="shared" si="304"/>
        <v>0</v>
      </c>
      <c r="AL527" s="170">
        <f t="shared" si="304"/>
        <v>0</v>
      </c>
      <c r="AM527" s="170">
        <f t="shared" si="304"/>
        <v>0</v>
      </c>
      <c r="AN527" s="170">
        <f t="shared" si="304"/>
        <v>0</v>
      </c>
      <c r="AO527" s="170">
        <f t="shared" si="304"/>
        <v>0</v>
      </c>
      <c r="AP527" s="170">
        <f t="shared" si="304"/>
        <v>0</v>
      </c>
    </row>
    <row r="528" spans="1:42" s="101" customFormat="1" x14ac:dyDescent="0.2">
      <c r="A528" s="205" t="s">
        <v>53</v>
      </c>
      <c r="B528" s="124"/>
      <c r="C528" s="124">
        <f>SUM(C518:C527)</f>
        <v>0</v>
      </c>
      <c r="D528" s="124">
        <f t="shared" ref="D528:AP528" si="305">SUM(D518:D527)</f>
        <v>0</v>
      </c>
      <c r="E528" s="124">
        <f t="shared" si="305"/>
        <v>0</v>
      </c>
      <c r="F528" s="124">
        <f t="shared" si="305"/>
        <v>0</v>
      </c>
      <c r="G528" s="124">
        <f t="shared" si="305"/>
        <v>0</v>
      </c>
      <c r="H528" s="124">
        <f t="shared" si="305"/>
        <v>0</v>
      </c>
      <c r="I528" s="124">
        <f t="shared" si="305"/>
        <v>0</v>
      </c>
      <c r="J528" s="124">
        <f t="shared" si="305"/>
        <v>0</v>
      </c>
      <c r="K528" s="124">
        <f t="shared" si="305"/>
        <v>0</v>
      </c>
      <c r="L528" s="124">
        <f t="shared" si="305"/>
        <v>0</v>
      </c>
      <c r="M528" s="124">
        <f t="shared" si="305"/>
        <v>0</v>
      </c>
      <c r="N528" s="124">
        <f t="shared" si="305"/>
        <v>588974.46870026283</v>
      </c>
      <c r="O528" s="124">
        <f t="shared" si="305"/>
        <v>942359.14992042049</v>
      </c>
      <c r="P528" s="124">
        <f t="shared" si="305"/>
        <v>565415.48995225236</v>
      </c>
      <c r="Q528" s="124">
        <f t="shared" si="305"/>
        <v>339249.29397135135</v>
      </c>
      <c r="R528" s="124">
        <f t="shared" si="305"/>
        <v>339249.29397135135</v>
      </c>
      <c r="S528" s="124">
        <f t="shared" si="305"/>
        <v>169624.64698567567</v>
      </c>
      <c r="T528" s="124">
        <f t="shared" si="305"/>
        <v>0</v>
      </c>
      <c r="U528" s="124">
        <f t="shared" si="305"/>
        <v>0</v>
      </c>
      <c r="V528" s="124">
        <f t="shared" si="305"/>
        <v>0</v>
      </c>
      <c r="W528" s="124">
        <f t="shared" si="305"/>
        <v>0</v>
      </c>
      <c r="X528" s="124">
        <f t="shared" si="305"/>
        <v>0</v>
      </c>
      <c r="Y528" s="124">
        <f t="shared" si="305"/>
        <v>0</v>
      </c>
      <c r="Z528" s="124">
        <f t="shared" si="305"/>
        <v>704188.57730493625</v>
      </c>
      <c r="AA528" s="124">
        <f t="shared" si="305"/>
        <v>1126701.7236878979</v>
      </c>
      <c r="AB528" s="124">
        <f t="shared" si="305"/>
        <v>676021.03421273874</v>
      </c>
      <c r="AC528" s="124">
        <f t="shared" si="305"/>
        <v>405612.62052764324</v>
      </c>
      <c r="AD528" s="124">
        <f t="shared" si="305"/>
        <v>405612.62052764324</v>
      </c>
      <c r="AE528" s="124">
        <f t="shared" si="305"/>
        <v>202806.31026382162</v>
      </c>
      <c r="AF528" s="124">
        <f t="shared" si="305"/>
        <v>0</v>
      </c>
      <c r="AG528" s="124">
        <f t="shared" si="305"/>
        <v>0</v>
      </c>
      <c r="AH528" s="124">
        <f t="shared" si="305"/>
        <v>0</v>
      </c>
      <c r="AI528" s="124">
        <f t="shared" si="305"/>
        <v>0</v>
      </c>
      <c r="AJ528" s="124">
        <f t="shared" si="305"/>
        <v>0</v>
      </c>
      <c r="AK528" s="124">
        <f t="shared" si="305"/>
        <v>0</v>
      </c>
      <c r="AL528" s="124">
        <f t="shared" si="305"/>
        <v>841940.65916142659</v>
      </c>
      <c r="AM528" s="124">
        <f t="shared" si="305"/>
        <v>1347105.0546582823</v>
      </c>
      <c r="AN528" s="124">
        <f t="shared" si="305"/>
        <v>808263.03279496951</v>
      </c>
      <c r="AO528" s="124">
        <f t="shared" si="305"/>
        <v>484957.81967698166</v>
      </c>
      <c r="AP528" s="124">
        <f t="shared" si="305"/>
        <v>484957.81967698166</v>
      </c>
    </row>
    <row r="529" spans="1:42" s="101" customFormat="1" x14ac:dyDescent="0.2">
      <c r="A529" s="205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</row>
    <row r="530" spans="1:42" x14ac:dyDescent="0.2">
      <c r="A530" s="180" t="s">
        <v>306</v>
      </c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</row>
    <row r="531" spans="1:42" x14ac:dyDescent="0.2">
      <c r="A531" s="187" t="s">
        <v>192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</row>
    <row r="532" spans="1:42" x14ac:dyDescent="0.2">
      <c r="A532" s="101">
        <v>1</v>
      </c>
      <c r="C532" s="169">
        <f>C397</f>
        <v>0</v>
      </c>
      <c r="D532" s="169">
        <f t="shared" ref="D532:AP538" si="306">D397</f>
        <v>0</v>
      </c>
      <c r="E532" s="169">
        <f t="shared" si="306"/>
        <v>0</v>
      </c>
      <c r="F532" s="169">
        <f t="shared" si="306"/>
        <v>0</v>
      </c>
      <c r="G532" s="169">
        <f t="shared" si="306"/>
        <v>0</v>
      </c>
      <c r="H532" s="169">
        <f t="shared" si="306"/>
        <v>0</v>
      </c>
      <c r="I532" s="169">
        <f t="shared" si="306"/>
        <v>0</v>
      </c>
      <c r="J532" s="169">
        <f t="shared" si="306"/>
        <v>0</v>
      </c>
      <c r="K532" s="169">
        <f t="shared" si="306"/>
        <v>0</v>
      </c>
      <c r="L532" s="169">
        <f t="shared" si="306"/>
        <v>0</v>
      </c>
      <c r="M532" s="169">
        <f t="shared" si="306"/>
        <v>0</v>
      </c>
      <c r="N532" s="169">
        <f t="shared" si="306"/>
        <v>0</v>
      </c>
      <c r="O532" s="169">
        <f t="shared" si="306"/>
        <v>0</v>
      </c>
      <c r="P532" s="169">
        <f t="shared" si="306"/>
        <v>0</v>
      </c>
      <c r="Q532" s="169">
        <f t="shared" si="306"/>
        <v>0</v>
      </c>
      <c r="R532" s="169">
        <f t="shared" si="306"/>
        <v>0</v>
      </c>
      <c r="S532" s="169">
        <f t="shared" si="306"/>
        <v>0</v>
      </c>
      <c r="T532" s="169">
        <f t="shared" si="306"/>
        <v>0</v>
      </c>
      <c r="U532" s="169">
        <f t="shared" si="306"/>
        <v>0</v>
      </c>
      <c r="V532" s="169">
        <f t="shared" si="306"/>
        <v>0</v>
      </c>
      <c r="W532" s="169">
        <f t="shared" si="306"/>
        <v>0</v>
      </c>
      <c r="X532" s="169">
        <f t="shared" si="306"/>
        <v>0</v>
      </c>
      <c r="Y532" s="169">
        <f t="shared" si="306"/>
        <v>0</v>
      </c>
      <c r="Z532" s="169">
        <f t="shared" si="306"/>
        <v>0</v>
      </c>
      <c r="AA532" s="169">
        <f t="shared" si="306"/>
        <v>0</v>
      </c>
      <c r="AB532" s="169">
        <f t="shared" si="306"/>
        <v>0</v>
      </c>
      <c r="AC532" s="169">
        <f t="shared" si="306"/>
        <v>0</v>
      </c>
      <c r="AD532" s="169">
        <f t="shared" si="306"/>
        <v>0</v>
      </c>
      <c r="AE532" s="169">
        <f t="shared" si="306"/>
        <v>0</v>
      </c>
      <c r="AF532" s="169">
        <f t="shared" si="306"/>
        <v>0</v>
      </c>
      <c r="AG532" s="169">
        <f t="shared" si="306"/>
        <v>0</v>
      </c>
      <c r="AH532" s="169">
        <f t="shared" si="306"/>
        <v>0</v>
      </c>
      <c r="AI532" s="169">
        <f t="shared" si="306"/>
        <v>0</v>
      </c>
      <c r="AJ532" s="169">
        <f t="shared" si="306"/>
        <v>0</v>
      </c>
      <c r="AK532" s="169">
        <f t="shared" si="306"/>
        <v>0</v>
      </c>
      <c r="AL532" s="169">
        <f t="shared" si="306"/>
        <v>0</v>
      </c>
      <c r="AM532" s="169">
        <f t="shared" si="306"/>
        <v>0</v>
      </c>
      <c r="AN532" s="169">
        <f t="shared" si="306"/>
        <v>0</v>
      </c>
      <c r="AO532" s="169">
        <f t="shared" si="306"/>
        <v>0</v>
      </c>
      <c r="AP532" s="169">
        <f t="shared" si="306"/>
        <v>0</v>
      </c>
    </row>
    <row r="533" spans="1:42" x14ac:dyDescent="0.2">
      <c r="A533" s="101">
        <f>A532+1</f>
        <v>2</v>
      </c>
      <c r="C533" s="169">
        <f t="shared" ref="C533:R541" si="307">C398</f>
        <v>0</v>
      </c>
      <c r="D533" s="169">
        <f t="shared" si="307"/>
        <v>0</v>
      </c>
      <c r="E533" s="169">
        <f t="shared" si="307"/>
        <v>0</v>
      </c>
      <c r="F533" s="169">
        <f t="shared" si="307"/>
        <v>0</v>
      </c>
      <c r="G533" s="169">
        <f t="shared" si="307"/>
        <v>0</v>
      </c>
      <c r="H533" s="169">
        <f t="shared" si="307"/>
        <v>0</v>
      </c>
      <c r="I533" s="169">
        <f t="shared" si="307"/>
        <v>0</v>
      </c>
      <c r="J533" s="169">
        <f t="shared" si="307"/>
        <v>0</v>
      </c>
      <c r="K533" s="169">
        <f t="shared" si="307"/>
        <v>0</v>
      </c>
      <c r="L533" s="169">
        <f t="shared" si="307"/>
        <v>0</v>
      </c>
      <c r="M533" s="169">
        <f t="shared" si="307"/>
        <v>0</v>
      </c>
      <c r="N533" s="169">
        <f t="shared" si="307"/>
        <v>0</v>
      </c>
      <c r="O533" s="169">
        <f t="shared" si="307"/>
        <v>0</v>
      </c>
      <c r="P533" s="169">
        <f t="shared" si="307"/>
        <v>0</v>
      </c>
      <c r="Q533" s="169">
        <f t="shared" si="307"/>
        <v>0</v>
      </c>
      <c r="R533" s="169">
        <f t="shared" si="307"/>
        <v>0</v>
      </c>
      <c r="S533" s="169">
        <f t="shared" si="306"/>
        <v>0</v>
      </c>
      <c r="T533" s="169">
        <f t="shared" si="306"/>
        <v>0</v>
      </c>
      <c r="U533" s="169">
        <f t="shared" si="306"/>
        <v>0</v>
      </c>
      <c r="V533" s="169">
        <f t="shared" si="306"/>
        <v>0</v>
      </c>
      <c r="W533" s="169">
        <f t="shared" si="306"/>
        <v>0</v>
      </c>
      <c r="X533" s="169">
        <f t="shared" si="306"/>
        <v>0</v>
      </c>
      <c r="Y533" s="169">
        <f t="shared" si="306"/>
        <v>0</v>
      </c>
      <c r="Z533" s="169">
        <f t="shared" si="306"/>
        <v>0</v>
      </c>
      <c r="AA533" s="169">
        <f t="shared" si="306"/>
        <v>0</v>
      </c>
      <c r="AB533" s="169">
        <f t="shared" si="306"/>
        <v>0</v>
      </c>
      <c r="AC533" s="169">
        <f t="shared" si="306"/>
        <v>0</v>
      </c>
      <c r="AD533" s="169">
        <f t="shared" si="306"/>
        <v>0</v>
      </c>
      <c r="AE533" s="169">
        <f t="shared" si="306"/>
        <v>0</v>
      </c>
      <c r="AF533" s="169">
        <f t="shared" si="306"/>
        <v>0</v>
      </c>
      <c r="AG533" s="169">
        <f t="shared" si="306"/>
        <v>0</v>
      </c>
      <c r="AH533" s="169">
        <f t="shared" si="306"/>
        <v>0</v>
      </c>
      <c r="AI533" s="169">
        <f t="shared" si="306"/>
        <v>0</v>
      </c>
      <c r="AJ533" s="169">
        <f t="shared" si="306"/>
        <v>0</v>
      </c>
      <c r="AK533" s="169">
        <f t="shared" si="306"/>
        <v>0</v>
      </c>
      <c r="AL533" s="169">
        <f t="shared" si="306"/>
        <v>0</v>
      </c>
      <c r="AM533" s="169">
        <f t="shared" si="306"/>
        <v>0</v>
      </c>
      <c r="AN533" s="169">
        <f t="shared" si="306"/>
        <v>0</v>
      </c>
      <c r="AO533" s="169">
        <f t="shared" si="306"/>
        <v>0</v>
      </c>
      <c r="AP533" s="169">
        <f t="shared" si="306"/>
        <v>0</v>
      </c>
    </row>
    <row r="534" spans="1:42" x14ac:dyDescent="0.2">
      <c r="A534" s="101">
        <f t="shared" ref="A534:A539" si="308">A533+1</f>
        <v>3</v>
      </c>
      <c r="C534" s="169">
        <f t="shared" si="307"/>
        <v>0</v>
      </c>
      <c r="D534" s="169">
        <f t="shared" si="306"/>
        <v>0</v>
      </c>
      <c r="E534" s="169">
        <f t="shared" si="306"/>
        <v>0</v>
      </c>
      <c r="F534" s="169">
        <f t="shared" si="306"/>
        <v>0</v>
      </c>
      <c r="G534" s="169">
        <f t="shared" si="306"/>
        <v>0</v>
      </c>
      <c r="H534" s="169">
        <f t="shared" si="306"/>
        <v>0</v>
      </c>
      <c r="I534" s="169">
        <f t="shared" si="306"/>
        <v>0</v>
      </c>
      <c r="J534" s="169">
        <f t="shared" si="306"/>
        <v>0</v>
      </c>
      <c r="K534" s="169">
        <f t="shared" si="306"/>
        <v>0</v>
      </c>
      <c r="L534" s="169">
        <f t="shared" si="306"/>
        <v>0</v>
      </c>
      <c r="M534" s="169">
        <f t="shared" si="306"/>
        <v>0</v>
      </c>
      <c r="N534" s="169">
        <f t="shared" si="306"/>
        <v>0</v>
      </c>
      <c r="O534" s="169">
        <f t="shared" si="306"/>
        <v>0</v>
      </c>
      <c r="P534" s="169">
        <f t="shared" si="306"/>
        <v>0</v>
      </c>
      <c r="Q534" s="169">
        <f t="shared" si="306"/>
        <v>0</v>
      </c>
      <c r="R534" s="169">
        <f t="shared" si="306"/>
        <v>0</v>
      </c>
      <c r="S534" s="169">
        <f t="shared" si="306"/>
        <v>0</v>
      </c>
      <c r="T534" s="169">
        <f t="shared" si="306"/>
        <v>0</v>
      </c>
      <c r="U534" s="169">
        <f t="shared" si="306"/>
        <v>0</v>
      </c>
      <c r="V534" s="169">
        <f t="shared" si="306"/>
        <v>0</v>
      </c>
      <c r="W534" s="169">
        <f t="shared" si="306"/>
        <v>0</v>
      </c>
      <c r="X534" s="169">
        <f t="shared" si="306"/>
        <v>0</v>
      </c>
      <c r="Y534" s="169">
        <f t="shared" si="306"/>
        <v>0</v>
      </c>
      <c r="Z534" s="169">
        <f t="shared" si="306"/>
        <v>0</v>
      </c>
      <c r="AA534" s="169">
        <f t="shared" si="306"/>
        <v>0</v>
      </c>
      <c r="AB534" s="169">
        <f t="shared" si="306"/>
        <v>0</v>
      </c>
      <c r="AC534" s="169">
        <f t="shared" si="306"/>
        <v>0</v>
      </c>
      <c r="AD534" s="169">
        <f t="shared" si="306"/>
        <v>0</v>
      </c>
      <c r="AE534" s="169">
        <f t="shared" si="306"/>
        <v>0</v>
      </c>
      <c r="AF534" s="169">
        <f t="shared" si="306"/>
        <v>0</v>
      </c>
      <c r="AG534" s="169">
        <f t="shared" si="306"/>
        <v>0</v>
      </c>
      <c r="AH534" s="169">
        <f t="shared" si="306"/>
        <v>0</v>
      </c>
      <c r="AI534" s="169">
        <f t="shared" si="306"/>
        <v>0</v>
      </c>
      <c r="AJ534" s="169">
        <f t="shared" si="306"/>
        <v>0</v>
      </c>
      <c r="AK534" s="169">
        <f t="shared" si="306"/>
        <v>0</v>
      </c>
      <c r="AL534" s="169">
        <f t="shared" si="306"/>
        <v>0</v>
      </c>
      <c r="AM534" s="169">
        <f t="shared" si="306"/>
        <v>0</v>
      </c>
      <c r="AN534" s="169">
        <f t="shared" si="306"/>
        <v>0</v>
      </c>
      <c r="AO534" s="169">
        <f t="shared" si="306"/>
        <v>0</v>
      </c>
      <c r="AP534" s="169">
        <f t="shared" si="306"/>
        <v>0</v>
      </c>
    </row>
    <row r="535" spans="1:42" x14ac:dyDescent="0.2">
      <c r="A535" s="101">
        <f t="shared" si="308"/>
        <v>4</v>
      </c>
      <c r="C535" s="169">
        <f t="shared" si="307"/>
        <v>0</v>
      </c>
      <c r="D535" s="169">
        <f t="shared" si="306"/>
        <v>0</v>
      </c>
      <c r="E535" s="169">
        <f t="shared" si="306"/>
        <v>0</v>
      </c>
      <c r="F535" s="169">
        <f t="shared" si="306"/>
        <v>0</v>
      </c>
      <c r="G535" s="169">
        <f t="shared" si="306"/>
        <v>0</v>
      </c>
      <c r="H535" s="169">
        <f t="shared" si="306"/>
        <v>0</v>
      </c>
      <c r="I535" s="169">
        <f t="shared" si="306"/>
        <v>0</v>
      </c>
      <c r="J535" s="169">
        <f t="shared" si="306"/>
        <v>0</v>
      </c>
      <c r="K535" s="169">
        <f t="shared" si="306"/>
        <v>0</v>
      </c>
      <c r="L535" s="169">
        <f t="shared" si="306"/>
        <v>0</v>
      </c>
      <c r="M535" s="169">
        <f t="shared" si="306"/>
        <v>0</v>
      </c>
      <c r="N535" s="169">
        <f t="shared" si="306"/>
        <v>0</v>
      </c>
      <c r="O535" s="169">
        <f t="shared" si="306"/>
        <v>0</v>
      </c>
      <c r="P535" s="169">
        <f t="shared" si="306"/>
        <v>0</v>
      </c>
      <c r="Q535" s="169">
        <f t="shared" si="306"/>
        <v>0</v>
      </c>
      <c r="R535" s="169">
        <f t="shared" si="306"/>
        <v>0</v>
      </c>
      <c r="S535" s="169">
        <f t="shared" si="306"/>
        <v>0</v>
      </c>
      <c r="T535" s="169">
        <f t="shared" si="306"/>
        <v>0</v>
      </c>
      <c r="U535" s="169">
        <f t="shared" si="306"/>
        <v>0</v>
      </c>
      <c r="V535" s="169">
        <f t="shared" si="306"/>
        <v>0</v>
      </c>
      <c r="W535" s="169">
        <f t="shared" si="306"/>
        <v>0</v>
      </c>
      <c r="X535" s="169">
        <f t="shared" si="306"/>
        <v>0</v>
      </c>
      <c r="Y535" s="169">
        <f t="shared" si="306"/>
        <v>0</v>
      </c>
      <c r="Z535" s="169">
        <f t="shared" si="306"/>
        <v>0</v>
      </c>
      <c r="AA535" s="169">
        <f t="shared" si="306"/>
        <v>0</v>
      </c>
      <c r="AB535" s="169">
        <f t="shared" si="306"/>
        <v>0</v>
      </c>
      <c r="AC535" s="169">
        <f t="shared" si="306"/>
        <v>0</v>
      </c>
      <c r="AD535" s="169">
        <f t="shared" si="306"/>
        <v>0</v>
      </c>
      <c r="AE535" s="169">
        <f t="shared" si="306"/>
        <v>0</v>
      </c>
      <c r="AF535" s="169">
        <f t="shared" si="306"/>
        <v>0</v>
      </c>
      <c r="AG535" s="169">
        <f t="shared" si="306"/>
        <v>0</v>
      </c>
      <c r="AH535" s="169">
        <f t="shared" si="306"/>
        <v>0</v>
      </c>
      <c r="AI535" s="169">
        <f t="shared" si="306"/>
        <v>0</v>
      </c>
      <c r="AJ535" s="169">
        <f t="shared" si="306"/>
        <v>0</v>
      </c>
      <c r="AK535" s="169">
        <f t="shared" si="306"/>
        <v>0</v>
      </c>
      <c r="AL535" s="169">
        <f t="shared" si="306"/>
        <v>0</v>
      </c>
      <c r="AM535" s="169">
        <f t="shared" si="306"/>
        <v>0</v>
      </c>
      <c r="AN535" s="169">
        <f t="shared" si="306"/>
        <v>0</v>
      </c>
      <c r="AO535" s="169">
        <f t="shared" si="306"/>
        <v>0</v>
      </c>
      <c r="AP535" s="169">
        <f t="shared" si="306"/>
        <v>0</v>
      </c>
    </row>
    <row r="536" spans="1:42" x14ac:dyDescent="0.2">
      <c r="A536" s="101">
        <f t="shared" si="308"/>
        <v>5</v>
      </c>
      <c r="C536" s="169">
        <f t="shared" si="307"/>
        <v>0</v>
      </c>
      <c r="D536" s="169">
        <f t="shared" si="306"/>
        <v>0</v>
      </c>
      <c r="E536" s="169">
        <f t="shared" si="306"/>
        <v>0</v>
      </c>
      <c r="F536" s="169">
        <f t="shared" si="306"/>
        <v>0</v>
      </c>
      <c r="G536" s="169">
        <f t="shared" si="306"/>
        <v>0</v>
      </c>
      <c r="H536" s="169">
        <f t="shared" si="306"/>
        <v>0</v>
      </c>
      <c r="I536" s="169">
        <f t="shared" si="306"/>
        <v>0</v>
      </c>
      <c r="J536" s="169">
        <f t="shared" si="306"/>
        <v>0</v>
      </c>
      <c r="K536" s="169">
        <f t="shared" si="306"/>
        <v>0</v>
      </c>
      <c r="L536" s="169">
        <f t="shared" si="306"/>
        <v>0</v>
      </c>
      <c r="M536" s="169">
        <f t="shared" si="306"/>
        <v>0</v>
      </c>
      <c r="N536" s="169">
        <f t="shared" si="306"/>
        <v>0</v>
      </c>
      <c r="O536" s="169">
        <f t="shared" si="306"/>
        <v>0</v>
      </c>
      <c r="P536" s="169">
        <f t="shared" si="306"/>
        <v>0</v>
      </c>
      <c r="Q536" s="169">
        <f t="shared" si="306"/>
        <v>0</v>
      </c>
      <c r="R536" s="169">
        <f t="shared" si="306"/>
        <v>0</v>
      </c>
      <c r="S536" s="169">
        <f t="shared" si="306"/>
        <v>0</v>
      </c>
      <c r="T536" s="169">
        <f t="shared" si="306"/>
        <v>0</v>
      </c>
      <c r="U536" s="169">
        <f t="shared" si="306"/>
        <v>0</v>
      </c>
      <c r="V536" s="169">
        <f t="shared" si="306"/>
        <v>0</v>
      </c>
      <c r="W536" s="169">
        <f t="shared" si="306"/>
        <v>0</v>
      </c>
      <c r="X536" s="169">
        <f t="shared" si="306"/>
        <v>0</v>
      </c>
      <c r="Y536" s="169">
        <f t="shared" si="306"/>
        <v>0</v>
      </c>
      <c r="Z536" s="169">
        <f t="shared" si="306"/>
        <v>0</v>
      </c>
      <c r="AA536" s="169">
        <f t="shared" si="306"/>
        <v>0</v>
      </c>
      <c r="AB536" s="169">
        <f t="shared" si="306"/>
        <v>0</v>
      </c>
      <c r="AC536" s="169">
        <f t="shared" si="306"/>
        <v>0</v>
      </c>
      <c r="AD536" s="169">
        <f t="shared" si="306"/>
        <v>0</v>
      </c>
      <c r="AE536" s="169">
        <f t="shared" si="306"/>
        <v>0</v>
      </c>
      <c r="AF536" s="169">
        <f t="shared" si="306"/>
        <v>0</v>
      </c>
      <c r="AG536" s="169">
        <f t="shared" si="306"/>
        <v>0</v>
      </c>
      <c r="AH536" s="169">
        <f t="shared" si="306"/>
        <v>0</v>
      </c>
      <c r="AI536" s="169">
        <f t="shared" si="306"/>
        <v>0</v>
      </c>
      <c r="AJ536" s="169">
        <f t="shared" si="306"/>
        <v>0</v>
      </c>
      <c r="AK536" s="169">
        <f t="shared" si="306"/>
        <v>0</v>
      </c>
      <c r="AL536" s="169">
        <f t="shared" si="306"/>
        <v>0</v>
      </c>
      <c r="AM536" s="169">
        <f t="shared" si="306"/>
        <v>0</v>
      </c>
      <c r="AN536" s="169">
        <f t="shared" si="306"/>
        <v>0</v>
      </c>
      <c r="AO536" s="169">
        <f t="shared" si="306"/>
        <v>0</v>
      </c>
      <c r="AP536" s="169">
        <f t="shared" si="306"/>
        <v>0</v>
      </c>
    </row>
    <row r="537" spans="1:42" x14ac:dyDescent="0.2">
      <c r="A537" s="101">
        <f t="shared" si="308"/>
        <v>6</v>
      </c>
      <c r="C537" s="169">
        <f t="shared" si="307"/>
        <v>0</v>
      </c>
      <c r="D537" s="169">
        <f t="shared" si="306"/>
        <v>0</v>
      </c>
      <c r="E537" s="169">
        <f t="shared" si="306"/>
        <v>0</v>
      </c>
      <c r="F537" s="169">
        <f t="shared" si="306"/>
        <v>0</v>
      </c>
      <c r="G537" s="169">
        <f t="shared" si="306"/>
        <v>0</v>
      </c>
      <c r="H537" s="169">
        <f t="shared" si="306"/>
        <v>0</v>
      </c>
      <c r="I537" s="169">
        <f t="shared" si="306"/>
        <v>0</v>
      </c>
      <c r="J537" s="169">
        <f t="shared" si="306"/>
        <v>0</v>
      </c>
      <c r="K537" s="169">
        <f t="shared" si="306"/>
        <v>0</v>
      </c>
      <c r="L537" s="169">
        <f t="shared" si="306"/>
        <v>0</v>
      </c>
      <c r="M537" s="169">
        <f t="shared" si="306"/>
        <v>0</v>
      </c>
      <c r="N537" s="169">
        <f t="shared" si="306"/>
        <v>0</v>
      </c>
      <c r="O537" s="169">
        <f t="shared" si="306"/>
        <v>0</v>
      </c>
      <c r="P537" s="169">
        <f t="shared" si="306"/>
        <v>0</v>
      </c>
      <c r="Q537" s="169">
        <f t="shared" si="306"/>
        <v>0</v>
      </c>
      <c r="R537" s="169">
        <f t="shared" si="306"/>
        <v>0</v>
      </c>
      <c r="S537" s="169">
        <f t="shared" si="306"/>
        <v>0</v>
      </c>
      <c r="T537" s="169">
        <f t="shared" si="306"/>
        <v>0</v>
      </c>
      <c r="U537" s="169">
        <f t="shared" si="306"/>
        <v>0</v>
      </c>
      <c r="V537" s="169">
        <f t="shared" si="306"/>
        <v>0</v>
      </c>
      <c r="W537" s="169">
        <f t="shared" si="306"/>
        <v>0</v>
      </c>
      <c r="X537" s="169">
        <f t="shared" si="306"/>
        <v>0</v>
      </c>
      <c r="Y537" s="169">
        <f t="shared" si="306"/>
        <v>0</v>
      </c>
      <c r="Z537" s="169">
        <f t="shared" si="306"/>
        <v>0</v>
      </c>
      <c r="AA537" s="169">
        <f t="shared" si="306"/>
        <v>0</v>
      </c>
      <c r="AB537" s="169">
        <f t="shared" si="306"/>
        <v>0</v>
      </c>
      <c r="AC537" s="169">
        <f t="shared" si="306"/>
        <v>0</v>
      </c>
      <c r="AD537" s="169">
        <f t="shared" si="306"/>
        <v>0</v>
      </c>
      <c r="AE537" s="169">
        <f t="shared" si="306"/>
        <v>0</v>
      </c>
      <c r="AF537" s="169">
        <f t="shared" si="306"/>
        <v>0</v>
      </c>
      <c r="AG537" s="169">
        <f t="shared" si="306"/>
        <v>0</v>
      </c>
      <c r="AH537" s="169">
        <f t="shared" si="306"/>
        <v>0</v>
      </c>
      <c r="AI537" s="169">
        <f t="shared" si="306"/>
        <v>0</v>
      </c>
      <c r="AJ537" s="169">
        <f t="shared" si="306"/>
        <v>0</v>
      </c>
      <c r="AK537" s="169">
        <f t="shared" si="306"/>
        <v>0</v>
      </c>
      <c r="AL537" s="169">
        <f t="shared" si="306"/>
        <v>0</v>
      </c>
      <c r="AM537" s="169">
        <f t="shared" si="306"/>
        <v>0</v>
      </c>
      <c r="AN537" s="169">
        <f t="shared" si="306"/>
        <v>0</v>
      </c>
      <c r="AO537" s="169">
        <f t="shared" si="306"/>
        <v>0</v>
      </c>
      <c r="AP537" s="169">
        <f t="shared" si="306"/>
        <v>0</v>
      </c>
    </row>
    <row r="538" spans="1:42" x14ac:dyDescent="0.2">
      <c r="A538" s="101">
        <f t="shared" si="308"/>
        <v>7</v>
      </c>
      <c r="C538" s="169">
        <f t="shared" si="307"/>
        <v>0</v>
      </c>
      <c r="D538" s="169">
        <f t="shared" si="306"/>
        <v>0</v>
      </c>
      <c r="E538" s="169">
        <f t="shared" si="306"/>
        <v>0</v>
      </c>
      <c r="F538" s="169">
        <f t="shared" si="306"/>
        <v>0</v>
      </c>
      <c r="G538" s="169">
        <f t="shared" si="306"/>
        <v>0</v>
      </c>
      <c r="H538" s="169">
        <f t="shared" si="306"/>
        <v>0</v>
      </c>
      <c r="I538" s="169">
        <f t="shared" si="306"/>
        <v>0</v>
      </c>
      <c r="J538" s="169">
        <f t="shared" si="306"/>
        <v>0</v>
      </c>
      <c r="K538" s="169">
        <f t="shared" si="306"/>
        <v>0</v>
      </c>
      <c r="L538" s="169">
        <f t="shared" si="306"/>
        <v>0</v>
      </c>
      <c r="M538" s="169">
        <f t="shared" si="306"/>
        <v>0</v>
      </c>
      <c r="N538" s="169">
        <f t="shared" si="306"/>
        <v>0</v>
      </c>
      <c r="O538" s="169">
        <f t="shared" si="306"/>
        <v>0</v>
      </c>
      <c r="P538" s="169">
        <f t="shared" si="306"/>
        <v>0</v>
      </c>
      <c r="Q538" s="169">
        <f t="shared" si="306"/>
        <v>0</v>
      </c>
      <c r="R538" s="169">
        <f t="shared" si="306"/>
        <v>0</v>
      </c>
      <c r="S538" s="169">
        <f t="shared" si="306"/>
        <v>0</v>
      </c>
      <c r="T538" s="169">
        <f t="shared" si="306"/>
        <v>0</v>
      </c>
      <c r="U538" s="169">
        <f t="shared" si="306"/>
        <v>0</v>
      </c>
      <c r="V538" s="169">
        <f t="shared" si="306"/>
        <v>0</v>
      </c>
      <c r="W538" s="169">
        <f t="shared" si="306"/>
        <v>0</v>
      </c>
      <c r="X538" s="169">
        <f t="shared" si="306"/>
        <v>0</v>
      </c>
      <c r="Y538" s="169">
        <f t="shared" si="306"/>
        <v>0</v>
      </c>
      <c r="Z538" s="169">
        <f t="shared" si="306"/>
        <v>0</v>
      </c>
      <c r="AA538" s="169">
        <f t="shared" si="306"/>
        <v>0</v>
      </c>
      <c r="AB538" s="169">
        <f t="shared" si="306"/>
        <v>0</v>
      </c>
      <c r="AC538" s="169">
        <f t="shared" si="306"/>
        <v>0</v>
      </c>
      <c r="AD538" s="169">
        <f t="shared" si="306"/>
        <v>0</v>
      </c>
      <c r="AE538" s="169">
        <f t="shared" si="306"/>
        <v>0</v>
      </c>
      <c r="AF538" s="169">
        <f t="shared" si="306"/>
        <v>0</v>
      </c>
      <c r="AG538" s="169">
        <f t="shared" si="306"/>
        <v>0</v>
      </c>
      <c r="AH538" s="169">
        <f t="shared" si="306"/>
        <v>0</v>
      </c>
      <c r="AI538" s="169">
        <f t="shared" si="306"/>
        <v>0</v>
      </c>
      <c r="AJ538" s="169">
        <f t="shared" si="306"/>
        <v>0</v>
      </c>
      <c r="AK538" s="169">
        <f t="shared" si="306"/>
        <v>0</v>
      </c>
      <c r="AL538" s="169">
        <f t="shared" si="306"/>
        <v>0</v>
      </c>
      <c r="AM538" s="169">
        <f t="shared" si="306"/>
        <v>0</v>
      </c>
      <c r="AN538" s="169">
        <f t="shared" ref="AN538:AP538" si="309">AN403</f>
        <v>0</v>
      </c>
      <c r="AO538" s="169">
        <f t="shared" si="309"/>
        <v>0</v>
      </c>
      <c r="AP538" s="169">
        <f t="shared" si="309"/>
        <v>0</v>
      </c>
    </row>
    <row r="539" spans="1:42" x14ac:dyDescent="0.2">
      <c r="A539" s="101">
        <f t="shared" si="308"/>
        <v>8</v>
      </c>
      <c r="C539" s="169">
        <f t="shared" si="307"/>
        <v>0</v>
      </c>
      <c r="D539" s="169">
        <f t="shared" si="307"/>
        <v>0</v>
      </c>
      <c r="E539" s="169">
        <f t="shared" si="307"/>
        <v>0</v>
      </c>
      <c r="F539" s="169">
        <f t="shared" si="307"/>
        <v>0</v>
      </c>
      <c r="G539" s="169">
        <f t="shared" si="307"/>
        <v>0</v>
      </c>
      <c r="H539" s="169">
        <f t="shared" si="307"/>
        <v>0</v>
      </c>
      <c r="I539" s="169">
        <f t="shared" si="307"/>
        <v>0</v>
      </c>
      <c r="J539" s="169">
        <f t="shared" si="307"/>
        <v>0</v>
      </c>
      <c r="K539" s="169">
        <f t="shared" si="307"/>
        <v>0</v>
      </c>
      <c r="L539" s="169">
        <f t="shared" si="307"/>
        <v>0</v>
      </c>
      <c r="M539" s="169">
        <f t="shared" si="307"/>
        <v>0</v>
      </c>
      <c r="N539" s="169">
        <f t="shared" si="307"/>
        <v>0</v>
      </c>
      <c r="O539" s="169">
        <f t="shared" si="307"/>
        <v>0</v>
      </c>
      <c r="P539" s="169">
        <f t="shared" si="307"/>
        <v>0</v>
      </c>
      <c r="Q539" s="169">
        <f t="shared" si="307"/>
        <v>0</v>
      </c>
      <c r="R539" s="169">
        <f t="shared" si="307"/>
        <v>0</v>
      </c>
      <c r="S539" s="169">
        <f t="shared" ref="D539:AP541" si="310">S404</f>
        <v>0</v>
      </c>
      <c r="T539" s="169">
        <f t="shared" si="310"/>
        <v>0</v>
      </c>
      <c r="U539" s="169">
        <f t="shared" si="310"/>
        <v>0</v>
      </c>
      <c r="V539" s="169">
        <f t="shared" si="310"/>
        <v>0</v>
      </c>
      <c r="W539" s="169">
        <f t="shared" si="310"/>
        <v>0</v>
      </c>
      <c r="X539" s="169">
        <f t="shared" si="310"/>
        <v>0</v>
      </c>
      <c r="Y539" s="169">
        <f t="shared" si="310"/>
        <v>0</v>
      </c>
      <c r="Z539" s="169">
        <f t="shared" si="310"/>
        <v>0</v>
      </c>
      <c r="AA539" s="169">
        <f t="shared" si="310"/>
        <v>0</v>
      </c>
      <c r="AB539" s="169">
        <f t="shared" si="310"/>
        <v>0</v>
      </c>
      <c r="AC539" s="169">
        <f t="shared" si="310"/>
        <v>0</v>
      </c>
      <c r="AD539" s="169">
        <f t="shared" si="310"/>
        <v>0</v>
      </c>
      <c r="AE539" s="169">
        <f t="shared" si="310"/>
        <v>0</v>
      </c>
      <c r="AF539" s="169">
        <f t="shared" si="310"/>
        <v>0</v>
      </c>
      <c r="AG539" s="169">
        <f t="shared" si="310"/>
        <v>0</v>
      </c>
      <c r="AH539" s="169">
        <f t="shared" si="310"/>
        <v>0</v>
      </c>
      <c r="AI539" s="169">
        <f t="shared" si="310"/>
        <v>0</v>
      </c>
      <c r="AJ539" s="169">
        <f t="shared" si="310"/>
        <v>0</v>
      </c>
      <c r="AK539" s="169">
        <f t="shared" si="310"/>
        <v>0</v>
      </c>
      <c r="AL539" s="169">
        <f t="shared" si="310"/>
        <v>0</v>
      </c>
      <c r="AM539" s="169">
        <f t="shared" si="310"/>
        <v>0</v>
      </c>
      <c r="AN539" s="169">
        <f t="shared" si="310"/>
        <v>0</v>
      </c>
      <c r="AO539" s="169">
        <f t="shared" si="310"/>
        <v>0</v>
      </c>
      <c r="AP539" s="169">
        <f t="shared" si="310"/>
        <v>0</v>
      </c>
    </row>
    <row r="540" spans="1:42" x14ac:dyDescent="0.2">
      <c r="A540" s="101">
        <f>A539+1</f>
        <v>9</v>
      </c>
      <c r="C540" s="169">
        <f t="shared" si="307"/>
        <v>0</v>
      </c>
      <c r="D540" s="169">
        <f t="shared" si="310"/>
        <v>0</v>
      </c>
      <c r="E540" s="169">
        <f t="shared" si="310"/>
        <v>0</v>
      </c>
      <c r="F540" s="169">
        <f t="shared" si="310"/>
        <v>0</v>
      </c>
      <c r="G540" s="169">
        <f t="shared" si="310"/>
        <v>0</v>
      </c>
      <c r="H540" s="169">
        <f t="shared" si="310"/>
        <v>0</v>
      </c>
      <c r="I540" s="169">
        <f t="shared" si="310"/>
        <v>0</v>
      </c>
      <c r="J540" s="169">
        <f t="shared" si="310"/>
        <v>0</v>
      </c>
      <c r="K540" s="169">
        <f t="shared" si="310"/>
        <v>0</v>
      </c>
      <c r="L540" s="169">
        <f t="shared" si="310"/>
        <v>0</v>
      </c>
      <c r="M540" s="169">
        <f t="shared" si="310"/>
        <v>0</v>
      </c>
      <c r="N540" s="169">
        <f t="shared" si="310"/>
        <v>0</v>
      </c>
      <c r="O540" s="169">
        <f t="shared" si="310"/>
        <v>0</v>
      </c>
      <c r="P540" s="169">
        <f t="shared" si="310"/>
        <v>0</v>
      </c>
      <c r="Q540" s="169">
        <f t="shared" si="310"/>
        <v>0</v>
      </c>
      <c r="R540" s="169">
        <f t="shared" si="310"/>
        <v>0</v>
      </c>
      <c r="S540" s="169">
        <f t="shared" si="310"/>
        <v>0</v>
      </c>
      <c r="T540" s="169">
        <f t="shared" si="310"/>
        <v>0</v>
      </c>
      <c r="U540" s="169">
        <f t="shared" si="310"/>
        <v>0</v>
      </c>
      <c r="V540" s="169">
        <f t="shared" si="310"/>
        <v>0</v>
      </c>
      <c r="W540" s="169">
        <f t="shared" si="310"/>
        <v>0</v>
      </c>
      <c r="X540" s="169">
        <f t="shared" si="310"/>
        <v>0</v>
      </c>
      <c r="Y540" s="169">
        <f t="shared" si="310"/>
        <v>0</v>
      </c>
      <c r="Z540" s="169">
        <f t="shared" si="310"/>
        <v>0</v>
      </c>
      <c r="AA540" s="169">
        <f t="shared" si="310"/>
        <v>0</v>
      </c>
      <c r="AB540" s="169">
        <f t="shared" si="310"/>
        <v>0</v>
      </c>
      <c r="AC540" s="169">
        <f t="shared" si="310"/>
        <v>0</v>
      </c>
      <c r="AD540" s="169">
        <f t="shared" si="310"/>
        <v>0</v>
      </c>
      <c r="AE540" s="169">
        <f t="shared" si="310"/>
        <v>0</v>
      </c>
      <c r="AF540" s="169">
        <f t="shared" si="310"/>
        <v>0</v>
      </c>
      <c r="AG540" s="169">
        <f t="shared" si="310"/>
        <v>0</v>
      </c>
      <c r="AH540" s="169">
        <f t="shared" si="310"/>
        <v>0</v>
      </c>
      <c r="AI540" s="169">
        <f t="shared" si="310"/>
        <v>0</v>
      </c>
      <c r="AJ540" s="169">
        <f t="shared" si="310"/>
        <v>0</v>
      </c>
      <c r="AK540" s="169">
        <f t="shared" si="310"/>
        <v>0</v>
      </c>
      <c r="AL540" s="169">
        <f t="shared" si="310"/>
        <v>0</v>
      </c>
      <c r="AM540" s="169">
        <f t="shared" si="310"/>
        <v>0</v>
      </c>
      <c r="AN540" s="169">
        <f t="shared" si="310"/>
        <v>0</v>
      </c>
      <c r="AO540" s="169">
        <f t="shared" si="310"/>
        <v>0</v>
      </c>
      <c r="AP540" s="169">
        <f t="shared" si="310"/>
        <v>0</v>
      </c>
    </row>
    <row r="541" spans="1:42" x14ac:dyDescent="0.2">
      <c r="A541" s="101">
        <f t="shared" ref="A541" si="311">A540+1</f>
        <v>10</v>
      </c>
      <c r="C541" s="169">
        <f t="shared" si="307"/>
        <v>0</v>
      </c>
      <c r="D541" s="169">
        <f t="shared" si="310"/>
        <v>0</v>
      </c>
      <c r="E541" s="169">
        <f t="shared" si="310"/>
        <v>0</v>
      </c>
      <c r="F541" s="169">
        <f t="shared" si="310"/>
        <v>0</v>
      </c>
      <c r="G541" s="169">
        <f t="shared" si="310"/>
        <v>0</v>
      </c>
      <c r="H541" s="169">
        <f t="shared" si="310"/>
        <v>0</v>
      </c>
      <c r="I541" s="169">
        <f t="shared" si="310"/>
        <v>0</v>
      </c>
      <c r="J541" s="169">
        <f t="shared" si="310"/>
        <v>0</v>
      </c>
      <c r="K541" s="169">
        <f t="shared" si="310"/>
        <v>0</v>
      </c>
      <c r="L541" s="169">
        <f t="shared" si="310"/>
        <v>0</v>
      </c>
      <c r="M541" s="169">
        <f t="shared" si="310"/>
        <v>0</v>
      </c>
      <c r="N541" s="169">
        <f t="shared" si="310"/>
        <v>0</v>
      </c>
      <c r="O541" s="169">
        <f t="shared" si="310"/>
        <v>0</v>
      </c>
      <c r="P541" s="169">
        <f t="shared" si="310"/>
        <v>0</v>
      </c>
      <c r="Q541" s="169">
        <f t="shared" si="310"/>
        <v>0</v>
      </c>
      <c r="R541" s="169">
        <f t="shared" si="310"/>
        <v>0</v>
      </c>
      <c r="S541" s="169">
        <f t="shared" si="310"/>
        <v>0</v>
      </c>
      <c r="T541" s="169">
        <f t="shared" si="310"/>
        <v>0</v>
      </c>
      <c r="U541" s="169">
        <f t="shared" si="310"/>
        <v>0</v>
      </c>
      <c r="V541" s="169">
        <f t="shared" si="310"/>
        <v>0</v>
      </c>
      <c r="W541" s="169">
        <f t="shared" si="310"/>
        <v>0</v>
      </c>
      <c r="X541" s="169">
        <f t="shared" si="310"/>
        <v>0</v>
      </c>
      <c r="Y541" s="169">
        <f t="shared" si="310"/>
        <v>0</v>
      </c>
      <c r="Z541" s="169">
        <f t="shared" si="310"/>
        <v>0</v>
      </c>
      <c r="AA541" s="169">
        <f t="shared" si="310"/>
        <v>0</v>
      </c>
      <c r="AB541" s="169">
        <f t="shared" si="310"/>
        <v>0</v>
      </c>
      <c r="AC541" s="169">
        <f t="shared" si="310"/>
        <v>0</v>
      </c>
      <c r="AD541" s="169">
        <f t="shared" si="310"/>
        <v>0</v>
      </c>
      <c r="AE541" s="169">
        <f t="shared" si="310"/>
        <v>0</v>
      </c>
      <c r="AF541" s="169">
        <f t="shared" si="310"/>
        <v>0</v>
      </c>
      <c r="AG541" s="169">
        <f t="shared" si="310"/>
        <v>0</v>
      </c>
      <c r="AH541" s="169">
        <f t="shared" si="310"/>
        <v>0</v>
      </c>
      <c r="AI541" s="169">
        <f t="shared" si="310"/>
        <v>0</v>
      </c>
      <c r="AJ541" s="169">
        <f t="shared" si="310"/>
        <v>0</v>
      </c>
      <c r="AK541" s="169">
        <f t="shared" si="310"/>
        <v>0</v>
      </c>
      <c r="AL541" s="169">
        <f t="shared" si="310"/>
        <v>0</v>
      </c>
      <c r="AM541" s="169">
        <f t="shared" si="310"/>
        <v>0</v>
      </c>
      <c r="AN541" s="169">
        <f t="shared" si="310"/>
        <v>0</v>
      </c>
      <c r="AO541" s="169">
        <f t="shared" si="310"/>
        <v>0</v>
      </c>
      <c r="AP541" s="169">
        <f t="shared" si="310"/>
        <v>0</v>
      </c>
    </row>
    <row r="542" spans="1:42" x14ac:dyDescent="0.2">
      <c r="A542" s="187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</row>
    <row r="543" spans="1:42" x14ac:dyDescent="0.2">
      <c r="A543" s="187" t="s">
        <v>196</v>
      </c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</row>
    <row r="544" spans="1:42" x14ac:dyDescent="0.2">
      <c r="A544" s="101">
        <v>1</v>
      </c>
      <c r="B544" s="179">
        <f t="shared" ref="B544:B553" si="312">SUM(C544:AP544)</f>
        <v>0</v>
      </c>
      <c r="C544" s="208">
        <f t="shared" ref="C544:AP544" si="313">LOOKUP(C532,$B$501:$AP$501,$B$502:$AP$502)*$B688</f>
        <v>0</v>
      </c>
      <c r="D544" s="169">
        <f t="shared" si="313"/>
        <v>0</v>
      </c>
      <c r="E544" s="169">
        <f t="shared" si="313"/>
        <v>0</v>
      </c>
      <c r="F544" s="169">
        <f t="shared" si="313"/>
        <v>0</v>
      </c>
      <c r="G544" s="169">
        <f t="shared" si="313"/>
        <v>0</v>
      </c>
      <c r="H544" s="169">
        <f t="shared" si="313"/>
        <v>0</v>
      </c>
      <c r="I544" s="169">
        <f t="shared" si="313"/>
        <v>0</v>
      </c>
      <c r="J544" s="169">
        <f t="shared" si="313"/>
        <v>0</v>
      </c>
      <c r="K544" s="169">
        <f t="shared" si="313"/>
        <v>0</v>
      </c>
      <c r="L544" s="169">
        <f t="shared" si="313"/>
        <v>0</v>
      </c>
      <c r="M544" s="169">
        <f t="shared" si="313"/>
        <v>0</v>
      </c>
      <c r="N544" s="169">
        <f t="shared" si="313"/>
        <v>0</v>
      </c>
      <c r="O544" s="169">
        <f t="shared" si="313"/>
        <v>0</v>
      </c>
      <c r="P544" s="169">
        <f t="shared" si="313"/>
        <v>0</v>
      </c>
      <c r="Q544" s="169">
        <f t="shared" si="313"/>
        <v>0</v>
      </c>
      <c r="R544" s="169">
        <f t="shared" si="313"/>
        <v>0</v>
      </c>
      <c r="S544" s="169">
        <f t="shared" si="313"/>
        <v>0</v>
      </c>
      <c r="T544" s="169">
        <f t="shared" si="313"/>
        <v>0</v>
      </c>
      <c r="U544" s="169">
        <f t="shared" si="313"/>
        <v>0</v>
      </c>
      <c r="V544" s="169">
        <f t="shared" si="313"/>
        <v>0</v>
      </c>
      <c r="W544" s="169">
        <f t="shared" si="313"/>
        <v>0</v>
      </c>
      <c r="X544" s="169">
        <f t="shared" si="313"/>
        <v>0</v>
      </c>
      <c r="Y544" s="169">
        <f t="shared" si="313"/>
        <v>0</v>
      </c>
      <c r="Z544" s="169">
        <f t="shared" si="313"/>
        <v>0</v>
      </c>
      <c r="AA544" s="169">
        <f t="shared" si="313"/>
        <v>0</v>
      </c>
      <c r="AB544" s="169">
        <f t="shared" si="313"/>
        <v>0</v>
      </c>
      <c r="AC544" s="169">
        <f t="shared" si="313"/>
        <v>0</v>
      </c>
      <c r="AD544" s="169">
        <f t="shared" si="313"/>
        <v>0</v>
      </c>
      <c r="AE544" s="169">
        <f t="shared" si="313"/>
        <v>0</v>
      </c>
      <c r="AF544" s="169">
        <f t="shared" si="313"/>
        <v>0</v>
      </c>
      <c r="AG544" s="169">
        <f t="shared" si="313"/>
        <v>0</v>
      </c>
      <c r="AH544" s="169">
        <f t="shared" si="313"/>
        <v>0</v>
      </c>
      <c r="AI544" s="169">
        <f t="shared" si="313"/>
        <v>0</v>
      </c>
      <c r="AJ544" s="169">
        <f t="shared" si="313"/>
        <v>0</v>
      </c>
      <c r="AK544" s="169">
        <f t="shared" si="313"/>
        <v>0</v>
      </c>
      <c r="AL544" s="169">
        <f t="shared" si="313"/>
        <v>0</v>
      </c>
      <c r="AM544" s="169">
        <f t="shared" si="313"/>
        <v>0</v>
      </c>
      <c r="AN544" s="169">
        <f t="shared" si="313"/>
        <v>0</v>
      </c>
      <c r="AO544" s="169">
        <f t="shared" si="313"/>
        <v>0</v>
      </c>
      <c r="AP544" s="169">
        <f t="shared" si="313"/>
        <v>0</v>
      </c>
    </row>
    <row r="545" spans="1:42" x14ac:dyDescent="0.2">
      <c r="A545" s="101">
        <f>A544+1</f>
        <v>2</v>
      </c>
      <c r="B545" s="179">
        <f t="shared" si="312"/>
        <v>0</v>
      </c>
      <c r="C545" s="208">
        <f t="shared" ref="C545:AP545" si="314">LOOKUP(C533,$B$501:$AP$501,$B$502:$AP$502)*$B689</f>
        <v>0</v>
      </c>
      <c r="D545" s="169">
        <f t="shared" si="314"/>
        <v>0</v>
      </c>
      <c r="E545" s="169">
        <f t="shared" si="314"/>
        <v>0</v>
      </c>
      <c r="F545" s="169">
        <f t="shared" si="314"/>
        <v>0</v>
      </c>
      <c r="G545" s="169">
        <f t="shared" si="314"/>
        <v>0</v>
      </c>
      <c r="H545" s="169">
        <f t="shared" si="314"/>
        <v>0</v>
      </c>
      <c r="I545" s="169">
        <f t="shared" si="314"/>
        <v>0</v>
      </c>
      <c r="J545" s="169">
        <f t="shared" si="314"/>
        <v>0</v>
      </c>
      <c r="K545" s="169">
        <f t="shared" si="314"/>
        <v>0</v>
      </c>
      <c r="L545" s="169">
        <f t="shared" si="314"/>
        <v>0</v>
      </c>
      <c r="M545" s="169">
        <f t="shared" si="314"/>
        <v>0</v>
      </c>
      <c r="N545" s="169">
        <f t="shared" si="314"/>
        <v>0</v>
      </c>
      <c r="O545" s="169">
        <f t="shared" si="314"/>
        <v>0</v>
      </c>
      <c r="P545" s="169">
        <f t="shared" si="314"/>
        <v>0</v>
      </c>
      <c r="Q545" s="169">
        <f t="shared" si="314"/>
        <v>0</v>
      </c>
      <c r="R545" s="169">
        <f t="shared" si="314"/>
        <v>0</v>
      </c>
      <c r="S545" s="169">
        <f t="shared" si="314"/>
        <v>0</v>
      </c>
      <c r="T545" s="169">
        <f t="shared" si="314"/>
        <v>0</v>
      </c>
      <c r="U545" s="169">
        <f t="shared" si="314"/>
        <v>0</v>
      </c>
      <c r="V545" s="169">
        <f t="shared" si="314"/>
        <v>0</v>
      </c>
      <c r="W545" s="169">
        <f t="shared" si="314"/>
        <v>0</v>
      </c>
      <c r="X545" s="169">
        <f t="shared" si="314"/>
        <v>0</v>
      </c>
      <c r="Y545" s="169">
        <f t="shared" si="314"/>
        <v>0</v>
      </c>
      <c r="Z545" s="169">
        <f t="shared" si="314"/>
        <v>0</v>
      </c>
      <c r="AA545" s="169">
        <f t="shared" si="314"/>
        <v>0</v>
      </c>
      <c r="AB545" s="169">
        <f t="shared" si="314"/>
        <v>0</v>
      </c>
      <c r="AC545" s="169">
        <f t="shared" si="314"/>
        <v>0</v>
      </c>
      <c r="AD545" s="169">
        <f t="shared" si="314"/>
        <v>0</v>
      </c>
      <c r="AE545" s="169">
        <f t="shared" si="314"/>
        <v>0</v>
      </c>
      <c r="AF545" s="169">
        <f t="shared" si="314"/>
        <v>0</v>
      </c>
      <c r="AG545" s="169">
        <f t="shared" si="314"/>
        <v>0</v>
      </c>
      <c r="AH545" s="169">
        <f t="shared" si="314"/>
        <v>0</v>
      </c>
      <c r="AI545" s="169">
        <f t="shared" si="314"/>
        <v>0</v>
      </c>
      <c r="AJ545" s="169">
        <f t="shared" si="314"/>
        <v>0</v>
      </c>
      <c r="AK545" s="169">
        <f t="shared" si="314"/>
        <v>0</v>
      </c>
      <c r="AL545" s="169">
        <f t="shared" si="314"/>
        <v>0</v>
      </c>
      <c r="AM545" s="169">
        <f t="shared" si="314"/>
        <v>0</v>
      </c>
      <c r="AN545" s="169">
        <f t="shared" si="314"/>
        <v>0</v>
      </c>
      <c r="AO545" s="169">
        <f t="shared" si="314"/>
        <v>0</v>
      </c>
      <c r="AP545" s="169">
        <f t="shared" si="314"/>
        <v>0</v>
      </c>
    </row>
    <row r="546" spans="1:42" x14ac:dyDescent="0.2">
      <c r="A546" s="101">
        <f t="shared" ref="A546:A551" si="315">A545+1</f>
        <v>3</v>
      </c>
      <c r="B546" s="179">
        <f t="shared" si="312"/>
        <v>0</v>
      </c>
      <c r="C546" s="208">
        <f t="shared" ref="C546:AP546" si="316">LOOKUP(C534,$B$501:$AP$501,$B$502:$AP$502)*$B690</f>
        <v>0</v>
      </c>
      <c r="D546" s="169">
        <f t="shared" si="316"/>
        <v>0</v>
      </c>
      <c r="E546" s="169">
        <f t="shared" si="316"/>
        <v>0</v>
      </c>
      <c r="F546" s="169">
        <f t="shared" si="316"/>
        <v>0</v>
      </c>
      <c r="G546" s="169">
        <f t="shared" si="316"/>
        <v>0</v>
      </c>
      <c r="H546" s="169">
        <f t="shared" si="316"/>
        <v>0</v>
      </c>
      <c r="I546" s="169">
        <f t="shared" si="316"/>
        <v>0</v>
      </c>
      <c r="J546" s="169">
        <f t="shared" si="316"/>
        <v>0</v>
      </c>
      <c r="K546" s="169">
        <f t="shared" si="316"/>
        <v>0</v>
      </c>
      <c r="L546" s="169">
        <f t="shared" si="316"/>
        <v>0</v>
      </c>
      <c r="M546" s="169">
        <f t="shared" si="316"/>
        <v>0</v>
      </c>
      <c r="N546" s="169">
        <f t="shared" si="316"/>
        <v>0</v>
      </c>
      <c r="O546" s="169">
        <f t="shared" si="316"/>
        <v>0</v>
      </c>
      <c r="P546" s="169">
        <f t="shared" si="316"/>
        <v>0</v>
      </c>
      <c r="Q546" s="169">
        <f t="shared" si="316"/>
        <v>0</v>
      </c>
      <c r="R546" s="169">
        <f t="shared" si="316"/>
        <v>0</v>
      </c>
      <c r="S546" s="169">
        <f t="shared" si="316"/>
        <v>0</v>
      </c>
      <c r="T546" s="169">
        <f t="shared" si="316"/>
        <v>0</v>
      </c>
      <c r="U546" s="169">
        <f t="shared" si="316"/>
        <v>0</v>
      </c>
      <c r="V546" s="169">
        <f t="shared" si="316"/>
        <v>0</v>
      </c>
      <c r="W546" s="169">
        <f t="shared" si="316"/>
        <v>0</v>
      </c>
      <c r="X546" s="169">
        <f t="shared" si="316"/>
        <v>0</v>
      </c>
      <c r="Y546" s="169">
        <f t="shared" si="316"/>
        <v>0</v>
      </c>
      <c r="Z546" s="169">
        <f t="shared" si="316"/>
        <v>0</v>
      </c>
      <c r="AA546" s="169">
        <f t="shared" si="316"/>
        <v>0</v>
      </c>
      <c r="AB546" s="169">
        <f t="shared" si="316"/>
        <v>0</v>
      </c>
      <c r="AC546" s="169">
        <f t="shared" si="316"/>
        <v>0</v>
      </c>
      <c r="AD546" s="169">
        <f t="shared" si="316"/>
        <v>0</v>
      </c>
      <c r="AE546" s="169">
        <f t="shared" si="316"/>
        <v>0</v>
      </c>
      <c r="AF546" s="169">
        <f t="shared" si="316"/>
        <v>0</v>
      </c>
      <c r="AG546" s="169">
        <f t="shared" si="316"/>
        <v>0</v>
      </c>
      <c r="AH546" s="169">
        <f t="shared" si="316"/>
        <v>0</v>
      </c>
      <c r="AI546" s="169">
        <f t="shared" si="316"/>
        <v>0</v>
      </c>
      <c r="AJ546" s="169">
        <f t="shared" si="316"/>
        <v>0</v>
      </c>
      <c r="AK546" s="169">
        <f t="shared" si="316"/>
        <v>0</v>
      </c>
      <c r="AL546" s="169">
        <f t="shared" si="316"/>
        <v>0</v>
      </c>
      <c r="AM546" s="169">
        <f t="shared" si="316"/>
        <v>0</v>
      </c>
      <c r="AN546" s="169">
        <f t="shared" si="316"/>
        <v>0</v>
      </c>
      <c r="AO546" s="169">
        <f t="shared" si="316"/>
        <v>0</v>
      </c>
      <c r="AP546" s="169">
        <f t="shared" si="316"/>
        <v>0</v>
      </c>
    </row>
    <row r="547" spans="1:42" x14ac:dyDescent="0.2">
      <c r="A547" s="101">
        <f t="shared" si="315"/>
        <v>4</v>
      </c>
      <c r="B547" s="179">
        <f t="shared" si="312"/>
        <v>0</v>
      </c>
      <c r="C547" s="208">
        <f t="shared" ref="C547:AP547" si="317">LOOKUP(C535,$B$501:$AP$501,$B$502:$AP$502)*$B691</f>
        <v>0</v>
      </c>
      <c r="D547" s="169">
        <f t="shared" si="317"/>
        <v>0</v>
      </c>
      <c r="E547" s="169">
        <f t="shared" si="317"/>
        <v>0</v>
      </c>
      <c r="F547" s="169">
        <f t="shared" si="317"/>
        <v>0</v>
      </c>
      <c r="G547" s="169">
        <f t="shared" si="317"/>
        <v>0</v>
      </c>
      <c r="H547" s="169">
        <f t="shared" si="317"/>
        <v>0</v>
      </c>
      <c r="I547" s="169">
        <f t="shared" si="317"/>
        <v>0</v>
      </c>
      <c r="J547" s="169">
        <f t="shared" si="317"/>
        <v>0</v>
      </c>
      <c r="K547" s="169">
        <f t="shared" si="317"/>
        <v>0</v>
      </c>
      <c r="L547" s="169">
        <f t="shared" si="317"/>
        <v>0</v>
      </c>
      <c r="M547" s="169">
        <f t="shared" si="317"/>
        <v>0</v>
      </c>
      <c r="N547" s="169">
        <f t="shared" si="317"/>
        <v>0</v>
      </c>
      <c r="O547" s="169">
        <f t="shared" si="317"/>
        <v>0</v>
      </c>
      <c r="P547" s="169">
        <f t="shared" si="317"/>
        <v>0</v>
      </c>
      <c r="Q547" s="169">
        <f t="shared" si="317"/>
        <v>0</v>
      </c>
      <c r="R547" s="169">
        <f t="shared" si="317"/>
        <v>0</v>
      </c>
      <c r="S547" s="169">
        <f t="shared" si="317"/>
        <v>0</v>
      </c>
      <c r="T547" s="169">
        <f t="shared" si="317"/>
        <v>0</v>
      </c>
      <c r="U547" s="169">
        <f t="shared" si="317"/>
        <v>0</v>
      </c>
      <c r="V547" s="169">
        <f t="shared" si="317"/>
        <v>0</v>
      </c>
      <c r="W547" s="169">
        <f t="shared" si="317"/>
        <v>0</v>
      </c>
      <c r="X547" s="169">
        <f t="shared" si="317"/>
        <v>0</v>
      </c>
      <c r="Y547" s="169">
        <f t="shared" si="317"/>
        <v>0</v>
      </c>
      <c r="Z547" s="169">
        <f t="shared" si="317"/>
        <v>0</v>
      </c>
      <c r="AA547" s="169">
        <f t="shared" si="317"/>
        <v>0</v>
      </c>
      <c r="AB547" s="169">
        <f t="shared" si="317"/>
        <v>0</v>
      </c>
      <c r="AC547" s="169">
        <f t="shared" si="317"/>
        <v>0</v>
      </c>
      <c r="AD547" s="169">
        <f t="shared" si="317"/>
        <v>0</v>
      </c>
      <c r="AE547" s="169">
        <f t="shared" si="317"/>
        <v>0</v>
      </c>
      <c r="AF547" s="169">
        <f t="shared" si="317"/>
        <v>0</v>
      </c>
      <c r="AG547" s="169">
        <f t="shared" si="317"/>
        <v>0</v>
      </c>
      <c r="AH547" s="169">
        <f t="shared" si="317"/>
        <v>0</v>
      </c>
      <c r="AI547" s="169">
        <f t="shared" si="317"/>
        <v>0</v>
      </c>
      <c r="AJ547" s="169">
        <f t="shared" si="317"/>
        <v>0</v>
      </c>
      <c r="AK547" s="169">
        <f t="shared" si="317"/>
        <v>0</v>
      </c>
      <c r="AL547" s="169">
        <f t="shared" si="317"/>
        <v>0</v>
      </c>
      <c r="AM547" s="169">
        <f t="shared" si="317"/>
        <v>0</v>
      </c>
      <c r="AN547" s="169">
        <f t="shared" si="317"/>
        <v>0</v>
      </c>
      <c r="AO547" s="169">
        <f t="shared" si="317"/>
        <v>0</v>
      </c>
      <c r="AP547" s="169">
        <f t="shared" si="317"/>
        <v>0</v>
      </c>
    </row>
    <row r="548" spans="1:42" x14ac:dyDescent="0.2">
      <c r="A548" s="101">
        <f t="shared" si="315"/>
        <v>5</v>
      </c>
      <c r="B548" s="179">
        <f t="shared" si="312"/>
        <v>0</v>
      </c>
      <c r="C548" s="208">
        <f t="shared" ref="C548:AP548" si="318">LOOKUP(C536,$B$501:$AP$501,$B$502:$AP$502)*$B692</f>
        <v>0</v>
      </c>
      <c r="D548" s="169">
        <f t="shared" si="318"/>
        <v>0</v>
      </c>
      <c r="E548" s="169">
        <f t="shared" si="318"/>
        <v>0</v>
      </c>
      <c r="F548" s="169">
        <f t="shared" si="318"/>
        <v>0</v>
      </c>
      <c r="G548" s="169">
        <f t="shared" si="318"/>
        <v>0</v>
      </c>
      <c r="H548" s="169">
        <f t="shared" si="318"/>
        <v>0</v>
      </c>
      <c r="I548" s="169">
        <f t="shared" si="318"/>
        <v>0</v>
      </c>
      <c r="J548" s="169">
        <f t="shared" si="318"/>
        <v>0</v>
      </c>
      <c r="K548" s="169">
        <f t="shared" si="318"/>
        <v>0</v>
      </c>
      <c r="L548" s="169">
        <f t="shared" si="318"/>
        <v>0</v>
      </c>
      <c r="M548" s="169">
        <f t="shared" si="318"/>
        <v>0</v>
      </c>
      <c r="N548" s="169">
        <f t="shared" si="318"/>
        <v>0</v>
      </c>
      <c r="O548" s="169">
        <f t="shared" si="318"/>
        <v>0</v>
      </c>
      <c r="P548" s="169">
        <f t="shared" si="318"/>
        <v>0</v>
      </c>
      <c r="Q548" s="169">
        <f t="shared" si="318"/>
        <v>0</v>
      </c>
      <c r="R548" s="169">
        <f t="shared" si="318"/>
        <v>0</v>
      </c>
      <c r="S548" s="169">
        <f t="shared" si="318"/>
        <v>0</v>
      </c>
      <c r="T548" s="169">
        <f t="shared" si="318"/>
        <v>0</v>
      </c>
      <c r="U548" s="169">
        <f t="shared" si="318"/>
        <v>0</v>
      </c>
      <c r="V548" s="169">
        <f t="shared" si="318"/>
        <v>0</v>
      </c>
      <c r="W548" s="169">
        <f t="shared" si="318"/>
        <v>0</v>
      </c>
      <c r="X548" s="169">
        <f t="shared" si="318"/>
        <v>0</v>
      </c>
      <c r="Y548" s="169">
        <f t="shared" si="318"/>
        <v>0</v>
      </c>
      <c r="Z548" s="169">
        <f t="shared" si="318"/>
        <v>0</v>
      </c>
      <c r="AA548" s="169">
        <f t="shared" si="318"/>
        <v>0</v>
      </c>
      <c r="AB548" s="169">
        <f t="shared" si="318"/>
        <v>0</v>
      </c>
      <c r="AC548" s="169">
        <f t="shared" si="318"/>
        <v>0</v>
      </c>
      <c r="AD548" s="169">
        <f t="shared" si="318"/>
        <v>0</v>
      </c>
      <c r="AE548" s="169">
        <f t="shared" si="318"/>
        <v>0</v>
      </c>
      <c r="AF548" s="169">
        <f t="shared" si="318"/>
        <v>0</v>
      </c>
      <c r="AG548" s="169">
        <f t="shared" si="318"/>
        <v>0</v>
      </c>
      <c r="AH548" s="169">
        <f t="shared" si="318"/>
        <v>0</v>
      </c>
      <c r="AI548" s="169">
        <f t="shared" si="318"/>
        <v>0</v>
      </c>
      <c r="AJ548" s="169">
        <f t="shared" si="318"/>
        <v>0</v>
      </c>
      <c r="AK548" s="169">
        <f t="shared" si="318"/>
        <v>0</v>
      </c>
      <c r="AL548" s="169">
        <f t="shared" si="318"/>
        <v>0</v>
      </c>
      <c r="AM548" s="169">
        <f t="shared" si="318"/>
        <v>0</v>
      </c>
      <c r="AN548" s="169">
        <f t="shared" si="318"/>
        <v>0</v>
      </c>
      <c r="AO548" s="169">
        <f t="shared" si="318"/>
        <v>0</v>
      </c>
      <c r="AP548" s="169">
        <f t="shared" si="318"/>
        <v>0</v>
      </c>
    </row>
    <row r="549" spans="1:42" x14ac:dyDescent="0.2">
      <c r="A549" s="101">
        <f t="shared" si="315"/>
        <v>6</v>
      </c>
      <c r="B549" s="179">
        <f t="shared" si="312"/>
        <v>0</v>
      </c>
      <c r="C549" s="208">
        <f t="shared" ref="C549:AP549" si="319">LOOKUP(C537,$B$501:$AP$501,$B$502:$AP$502)*$B693</f>
        <v>0</v>
      </c>
      <c r="D549" s="169">
        <f t="shared" si="319"/>
        <v>0</v>
      </c>
      <c r="E549" s="169">
        <f t="shared" si="319"/>
        <v>0</v>
      </c>
      <c r="F549" s="169">
        <f t="shared" si="319"/>
        <v>0</v>
      </c>
      <c r="G549" s="169">
        <f t="shared" si="319"/>
        <v>0</v>
      </c>
      <c r="H549" s="169">
        <f t="shared" si="319"/>
        <v>0</v>
      </c>
      <c r="I549" s="169">
        <f t="shared" si="319"/>
        <v>0</v>
      </c>
      <c r="J549" s="169">
        <f t="shared" si="319"/>
        <v>0</v>
      </c>
      <c r="K549" s="169">
        <f t="shared" si="319"/>
        <v>0</v>
      </c>
      <c r="L549" s="169">
        <f t="shared" si="319"/>
        <v>0</v>
      </c>
      <c r="M549" s="169">
        <f t="shared" si="319"/>
        <v>0</v>
      </c>
      <c r="N549" s="169">
        <f t="shared" si="319"/>
        <v>0</v>
      </c>
      <c r="O549" s="169">
        <f t="shared" si="319"/>
        <v>0</v>
      </c>
      <c r="P549" s="169">
        <f t="shared" si="319"/>
        <v>0</v>
      </c>
      <c r="Q549" s="169">
        <f t="shared" si="319"/>
        <v>0</v>
      </c>
      <c r="R549" s="169">
        <f t="shared" si="319"/>
        <v>0</v>
      </c>
      <c r="S549" s="169">
        <f t="shared" si="319"/>
        <v>0</v>
      </c>
      <c r="T549" s="169">
        <f t="shared" si="319"/>
        <v>0</v>
      </c>
      <c r="U549" s="169">
        <f t="shared" si="319"/>
        <v>0</v>
      </c>
      <c r="V549" s="169">
        <f t="shared" si="319"/>
        <v>0</v>
      </c>
      <c r="W549" s="169">
        <f t="shared" si="319"/>
        <v>0</v>
      </c>
      <c r="X549" s="169">
        <f t="shared" si="319"/>
        <v>0</v>
      </c>
      <c r="Y549" s="169">
        <f t="shared" si="319"/>
        <v>0</v>
      </c>
      <c r="Z549" s="169">
        <f t="shared" si="319"/>
        <v>0</v>
      </c>
      <c r="AA549" s="169">
        <f t="shared" si="319"/>
        <v>0</v>
      </c>
      <c r="AB549" s="169">
        <f t="shared" si="319"/>
        <v>0</v>
      </c>
      <c r="AC549" s="169">
        <f t="shared" si="319"/>
        <v>0</v>
      </c>
      <c r="AD549" s="169">
        <f t="shared" si="319"/>
        <v>0</v>
      </c>
      <c r="AE549" s="169">
        <f t="shared" si="319"/>
        <v>0</v>
      </c>
      <c r="AF549" s="169">
        <f t="shared" si="319"/>
        <v>0</v>
      </c>
      <c r="AG549" s="169">
        <f t="shared" si="319"/>
        <v>0</v>
      </c>
      <c r="AH549" s="169">
        <f t="shared" si="319"/>
        <v>0</v>
      </c>
      <c r="AI549" s="169">
        <f t="shared" si="319"/>
        <v>0</v>
      </c>
      <c r="AJ549" s="169">
        <f t="shared" si="319"/>
        <v>0</v>
      </c>
      <c r="AK549" s="169">
        <f t="shared" si="319"/>
        <v>0</v>
      </c>
      <c r="AL549" s="169">
        <f t="shared" si="319"/>
        <v>0</v>
      </c>
      <c r="AM549" s="169">
        <f t="shared" si="319"/>
        <v>0</v>
      </c>
      <c r="AN549" s="169">
        <f t="shared" si="319"/>
        <v>0</v>
      </c>
      <c r="AO549" s="169">
        <f t="shared" si="319"/>
        <v>0</v>
      </c>
      <c r="AP549" s="169">
        <f t="shared" si="319"/>
        <v>0</v>
      </c>
    </row>
    <row r="550" spans="1:42" x14ac:dyDescent="0.2">
      <c r="A550" s="101">
        <f t="shared" si="315"/>
        <v>7</v>
      </c>
      <c r="B550" s="179">
        <f t="shared" si="312"/>
        <v>0</v>
      </c>
      <c r="C550" s="208">
        <f t="shared" ref="C550:AP550" si="320">LOOKUP(C538,$B$501:$AP$501,$B$502:$AP$502)*$B694</f>
        <v>0</v>
      </c>
      <c r="D550" s="169">
        <f t="shared" si="320"/>
        <v>0</v>
      </c>
      <c r="E550" s="169">
        <f t="shared" si="320"/>
        <v>0</v>
      </c>
      <c r="F550" s="169">
        <f t="shared" si="320"/>
        <v>0</v>
      </c>
      <c r="G550" s="169">
        <f t="shared" si="320"/>
        <v>0</v>
      </c>
      <c r="H550" s="169">
        <f t="shared" si="320"/>
        <v>0</v>
      </c>
      <c r="I550" s="169">
        <f t="shared" si="320"/>
        <v>0</v>
      </c>
      <c r="J550" s="169">
        <f t="shared" si="320"/>
        <v>0</v>
      </c>
      <c r="K550" s="169">
        <f t="shared" si="320"/>
        <v>0</v>
      </c>
      <c r="L550" s="169">
        <f t="shared" si="320"/>
        <v>0</v>
      </c>
      <c r="M550" s="169">
        <f t="shared" si="320"/>
        <v>0</v>
      </c>
      <c r="N550" s="169">
        <f t="shared" si="320"/>
        <v>0</v>
      </c>
      <c r="O550" s="169">
        <f t="shared" si="320"/>
        <v>0</v>
      </c>
      <c r="P550" s="169">
        <f t="shared" si="320"/>
        <v>0</v>
      </c>
      <c r="Q550" s="169">
        <f t="shared" si="320"/>
        <v>0</v>
      </c>
      <c r="R550" s="169">
        <f t="shared" si="320"/>
        <v>0</v>
      </c>
      <c r="S550" s="169">
        <f t="shared" si="320"/>
        <v>0</v>
      </c>
      <c r="T550" s="169">
        <f t="shared" si="320"/>
        <v>0</v>
      </c>
      <c r="U550" s="169">
        <f t="shared" si="320"/>
        <v>0</v>
      </c>
      <c r="V550" s="169">
        <f t="shared" si="320"/>
        <v>0</v>
      </c>
      <c r="W550" s="169">
        <f t="shared" si="320"/>
        <v>0</v>
      </c>
      <c r="X550" s="169">
        <f t="shared" si="320"/>
        <v>0</v>
      </c>
      <c r="Y550" s="169">
        <f t="shared" si="320"/>
        <v>0</v>
      </c>
      <c r="Z550" s="169">
        <f t="shared" si="320"/>
        <v>0</v>
      </c>
      <c r="AA550" s="169">
        <f t="shared" si="320"/>
        <v>0</v>
      </c>
      <c r="AB550" s="169">
        <f t="shared" si="320"/>
        <v>0</v>
      </c>
      <c r="AC550" s="169">
        <f t="shared" si="320"/>
        <v>0</v>
      </c>
      <c r="AD550" s="169">
        <f t="shared" si="320"/>
        <v>0</v>
      </c>
      <c r="AE550" s="169">
        <f t="shared" si="320"/>
        <v>0</v>
      </c>
      <c r="AF550" s="169">
        <f t="shared" si="320"/>
        <v>0</v>
      </c>
      <c r="AG550" s="169">
        <f t="shared" si="320"/>
        <v>0</v>
      </c>
      <c r="AH550" s="169">
        <f t="shared" si="320"/>
        <v>0</v>
      </c>
      <c r="AI550" s="169">
        <f t="shared" si="320"/>
        <v>0</v>
      </c>
      <c r="AJ550" s="169">
        <f t="shared" si="320"/>
        <v>0</v>
      </c>
      <c r="AK550" s="169">
        <f t="shared" si="320"/>
        <v>0</v>
      </c>
      <c r="AL550" s="169">
        <f t="shared" si="320"/>
        <v>0</v>
      </c>
      <c r="AM550" s="169">
        <f t="shared" si="320"/>
        <v>0</v>
      </c>
      <c r="AN550" s="169">
        <f t="shared" si="320"/>
        <v>0</v>
      </c>
      <c r="AO550" s="169">
        <f t="shared" si="320"/>
        <v>0</v>
      </c>
      <c r="AP550" s="169">
        <f t="shared" si="320"/>
        <v>0</v>
      </c>
    </row>
    <row r="551" spans="1:42" x14ac:dyDescent="0.2">
      <c r="A551" s="101">
        <f t="shared" si="315"/>
        <v>8</v>
      </c>
      <c r="B551" s="179">
        <f t="shared" si="312"/>
        <v>0</v>
      </c>
      <c r="C551" s="208">
        <f t="shared" ref="C551:AP551" si="321">LOOKUP(C539,$B$501:$AP$501,$B$502:$AP$502)*$B695</f>
        <v>0</v>
      </c>
      <c r="D551" s="169">
        <f t="shared" si="321"/>
        <v>0</v>
      </c>
      <c r="E551" s="169">
        <f t="shared" si="321"/>
        <v>0</v>
      </c>
      <c r="F551" s="169">
        <f t="shared" si="321"/>
        <v>0</v>
      </c>
      <c r="G551" s="169">
        <f t="shared" si="321"/>
        <v>0</v>
      </c>
      <c r="H551" s="169">
        <f t="shared" si="321"/>
        <v>0</v>
      </c>
      <c r="I551" s="169">
        <f t="shared" si="321"/>
        <v>0</v>
      </c>
      <c r="J551" s="169">
        <f t="shared" si="321"/>
        <v>0</v>
      </c>
      <c r="K551" s="169">
        <f t="shared" si="321"/>
        <v>0</v>
      </c>
      <c r="L551" s="169">
        <f t="shared" si="321"/>
        <v>0</v>
      </c>
      <c r="M551" s="169">
        <f t="shared" si="321"/>
        <v>0</v>
      </c>
      <c r="N551" s="169">
        <f t="shared" si="321"/>
        <v>0</v>
      </c>
      <c r="O551" s="169">
        <f t="shared" si="321"/>
        <v>0</v>
      </c>
      <c r="P551" s="169">
        <f t="shared" si="321"/>
        <v>0</v>
      </c>
      <c r="Q551" s="169">
        <f t="shared" si="321"/>
        <v>0</v>
      </c>
      <c r="R551" s="169">
        <f t="shared" si="321"/>
        <v>0</v>
      </c>
      <c r="S551" s="169">
        <f t="shared" si="321"/>
        <v>0</v>
      </c>
      <c r="T551" s="169">
        <f t="shared" si="321"/>
        <v>0</v>
      </c>
      <c r="U551" s="169">
        <f t="shared" si="321"/>
        <v>0</v>
      </c>
      <c r="V551" s="169">
        <f t="shared" si="321"/>
        <v>0</v>
      </c>
      <c r="W551" s="169">
        <f t="shared" si="321"/>
        <v>0</v>
      </c>
      <c r="X551" s="169">
        <f t="shared" si="321"/>
        <v>0</v>
      </c>
      <c r="Y551" s="169">
        <f t="shared" si="321"/>
        <v>0</v>
      </c>
      <c r="Z551" s="169">
        <f t="shared" si="321"/>
        <v>0</v>
      </c>
      <c r="AA551" s="169">
        <f t="shared" si="321"/>
        <v>0</v>
      </c>
      <c r="AB551" s="169">
        <f t="shared" si="321"/>
        <v>0</v>
      </c>
      <c r="AC551" s="169">
        <f t="shared" si="321"/>
        <v>0</v>
      </c>
      <c r="AD551" s="169">
        <f t="shared" si="321"/>
        <v>0</v>
      </c>
      <c r="AE551" s="169">
        <f t="shared" si="321"/>
        <v>0</v>
      </c>
      <c r="AF551" s="169">
        <f t="shared" si="321"/>
        <v>0</v>
      </c>
      <c r="AG551" s="169">
        <f t="shared" si="321"/>
        <v>0</v>
      </c>
      <c r="AH551" s="169">
        <f t="shared" si="321"/>
        <v>0</v>
      </c>
      <c r="AI551" s="169">
        <f t="shared" si="321"/>
        <v>0</v>
      </c>
      <c r="AJ551" s="169">
        <f t="shared" si="321"/>
        <v>0</v>
      </c>
      <c r="AK551" s="169">
        <f t="shared" si="321"/>
        <v>0</v>
      </c>
      <c r="AL551" s="169">
        <f t="shared" si="321"/>
        <v>0</v>
      </c>
      <c r="AM551" s="169">
        <f t="shared" si="321"/>
        <v>0</v>
      </c>
      <c r="AN551" s="169">
        <f t="shared" si="321"/>
        <v>0</v>
      </c>
      <c r="AO551" s="169">
        <f t="shared" si="321"/>
        <v>0</v>
      </c>
      <c r="AP551" s="169">
        <f t="shared" si="321"/>
        <v>0</v>
      </c>
    </row>
    <row r="552" spans="1:42" x14ac:dyDescent="0.2">
      <c r="A552" s="101">
        <f>A551+1</f>
        <v>9</v>
      </c>
      <c r="B552" s="179">
        <f t="shared" si="312"/>
        <v>0</v>
      </c>
      <c r="C552" s="208">
        <f t="shared" ref="C552:AP552" si="322">LOOKUP(C540,$B$501:$AP$501,$B$502:$AP$502)*$B696</f>
        <v>0</v>
      </c>
      <c r="D552" s="169">
        <f t="shared" si="322"/>
        <v>0</v>
      </c>
      <c r="E552" s="169">
        <f t="shared" si="322"/>
        <v>0</v>
      </c>
      <c r="F552" s="169">
        <f t="shared" si="322"/>
        <v>0</v>
      </c>
      <c r="G552" s="169">
        <f t="shared" si="322"/>
        <v>0</v>
      </c>
      <c r="H552" s="169">
        <f t="shared" si="322"/>
        <v>0</v>
      </c>
      <c r="I552" s="169">
        <f t="shared" si="322"/>
        <v>0</v>
      </c>
      <c r="J552" s="169">
        <f t="shared" si="322"/>
        <v>0</v>
      </c>
      <c r="K552" s="169">
        <f t="shared" si="322"/>
        <v>0</v>
      </c>
      <c r="L552" s="169">
        <f t="shared" si="322"/>
        <v>0</v>
      </c>
      <c r="M552" s="169">
        <f t="shared" si="322"/>
        <v>0</v>
      </c>
      <c r="N552" s="169">
        <f t="shared" si="322"/>
        <v>0</v>
      </c>
      <c r="O552" s="169">
        <f t="shared" si="322"/>
        <v>0</v>
      </c>
      <c r="P552" s="169">
        <f t="shared" si="322"/>
        <v>0</v>
      </c>
      <c r="Q552" s="169">
        <f t="shared" si="322"/>
        <v>0</v>
      </c>
      <c r="R552" s="169">
        <f t="shared" si="322"/>
        <v>0</v>
      </c>
      <c r="S552" s="169">
        <f t="shared" si="322"/>
        <v>0</v>
      </c>
      <c r="T552" s="169">
        <f t="shared" si="322"/>
        <v>0</v>
      </c>
      <c r="U552" s="169">
        <f t="shared" si="322"/>
        <v>0</v>
      </c>
      <c r="V552" s="169">
        <f t="shared" si="322"/>
        <v>0</v>
      </c>
      <c r="W552" s="169">
        <f t="shared" si="322"/>
        <v>0</v>
      </c>
      <c r="X552" s="169">
        <f t="shared" si="322"/>
        <v>0</v>
      </c>
      <c r="Y552" s="169">
        <f t="shared" si="322"/>
        <v>0</v>
      </c>
      <c r="Z552" s="169">
        <f t="shared" si="322"/>
        <v>0</v>
      </c>
      <c r="AA552" s="169">
        <f t="shared" si="322"/>
        <v>0</v>
      </c>
      <c r="AB552" s="169">
        <f t="shared" si="322"/>
        <v>0</v>
      </c>
      <c r="AC552" s="169">
        <f t="shared" si="322"/>
        <v>0</v>
      </c>
      <c r="AD552" s="169">
        <f t="shared" si="322"/>
        <v>0</v>
      </c>
      <c r="AE552" s="169">
        <f t="shared" si="322"/>
        <v>0</v>
      </c>
      <c r="AF552" s="169">
        <f t="shared" si="322"/>
        <v>0</v>
      </c>
      <c r="AG552" s="169">
        <f t="shared" si="322"/>
        <v>0</v>
      </c>
      <c r="AH552" s="169">
        <f t="shared" si="322"/>
        <v>0</v>
      </c>
      <c r="AI552" s="169">
        <f t="shared" si="322"/>
        <v>0</v>
      </c>
      <c r="AJ552" s="169">
        <f t="shared" si="322"/>
        <v>0</v>
      </c>
      <c r="AK552" s="169">
        <f t="shared" si="322"/>
        <v>0</v>
      </c>
      <c r="AL552" s="169">
        <f t="shared" si="322"/>
        <v>0</v>
      </c>
      <c r="AM552" s="169">
        <f t="shared" si="322"/>
        <v>0</v>
      </c>
      <c r="AN552" s="169">
        <f t="shared" si="322"/>
        <v>0</v>
      </c>
      <c r="AO552" s="169">
        <f t="shared" si="322"/>
        <v>0</v>
      </c>
      <c r="AP552" s="169">
        <f t="shared" si="322"/>
        <v>0</v>
      </c>
    </row>
    <row r="553" spans="1:42" x14ac:dyDescent="0.2">
      <c r="A553" s="101">
        <f t="shared" ref="A553" si="323">A552+1</f>
        <v>10</v>
      </c>
      <c r="B553" s="179">
        <f t="shared" si="312"/>
        <v>0</v>
      </c>
      <c r="C553" s="204">
        <f t="shared" ref="C553:AP553" si="324">LOOKUP(C541,$B$501:$AP$501,$B$502:$AP$502)*$B697</f>
        <v>0</v>
      </c>
      <c r="D553" s="170">
        <f t="shared" si="324"/>
        <v>0</v>
      </c>
      <c r="E553" s="170">
        <f t="shared" si="324"/>
        <v>0</v>
      </c>
      <c r="F553" s="170">
        <f t="shared" si="324"/>
        <v>0</v>
      </c>
      <c r="G553" s="170">
        <f t="shared" si="324"/>
        <v>0</v>
      </c>
      <c r="H553" s="170">
        <f t="shared" si="324"/>
        <v>0</v>
      </c>
      <c r="I553" s="170">
        <f t="shared" si="324"/>
        <v>0</v>
      </c>
      <c r="J553" s="170">
        <f t="shared" si="324"/>
        <v>0</v>
      </c>
      <c r="K553" s="170">
        <f t="shared" si="324"/>
        <v>0</v>
      </c>
      <c r="L553" s="170">
        <f t="shared" si="324"/>
        <v>0</v>
      </c>
      <c r="M553" s="170">
        <f t="shared" si="324"/>
        <v>0</v>
      </c>
      <c r="N553" s="170">
        <f t="shared" si="324"/>
        <v>0</v>
      </c>
      <c r="O553" s="170">
        <f t="shared" si="324"/>
        <v>0</v>
      </c>
      <c r="P553" s="170">
        <f t="shared" si="324"/>
        <v>0</v>
      </c>
      <c r="Q553" s="170">
        <f t="shared" si="324"/>
        <v>0</v>
      </c>
      <c r="R553" s="170">
        <f t="shared" si="324"/>
        <v>0</v>
      </c>
      <c r="S553" s="170">
        <f t="shared" si="324"/>
        <v>0</v>
      </c>
      <c r="T553" s="170">
        <f t="shared" si="324"/>
        <v>0</v>
      </c>
      <c r="U553" s="170">
        <f t="shared" si="324"/>
        <v>0</v>
      </c>
      <c r="V553" s="170">
        <f t="shared" si="324"/>
        <v>0</v>
      </c>
      <c r="W553" s="170">
        <f t="shared" si="324"/>
        <v>0</v>
      </c>
      <c r="X553" s="170">
        <f t="shared" si="324"/>
        <v>0</v>
      </c>
      <c r="Y553" s="170">
        <f t="shared" si="324"/>
        <v>0</v>
      </c>
      <c r="Z553" s="170">
        <f t="shared" si="324"/>
        <v>0</v>
      </c>
      <c r="AA553" s="170">
        <f t="shared" si="324"/>
        <v>0</v>
      </c>
      <c r="AB553" s="170">
        <f t="shared" si="324"/>
        <v>0</v>
      </c>
      <c r="AC553" s="170">
        <f t="shared" si="324"/>
        <v>0</v>
      </c>
      <c r="AD553" s="170">
        <f t="shared" si="324"/>
        <v>0</v>
      </c>
      <c r="AE553" s="170">
        <f t="shared" si="324"/>
        <v>0</v>
      </c>
      <c r="AF553" s="170">
        <f t="shared" si="324"/>
        <v>0</v>
      </c>
      <c r="AG553" s="170">
        <f t="shared" si="324"/>
        <v>0</v>
      </c>
      <c r="AH553" s="170">
        <f t="shared" si="324"/>
        <v>0</v>
      </c>
      <c r="AI553" s="170">
        <f t="shared" si="324"/>
        <v>0</v>
      </c>
      <c r="AJ553" s="170">
        <f t="shared" si="324"/>
        <v>0</v>
      </c>
      <c r="AK553" s="170">
        <f t="shared" si="324"/>
        <v>0</v>
      </c>
      <c r="AL553" s="170">
        <f t="shared" si="324"/>
        <v>0</v>
      </c>
      <c r="AM553" s="170">
        <f t="shared" si="324"/>
        <v>0</v>
      </c>
      <c r="AN553" s="170">
        <f t="shared" si="324"/>
        <v>0</v>
      </c>
      <c r="AO553" s="170">
        <f t="shared" si="324"/>
        <v>0</v>
      </c>
      <c r="AP553" s="170">
        <f t="shared" si="324"/>
        <v>0</v>
      </c>
    </row>
    <row r="554" spans="1:42" s="101" customFormat="1" x14ac:dyDescent="0.2">
      <c r="A554" s="205" t="s">
        <v>53</v>
      </c>
      <c r="B554" s="124"/>
      <c r="C554" s="124">
        <f>SUM(C544:C553)</f>
        <v>0</v>
      </c>
      <c r="D554" s="124">
        <f t="shared" ref="D554:AP554" si="325">SUM(D544:D553)</f>
        <v>0</v>
      </c>
      <c r="E554" s="124">
        <f t="shared" si="325"/>
        <v>0</v>
      </c>
      <c r="F554" s="124">
        <f t="shared" si="325"/>
        <v>0</v>
      </c>
      <c r="G554" s="124">
        <f t="shared" si="325"/>
        <v>0</v>
      </c>
      <c r="H554" s="124">
        <f t="shared" si="325"/>
        <v>0</v>
      </c>
      <c r="I554" s="124">
        <f t="shared" si="325"/>
        <v>0</v>
      </c>
      <c r="J554" s="124">
        <f t="shared" si="325"/>
        <v>0</v>
      </c>
      <c r="K554" s="124">
        <f t="shared" si="325"/>
        <v>0</v>
      </c>
      <c r="L554" s="124">
        <f t="shared" si="325"/>
        <v>0</v>
      </c>
      <c r="M554" s="124">
        <f t="shared" si="325"/>
        <v>0</v>
      </c>
      <c r="N554" s="124">
        <f t="shared" si="325"/>
        <v>0</v>
      </c>
      <c r="O554" s="124">
        <f t="shared" si="325"/>
        <v>0</v>
      </c>
      <c r="P554" s="124">
        <f t="shared" si="325"/>
        <v>0</v>
      </c>
      <c r="Q554" s="124">
        <f t="shared" si="325"/>
        <v>0</v>
      </c>
      <c r="R554" s="124">
        <f t="shared" si="325"/>
        <v>0</v>
      </c>
      <c r="S554" s="124">
        <f t="shared" si="325"/>
        <v>0</v>
      </c>
      <c r="T554" s="124">
        <f t="shared" si="325"/>
        <v>0</v>
      </c>
      <c r="U554" s="124">
        <f t="shared" si="325"/>
        <v>0</v>
      </c>
      <c r="V554" s="124">
        <f t="shared" si="325"/>
        <v>0</v>
      </c>
      <c r="W554" s="124">
        <f t="shared" si="325"/>
        <v>0</v>
      </c>
      <c r="X554" s="124">
        <f t="shared" si="325"/>
        <v>0</v>
      </c>
      <c r="Y554" s="124">
        <f t="shared" si="325"/>
        <v>0</v>
      </c>
      <c r="Z554" s="124">
        <f t="shared" si="325"/>
        <v>0</v>
      </c>
      <c r="AA554" s="124">
        <f t="shared" si="325"/>
        <v>0</v>
      </c>
      <c r="AB554" s="124">
        <f t="shared" si="325"/>
        <v>0</v>
      </c>
      <c r="AC554" s="124">
        <f t="shared" si="325"/>
        <v>0</v>
      </c>
      <c r="AD554" s="124">
        <f t="shared" si="325"/>
        <v>0</v>
      </c>
      <c r="AE554" s="124">
        <f t="shared" si="325"/>
        <v>0</v>
      </c>
      <c r="AF554" s="124">
        <f t="shared" si="325"/>
        <v>0</v>
      </c>
      <c r="AG554" s="124">
        <f t="shared" si="325"/>
        <v>0</v>
      </c>
      <c r="AH554" s="124">
        <f t="shared" si="325"/>
        <v>0</v>
      </c>
      <c r="AI554" s="124">
        <f t="shared" si="325"/>
        <v>0</v>
      </c>
      <c r="AJ554" s="124">
        <f t="shared" si="325"/>
        <v>0</v>
      </c>
      <c r="AK554" s="124">
        <f t="shared" si="325"/>
        <v>0</v>
      </c>
      <c r="AL554" s="124">
        <f t="shared" si="325"/>
        <v>0</v>
      </c>
      <c r="AM554" s="124">
        <f t="shared" si="325"/>
        <v>0</v>
      </c>
      <c r="AN554" s="124">
        <f t="shared" si="325"/>
        <v>0</v>
      </c>
      <c r="AO554" s="124">
        <f t="shared" si="325"/>
        <v>0</v>
      </c>
      <c r="AP554" s="124">
        <f t="shared" si="325"/>
        <v>0</v>
      </c>
    </row>
    <row r="555" spans="1:42" s="101" customFormat="1" x14ac:dyDescent="0.2">
      <c r="A555" s="205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</row>
    <row r="556" spans="1:42" x14ac:dyDescent="0.2">
      <c r="A556" s="180" t="s">
        <v>307</v>
      </c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</row>
    <row r="557" spans="1:42" x14ac:dyDescent="0.2">
      <c r="A557" s="187" t="s">
        <v>192</v>
      </c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</row>
    <row r="558" spans="1:42" x14ac:dyDescent="0.2">
      <c r="A558" s="20">
        <v>1</v>
      </c>
      <c r="C558" s="169">
        <f>C423</f>
        <v>0</v>
      </c>
      <c r="D558" s="169">
        <f t="shared" ref="D558:AP564" si="326">D423</f>
        <v>0</v>
      </c>
      <c r="E558" s="169">
        <f t="shared" si="326"/>
        <v>0</v>
      </c>
      <c r="F558" s="169">
        <f t="shared" si="326"/>
        <v>0</v>
      </c>
      <c r="G558" s="169">
        <f t="shared" si="326"/>
        <v>0</v>
      </c>
      <c r="H558" s="169">
        <f t="shared" si="326"/>
        <v>0</v>
      </c>
      <c r="I558" s="169">
        <f t="shared" si="326"/>
        <v>0</v>
      </c>
      <c r="J558" s="169">
        <f t="shared" si="326"/>
        <v>0</v>
      </c>
      <c r="K558" s="169">
        <f t="shared" si="326"/>
        <v>0</v>
      </c>
      <c r="L558" s="169">
        <f t="shared" si="326"/>
        <v>0</v>
      </c>
      <c r="M558" s="169">
        <f t="shared" si="326"/>
        <v>0</v>
      </c>
      <c r="N558" s="169">
        <f t="shared" si="326"/>
        <v>0</v>
      </c>
      <c r="O558" s="169">
        <f t="shared" si="326"/>
        <v>0</v>
      </c>
      <c r="P558" s="169">
        <f t="shared" si="326"/>
        <v>0</v>
      </c>
      <c r="Q558" s="169">
        <f t="shared" si="326"/>
        <v>0</v>
      </c>
      <c r="R558" s="169">
        <f t="shared" si="326"/>
        <v>0</v>
      </c>
      <c r="S558" s="169">
        <f t="shared" si="326"/>
        <v>0</v>
      </c>
      <c r="T558" s="169">
        <f t="shared" si="326"/>
        <v>0</v>
      </c>
      <c r="U558" s="169">
        <f t="shared" si="326"/>
        <v>0</v>
      </c>
      <c r="V558" s="169">
        <f t="shared" si="326"/>
        <v>0</v>
      </c>
      <c r="W558" s="169">
        <f t="shared" si="326"/>
        <v>0</v>
      </c>
      <c r="X558" s="169">
        <f t="shared" si="326"/>
        <v>0</v>
      </c>
      <c r="Y558" s="169">
        <f t="shared" si="326"/>
        <v>0</v>
      </c>
      <c r="Z558" s="169">
        <f t="shared" si="326"/>
        <v>0</v>
      </c>
      <c r="AA558" s="169">
        <f t="shared" si="326"/>
        <v>0</v>
      </c>
      <c r="AB558" s="169">
        <f t="shared" si="326"/>
        <v>0</v>
      </c>
      <c r="AC558" s="169">
        <f t="shared" si="326"/>
        <v>0</v>
      </c>
      <c r="AD558" s="169">
        <f t="shared" si="326"/>
        <v>0</v>
      </c>
      <c r="AE558" s="169">
        <f t="shared" si="326"/>
        <v>0</v>
      </c>
      <c r="AF558" s="169">
        <f t="shared" si="326"/>
        <v>0</v>
      </c>
      <c r="AG558" s="169">
        <f t="shared" si="326"/>
        <v>0</v>
      </c>
      <c r="AH558" s="169">
        <f t="shared" si="326"/>
        <v>0</v>
      </c>
      <c r="AI558" s="169">
        <f t="shared" si="326"/>
        <v>0</v>
      </c>
      <c r="AJ558" s="169">
        <f t="shared" si="326"/>
        <v>0</v>
      </c>
      <c r="AK558" s="169">
        <f t="shared" si="326"/>
        <v>0</v>
      </c>
      <c r="AL558" s="169">
        <f t="shared" si="326"/>
        <v>0</v>
      </c>
      <c r="AM558" s="169">
        <f t="shared" si="326"/>
        <v>0</v>
      </c>
      <c r="AN558" s="169">
        <f t="shared" si="326"/>
        <v>0</v>
      </c>
      <c r="AO558" s="169">
        <f t="shared" si="326"/>
        <v>0</v>
      </c>
      <c r="AP558" s="169">
        <f t="shared" si="326"/>
        <v>0</v>
      </c>
    </row>
    <row r="559" spans="1:42" x14ac:dyDescent="0.2">
      <c r="A559" s="20">
        <f>A558+1</f>
        <v>2</v>
      </c>
      <c r="C559" s="169">
        <f t="shared" ref="C559:R567" si="327">C424</f>
        <v>0</v>
      </c>
      <c r="D559" s="169">
        <f t="shared" si="327"/>
        <v>0</v>
      </c>
      <c r="E559" s="169">
        <f t="shared" si="327"/>
        <v>0</v>
      </c>
      <c r="F559" s="169">
        <f t="shared" si="327"/>
        <v>0</v>
      </c>
      <c r="G559" s="169">
        <f t="shared" si="327"/>
        <v>0</v>
      </c>
      <c r="H559" s="169">
        <f t="shared" si="327"/>
        <v>0</v>
      </c>
      <c r="I559" s="169">
        <f t="shared" si="327"/>
        <v>0</v>
      </c>
      <c r="J559" s="169">
        <f t="shared" si="327"/>
        <v>0</v>
      </c>
      <c r="K559" s="169">
        <f t="shared" si="327"/>
        <v>0</v>
      </c>
      <c r="L559" s="169">
        <f t="shared" si="327"/>
        <v>0</v>
      </c>
      <c r="M559" s="169">
        <f t="shared" si="327"/>
        <v>0</v>
      </c>
      <c r="N559" s="169">
        <f t="shared" si="327"/>
        <v>0</v>
      </c>
      <c r="O559" s="169">
        <f t="shared" si="327"/>
        <v>0</v>
      </c>
      <c r="P559" s="169">
        <f t="shared" si="327"/>
        <v>0</v>
      </c>
      <c r="Q559" s="169">
        <f t="shared" si="327"/>
        <v>0</v>
      </c>
      <c r="R559" s="169">
        <f t="shared" si="327"/>
        <v>0</v>
      </c>
      <c r="S559" s="169">
        <f t="shared" si="326"/>
        <v>0</v>
      </c>
      <c r="T559" s="169">
        <f t="shared" si="326"/>
        <v>0</v>
      </c>
      <c r="U559" s="169">
        <f t="shared" si="326"/>
        <v>0</v>
      </c>
      <c r="V559" s="169">
        <f t="shared" si="326"/>
        <v>0</v>
      </c>
      <c r="W559" s="169">
        <f t="shared" si="326"/>
        <v>0</v>
      </c>
      <c r="X559" s="169">
        <f t="shared" si="326"/>
        <v>0</v>
      </c>
      <c r="Y559" s="169">
        <f t="shared" si="326"/>
        <v>0</v>
      </c>
      <c r="Z559" s="169">
        <f t="shared" si="326"/>
        <v>0</v>
      </c>
      <c r="AA559" s="169">
        <f t="shared" si="326"/>
        <v>0</v>
      </c>
      <c r="AB559" s="169">
        <f t="shared" si="326"/>
        <v>0</v>
      </c>
      <c r="AC559" s="169">
        <f t="shared" si="326"/>
        <v>0</v>
      </c>
      <c r="AD559" s="169">
        <f t="shared" si="326"/>
        <v>0</v>
      </c>
      <c r="AE559" s="169">
        <f t="shared" si="326"/>
        <v>0</v>
      </c>
      <c r="AF559" s="169">
        <f t="shared" si="326"/>
        <v>0</v>
      </c>
      <c r="AG559" s="169">
        <f t="shared" si="326"/>
        <v>0</v>
      </c>
      <c r="AH559" s="169">
        <f t="shared" si="326"/>
        <v>0</v>
      </c>
      <c r="AI559" s="169">
        <f t="shared" si="326"/>
        <v>0</v>
      </c>
      <c r="AJ559" s="169">
        <f t="shared" si="326"/>
        <v>0</v>
      </c>
      <c r="AK559" s="169">
        <f t="shared" si="326"/>
        <v>0</v>
      </c>
      <c r="AL559" s="169">
        <f t="shared" si="326"/>
        <v>0</v>
      </c>
      <c r="AM559" s="169">
        <f t="shared" si="326"/>
        <v>0</v>
      </c>
      <c r="AN559" s="169">
        <f t="shared" si="326"/>
        <v>0</v>
      </c>
      <c r="AO559" s="169">
        <f t="shared" si="326"/>
        <v>0</v>
      </c>
      <c r="AP559" s="169">
        <f t="shared" si="326"/>
        <v>0</v>
      </c>
    </row>
    <row r="560" spans="1:42" x14ac:dyDescent="0.2">
      <c r="A560" s="20">
        <f t="shared" ref="A560:A565" si="328">A559+1</f>
        <v>3</v>
      </c>
      <c r="C560" s="169">
        <f t="shared" si="327"/>
        <v>0</v>
      </c>
      <c r="D560" s="169">
        <f t="shared" si="326"/>
        <v>0</v>
      </c>
      <c r="E560" s="169">
        <f t="shared" si="326"/>
        <v>0</v>
      </c>
      <c r="F560" s="169">
        <f t="shared" si="326"/>
        <v>0</v>
      </c>
      <c r="G560" s="169">
        <f t="shared" si="326"/>
        <v>0</v>
      </c>
      <c r="H560" s="169">
        <f t="shared" si="326"/>
        <v>0</v>
      </c>
      <c r="I560" s="169">
        <f t="shared" si="326"/>
        <v>0</v>
      </c>
      <c r="J560" s="169">
        <f t="shared" si="326"/>
        <v>0</v>
      </c>
      <c r="K560" s="169">
        <f t="shared" si="326"/>
        <v>0</v>
      </c>
      <c r="L560" s="169">
        <f t="shared" si="326"/>
        <v>0</v>
      </c>
      <c r="M560" s="169">
        <f t="shared" si="326"/>
        <v>0</v>
      </c>
      <c r="N560" s="169">
        <f t="shared" si="326"/>
        <v>0</v>
      </c>
      <c r="O560" s="169">
        <f t="shared" si="326"/>
        <v>0</v>
      </c>
      <c r="P560" s="169">
        <f t="shared" si="326"/>
        <v>0</v>
      </c>
      <c r="Q560" s="169">
        <f t="shared" si="326"/>
        <v>0</v>
      </c>
      <c r="R560" s="169">
        <f t="shared" si="326"/>
        <v>0</v>
      </c>
      <c r="S560" s="169">
        <f t="shared" si="326"/>
        <v>0</v>
      </c>
      <c r="T560" s="169">
        <f t="shared" si="326"/>
        <v>0</v>
      </c>
      <c r="U560" s="169">
        <f t="shared" si="326"/>
        <v>0</v>
      </c>
      <c r="V560" s="169">
        <f t="shared" si="326"/>
        <v>0</v>
      </c>
      <c r="W560" s="169">
        <f t="shared" si="326"/>
        <v>0</v>
      </c>
      <c r="X560" s="169">
        <f t="shared" si="326"/>
        <v>0</v>
      </c>
      <c r="Y560" s="169">
        <f t="shared" si="326"/>
        <v>0</v>
      </c>
      <c r="Z560" s="169">
        <f t="shared" si="326"/>
        <v>0</v>
      </c>
      <c r="AA560" s="169">
        <f t="shared" si="326"/>
        <v>0</v>
      </c>
      <c r="AB560" s="169">
        <f t="shared" si="326"/>
        <v>0</v>
      </c>
      <c r="AC560" s="169">
        <f t="shared" si="326"/>
        <v>0</v>
      </c>
      <c r="AD560" s="169">
        <f t="shared" si="326"/>
        <v>0</v>
      </c>
      <c r="AE560" s="169">
        <f t="shared" si="326"/>
        <v>0</v>
      </c>
      <c r="AF560" s="169">
        <f t="shared" si="326"/>
        <v>0</v>
      </c>
      <c r="AG560" s="169">
        <f t="shared" si="326"/>
        <v>0</v>
      </c>
      <c r="AH560" s="169">
        <f t="shared" si="326"/>
        <v>0</v>
      </c>
      <c r="AI560" s="169">
        <f t="shared" si="326"/>
        <v>0</v>
      </c>
      <c r="AJ560" s="169">
        <f t="shared" si="326"/>
        <v>0</v>
      </c>
      <c r="AK560" s="169">
        <f t="shared" si="326"/>
        <v>0</v>
      </c>
      <c r="AL560" s="169">
        <f t="shared" si="326"/>
        <v>0</v>
      </c>
      <c r="AM560" s="169">
        <f t="shared" si="326"/>
        <v>0</v>
      </c>
      <c r="AN560" s="169">
        <f t="shared" si="326"/>
        <v>0</v>
      </c>
      <c r="AO560" s="169">
        <f t="shared" si="326"/>
        <v>0</v>
      </c>
      <c r="AP560" s="169">
        <f t="shared" si="326"/>
        <v>0</v>
      </c>
    </row>
    <row r="561" spans="1:42" x14ac:dyDescent="0.2">
      <c r="A561" s="20">
        <f t="shared" si="328"/>
        <v>4</v>
      </c>
      <c r="C561" s="169">
        <f t="shared" si="327"/>
        <v>0</v>
      </c>
      <c r="D561" s="169">
        <f t="shared" si="326"/>
        <v>0</v>
      </c>
      <c r="E561" s="169">
        <f t="shared" si="326"/>
        <v>0</v>
      </c>
      <c r="F561" s="169">
        <f t="shared" si="326"/>
        <v>0</v>
      </c>
      <c r="G561" s="169">
        <f t="shared" si="326"/>
        <v>0</v>
      </c>
      <c r="H561" s="169">
        <f t="shared" si="326"/>
        <v>0</v>
      </c>
      <c r="I561" s="169">
        <f t="shared" si="326"/>
        <v>0</v>
      </c>
      <c r="J561" s="169">
        <f t="shared" si="326"/>
        <v>0</v>
      </c>
      <c r="K561" s="169">
        <f t="shared" si="326"/>
        <v>0</v>
      </c>
      <c r="L561" s="169">
        <f t="shared" si="326"/>
        <v>0</v>
      </c>
      <c r="M561" s="169">
        <f t="shared" si="326"/>
        <v>0</v>
      </c>
      <c r="N561" s="169">
        <f t="shared" si="326"/>
        <v>0</v>
      </c>
      <c r="O561" s="169">
        <f t="shared" si="326"/>
        <v>0</v>
      </c>
      <c r="P561" s="169">
        <f t="shared" si="326"/>
        <v>0</v>
      </c>
      <c r="Q561" s="169">
        <f t="shared" si="326"/>
        <v>0</v>
      </c>
      <c r="R561" s="169">
        <f t="shared" si="326"/>
        <v>0</v>
      </c>
      <c r="S561" s="169">
        <f t="shared" si="326"/>
        <v>0</v>
      </c>
      <c r="T561" s="169">
        <f t="shared" si="326"/>
        <v>0</v>
      </c>
      <c r="U561" s="169">
        <f t="shared" si="326"/>
        <v>0</v>
      </c>
      <c r="V561" s="169">
        <f t="shared" si="326"/>
        <v>0</v>
      </c>
      <c r="W561" s="169">
        <f t="shared" si="326"/>
        <v>0</v>
      </c>
      <c r="X561" s="169">
        <f t="shared" si="326"/>
        <v>0</v>
      </c>
      <c r="Y561" s="169">
        <f t="shared" si="326"/>
        <v>0</v>
      </c>
      <c r="Z561" s="169">
        <f t="shared" si="326"/>
        <v>0</v>
      </c>
      <c r="AA561" s="169">
        <f t="shared" si="326"/>
        <v>0</v>
      </c>
      <c r="AB561" s="169">
        <f t="shared" si="326"/>
        <v>0</v>
      </c>
      <c r="AC561" s="169">
        <f t="shared" si="326"/>
        <v>0</v>
      </c>
      <c r="AD561" s="169">
        <f t="shared" si="326"/>
        <v>0</v>
      </c>
      <c r="AE561" s="169">
        <f t="shared" si="326"/>
        <v>0</v>
      </c>
      <c r="AF561" s="169">
        <f t="shared" si="326"/>
        <v>0</v>
      </c>
      <c r="AG561" s="169">
        <f t="shared" si="326"/>
        <v>0</v>
      </c>
      <c r="AH561" s="169">
        <f t="shared" si="326"/>
        <v>0</v>
      </c>
      <c r="AI561" s="169">
        <f t="shared" si="326"/>
        <v>0</v>
      </c>
      <c r="AJ561" s="169">
        <f t="shared" si="326"/>
        <v>0</v>
      </c>
      <c r="AK561" s="169">
        <f t="shared" si="326"/>
        <v>0</v>
      </c>
      <c r="AL561" s="169">
        <f t="shared" si="326"/>
        <v>0</v>
      </c>
      <c r="AM561" s="169">
        <f t="shared" si="326"/>
        <v>0</v>
      </c>
      <c r="AN561" s="169">
        <f t="shared" si="326"/>
        <v>0</v>
      </c>
      <c r="AO561" s="169">
        <f t="shared" si="326"/>
        <v>0</v>
      </c>
      <c r="AP561" s="169">
        <f t="shared" si="326"/>
        <v>0</v>
      </c>
    </row>
    <row r="562" spans="1:42" x14ac:dyDescent="0.2">
      <c r="A562" s="20">
        <f t="shared" si="328"/>
        <v>5</v>
      </c>
      <c r="C562" s="169">
        <f t="shared" si="327"/>
        <v>0</v>
      </c>
      <c r="D562" s="169">
        <f t="shared" si="326"/>
        <v>0</v>
      </c>
      <c r="E562" s="169">
        <f t="shared" si="326"/>
        <v>0</v>
      </c>
      <c r="F562" s="169">
        <f t="shared" si="326"/>
        <v>0</v>
      </c>
      <c r="G562" s="169">
        <f t="shared" si="326"/>
        <v>0</v>
      </c>
      <c r="H562" s="169">
        <f t="shared" si="326"/>
        <v>0</v>
      </c>
      <c r="I562" s="169">
        <f t="shared" si="326"/>
        <v>0</v>
      </c>
      <c r="J562" s="169">
        <f t="shared" si="326"/>
        <v>0</v>
      </c>
      <c r="K562" s="169">
        <f t="shared" si="326"/>
        <v>0</v>
      </c>
      <c r="L562" s="169">
        <f t="shared" si="326"/>
        <v>0</v>
      </c>
      <c r="M562" s="169">
        <f t="shared" si="326"/>
        <v>0</v>
      </c>
      <c r="N562" s="169">
        <f t="shared" si="326"/>
        <v>0</v>
      </c>
      <c r="O562" s="169">
        <f t="shared" si="326"/>
        <v>0</v>
      </c>
      <c r="P562" s="169">
        <f t="shared" si="326"/>
        <v>0</v>
      </c>
      <c r="Q562" s="169">
        <f t="shared" si="326"/>
        <v>0</v>
      </c>
      <c r="R562" s="169">
        <f t="shared" si="326"/>
        <v>0</v>
      </c>
      <c r="S562" s="169">
        <f t="shared" si="326"/>
        <v>0</v>
      </c>
      <c r="T562" s="169">
        <f t="shared" si="326"/>
        <v>0</v>
      </c>
      <c r="U562" s="169">
        <f t="shared" si="326"/>
        <v>0</v>
      </c>
      <c r="V562" s="169">
        <f t="shared" si="326"/>
        <v>0</v>
      </c>
      <c r="W562" s="169">
        <f t="shared" si="326"/>
        <v>0</v>
      </c>
      <c r="X562" s="169">
        <f t="shared" si="326"/>
        <v>0</v>
      </c>
      <c r="Y562" s="169">
        <f t="shared" si="326"/>
        <v>0</v>
      </c>
      <c r="Z562" s="169">
        <f t="shared" si="326"/>
        <v>0</v>
      </c>
      <c r="AA562" s="169">
        <f t="shared" si="326"/>
        <v>0</v>
      </c>
      <c r="AB562" s="169">
        <f t="shared" si="326"/>
        <v>0</v>
      </c>
      <c r="AC562" s="169">
        <f t="shared" si="326"/>
        <v>0</v>
      </c>
      <c r="AD562" s="169">
        <f t="shared" si="326"/>
        <v>0</v>
      </c>
      <c r="AE562" s="169">
        <f t="shared" si="326"/>
        <v>0</v>
      </c>
      <c r="AF562" s="169">
        <f t="shared" si="326"/>
        <v>0</v>
      </c>
      <c r="AG562" s="169">
        <f t="shared" si="326"/>
        <v>0</v>
      </c>
      <c r="AH562" s="169">
        <f t="shared" si="326"/>
        <v>0</v>
      </c>
      <c r="AI562" s="169">
        <f t="shared" si="326"/>
        <v>0</v>
      </c>
      <c r="AJ562" s="169">
        <f t="shared" si="326"/>
        <v>0</v>
      </c>
      <c r="AK562" s="169">
        <f t="shared" si="326"/>
        <v>0</v>
      </c>
      <c r="AL562" s="169">
        <f t="shared" si="326"/>
        <v>0</v>
      </c>
      <c r="AM562" s="169">
        <f t="shared" si="326"/>
        <v>0</v>
      </c>
      <c r="AN562" s="169">
        <f t="shared" si="326"/>
        <v>0</v>
      </c>
      <c r="AO562" s="169">
        <f t="shared" si="326"/>
        <v>0</v>
      </c>
      <c r="AP562" s="169">
        <f t="shared" si="326"/>
        <v>0</v>
      </c>
    </row>
    <row r="563" spans="1:42" x14ac:dyDescent="0.2">
      <c r="A563" s="20">
        <f t="shared" si="328"/>
        <v>6</v>
      </c>
      <c r="C563" s="169">
        <f t="shared" si="327"/>
        <v>0</v>
      </c>
      <c r="D563" s="169">
        <f t="shared" si="326"/>
        <v>0</v>
      </c>
      <c r="E563" s="169">
        <f t="shared" si="326"/>
        <v>0</v>
      </c>
      <c r="F563" s="169">
        <f t="shared" si="326"/>
        <v>0</v>
      </c>
      <c r="G563" s="169">
        <f t="shared" si="326"/>
        <v>0</v>
      </c>
      <c r="H563" s="169">
        <f t="shared" si="326"/>
        <v>0</v>
      </c>
      <c r="I563" s="169">
        <f t="shared" si="326"/>
        <v>0</v>
      </c>
      <c r="J563" s="169">
        <f t="shared" si="326"/>
        <v>0</v>
      </c>
      <c r="K563" s="169">
        <f t="shared" si="326"/>
        <v>0</v>
      </c>
      <c r="L563" s="169">
        <f t="shared" si="326"/>
        <v>0</v>
      </c>
      <c r="M563" s="169">
        <f t="shared" si="326"/>
        <v>0</v>
      </c>
      <c r="N563" s="169">
        <f t="shared" si="326"/>
        <v>0</v>
      </c>
      <c r="O563" s="169">
        <f t="shared" si="326"/>
        <v>0</v>
      </c>
      <c r="P563" s="169">
        <f t="shared" si="326"/>
        <v>0</v>
      </c>
      <c r="Q563" s="169">
        <f t="shared" si="326"/>
        <v>0</v>
      </c>
      <c r="R563" s="169">
        <f t="shared" si="326"/>
        <v>0</v>
      </c>
      <c r="S563" s="169">
        <f t="shared" si="326"/>
        <v>0</v>
      </c>
      <c r="T563" s="169">
        <f t="shared" si="326"/>
        <v>0</v>
      </c>
      <c r="U563" s="169">
        <f t="shared" si="326"/>
        <v>0</v>
      </c>
      <c r="V563" s="169">
        <f t="shared" si="326"/>
        <v>0</v>
      </c>
      <c r="W563" s="169">
        <f t="shared" si="326"/>
        <v>0</v>
      </c>
      <c r="X563" s="169">
        <f t="shared" si="326"/>
        <v>0</v>
      </c>
      <c r="Y563" s="169">
        <f t="shared" si="326"/>
        <v>0</v>
      </c>
      <c r="Z563" s="169">
        <f t="shared" si="326"/>
        <v>0</v>
      </c>
      <c r="AA563" s="169">
        <f t="shared" si="326"/>
        <v>0</v>
      </c>
      <c r="AB563" s="169">
        <f t="shared" si="326"/>
        <v>0</v>
      </c>
      <c r="AC563" s="169">
        <f t="shared" si="326"/>
        <v>0</v>
      </c>
      <c r="AD563" s="169">
        <f t="shared" si="326"/>
        <v>0</v>
      </c>
      <c r="AE563" s="169">
        <f t="shared" si="326"/>
        <v>0</v>
      </c>
      <c r="AF563" s="169">
        <f t="shared" si="326"/>
        <v>0</v>
      </c>
      <c r="AG563" s="169">
        <f t="shared" si="326"/>
        <v>0</v>
      </c>
      <c r="AH563" s="169">
        <f t="shared" si="326"/>
        <v>0</v>
      </c>
      <c r="AI563" s="169">
        <f t="shared" si="326"/>
        <v>0</v>
      </c>
      <c r="AJ563" s="169">
        <f t="shared" si="326"/>
        <v>0</v>
      </c>
      <c r="AK563" s="169">
        <f t="shared" si="326"/>
        <v>0</v>
      </c>
      <c r="AL563" s="169">
        <f t="shared" si="326"/>
        <v>0</v>
      </c>
      <c r="AM563" s="169">
        <f t="shared" si="326"/>
        <v>0</v>
      </c>
      <c r="AN563" s="169">
        <f t="shared" si="326"/>
        <v>0</v>
      </c>
      <c r="AO563" s="169">
        <f t="shared" si="326"/>
        <v>0</v>
      </c>
      <c r="AP563" s="169">
        <f t="shared" si="326"/>
        <v>0</v>
      </c>
    </row>
    <row r="564" spans="1:42" x14ac:dyDescent="0.2">
      <c r="A564" s="20">
        <f t="shared" si="328"/>
        <v>7</v>
      </c>
      <c r="C564" s="169">
        <f t="shared" si="327"/>
        <v>0</v>
      </c>
      <c r="D564" s="169">
        <f t="shared" si="326"/>
        <v>0</v>
      </c>
      <c r="E564" s="169">
        <f t="shared" si="326"/>
        <v>0</v>
      </c>
      <c r="F564" s="169">
        <f t="shared" si="326"/>
        <v>0</v>
      </c>
      <c r="G564" s="169">
        <f t="shared" si="326"/>
        <v>0</v>
      </c>
      <c r="H564" s="169">
        <f t="shared" si="326"/>
        <v>0</v>
      </c>
      <c r="I564" s="169">
        <f t="shared" si="326"/>
        <v>0</v>
      </c>
      <c r="J564" s="169">
        <f t="shared" si="326"/>
        <v>0</v>
      </c>
      <c r="K564" s="169">
        <f t="shared" si="326"/>
        <v>0</v>
      </c>
      <c r="L564" s="169">
        <f t="shared" si="326"/>
        <v>0</v>
      </c>
      <c r="M564" s="169">
        <f t="shared" si="326"/>
        <v>0</v>
      </c>
      <c r="N564" s="169">
        <f t="shared" si="326"/>
        <v>0</v>
      </c>
      <c r="O564" s="169">
        <f t="shared" si="326"/>
        <v>0</v>
      </c>
      <c r="P564" s="169">
        <f t="shared" si="326"/>
        <v>0</v>
      </c>
      <c r="Q564" s="169">
        <f t="shared" si="326"/>
        <v>0</v>
      </c>
      <c r="R564" s="169">
        <f t="shared" si="326"/>
        <v>0</v>
      </c>
      <c r="S564" s="169">
        <f t="shared" si="326"/>
        <v>0</v>
      </c>
      <c r="T564" s="169">
        <f t="shared" si="326"/>
        <v>0</v>
      </c>
      <c r="U564" s="169">
        <f t="shared" si="326"/>
        <v>0</v>
      </c>
      <c r="V564" s="169">
        <f t="shared" si="326"/>
        <v>0</v>
      </c>
      <c r="W564" s="169">
        <f t="shared" si="326"/>
        <v>0</v>
      </c>
      <c r="X564" s="169">
        <f t="shared" si="326"/>
        <v>0</v>
      </c>
      <c r="Y564" s="169">
        <f t="shared" si="326"/>
        <v>0</v>
      </c>
      <c r="Z564" s="169">
        <f t="shared" si="326"/>
        <v>0</v>
      </c>
      <c r="AA564" s="169">
        <f t="shared" si="326"/>
        <v>0</v>
      </c>
      <c r="AB564" s="169">
        <f t="shared" si="326"/>
        <v>0</v>
      </c>
      <c r="AC564" s="169">
        <f t="shared" si="326"/>
        <v>0</v>
      </c>
      <c r="AD564" s="169">
        <f t="shared" si="326"/>
        <v>0</v>
      </c>
      <c r="AE564" s="169">
        <f t="shared" si="326"/>
        <v>0</v>
      </c>
      <c r="AF564" s="169">
        <f t="shared" si="326"/>
        <v>0</v>
      </c>
      <c r="AG564" s="169">
        <f t="shared" si="326"/>
        <v>0</v>
      </c>
      <c r="AH564" s="169">
        <f t="shared" si="326"/>
        <v>0</v>
      </c>
      <c r="AI564" s="169">
        <f t="shared" si="326"/>
        <v>0</v>
      </c>
      <c r="AJ564" s="169">
        <f t="shared" si="326"/>
        <v>0</v>
      </c>
      <c r="AK564" s="169">
        <f t="shared" si="326"/>
        <v>0</v>
      </c>
      <c r="AL564" s="169">
        <f t="shared" si="326"/>
        <v>0</v>
      </c>
      <c r="AM564" s="169">
        <f t="shared" si="326"/>
        <v>0</v>
      </c>
      <c r="AN564" s="169">
        <f t="shared" ref="AN564:AP564" si="329">AN429</f>
        <v>0</v>
      </c>
      <c r="AO564" s="169">
        <f t="shared" si="329"/>
        <v>0</v>
      </c>
      <c r="AP564" s="169">
        <f t="shared" si="329"/>
        <v>0</v>
      </c>
    </row>
    <row r="565" spans="1:42" x14ac:dyDescent="0.2">
      <c r="A565" s="20">
        <f t="shared" si="328"/>
        <v>8</v>
      </c>
      <c r="C565" s="169">
        <f t="shared" si="327"/>
        <v>0</v>
      </c>
      <c r="D565" s="169">
        <f t="shared" si="327"/>
        <v>0</v>
      </c>
      <c r="E565" s="169">
        <f t="shared" si="327"/>
        <v>0</v>
      </c>
      <c r="F565" s="169">
        <f t="shared" si="327"/>
        <v>0</v>
      </c>
      <c r="G565" s="169">
        <f t="shared" si="327"/>
        <v>0</v>
      </c>
      <c r="H565" s="169">
        <f t="shared" si="327"/>
        <v>0</v>
      </c>
      <c r="I565" s="169">
        <f t="shared" si="327"/>
        <v>0</v>
      </c>
      <c r="J565" s="169">
        <f t="shared" si="327"/>
        <v>0</v>
      </c>
      <c r="K565" s="169">
        <f t="shared" si="327"/>
        <v>0</v>
      </c>
      <c r="L565" s="169">
        <f t="shared" si="327"/>
        <v>0</v>
      </c>
      <c r="M565" s="169">
        <f t="shared" si="327"/>
        <v>0</v>
      </c>
      <c r="N565" s="169">
        <f t="shared" si="327"/>
        <v>0</v>
      </c>
      <c r="O565" s="169">
        <f t="shared" si="327"/>
        <v>0</v>
      </c>
      <c r="P565" s="169">
        <f t="shared" si="327"/>
        <v>0</v>
      </c>
      <c r="Q565" s="169">
        <f t="shared" si="327"/>
        <v>0</v>
      </c>
      <c r="R565" s="169">
        <f t="shared" si="327"/>
        <v>0</v>
      </c>
      <c r="S565" s="169">
        <f t="shared" ref="S565:AP567" si="330">S430</f>
        <v>0</v>
      </c>
      <c r="T565" s="169">
        <f t="shared" si="330"/>
        <v>0</v>
      </c>
      <c r="U565" s="169">
        <f t="shared" si="330"/>
        <v>0</v>
      </c>
      <c r="V565" s="169">
        <f t="shared" si="330"/>
        <v>0</v>
      </c>
      <c r="W565" s="169">
        <f t="shared" si="330"/>
        <v>0</v>
      </c>
      <c r="X565" s="169">
        <f t="shared" si="330"/>
        <v>0</v>
      </c>
      <c r="Y565" s="169">
        <f t="shared" si="330"/>
        <v>0</v>
      </c>
      <c r="Z565" s="169">
        <f t="shared" si="330"/>
        <v>0</v>
      </c>
      <c r="AA565" s="169">
        <f t="shared" si="330"/>
        <v>0</v>
      </c>
      <c r="AB565" s="169">
        <f t="shared" si="330"/>
        <v>0</v>
      </c>
      <c r="AC565" s="169">
        <f t="shared" si="330"/>
        <v>0</v>
      </c>
      <c r="AD565" s="169">
        <f t="shared" si="330"/>
        <v>0</v>
      </c>
      <c r="AE565" s="169">
        <f t="shared" si="330"/>
        <v>0</v>
      </c>
      <c r="AF565" s="169">
        <f t="shared" si="330"/>
        <v>0</v>
      </c>
      <c r="AG565" s="169">
        <f t="shared" si="330"/>
        <v>0</v>
      </c>
      <c r="AH565" s="169">
        <f t="shared" si="330"/>
        <v>0</v>
      </c>
      <c r="AI565" s="169">
        <f t="shared" si="330"/>
        <v>0</v>
      </c>
      <c r="AJ565" s="169">
        <f t="shared" si="330"/>
        <v>0</v>
      </c>
      <c r="AK565" s="169">
        <f t="shared" si="330"/>
        <v>0</v>
      </c>
      <c r="AL565" s="169">
        <f t="shared" si="330"/>
        <v>0</v>
      </c>
      <c r="AM565" s="169">
        <f t="shared" si="330"/>
        <v>0</v>
      </c>
      <c r="AN565" s="169">
        <f t="shared" si="330"/>
        <v>0</v>
      </c>
      <c r="AO565" s="169">
        <f t="shared" si="330"/>
        <v>0</v>
      </c>
      <c r="AP565" s="169">
        <f t="shared" si="330"/>
        <v>0</v>
      </c>
    </row>
    <row r="566" spans="1:42" x14ac:dyDescent="0.2">
      <c r="A566" s="20">
        <f>A565+1</f>
        <v>9</v>
      </c>
      <c r="C566" s="169">
        <f t="shared" si="327"/>
        <v>0</v>
      </c>
      <c r="D566" s="169">
        <f t="shared" si="327"/>
        <v>0</v>
      </c>
      <c r="E566" s="169">
        <f t="shared" si="327"/>
        <v>0</v>
      </c>
      <c r="F566" s="169">
        <f t="shared" si="327"/>
        <v>0</v>
      </c>
      <c r="G566" s="169">
        <f t="shared" si="327"/>
        <v>0</v>
      </c>
      <c r="H566" s="169">
        <f t="shared" si="327"/>
        <v>0</v>
      </c>
      <c r="I566" s="169">
        <f t="shared" si="327"/>
        <v>0</v>
      </c>
      <c r="J566" s="169">
        <f t="shared" si="327"/>
        <v>0</v>
      </c>
      <c r="K566" s="169">
        <f t="shared" si="327"/>
        <v>0</v>
      </c>
      <c r="L566" s="169">
        <f t="shared" si="327"/>
        <v>0</v>
      </c>
      <c r="M566" s="169">
        <f t="shared" si="327"/>
        <v>0</v>
      </c>
      <c r="N566" s="169">
        <f t="shared" si="327"/>
        <v>0</v>
      </c>
      <c r="O566" s="169">
        <f t="shared" si="327"/>
        <v>0</v>
      </c>
      <c r="P566" s="169">
        <f t="shared" si="327"/>
        <v>0</v>
      </c>
      <c r="Q566" s="169">
        <f t="shared" si="327"/>
        <v>0</v>
      </c>
      <c r="R566" s="169">
        <f t="shared" si="327"/>
        <v>0</v>
      </c>
      <c r="S566" s="169">
        <f t="shared" si="330"/>
        <v>0</v>
      </c>
      <c r="T566" s="169">
        <f t="shared" si="330"/>
        <v>0</v>
      </c>
      <c r="U566" s="169">
        <f t="shared" si="330"/>
        <v>0</v>
      </c>
      <c r="V566" s="169">
        <f t="shared" si="330"/>
        <v>0</v>
      </c>
      <c r="W566" s="169">
        <f t="shared" si="330"/>
        <v>0</v>
      </c>
      <c r="X566" s="169">
        <f t="shared" si="330"/>
        <v>0</v>
      </c>
      <c r="Y566" s="169">
        <f t="shared" si="330"/>
        <v>0</v>
      </c>
      <c r="Z566" s="169">
        <f t="shared" si="330"/>
        <v>0</v>
      </c>
      <c r="AA566" s="169">
        <f t="shared" si="330"/>
        <v>0</v>
      </c>
      <c r="AB566" s="169">
        <f t="shared" si="330"/>
        <v>0</v>
      </c>
      <c r="AC566" s="169">
        <f t="shared" si="330"/>
        <v>0</v>
      </c>
      <c r="AD566" s="169">
        <f t="shared" si="330"/>
        <v>0</v>
      </c>
      <c r="AE566" s="169">
        <f t="shared" si="330"/>
        <v>0</v>
      </c>
      <c r="AF566" s="169">
        <f t="shared" si="330"/>
        <v>0</v>
      </c>
      <c r="AG566" s="169">
        <f t="shared" si="330"/>
        <v>0</v>
      </c>
      <c r="AH566" s="169">
        <f t="shared" si="330"/>
        <v>0</v>
      </c>
      <c r="AI566" s="169">
        <f t="shared" si="330"/>
        <v>0</v>
      </c>
      <c r="AJ566" s="169">
        <f t="shared" si="330"/>
        <v>0</v>
      </c>
      <c r="AK566" s="169">
        <f t="shared" si="330"/>
        <v>0</v>
      </c>
      <c r="AL566" s="169">
        <f t="shared" si="330"/>
        <v>0</v>
      </c>
      <c r="AM566" s="169">
        <f t="shared" si="330"/>
        <v>0</v>
      </c>
      <c r="AN566" s="169">
        <f t="shared" si="330"/>
        <v>0</v>
      </c>
      <c r="AO566" s="169">
        <f t="shared" si="330"/>
        <v>0</v>
      </c>
      <c r="AP566" s="169">
        <f t="shared" si="330"/>
        <v>0</v>
      </c>
    </row>
    <row r="567" spans="1:42" x14ac:dyDescent="0.2">
      <c r="A567" s="20">
        <f t="shared" ref="A567" si="331">A566+1</f>
        <v>10</v>
      </c>
      <c r="C567" s="169">
        <f t="shared" si="327"/>
        <v>0</v>
      </c>
      <c r="D567" s="169">
        <f t="shared" si="327"/>
        <v>0</v>
      </c>
      <c r="E567" s="169">
        <f t="shared" si="327"/>
        <v>0</v>
      </c>
      <c r="F567" s="169">
        <f t="shared" si="327"/>
        <v>0</v>
      </c>
      <c r="G567" s="169">
        <f t="shared" si="327"/>
        <v>0</v>
      </c>
      <c r="H567" s="169">
        <f t="shared" si="327"/>
        <v>0</v>
      </c>
      <c r="I567" s="169">
        <f t="shared" si="327"/>
        <v>0</v>
      </c>
      <c r="J567" s="169">
        <f t="shared" si="327"/>
        <v>0</v>
      </c>
      <c r="K567" s="169">
        <f t="shared" si="327"/>
        <v>0</v>
      </c>
      <c r="L567" s="169">
        <f t="shared" si="327"/>
        <v>0</v>
      </c>
      <c r="M567" s="169">
        <f t="shared" si="327"/>
        <v>0</v>
      </c>
      <c r="N567" s="169">
        <f t="shared" si="327"/>
        <v>0</v>
      </c>
      <c r="O567" s="169">
        <f t="shared" si="327"/>
        <v>0</v>
      </c>
      <c r="P567" s="169">
        <f t="shared" si="327"/>
        <v>0</v>
      </c>
      <c r="Q567" s="169">
        <f t="shared" si="327"/>
        <v>0</v>
      </c>
      <c r="R567" s="169">
        <f t="shared" si="327"/>
        <v>0</v>
      </c>
      <c r="S567" s="169">
        <f t="shared" si="330"/>
        <v>0</v>
      </c>
      <c r="T567" s="169">
        <f t="shared" si="330"/>
        <v>0</v>
      </c>
      <c r="U567" s="169">
        <f t="shared" si="330"/>
        <v>0</v>
      </c>
      <c r="V567" s="169">
        <f t="shared" si="330"/>
        <v>0</v>
      </c>
      <c r="W567" s="169">
        <f t="shared" si="330"/>
        <v>0</v>
      </c>
      <c r="X567" s="169">
        <f t="shared" si="330"/>
        <v>0</v>
      </c>
      <c r="Y567" s="169">
        <f t="shared" si="330"/>
        <v>0</v>
      </c>
      <c r="Z567" s="169">
        <f t="shared" si="330"/>
        <v>0</v>
      </c>
      <c r="AA567" s="169">
        <f t="shared" si="330"/>
        <v>0</v>
      </c>
      <c r="AB567" s="169">
        <f t="shared" si="330"/>
        <v>0</v>
      </c>
      <c r="AC567" s="169">
        <f t="shared" si="330"/>
        <v>0</v>
      </c>
      <c r="AD567" s="169">
        <f t="shared" si="330"/>
        <v>0</v>
      </c>
      <c r="AE567" s="169">
        <f t="shared" si="330"/>
        <v>0</v>
      </c>
      <c r="AF567" s="169">
        <f t="shared" si="330"/>
        <v>0</v>
      </c>
      <c r="AG567" s="169">
        <f t="shared" si="330"/>
        <v>0</v>
      </c>
      <c r="AH567" s="169">
        <f t="shared" si="330"/>
        <v>0</v>
      </c>
      <c r="AI567" s="169">
        <f t="shared" si="330"/>
        <v>0</v>
      </c>
      <c r="AJ567" s="169">
        <f t="shared" si="330"/>
        <v>0</v>
      </c>
      <c r="AK567" s="169">
        <f t="shared" si="330"/>
        <v>0</v>
      </c>
      <c r="AL567" s="169">
        <f t="shared" si="330"/>
        <v>0</v>
      </c>
      <c r="AM567" s="169">
        <f t="shared" si="330"/>
        <v>0</v>
      </c>
      <c r="AN567" s="169">
        <f t="shared" si="330"/>
        <v>0</v>
      </c>
      <c r="AO567" s="169">
        <f t="shared" si="330"/>
        <v>0</v>
      </c>
      <c r="AP567" s="169">
        <f t="shared" si="330"/>
        <v>0</v>
      </c>
    </row>
    <row r="568" spans="1:42" x14ac:dyDescent="0.2">
      <c r="A568" s="187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</row>
    <row r="569" spans="1:42" x14ac:dyDescent="0.2">
      <c r="A569" s="187" t="s">
        <v>196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</row>
    <row r="570" spans="1:42" x14ac:dyDescent="0.2">
      <c r="A570" s="20">
        <v>1</v>
      </c>
      <c r="B570" s="179">
        <f t="shared" ref="B570:B579" si="332">SUM(C570:AP570)</f>
        <v>0</v>
      </c>
      <c r="C570" s="208">
        <f t="shared" ref="C570:AP570" si="333">LOOKUP(C558,$B$501:$AP$501,$B$502:$AP$502)*$B720</f>
        <v>0</v>
      </c>
      <c r="D570" s="169">
        <f t="shared" si="333"/>
        <v>0</v>
      </c>
      <c r="E570" s="169">
        <f t="shared" si="333"/>
        <v>0</v>
      </c>
      <c r="F570" s="169">
        <f t="shared" si="333"/>
        <v>0</v>
      </c>
      <c r="G570" s="169">
        <f t="shared" si="333"/>
        <v>0</v>
      </c>
      <c r="H570" s="169">
        <f t="shared" si="333"/>
        <v>0</v>
      </c>
      <c r="I570" s="169">
        <f t="shared" si="333"/>
        <v>0</v>
      </c>
      <c r="J570" s="169">
        <f t="shared" si="333"/>
        <v>0</v>
      </c>
      <c r="K570" s="169">
        <f t="shared" si="333"/>
        <v>0</v>
      </c>
      <c r="L570" s="169">
        <f t="shared" si="333"/>
        <v>0</v>
      </c>
      <c r="M570" s="169">
        <f t="shared" si="333"/>
        <v>0</v>
      </c>
      <c r="N570" s="169">
        <f t="shared" si="333"/>
        <v>0</v>
      </c>
      <c r="O570" s="169">
        <f t="shared" si="333"/>
        <v>0</v>
      </c>
      <c r="P570" s="169">
        <f t="shared" si="333"/>
        <v>0</v>
      </c>
      <c r="Q570" s="169">
        <f t="shared" si="333"/>
        <v>0</v>
      </c>
      <c r="R570" s="169">
        <f t="shared" si="333"/>
        <v>0</v>
      </c>
      <c r="S570" s="169">
        <f t="shared" si="333"/>
        <v>0</v>
      </c>
      <c r="T570" s="169">
        <f t="shared" si="333"/>
        <v>0</v>
      </c>
      <c r="U570" s="169">
        <f t="shared" si="333"/>
        <v>0</v>
      </c>
      <c r="V570" s="169">
        <f t="shared" si="333"/>
        <v>0</v>
      </c>
      <c r="W570" s="169">
        <f t="shared" si="333"/>
        <v>0</v>
      </c>
      <c r="X570" s="169">
        <f t="shared" si="333"/>
        <v>0</v>
      </c>
      <c r="Y570" s="169">
        <f t="shared" si="333"/>
        <v>0</v>
      </c>
      <c r="Z570" s="169">
        <f t="shared" si="333"/>
        <v>0</v>
      </c>
      <c r="AA570" s="169">
        <f t="shared" si="333"/>
        <v>0</v>
      </c>
      <c r="AB570" s="169">
        <f t="shared" si="333"/>
        <v>0</v>
      </c>
      <c r="AC570" s="169">
        <f t="shared" si="333"/>
        <v>0</v>
      </c>
      <c r="AD570" s="169">
        <f t="shared" si="333"/>
        <v>0</v>
      </c>
      <c r="AE570" s="169">
        <f t="shared" si="333"/>
        <v>0</v>
      </c>
      <c r="AF570" s="169">
        <f t="shared" si="333"/>
        <v>0</v>
      </c>
      <c r="AG570" s="169">
        <f t="shared" si="333"/>
        <v>0</v>
      </c>
      <c r="AH570" s="169">
        <f t="shared" si="333"/>
        <v>0</v>
      </c>
      <c r="AI570" s="169">
        <f t="shared" si="333"/>
        <v>0</v>
      </c>
      <c r="AJ570" s="169">
        <f t="shared" si="333"/>
        <v>0</v>
      </c>
      <c r="AK570" s="169">
        <f t="shared" si="333"/>
        <v>0</v>
      </c>
      <c r="AL570" s="169">
        <f t="shared" si="333"/>
        <v>0</v>
      </c>
      <c r="AM570" s="169">
        <f t="shared" si="333"/>
        <v>0</v>
      </c>
      <c r="AN570" s="169">
        <f t="shared" si="333"/>
        <v>0</v>
      </c>
      <c r="AO570" s="169">
        <f t="shared" si="333"/>
        <v>0</v>
      </c>
      <c r="AP570" s="169">
        <f t="shared" si="333"/>
        <v>0</v>
      </c>
    </row>
    <row r="571" spans="1:42" x14ac:dyDescent="0.2">
      <c r="A571" s="20">
        <f>A570+1</f>
        <v>2</v>
      </c>
      <c r="B571" s="179">
        <f t="shared" si="332"/>
        <v>0</v>
      </c>
      <c r="C571" s="208">
        <f t="shared" ref="C571:AP571" si="334">LOOKUP(C559,$B$501:$AP$501,$B$502:$AP$502)*$B721</f>
        <v>0</v>
      </c>
      <c r="D571" s="169">
        <f t="shared" si="334"/>
        <v>0</v>
      </c>
      <c r="E571" s="169">
        <f t="shared" si="334"/>
        <v>0</v>
      </c>
      <c r="F571" s="169">
        <f t="shared" si="334"/>
        <v>0</v>
      </c>
      <c r="G571" s="169">
        <f t="shared" si="334"/>
        <v>0</v>
      </c>
      <c r="H571" s="169">
        <f t="shared" si="334"/>
        <v>0</v>
      </c>
      <c r="I571" s="169">
        <f t="shared" si="334"/>
        <v>0</v>
      </c>
      <c r="J571" s="169">
        <f t="shared" si="334"/>
        <v>0</v>
      </c>
      <c r="K571" s="169">
        <f t="shared" si="334"/>
        <v>0</v>
      </c>
      <c r="L571" s="169">
        <f t="shared" si="334"/>
        <v>0</v>
      </c>
      <c r="M571" s="169">
        <f t="shared" si="334"/>
        <v>0</v>
      </c>
      <c r="N571" s="169">
        <f t="shared" si="334"/>
        <v>0</v>
      </c>
      <c r="O571" s="169">
        <f t="shared" si="334"/>
        <v>0</v>
      </c>
      <c r="P571" s="169">
        <f t="shared" si="334"/>
        <v>0</v>
      </c>
      <c r="Q571" s="169">
        <f t="shared" si="334"/>
        <v>0</v>
      </c>
      <c r="R571" s="169">
        <f t="shared" si="334"/>
        <v>0</v>
      </c>
      <c r="S571" s="169">
        <f t="shared" si="334"/>
        <v>0</v>
      </c>
      <c r="T571" s="169">
        <f t="shared" si="334"/>
        <v>0</v>
      </c>
      <c r="U571" s="169">
        <f t="shared" si="334"/>
        <v>0</v>
      </c>
      <c r="V571" s="169">
        <f t="shared" si="334"/>
        <v>0</v>
      </c>
      <c r="W571" s="169">
        <f t="shared" si="334"/>
        <v>0</v>
      </c>
      <c r="X571" s="169">
        <f t="shared" si="334"/>
        <v>0</v>
      </c>
      <c r="Y571" s="169">
        <f t="shared" si="334"/>
        <v>0</v>
      </c>
      <c r="Z571" s="169">
        <f t="shared" si="334"/>
        <v>0</v>
      </c>
      <c r="AA571" s="169">
        <f t="shared" si="334"/>
        <v>0</v>
      </c>
      <c r="AB571" s="169">
        <f t="shared" si="334"/>
        <v>0</v>
      </c>
      <c r="AC571" s="169">
        <f t="shared" si="334"/>
        <v>0</v>
      </c>
      <c r="AD571" s="169">
        <f t="shared" si="334"/>
        <v>0</v>
      </c>
      <c r="AE571" s="169">
        <f t="shared" si="334"/>
        <v>0</v>
      </c>
      <c r="AF571" s="169">
        <f t="shared" si="334"/>
        <v>0</v>
      </c>
      <c r="AG571" s="169">
        <f t="shared" si="334"/>
        <v>0</v>
      </c>
      <c r="AH571" s="169">
        <f t="shared" si="334"/>
        <v>0</v>
      </c>
      <c r="AI571" s="169">
        <f t="shared" si="334"/>
        <v>0</v>
      </c>
      <c r="AJ571" s="169">
        <f t="shared" si="334"/>
        <v>0</v>
      </c>
      <c r="AK571" s="169">
        <f t="shared" si="334"/>
        <v>0</v>
      </c>
      <c r="AL571" s="169">
        <f t="shared" si="334"/>
        <v>0</v>
      </c>
      <c r="AM571" s="169">
        <f t="shared" si="334"/>
        <v>0</v>
      </c>
      <c r="AN571" s="169">
        <f t="shared" si="334"/>
        <v>0</v>
      </c>
      <c r="AO571" s="169">
        <f t="shared" si="334"/>
        <v>0</v>
      </c>
      <c r="AP571" s="169">
        <f t="shared" si="334"/>
        <v>0</v>
      </c>
    </row>
    <row r="572" spans="1:42" x14ac:dyDescent="0.2">
      <c r="A572" s="20">
        <f t="shared" ref="A572:A577" si="335">A571+1</f>
        <v>3</v>
      </c>
      <c r="B572" s="179">
        <f t="shared" si="332"/>
        <v>0</v>
      </c>
      <c r="C572" s="208">
        <f t="shared" ref="C572:AP572" si="336">LOOKUP(C560,$B$501:$AP$501,$B$502:$AP$502)*$B722</f>
        <v>0</v>
      </c>
      <c r="D572" s="169">
        <f t="shared" si="336"/>
        <v>0</v>
      </c>
      <c r="E572" s="169">
        <f t="shared" si="336"/>
        <v>0</v>
      </c>
      <c r="F572" s="169">
        <f t="shared" si="336"/>
        <v>0</v>
      </c>
      <c r="G572" s="169">
        <f t="shared" si="336"/>
        <v>0</v>
      </c>
      <c r="H572" s="169">
        <f t="shared" si="336"/>
        <v>0</v>
      </c>
      <c r="I572" s="169">
        <f t="shared" si="336"/>
        <v>0</v>
      </c>
      <c r="J572" s="169">
        <f t="shared" si="336"/>
        <v>0</v>
      </c>
      <c r="K572" s="169">
        <f t="shared" si="336"/>
        <v>0</v>
      </c>
      <c r="L572" s="169">
        <f t="shared" si="336"/>
        <v>0</v>
      </c>
      <c r="M572" s="169">
        <f t="shared" si="336"/>
        <v>0</v>
      </c>
      <c r="N572" s="169">
        <f t="shared" si="336"/>
        <v>0</v>
      </c>
      <c r="O572" s="169">
        <f t="shared" si="336"/>
        <v>0</v>
      </c>
      <c r="P572" s="169">
        <f t="shared" si="336"/>
        <v>0</v>
      </c>
      <c r="Q572" s="169">
        <f t="shared" si="336"/>
        <v>0</v>
      </c>
      <c r="R572" s="169">
        <f t="shared" si="336"/>
        <v>0</v>
      </c>
      <c r="S572" s="169">
        <f t="shared" si="336"/>
        <v>0</v>
      </c>
      <c r="T572" s="169">
        <f t="shared" si="336"/>
        <v>0</v>
      </c>
      <c r="U572" s="169">
        <f t="shared" si="336"/>
        <v>0</v>
      </c>
      <c r="V572" s="169">
        <f t="shared" si="336"/>
        <v>0</v>
      </c>
      <c r="W572" s="169">
        <f t="shared" si="336"/>
        <v>0</v>
      </c>
      <c r="X572" s="169">
        <f t="shared" si="336"/>
        <v>0</v>
      </c>
      <c r="Y572" s="169">
        <f t="shared" si="336"/>
        <v>0</v>
      </c>
      <c r="Z572" s="169">
        <f t="shared" si="336"/>
        <v>0</v>
      </c>
      <c r="AA572" s="169">
        <f t="shared" si="336"/>
        <v>0</v>
      </c>
      <c r="AB572" s="169">
        <f t="shared" si="336"/>
        <v>0</v>
      </c>
      <c r="AC572" s="169">
        <f t="shared" si="336"/>
        <v>0</v>
      </c>
      <c r="AD572" s="169">
        <f t="shared" si="336"/>
        <v>0</v>
      </c>
      <c r="AE572" s="169">
        <f t="shared" si="336"/>
        <v>0</v>
      </c>
      <c r="AF572" s="169">
        <f t="shared" si="336"/>
        <v>0</v>
      </c>
      <c r="AG572" s="169">
        <f t="shared" si="336"/>
        <v>0</v>
      </c>
      <c r="AH572" s="169">
        <f t="shared" si="336"/>
        <v>0</v>
      </c>
      <c r="AI572" s="169">
        <f t="shared" si="336"/>
        <v>0</v>
      </c>
      <c r="AJ572" s="169">
        <f t="shared" si="336"/>
        <v>0</v>
      </c>
      <c r="AK572" s="169">
        <f t="shared" si="336"/>
        <v>0</v>
      </c>
      <c r="AL572" s="169">
        <f t="shared" si="336"/>
        <v>0</v>
      </c>
      <c r="AM572" s="169">
        <f t="shared" si="336"/>
        <v>0</v>
      </c>
      <c r="AN572" s="169">
        <f t="shared" si="336"/>
        <v>0</v>
      </c>
      <c r="AO572" s="169">
        <f t="shared" si="336"/>
        <v>0</v>
      </c>
      <c r="AP572" s="169">
        <f t="shared" si="336"/>
        <v>0</v>
      </c>
    </row>
    <row r="573" spans="1:42" x14ac:dyDescent="0.2">
      <c r="A573" s="20">
        <f t="shared" si="335"/>
        <v>4</v>
      </c>
      <c r="B573" s="179">
        <f t="shared" si="332"/>
        <v>0</v>
      </c>
      <c r="C573" s="208">
        <f t="shared" ref="C573:AP573" si="337">LOOKUP(C561,$B$501:$AP$501,$B$502:$AP$502)*$B723</f>
        <v>0</v>
      </c>
      <c r="D573" s="169">
        <f t="shared" si="337"/>
        <v>0</v>
      </c>
      <c r="E573" s="169">
        <f t="shared" si="337"/>
        <v>0</v>
      </c>
      <c r="F573" s="169">
        <f t="shared" si="337"/>
        <v>0</v>
      </c>
      <c r="G573" s="169">
        <f t="shared" si="337"/>
        <v>0</v>
      </c>
      <c r="H573" s="169">
        <f t="shared" si="337"/>
        <v>0</v>
      </c>
      <c r="I573" s="169">
        <f t="shared" si="337"/>
        <v>0</v>
      </c>
      <c r="J573" s="169">
        <f t="shared" si="337"/>
        <v>0</v>
      </c>
      <c r="K573" s="169">
        <f t="shared" si="337"/>
        <v>0</v>
      </c>
      <c r="L573" s="169">
        <f t="shared" si="337"/>
        <v>0</v>
      </c>
      <c r="M573" s="169">
        <f t="shared" si="337"/>
        <v>0</v>
      </c>
      <c r="N573" s="169">
        <f t="shared" si="337"/>
        <v>0</v>
      </c>
      <c r="O573" s="169">
        <f t="shared" si="337"/>
        <v>0</v>
      </c>
      <c r="P573" s="169">
        <f t="shared" si="337"/>
        <v>0</v>
      </c>
      <c r="Q573" s="169">
        <f t="shared" si="337"/>
        <v>0</v>
      </c>
      <c r="R573" s="169">
        <f t="shared" si="337"/>
        <v>0</v>
      </c>
      <c r="S573" s="169">
        <f t="shared" si="337"/>
        <v>0</v>
      </c>
      <c r="T573" s="169">
        <f t="shared" si="337"/>
        <v>0</v>
      </c>
      <c r="U573" s="169">
        <f t="shared" si="337"/>
        <v>0</v>
      </c>
      <c r="V573" s="169">
        <f t="shared" si="337"/>
        <v>0</v>
      </c>
      <c r="W573" s="169">
        <f t="shared" si="337"/>
        <v>0</v>
      </c>
      <c r="X573" s="169">
        <f t="shared" si="337"/>
        <v>0</v>
      </c>
      <c r="Y573" s="169">
        <f t="shared" si="337"/>
        <v>0</v>
      </c>
      <c r="Z573" s="169">
        <f t="shared" si="337"/>
        <v>0</v>
      </c>
      <c r="AA573" s="169">
        <f t="shared" si="337"/>
        <v>0</v>
      </c>
      <c r="AB573" s="169">
        <f t="shared" si="337"/>
        <v>0</v>
      </c>
      <c r="AC573" s="169">
        <f t="shared" si="337"/>
        <v>0</v>
      </c>
      <c r="AD573" s="169">
        <f t="shared" si="337"/>
        <v>0</v>
      </c>
      <c r="AE573" s="169">
        <f t="shared" si="337"/>
        <v>0</v>
      </c>
      <c r="AF573" s="169">
        <f t="shared" si="337"/>
        <v>0</v>
      </c>
      <c r="AG573" s="169">
        <f t="shared" si="337"/>
        <v>0</v>
      </c>
      <c r="AH573" s="169">
        <f t="shared" si="337"/>
        <v>0</v>
      </c>
      <c r="AI573" s="169">
        <f t="shared" si="337"/>
        <v>0</v>
      </c>
      <c r="AJ573" s="169">
        <f t="shared" si="337"/>
        <v>0</v>
      </c>
      <c r="AK573" s="169">
        <f t="shared" si="337"/>
        <v>0</v>
      </c>
      <c r="AL573" s="169">
        <f t="shared" si="337"/>
        <v>0</v>
      </c>
      <c r="AM573" s="169">
        <f t="shared" si="337"/>
        <v>0</v>
      </c>
      <c r="AN573" s="169">
        <f t="shared" si="337"/>
        <v>0</v>
      </c>
      <c r="AO573" s="169">
        <f t="shared" si="337"/>
        <v>0</v>
      </c>
      <c r="AP573" s="169">
        <f t="shared" si="337"/>
        <v>0</v>
      </c>
    </row>
    <row r="574" spans="1:42" x14ac:dyDescent="0.2">
      <c r="A574" s="20">
        <f t="shared" si="335"/>
        <v>5</v>
      </c>
      <c r="B574" s="179">
        <f t="shared" si="332"/>
        <v>0</v>
      </c>
      <c r="C574" s="208">
        <f t="shared" ref="C574:AP574" si="338">LOOKUP(C562,$B$501:$AP$501,$B$502:$AP$502)*$B724</f>
        <v>0</v>
      </c>
      <c r="D574" s="169">
        <f t="shared" si="338"/>
        <v>0</v>
      </c>
      <c r="E574" s="169">
        <f t="shared" si="338"/>
        <v>0</v>
      </c>
      <c r="F574" s="169">
        <f t="shared" si="338"/>
        <v>0</v>
      </c>
      <c r="G574" s="169">
        <f t="shared" si="338"/>
        <v>0</v>
      </c>
      <c r="H574" s="169">
        <f t="shared" si="338"/>
        <v>0</v>
      </c>
      <c r="I574" s="169">
        <f t="shared" si="338"/>
        <v>0</v>
      </c>
      <c r="J574" s="169">
        <f t="shared" si="338"/>
        <v>0</v>
      </c>
      <c r="K574" s="169">
        <f t="shared" si="338"/>
        <v>0</v>
      </c>
      <c r="L574" s="169">
        <f t="shared" si="338"/>
        <v>0</v>
      </c>
      <c r="M574" s="169">
        <f t="shared" si="338"/>
        <v>0</v>
      </c>
      <c r="N574" s="169">
        <f t="shared" si="338"/>
        <v>0</v>
      </c>
      <c r="O574" s="169">
        <f t="shared" si="338"/>
        <v>0</v>
      </c>
      <c r="P574" s="169">
        <f t="shared" si="338"/>
        <v>0</v>
      </c>
      <c r="Q574" s="169">
        <f t="shared" si="338"/>
        <v>0</v>
      </c>
      <c r="R574" s="169">
        <f t="shared" si="338"/>
        <v>0</v>
      </c>
      <c r="S574" s="169">
        <f t="shared" si="338"/>
        <v>0</v>
      </c>
      <c r="T574" s="169">
        <f t="shared" si="338"/>
        <v>0</v>
      </c>
      <c r="U574" s="169">
        <f t="shared" si="338"/>
        <v>0</v>
      </c>
      <c r="V574" s="169">
        <f t="shared" si="338"/>
        <v>0</v>
      </c>
      <c r="W574" s="169">
        <f t="shared" si="338"/>
        <v>0</v>
      </c>
      <c r="X574" s="169">
        <f t="shared" si="338"/>
        <v>0</v>
      </c>
      <c r="Y574" s="169">
        <f t="shared" si="338"/>
        <v>0</v>
      </c>
      <c r="Z574" s="169">
        <f t="shared" si="338"/>
        <v>0</v>
      </c>
      <c r="AA574" s="169">
        <f t="shared" si="338"/>
        <v>0</v>
      </c>
      <c r="AB574" s="169">
        <f t="shared" si="338"/>
        <v>0</v>
      </c>
      <c r="AC574" s="169">
        <f t="shared" si="338"/>
        <v>0</v>
      </c>
      <c r="AD574" s="169">
        <f t="shared" si="338"/>
        <v>0</v>
      </c>
      <c r="AE574" s="169">
        <f t="shared" si="338"/>
        <v>0</v>
      </c>
      <c r="AF574" s="169">
        <f t="shared" si="338"/>
        <v>0</v>
      </c>
      <c r="AG574" s="169">
        <f t="shared" si="338"/>
        <v>0</v>
      </c>
      <c r="AH574" s="169">
        <f t="shared" si="338"/>
        <v>0</v>
      </c>
      <c r="AI574" s="169">
        <f t="shared" si="338"/>
        <v>0</v>
      </c>
      <c r="AJ574" s="169">
        <f t="shared" si="338"/>
        <v>0</v>
      </c>
      <c r="AK574" s="169">
        <f t="shared" si="338"/>
        <v>0</v>
      </c>
      <c r="AL574" s="169">
        <f t="shared" si="338"/>
        <v>0</v>
      </c>
      <c r="AM574" s="169">
        <f t="shared" si="338"/>
        <v>0</v>
      </c>
      <c r="AN574" s="169">
        <f t="shared" si="338"/>
        <v>0</v>
      </c>
      <c r="AO574" s="169">
        <f t="shared" si="338"/>
        <v>0</v>
      </c>
      <c r="AP574" s="169">
        <f t="shared" si="338"/>
        <v>0</v>
      </c>
    </row>
    <row r="575" spans="1:42" x14ac:dyDescent="0.2">
      <c r="A575" s="20">
        <f t="shared" si="335"/>
        <v>6</v>
      </c>
      <c r="B575" s="179">
        <f t="shared" si="332"/>
        <v>0</v>
      </c>
      <c r="C575" s="208">
        <f t="shared" ref="C575:AP575" si="339">LOOKUP(C563,$B$501:$AP$501,$B$502:$AP$502)*$B725</f>
        <v>0</v>
      </c>
      <c r="D575" s="169">
        <f t="shared" si="339"/>
        <v>0</v>
      </c>
      <c r="E575" s="169">
        <f t="shared" si="339"/>
        <v>0</v>
      </c>
      <c r="F575" s="169">
        <f t="shared" si="339"/>
        <v>0</v>
      </c>
      <c r="G575" s="169">
        <f t="shared" si="339"/>
        <v>0</v>
      </c>
      <c r="H575" s="169">
        <f t="shared" si="339"/>
        <v>0</v>
      </c>
      <c r="I575" s="169">
        <f t="shared" si="339"/>
        <v>0</v>
      </c>
      <c r="J575" s="169">
        <f t="shared" si="339"/>
        <v>0</v>
      </c>
      <c r="K575" s="169">
        <f t="shared" si="339"/>
        <v>0</v>
      </c>
      <c r="L575" s="169">
        <f t="shared" si="339"/>
        <v>0</v>
      </c>
      <c r="M575" s="169">
        <f t="shared" si="339"/>
        <v>0</v>
      </c>
      <c r="N575" s="169">
        <f t="shared" si="339"/>
        <v>0</v>
      </c>
      <c r="O575" s="169">
        <f t="shared" si="339"/>
        <v>0</v>
      </c>
      <c r="P575" s="169">
        <f t="shared" si="339"/>
        <v>0</v>
      </c>
      <c r="Q575" s="169">
        <f t="shared" si="339"/>
        <v>0</v>
      </c>
      <c r="R575" s="169">
        <f t="shared" si="339"/>
        <v>0</v>
      </c>
      <c r="S575" s="169">
        <f t="shared" si="339"/>
        <v>0</v>
      </c>
      <c r="T575" s="169">
        <f t="shared" si="339"/>
        <v>0</v>
      </c>
      <c r="U575" s="169">
        <f t="shared" si="339"/>
        <v>0</v>
      </c>
      <c r="V575" s="169">
        <f t="shared" si="339"/>
        <v>0</v>
      </c>
      <c r="W575" s="169">
        <f t="shared" si="339"/>
        <v>0</v>
      </c>
      <c r="X575" s="169">
        <f t="shared" si="339"/>
        <v>0</v>
      </c>
      <c r="Y575" s="169">
        <f t="shared" si="339"/>
        <v>0</v>
      </c>
      <c r="Z575" s="169">
        <f t="shared" si="339"/>
        <v>0</v>
      </c>
      <c r="AA575" s="169">
        <f t="shared" si="339"/>
        <v>0</v>
      </c>
      <c r="AB575" s="169">
        <f t="shared" si="339"/>
        <v>0</v>
      </c>
      <c r="AC575" s="169">
        <f t="shared" si="339"/>
        <v>0</v>
      </c>
      <c r="AD575" s="169">
        <f t="shared" si="339"/>
        <v>0</v>
      </c>
      <c r="AE575" s="169">
        <f t="shared" si="339"/>
        <v>0</v>
      </c>
      <c r="AF575" s="169">
        <f t="shared" si="339"/>
        <v>0</v>
      </c>
      <c r="AG575" s="169">
        <f t="shared" si="339"/>
        <v>0</v>
      </c>
      <c r="AH575" s="169">
        <f t="shared" si="339"/>
        <v>0</v>
      </c>
      <c r="AI575" s="169">
        <f t="shared" si="339"/>
        <v>0</v>
      </c>
      <c r="AJ575" s="169">
        <f t="shared" si="339"/>
        <v>0</v>
      </c>
      <c r="AK575" s="169">
        <f t="shared" si="339"/>
        <v>0</v>
      </c>
      <c r="AL575" s="169">
        <f t="shared" si="339"/>
        <v>0</v>
      </c>
      <c r="AM575" s="169">
        <f t="shared" si="339"/>
        <v>0</v>
      </c>
      <c r="AN575" s="169">
        <f t="shared" si="339"/>
        <v>0</v>
      </c>
      <c r="AO575" s="169">
        <f t="shared" si="339"/>
        <v>0</v>
      </c>
      <c r="AP575" s="169">
        <f t="shared" si="339"/>
        <v>0</v>
      </c>
    </row>
    <row r="576" spans="1:42" x14ac:dyDescent="0.2">
      <c r="A576" s="20">
        <f t="shared" si="335"/>
        <v>7</v>
      </c>
      <c r="B576" s="179">
        <f t="shared" si="332"/>
        <v>0</v>
      </c>
      <c r="C576" s="208">
        <f t="shared" ref="C576:AP576" si="340">LOOKUP(C564,$B$501:$AP$501,$B$502:$AP$502)*$B726</f>
        <v>0</v>
      </c>
      <c r="D576" s="169">
        <f t="shared" si="340"/>
        <v>0</v>
      </c>
      <c r="E576" s="169">
        <f t="shared" si="340"/>
        <v>0</v>
      </c>
      <c r="F576" s="169">
        <f t="shared" si="340"/>
        <v>0</v>
      </c>
      <c r="G576" s="169">
        <f t="shared" si="340"/>
        <v>0</v>
      </c>
      <c r="H576" s="169">
        <f t="shared" si="340"/>
        <v>0</v>
      </c>
      <c r="I576" s="169">
        <f t="shared" si="340"/>
        <v>0</v>
      </c>
      <c r="J576" s="169">
        <f t="shared" si="340"/>
        <v>0</v>
      </c>
      <c r="K576" s="169">
        <f t="shared" si="340"/>
        <v>0</v>
      </c>
      <c r="L576" s="169">
        <f t="shared" si="340"/>
        <v>0</v>
      </c>
      <c r="M576" s="169">
        <f t="shared" si="340"/>
        <v>0</v>
      </c>
      <c r="N576" s="169">
        <f t="shared" si="340"/>
        <v>0</v>
      </c>
      <c r="O576" s="169">
        <f t="shared" si="340"/>
        <v>0</v>
      </c>
      <c r="P576" s="169">
        <f t="shared" si="340"/>
        <v>0</v>
      </c>
      <c r="Q576" s="169">
        <f t="shared" si="340"/>
        <v>0</v>
      </c>
      <c r="R576" s="169">
        <f t="shared" si="340"/>
        <v>0</v>
      </c>
      <c r="S576" s="169">
        <f t="shared" si="340"/>
        <v>0</v>
      </c>
      <c r="T576" s="169">
        <f t="shared" si="340"/>
        <v>0</v>
      </c>
      <c r="U576" s="169">
        <f t="shared" si="340"/>
        <v>0</v>
      </c>
      <c r="V576" s="169">
        <f t="shared" si="340"/>
        <v>0</v>
      </c>
      <c r="W576" s="169">
        <f t="shared" si="340"/>
        <v>0</v>
      </c>
      <c r="X576" s="169">
        <f t="shared" si="340"/>
        <v>0</v>
      </c>
      <c r="Y576" s="169">
        <f t="shared" si="340"/>
        <v>0</v>
      </c>
      <c r="Z576" s="169">
        <f t="shared" si="340"/>
        <v>0</v>
      </c>
      <c r="AA576" s="169">
        <f t="shared" si="340"/>
        <v>0</v>
      </c>
      <c r="AB576" s="169">
        <f t="shared" si="340"/>
        <v>0</v>
      </c>
      <c r="AC576" s="169">
        <f t="shared" si="340"/>
        <v>0</v>
      </c>
      <c r="AD576" s="169">
        <f t="shared" si="340"/>
        <v>0</v>
      </c>
      <c r="AE576" s="169">
        <f t="shared" si="340"/>
        <v>0</v>
      </c>
      <c r="AF576" s="169">
        <f t="shared" si="340"/>
        <v>0</v>
      </c>
      <c r="AG576" s="169">
        <f t="shared" si="340"/>
        <v>0</v>
      </c>
      <c r="AH576" s="169">
        <f t="shared" si="340"/>
        <v>0</v>
      </c>
      <c r="AI576" s="169">
        <f t="shared" si="340"/>
        <v>0</v>
      </c>
      <c r="AJ576" s="169">
        <f t="shared" si="340"/>
        <v>0</v>
      </c>
      <c r="AK576" s="169">
        <f t="shared" si="340"/>
        <v>0</v>
      </c>
      <c r="AL576" s="169">
        <f t="shared" si="340"/>
        <v>0</v>
      </c>
      <c r="AM576" s="169">
        <f t="shared" si="340"/>
        <v>0</v>
      </c>
      <c r="AN576" s="169">
        <f t="shared" si="340"/>
        <v>0</v>
      </c>
      <c r="AO576" s="169">
        <f t="shared" si="340"/>
        <v>0</v>
      </c>
      <c r="AP576" s="169">
        <f t="shared" si="340"/>
        <v>0</v>
      </c>
    </row>
    <row r="577" spans="1:42" x14ac:dyDescent="0.2">
      <c r="A577" s="20">
        <f t="shared" si="335"/>
        <v>8</v>
      </c>
      <c r="B577" s="179">
        <f t="shared" si="332"/>
        <v>0</v>
      </c>
      <c r="C577" s="208">
        <f t="shared" ref="C577:AP577" si="341">LOOKUP(C565,$B$501:$AP$501,$B$502:$AP$502)*$B727</f>
        <v>0</v>
      </c>
      <c r="D577" s="169">
        <f t="shared" si="341"/>
        <v>0</v>
      </c>
      <c r="E577" s="169">
        <f t="shared" si="341"/>
        <v>0</v>
      </c>
      <c r="F577" s="169">
        <f t="shared" si="341"/>
        <v>0</v>
      </c>
      <c r="G577" s="169">
        <f t="shared" si="341"/>
        <v>0</v>
      </c>
      <c r="H577" s="169">
        <f t="shared" si="341"/>
        <v>0</v>
      </c>
      <c r="I577" s="169">
        <f t="shared" si="341"/>
        <v>0</v>
      </c>
      <c r="J577" s="169">
        <f t="shared" si="341"/>
        <v>0</v>
      </c>
      <c r="K577" s="169">
        <f t="shared" si="341"/>
        <v>0</v>
      </c>
      <c r="L577" s="169">
        <f t="shared" si="341"/>
        <v>0</v>
      </c>
      <c r="M577" s="169">
        <f t="shared" si="341"/>
        <v>0</v>
      </c>
      <c r="N577" s="169">
        <f t="shared" si="341"/>
        <v>0</v>
      </c>
      <c r="O577" s="169">
        <f t="shared" si="341"/>
        <v>0</v>
      </c>
      <c r="P577" s="169">
        <f t="shared" si="341"/>
        <v>0</v>
      </c>
      <c r="Q577" s="169">
        <f t="shared" si="341"/>
        <v>0</v>
      </c>
      <c r="R577" s="169">
        <f t="shared" si="341"/>
        <v>0</v>
      </c>
      <c r="S577" s="169">
        <f t="shared" si="341"/>
        <v>0</v>
      </c>
      <c r="T577" s="169">
        <f t="shared" si="341"/>
        <v>0</v>
      </c>
      <c r="U577" s="169">
        <f t="shared" si="341"/>
        <v>0</v>
      </c>
      <c r="V577" s="169">
        <f t="shared" si="341"/>
        <v>0</v>
      </c>
      <c r="W577" s="169">
        <f t="shared" si="341"/>
        <v>0</v>
      </c>
      <c r="X577" s="169">
        <f t="shared" si="341"/>
        <v>0</v>
      </c>
      <c r="Y577" s="169">
        <f t="shared" si="341"/>
        <v>0</v>
      </c>
      <c r="Z577" s="169">
        <f t="shared" si="341"/>
        <v>0</v>
      </c>
      <c r="AA577" s="169">
        <f t="shared" si="341"/>
        <v>0</v>
      </c>
      <c r="AB577" s="169">
        <f t="shared" si="341"/>
        <v>0</v>
      </c>
      <c r="AC577" s="169">
        <f t="shared" si="341"/>
        <v>0</v>
      </c>
      <c r="AD577" s="169">
        <f t="shared" si="341"/>
        <v>0</v>
      </c>
      <c r="AE577" s="169">
        <f t="shared" si="341"/>
        <v>0</v>
      </c>
      <c r="AF577" s="169">
        <f t="shared" si="341"/>
        <v>0</v>
      </c>
      <c r="AG577" s="169">
        <f t="shared" si="341"/>
        <v>0</v>
      </c>
      <c r="AH577" s="169">
        <f t="shared" si="341"/>
        <v>0</v>
      </c>
      <c r="AI577" s="169">
        <f t="shared" si="341"/>
        <v>0</v>
      </c>
      <c r="AJ577" s="169">
        <f t="shared" si="341"/>
        <v>0</v>
      </c>
      <c r="AK577" s="169">
        <f t="shared" si="341"/>
        <v>0</v>
      </c>
      <c r="AL577" s="169">
        <f t="shared" si="341"/>
        <v>0</v>
      </c>
      <c r="AM577" s="169">
        <f t="shared" si="341"/>
        <v>0</v>
      </c>
      <c r="AN577" s="169">
        <f t="shared" si="341"/>
        <v>0</v>
      </c>
      <c r="AO577" s="169">
        <f t="shared" si="341"/>
        <v>0</v>
      </c>
      <c r="AP577" s="169">
        <f t="shared" si="341"/>
        <v>0</v>
      </c>
    </row>
    <row r="578" spans="1:42" x14ac:dyDescent="0.2">
      <c r="A578" s="20">
        <f>A577+1</f>
        <v>9</v>
      </c>
      <c r="B578" s="179">
        <f t="shared" si="332"/>
        <v>0</v>
      </c>
      <c r="C578" s="208">
        <f t="shared" ref="C578:AP578" si="342">LOOKUP(C566,$B$501:$AP$501,$B$502:$AP$502)*$B728</f>
        <v>0</v>
      </c>
      <c r="D578" s="169">
        <f t="shared" si="342"/>
        <v>0</v>
      </c>
      <c r="E578" s="169">
        <f t="shared" si="342"/>
        <v>0</v>
      </c>
      <c r="F578" s="169">
        <f t="shared" si="342"/>
        <v>0</v>
      </c>
      <c r="G578" s="169">
        <f t="shared" si="342"/>
        <v>0</v>
      </c>
      <c r="H578" s="169">
        <f t="shared" si="342"/>
        <v>0</v>
      </c>
      <c r="I578" s="169">
        <f t="shared" si="342"/>
        <v>0</v>
      </c>
      <c r="J578" s="169">
        <f t="shared" si="342"/>
        <v>0</v>
      </c>
      <c r="K578" s="169">
        <f t="shared" si="342"/>
        <v>0</v>
      </c>
      <c r="L578" s="169">
        <f t="shared" si="342"/>
        <v>0</v>
      </c>
      <c r="M578" s="169">
        <f t="shared" si="342"/>
        <v>0</v>
      </c>
      <c r="N578" s="169">
        <f t="shared" si="342"/>
        <v>0</v>
      </c>
      <c r="O578" s="169">
        <f t="shared" si="342"/>
        <v>0</v>
      </c>
      <c r="P578" s="169">
        <f t="shared" si="342"/>
        <v>0</v>
      </c>
      <c r="Q578" s="169">
        <f t="shared" si="342"/>
        <v>0</v>
      </c>
      <c r="R578" s="169">
        <f t="shared" si="342"/>
        <v>0</v>
      </c>
      <c r="S578" s="169">
        <f t="shared" si="342"/>
        <v>0</v>
      </c>
      <c r="T578" s="169">
        <f t="shared" si="342"/>
        <v>0</v>
      </c>
      <c r="U578" s="169">
        <f t="shared" si="342"/>
        <v>0</v>
      </c>
      <c r="V578" s="169">
        <f t="shared" si="342"/>
        <v>0</v>
      </c>
      <c r="W578" s="169">
        <f t="shared" si="342"/>
        <v>0</v>
      </c>
      <c r="X578" s="169">
        <f t="shared" si="342"/>
        <v>0</v>
      </c>
      <c r="Y578" s="169">
        <f t="shared" si="342"/>
        <v>0</v>
      </c>
      <c r="Z578" s="169">
        <f t="shared" si="342"/>
        <v>0</v>
      </c>
      <c r="AA578" s="169">
        <f t="shared" si="342"/>
        <v>0</v>
      </c>
      <c r="AB578" s="169">
        <f t="shared" si="342"/>
        <v>0</v>
      </c>
      <c r="AC578" s="169">
        <f t="shared" si="342"/>
        <v>0</v>
      </c>
      <c r="AD578" s="169">
        <f t="shared" si="342"/>
        <v>0</v>
      </c>
      <c r="AE578" s="169">
        <f t="shared" si="342"/>
        <v>0</v>
      </c>
      <c r="AF578" s="169">
        <f t="shared" si="342"/>
        <v>0</v>
      </c>
      <c r="AG578" s="169">
        <f t="shared" si="342"/>
        <v>0</v>
      </c>
      <c r="AH578" s="169">
        <f t="shared" si="342"/>
        <v>0</v>
      </c>
      <c r="AI578" s="169">
        <f t="shared" si="342"/>
        <v>0</v>
      </c>
      <c r="AJ578" s="169">
        <f t="shared" si="342"/>
        <v>0</v>
      </c>
      <c r="AK578" s="169">
        <f t="shared" si="342"/>
        <v>0</v>
      </c>
      <c r="AL578" s="169">
        <f t="shared" si="342"/>
        <v>0</v>
      </c>
      <c r="AM578" s="169">
        <f t="shared" si="342"/>
        <v>0</v>
      </c>
      <c r="AN578" s="169">
        <f t="shared" si="342"/>
        <v>0</v>
      </c>
      <c r="AO578" s="169">
        <f t="shared" si="342"/>
        <v>0</v>
      </c>
      <c r="AP578" s="169">
        <f t="shared" si="342"/>
        <v>0</v>
      </c>
    </row>
    <row r="579" spans="1:42" x14ac:dyDescent="0.2">
      <c r="A579" s="20">
        <f t="shared" ref="A579" si="343">A578+1</f>
        <v>10</v>
      </c>
      <c r="B579" s="179">
        <f t="shared" si="332"/>
        <v>0</v>
      </c>
      <c r="C579" s="204">
        <f t="shared" ref="C579:AP579" si="344">LOOKUP(C567,$B$501:$AP$501,$B$502:$AP$502)*$B729</f>
        <v>0</v>
      </c>
      <c r="D579" s="170">
        <f t="shared" si="344"/>
        <v>0</v>
      </c>
      <c r="E579" s="170">
        <f t="shared" si="344"/>
        <v>0</v>
      </c>
      <c r="F579" s="170">
        <f t="shared" si="344"/>
        <v>0</v>
      </c>
      <c r="G579" s="170">
        <f t="shared" si="344"/>
        <v>0</v>
      </c>
      <c r="H579" s="170">
        <f t="shared" si="344"/>
        <v>0</v>
      </c>
      <c r="I579" s="170">
        <f t="shared" si="344"/>
        <v>0</v>
      </c>
      <c r="J579" s="170">
        <f t="shared" si="344"/>
        <v>0</v>
      </c>
      <c r="K579" s="170">
        <f t="shared" si="344"/>
        <v>0</v>
      </c>
      <c r="L579" s="170">
        <f t="shared" si="344"/>
        <v>0</v>
      </c>
      <c r="M579" s="170">
        <f t="shared" si="344"/>
        <v>0</v>
      </c>
      <c r="N579" s="170">
        <f t="shared" si="344"/>
        <v>0</v>
      </c>
      <c r="O579" s="170">
        <f t="shared" si="344"/>
        <v>0</v>
      </c>
      <c r="P579" s="170">
        <f t="shared" si="344"/>
        <v>0</v>
      </c>
      <c r="Q579" s="170">
        <f t="shared" si="344"/>
        <v>0</v>
      </c>
      <c r="R579" s="170">
        <f t="shared" si="344"/>
        <v>0</v>
      </c>
      <c r="S579" s="170">
        <f t="shared" si="344"/>
        <v>0</v>
      </c>
      <c r="T579" s="170">
        <f t="shared" si="344"/>
        <v>0</v>
      </c>
      <c r="U579" s="170">
        <f t="shared" si="344"/>
        <v>0</v>
      </c>
      <c r="V579" s="170">
        <f t="shared" si="344"/>
        <v>0</v>
      </c>
      <c r="W579" s="170">
        <f t="shared" si="344"/>
        <v>0</v>
      </c>
      <c r="X579" s="170">
        <f t="shared" si="344"/>
        <v>0</v>
      </c>
      <c r="Y579" s="170">
        <f t="shared" si="344"/>
        <v>0</v>
      </c>
      <c r="Z579" s="170">
        <f t="shared" si="344"/>
        <v>0</v>
      </c>
      <c r="AA579" s="170">
        <f t="shared" si="344"/>
        <v>0</v>
      </c>
      <c r="AB579" s="170">
        <f t="shared" si="344"/>
        <v>0</v>
      </c>
      <c r="AC579" s="170">
        <f t="shared" si="344"/>
        <v>0</v>
      </c>
      <c r="AD579" s="170">
        <f t="shared" si="344"/>
        <v>0</v>
      </c>
      <c r="AE579" s="170">
        <f t="shared" si="344"/>
        <v>0</v>
      </c>
      <c r="AF579" s="170">
        <f t="shared" si="344"/>
        <v>0</v>
      </c>
      <c r="AG579" s="170">
        <f t="shared" si="344"/>
        <v>0</v>
      </c>
      <c r="AH579" s="170">
        <f t="shared" si="344"/>
        <v>0</v>
      </c>
      <c r="AI579" s="170">
        <f t="shared" si="344"/>
        <v>0</v>
      </c>
      <c r="AJ579" s="170">
        <f t="shared" si="344"/>
        <v>0</v>
      </c>
      <c r="AK579" s="170">
        <f t="shared" si="344"/>
        <v>0</v>
      </c>
      <c r="AL579" s="170">
        <f t="shared" si="344"/>
        <v>0</v>
      </c>
      <c r="AM579" s="170">
        <f t="shared" si="344"/>
        <v>0</v>
      </c>
      <c r="AN579" s="170">
        <f t="shared" si="344"/>
        <v>0</v>
      </c>
      <c r="AO579" s="170">
        <f t="shared" si="344"/>
        <v>0</v>
      </c>
      <c r="AP579" s="170">
        <f t="shared" si="344"/>
        <v>0</v>
      </c>
    </row>
    <row r="580" spans="1:42" s="101" customFormat="1" x14ac:dyDescent="0.2">
      <c r="A580" s="205" t="s">
        <v>53</v>
      </c>
      <c r="B580" s="124"/>
      <c r="C580" s="124">
        <f>SUM(C570:C579)</f>
        <v>0</v>
      </c>
      <c r="D580" s="124">
        <f t="shared" ref="D580:AP580" si="345">SUM(D570:D579)</f>
        <v>0</v>
      </c>
      <c r="E580" s="124">
        <f t="shared" si="345"/>
        <v>0</v>
      </c>
      <c r="F580" s="124">
        <f t="shared" si="345"/>
        <v>0</v>
      </c>
      <c r="G580" s="124">
        <f t="shared" si="345"/>
        <v>0</v>
      </c>
      <c r="H580" s="124">
        <f t="shared" si="345"/>
        <v>0</v>
      </c>
      <c r="I580" s="124">
        <f t="shared" si="345"/>
        <v>0</v>
      </c>
      <c r="J580" s="124">
        <f t="shared" si="345"/>
        <v>0</v>
      </c>
      <c r="K580" s="124">
        <f t="shared" si="345"/>
        <v>0</v>
      </c>
      <c r="L580" s="124">
        <f t="shared" si="345"/>
        <v>0</v>
      </c>
      <c r="M580" s="124">
        <f t="shared" si="345"/>
        <v>0</v>
      </c>
      <c r="N580" s="124">
        <f t="shared" si="345"/>
        <v>0</v>
      </c>
      <c r="O580" s="124">
        <f t="shared" si="345"/>
        <v>0</v>
      </c>
      <c r="P580" s="124">
        <f t="shared" si="345"/>
        <v>0</v>
      </c>
      <c r="Q580" s="124">
        <f t="shared" si="345"/>
        <v>0</v>
      </c>
      <c r="R580" s="124">
        <f t="shared" si="345"/>
        <v>0</v>
      </c>
      <c r="S580" s="124">
        <f t="shared" si="345"/>
        <v>0</v>
      </c>
      <c r="T580" s="124">
        <f t="shared" si="345"/>
        <v>0</v>
      </c>
      <c r="U580" s="124">
        <f t="shared" si="345"/>
        <v>0</v>
      </c>
      <c r="V580" s="124">
        <f t="shared" si="345"/>
        <v>0</v>
      </c>
      <c r="W580" s="124">
        <f t="shared" si="345"/>
        <v>0</v>
      </c>
      <c r="X580" s="124">
        <f t="shared" si="345"/>
        <v>0</v>
      </c>
      <c r="Y580" s="124">
        <f t="shared" si="345"/>
        <v>0</v>
      </c>
      <c r="Z580" s="124">
        <f t="shared" si="345"/>
        <v>0</v>
      </c>
      <c r="AA580" s="124">
        <f t="shared" si="345"/>
        <v>0</v>
      </c>
      <c r="AB580" s="124">
        <f t="shared" si="345"/>
        <v>0</v>
      </c>
      <c r="AC580" s="124">
        <f t="shared" si="345"/>
        <v>0</v>
      </c>
      <c r="AD580" s="124">
        <f t="shared" si="345"/>
        <v>0</v>
      </c>
      <c r="AE580" s="124">
        <f t="shared" si="345"/>
        <v>0</v>
      </c>
      <c r="AF580" s="124">
        <f t="shared" si="345"/>
        <v>0</v>
      </c>
      <c r="AG580" s="124">
        <f t="shared" si="345"/>
        <v>0</v>
      </c>
      <c r="AH580" s="124">
        <f t="shared" si="345"/>
        <v>0</v>
      </c>
      <c r="AI580" s="124">
        <f t="shared" si="345"/>
        <v>0</v>
      </c>
      <c r="AJ580" s="124">
        <f t="shared" si="345"/>
        <v>0</v>
      </c>
      <c r="AK580" s="124">
        <f t="shared" si="345"/>
        <v>0</v>
      </c>
      <c r="AL580" s="124">
        <f t="shared" si="345"/>
        <v>0</v>
      </c>
      <c r="AM580" s="124">
        <f t="shared" si="345"/>
        <v>0</v>
      </c>
      <c r="AN580" s="124">
        <f t="shared" si="345"/>
        <v>0</v>
      </c>
      <c r="AO580" s="124">
        <f t="shared" si="345"/>
        <v>0</v>
      </c>
      <c r="AP580" s="124">
        <f t="shared" si="345"/>
        <v>0</v>
      </c>
    </row>
    <row r="581" spans="1:42" s="101" customFormat="1" x14ac:dyDescent="0.2">
      <c r="A581" s="205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</row>
    <row r="582" spans="1:42" s="101" customFormat="1" x14ac:dyDescent="0.2">
      <c r="A582" s="162" t="s">
        <v>158</v>
      </c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</row>
    <row r="583" spans="1:42" s="101" customFormat="1" x14ac:dyDescent="0.2">
      <c r="A583" s="180" t="s">
        <v>37</v>
      </c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</row>
    <row r="584" spans="1:42" s="101" customFormat="1" x14ac:dyDescent="0.2">
      <c r="A584" s="187" t="s">
        <v>159</v>
      </c>
      <c r="C584" s="215">
        <f t="shared" ref="C584:AP584" si="346">IF(C$2&lt;=StatePTCTerm,StatePTCAmount*(1+Inflation)^B$2,0)</f>
        <v>0</v>
      </c>
      <c r="D584" s="215">
        <f t="shared" si="346"/>
        <v>0</v>
      </c>
      <c r="E584" s="215">
        <f t="shared" si="346"/>
        <v>0</v>
      </c>
      <c r="F584" s="215">
        <f t="shared" si="346"/>
        <v>0</v>
      </c>
      <c r="G584" s="215">
        <f t="shared" si="346"/>
        <v>0</v>
      </c>
      <c r="H584" s="215">
        <f t="shared" si="346"/>
        <v>0</v>
      </c>
      <c r="I584" s="215">
        <f t="shared" si="346"/>
        <v>0</v>
      </c>
      <c r="J584" s="215">
        <f t="shared" si="346"/>
        <v>0</v>
      </c>
      <c r="K584" s="215">
        <f t="shared" si="346"/>
        <v>0</v>
      </c>
      <c r="L584" s="215">
        <f t="shared" si="346"/>
        <v>0</v>
      </c>
      <c r="M584" s="215">
        <f t="shared" si="346"/>
        <v>0</v>
      </c>
      <c r="N584" s="215">
        <f t="shared" si="346"/>
        <v>0</v>
      </c>
      <c r="O584" s="215">
        <f t="shared" si="346"/>
        <v>0</v>
      </c>
      <c r="P584" s="215">
        <f t="shared" si="346"/>
        <v>0</v>
      </c>
      <c r="Q584" s="215">
        <f t="shared" si="346"/>
        <v>0</v>
      </c>
      <c r="R584" s="215">
        <f t="shared" si="346"/>
        <v>0</v>
      </c>
      <c r="S584" s="215">
        <f t="shared" si="346"/>
        <v>0</v>
      </c>
      <c r="T584" s="215">
        <f t="shared" si="346"/>
        <v>0</v>
      </c>
      <c r="U584" s="215">
        <f t="shared" si="346"/>
        <v>0</v>
      </c>
      <c r="V584" s="215">
        <f t="shared" si="346"/>
        <v>0</v>
      </c>
      <c r="W584" s="215">
        <f t="shared" si="346"/>
        <v>0</v>
      </c>
      <c r="X584" s="215">
        <f t="shared" si="346"/>
        <v>0</v>
      </c>
      <c r="Y584" s="215">
        <f t="shared" si="346"/>
        <v>0</v>
      </c>
      <c r="Z584" s="215">
        <f t="shared" si="346"/>
        <v>0</v>
      </c>
      <c r="AA584" s="215">
        <f t="shared" si="346"/>
        <v>0</v>
      </c>
      <c r="AB584" s="215">
        <f t="shared" si="346"/>
        <v>0</v>
      </c>
      <c r="AC584" s="215">
        <f t="shared" si="346"/>
        <v>0</v>
      </c>
      <c r="AD584" s="215">
        <f t="shared" si="346"/>
        <v>0</v>
      </c>
      <c r="AE584" s="215">
        <f t="shared" si="346"/>
        <v>0</v>
      </c>
      <c r="AF584" s="215">
        <f t="shared" si="346"/>
        <v>0</v>
      </c>
      <c r="AG584" s="215">
        <f t="shared" si="346"/>
        <v>0</v>
      </c>
      <c r="AH584" s="215">
        <f t="shared" si="346"/>
        <v>0</v>
      </c>
      <c r="AI584" s="215">
        <f t="shared" si="346"/>
        <v>0</v>
      </c>
      <c r="AJ584" s="215">
        <f t="shared" si="346"/>
        <v>0</v>
      </c>
      <c r="AK584" s="215">
        <f t="shared" si="346"/>
        <v>0</v>
      </c>
      <c r="AL584" s="215">
        <f t="shared" si="346"/>
        <v>0</v>
      </c>
      <c r="AM584" s="215">
        <f t="shared" si="346"/>
        <v>0</v>
      </c>
      <c r="AN584" s="215">
        <f t="shared" si="346"/>
        <v>0</v>
      </c>
      <c r="AO584" s="215">
        <f t="shared" si="346"/>
        <v>0</v>
      </c>
      <c r="AP584" s="215">
        <f t="shared" si="346"/>
        <v>0</v>
      </c>
    </row>
    <row r="585" spans="1:42" s="101" customFormat="1" x14ac:dyDescent="0.2">
      <c r="A585" s="187" t="s">
        <v>160</v>
      </c>
      <c r="C585" s="216">
        <f>ROUND(C584*1000,0)</f>
        <v>0</v>
      </c>
      <c r="D585" s="216">
        <f>ROUND(D584*1000,0)</f>
        <v>0</v>
      </c>
      <c r="E585" s="216">
        <f t="shared" ref="E585:AP585" si="347">ROUND(E584*1000,0)</f>
        <v>0</v>
      </c>
      <c r="F585" s="216">
        <f t="shared" si="347"/>
        <v>0</v>
      </c>
      <c r="G585" s="216">
        <f t="shared" si="347"/>
        <v>0</v>
      </c>
      <c r="H585" s="216">
        <f t="shared" si="347"/>
        <v>0</v>
      </c>
      <c r="I585" s="216">
        <f t="shared" si="347"/>
        <v>0</v>
      </c>
      <c r="J585" s="216">
        <f t="shared" si="347"/>
        <v>0</v>
      </c>
      <c r="K585" s="216">
        <f t="shared" si="347"/>
        <v>0</v>
      </c>
      <c r="L585" s="216">
        <f t="shared" si="347"/>
        <v>0</v>
      </c>
      <c r="M585" s="216">
        <f t="shared" si="347"/>
        <v>0</v>
      </c>
      <c r="N585" s="216">
        <f t="shared" si="347"/>
        <v>0</v>
      </c>
      <c r="O585" s="216">
        <f t="shared" si="347"/>
        <v>0</v>
      </c>
      <c r="P585" s="216">
        <f t="shared" si="347"/>
        <v>0</v>
      </c>
      <c r="Q585" s="216">
        <f t="shared" si="347"/>
        <v>0</v>
      </c>
      <c r="R585" s="216">
        <f t="shared" si="347"/>
        <v>0</v>
      </c>
      <c r="S585" s="216">
        <f t="shared" si="347"/>
        <v>0</v>
      </c>
      <c r="T585" s="216">
        <f t="shared" si="347"/>
        <v>0</v>
      </c>
      <c r="U585" s="216">
        <f t="shared" si="347"/>
        <v>0</v>
      </c>
      <c r="V585" s="216">
        <f t="shared" si="347"/>
        <v>0</v>
      </c>
      <c r="W585" s="216">
        <f t="shared" si="347"/>
        <v>0</v>
      </c>
      <c r="X585" s="216">
        <f t="shared" si="347"/>
        <v>0</v>
      </c>
      <c r="Y585" s="216">
        <f t="shared" si="347"/>
        <v>0</v>
      </c>
      <c r="Z585" s="216">
        <f t="shared" si="347"/>
        <v>0</v>
      </c>
      <c r="AA585" s="216">
        <f t="shared" si="347"/>
        <v>0</v>
      </c>
      <c r="AB585" s="216">
        <f t="shared" si="347"/>
        <v>0</v>
      </c>
      <c r="AC585" s="216">
        <f t="shared" si="347"/>
        <v>0</v>
      </c>
      <c r="AD585" s="216">
        <f t="shared" si="347"/>
        <v>0</v>
      </c>
      <c r="AE585" s="216">
        <f t="shared" si="347"/>
        <v>0</v>
      </c>
      <c r="AF585" s="216">
        <f t="shared" si="347"/>
        <v>0</v>
      </c>
      <c r="AG585" s="216">
        <f t="shared" si="347"/>
        <v>0</v>
      </c>
      <c r="AH585" s="216">
        <f t="shared" si="347"/>
        <v>0</v>
      </c>
      <c r="AI585" s="216">
        <f t="shared" si="347"/>
        <v>0</v>
      </c>
      <c r="AJ585" s="216">
        <f t="shared" si="347"/>
        <v>0</v>
      </c>
      <c r="AK585" s="216">
        <f t="shared" si="347"/>
        <v>0</v>
      </c>
      <c r="AL585" s="216">
        <f t="shared" si="347"/>
        <v>0</v>
      </c>
      <c r="AM585" s="216">
        <f t="shared" si="347"/>
        <v>0</v>
      </c>
      <c r="AN585" s="216">
        <f t="shared" si="347"/>
        <v>0</v>
      </c>
      <c r="AO585" s="216">
        <f t="shared" si="347"/>
        <v>0</v>
      </c>
      <c r="AP585" s="216">
        <f t="shared" si="347"/>
        <v>0</v>
      </c>
    </row>
    <row r="586" spans="1:42" s="101" customFormat="1" x14ac:dyDescent="0.2">
      <c r="A586" s="187" t="s">
        <v>161</v>
      </c>
      <c r="C586" s="186">
        <f>C$5/1000</f>
        <v>16188.48</v>
      </c>
      <c r="D586" s="186">
        <f>D$5/1000</f>
        <v>16107.5376</v>
      </c>
      <c r="E586" s="186">
        <f t="shared" ref="E586:AP586" si="348">E$5/1000</f>
        <v>16026.999912000001</v>
      </c>
      <c r="F586" s="186">
        <f t="shared" si="348"/>
        <v>15946.86491244</v>
      </c>
      <c r="G586" s="186">
        <f t="shared" si="348"/>
        <v>15867.1305878778</v>
      </c>
      <c r="H586" s="186">
        <f t="shared" si="348"/>
        <v>15787.794934938413</v>
      </c>
      <c r="I586" s="186">
        <f t="shared" si="348"/>
        <v>15708.85596026372</v>
      </c>
      <c r="J586" s="186">
        <f t="shared" si="348"/>
        <v>15630.311680462401</v>
      </c>
      <c r="K586" s="186">
        <f t="shared" si="348"/>
        <v>15552.16012206009</v>
      </c>
      <c r="L586" s="186">
        <f t="shared" si="348"/>
        <v>15474.399321449788</v>
      </c>
      <c r="M586" s="186">
        <f t="shared" si="348"/>
        <v>15397.02732484254</v>
      </c>
      <c r="N586" s="186">
        <f t="shared" si="348"/>
        <v>15320.042188218327</v>
      </c>
      <c r="O586" s="186">
        <f t="shared" si="348"/>
        <v>15243.441977277236</v>
      </c>
      <c r="P586" s="186">
        <f t="shared" si="348"/>
        <v>15167.224767390851</v>
      </c>
      <c r="Q586" s="186">
        <f t="shared" si="348"/>
        <v>15091.388643553897</v>
      </c>
      <c r="R586" s="186">
        <f t="shared" si="348"/>
        <v>15015.931700336127</v>
      </c>
      <c r="S586" s="186">
        <f t="shared" si="348"/>
        <v>14940.852041834445</v>
      </c>
      <c r="T586" s="186">
        <f t="shared" si="348"/>
        <v>14866.147781625275</v>
      </c>
      <c r="U586" s="186">
        <f t="shared" si="348"/>
        <v>14791.817042717148</v>
      </c>
      <c r="V586" s="186">
        <f t="shared" si="348"/>
        <v>14717.85795750356</v>
      </c>
      <c r="W586" s="186">
        <f t="shared" si="348"/>
        <v>14644.268667716045</v>
      </c>
      <c r="X586" s="186">
        <f t="shared" si="348"/>
        <v>14571.047324377465</v>
      </c>
      <c r="Y586" s="186">
        <f t="shared" si="348"/>
        <v>14498.192087755579</v>
      </c>
      <c r="Z586" s="186">
        <f t="shared" si="348"/>
        <v>14425.701127316799</v>
      </c>
      <c r="AA586" s="186">
        <f t="shared" si="348"/>
        <v>14353.572621680216</v>
      </c>
      <c r="AB586" s="186">
        <f t="shared" si="348"/>
        <v>14281.804758571814</v>
      </c>
      <c r="AC586" s="186">
        <f t="shared" si="348"/>
        <v>14210.395734778956</v>
      </c>
      <c r="AD586" s="186">
        <f t="shared" si="348"/>
        <v>14139.34375610506</v>
      </c>
      <c r="AE586" s="186">
        <f t="shared" si="348"/>
        <v>14068.647037324537</v>
      </c>
      <c r="AF586" s="186">
        <f t="shared" si="348"/>
        <v>13998.303802137914</v>
      </c>
      <c r="AG586" s="186">
        <f t="shared" si="348"/>
        <v>13928.312283127225</v>
      </c>
      <c r="AH586" s="186">
        <f t="shared" si="348"/>
        <v>13858.670721711587</v>
      </c>
      <c r="AI586" s="186">
        <f t="shared" si="348"/>
        <v>13789.377368103029</v>
      </c>
      <c r="AJ586" s="186">
        <f t="shared" si="348"/>
        <v>13720.430481262514</v>
      </c>
      <c r="AK586" s="186">
        <f t="shared" si="348"/>
        <v>13651.828328856202</v>
      </c>
      <c r="AL586" s="186">
        <f t="shared" si="348"/>
        <v>13583.569187211922</v>
      </c>
      <c r="AM586" s="186">
        <f t="shared" si="348"/>
        <v>13515.651341275861</v>
      </c>
      <c r="AN586" s="186">
        <f t="shared" si="348"/>
        <v>13448.073084569483</v>
      </c>
      <c r="AO586" s="186">
        <f t="shared" si="348"/>
        <v>13380.832719146636</v>
      </c>
      <c r="AP586" s="186">
        <f t="shared" si="348"/>
        <v>13313.928555550903</v>
      </c>
    </row>
    <row r="587" spans="1:42" s="101" customFormat="1" x14ac:dyDescent="0.2">
      <c r="A587" s="187" t="s">
        <v>53</v>
      </c>
      <c r="C587" s="124">
        <f>C585*C586</f>
        <v>0</v>
      </c>
      <c r="D587" s="124">
        <f>D585*D586</f>
        <v>0</v>
      </c>
      <c r="E587" s="124">
        <f t="shared" ref="E587:AP587" si="349">E585*E586</f>
        <v>0</v>
      </c>
      <c r="F587" s="124">
        <f t="shared" si="349"/>
        <v>0</v>
      </c>
      <c r="G587" s="124">
        <f t="shared" si="349"/>
        <v>0</v>
      </c>
      <c r="H587" s="124">
        <f t="shared" si="349"/>
        <v>0</v>
      </c>
      <c r="I587" s="124">
        <f t="shared" si="349"/>
        <v>0</v>
      </c>
      <c r="J587" s="124">
        <f t="shared" si="349"/>
        <v>0</v>
      </c>
      <c r="K587" s="124">
        <f t="shared" si="349"/>
        <v>0</v>
      </c>
      <c r="L587" s="124">
        <f t="shared" si="349"/>
        <v>0</v>
      </c>
      <c r="M587" s="124">
        <f t="shared" si="349"/>
        <v>0</v>
      </c>
      <c r="N587" s="124">
        <f t="shared" si="349"/>
        <v>0</v>
      </c>
      <c r="O587" s="124">
        <f t="shared" si="349"/>
        <v>0</v>
      </c>
      <c r="P587" s="124">
        <f t="shared" si="349"/>
        <v>0</v>
      </c>
      <c r="Q587" s="124">
        <f t="shared" si="349"/>
        <v>0</v>
      </c>
      <c r="R587" s="124">
        <f t="shared" si="349"/>
        <v>0</v>
      </c>
      <c r="S587" s="124">
        <f t="shared" si="349"/>
        <v>0</v>
      </c>
      <c r="T587" s="124">
        <f t="shared" si="349"/>
        <v>0</v>
      </c>
      <c r="U587" s="124">
        <f t="shared" si="349"/>
        <v>0</v>
      </c>
      <c r="V587" s="124">
        <f t="shared" si="349"/>
        <v>0</v>
      </c>
      <c r="W587" s="124">
        <f t="shared" si="349"/>
        <v>0</v>
      </c>
      <c r="X587" s="124">
        <f t="shared" si="349"/>
        <v>0</v>
      </c>
      <c r="Y587" s="124">
        <f t="shared" si="349"/>
        <v>0</v>
      </c>
      <c r="Z587" s="124">
        <f t="shared" si="349"/>
        <v>0</v>
      </c>
      <c r="AA587" s="124">
        <f t="shared" si="349"/>
        <v>0</v>
      </c>
      <c r="AB587" s="124">
        <f t="shared" si="349"/>
        <v>0</v>
      </c>
      <c r="AC587" s="124">
        <f t="shared" si="349"/>
        <v>0</v>
      </c>
      <c r="AD587" s="124">
        <f t="shared" si="349"/>
        <v>0</v>
      </c>
      <c r="AE587" s="124">
        <f t="shared" si="349"/>
        <v>0</v>
      </c>
      <c r="AF587" s="124">
        <f t="shared" si="349"/>
        <v>0</v>
      </c>
      <c r="AG587" s="124">
        <f t="shared" si="349"/>
        <v>0</v>
      </c>
      <c r="AH587" s="124">
        <f t="shared" si="349"/>
        <v>0</v>
      </c>
      <c r="AI587" s="124">
        <f t="shared" si="349"/>
        <v>0</v>
      </c>
      <c r="AJ587" s="124">
        <f t="shared" si="349"/>
        <v>0</v>
      </c>
      <c r="AK587" s="124">
        <f t="shared" si="349"/>
        <v>0</v>
      </c>
      <c r="AL587" s="124">
        <f t="shared" si="349"/>
        <v>0</v>
      </c>
      <c r="AM587" s="124">
        <f t="shared" si="349"/>
        <v>0</v>
      </c>
      <c r="AN587" s="124">
        <f t="shared" si="349"/>
        <v>0</v>
      </c>
      <c r="AO587" s="124">
        <f t="shared" si="349"/>
        <v>0</v>
      </c>
      <c r="AP587" s="124">
        <f t="shared" si="349"/>
        <v>0</v>
      </c>
    </row>
    <row r="588" spans="1:42" s="101" customFormat="1" x14ac:dyDescent="0.2">
      <c r="A588" s="180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</row>
    <row r="589" spans="1:42" s="101" customFormat="1" x14ac:dyDescent="0.2">
      <c r="A589" s="180" t="s">
        <v>36</v>
      </c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</row>
    <row r="590" spans="1:42" s="101" customFormat="1" x14ac:dyDescent="0.2">
      <c r="A590" s="187" t="s">
        <v>159</v>
      </c>
      <c r="C590" s="215">
        <f t="shared" ref="C590:AP590" si="350">IF(C$2&lt;=FedPTCTerm,FedPTCAmount*(1+Inflation)^B$2,0)</f>
        <v>0</v>
      </c>
      <c r="D590" s="215">
        <f t="shared" si="350"/>
        <v>0</v>
      </c>
      <c r="E590" s="215">
        <f t="shared" si="350"/>
        <v>0</v>
      </c>
      <c r="F590" s="215">
        <f t="shared" si="350"/>
        <v>0</v>
      </c>
      <c r="G590" s="215">
        <f t="shared" si="350"/>
        <v>0</v>
      </c>
      <c r="H590" s="215">
        <f t="shared" si="350"/>
        <v>0</v>
      </c>
      <c r="I590" s="215">
        <f t="shared" si="350"/>
        <v>0</v>
      </c>
      <c r="J590" s="215">
        <f t="shared" si="350"/>
        <v>0</v>
      </c>
      <c r="K590" s="215">
        <f t="shared" si="350"/>
        <v>0</v>
      </c>
      <c r="L590" s="215">
        <f t="shared" si="350"/>
        <v>0</v>
      </c>
      <c r="M590" s="215">
        <f t="shared" si="350"/>
        <v>0</v>
      </c>
      <c r="N590" s="215">
        <f t="shared" si="350"/>
        <v>0</v>
      </c>
      <c r="O590" s="215">
        <f t="shared" si="350"/>
        <v>0</v>
      </c>
      <c r="P590" s="215">
        <f t="shared" si="350"/>
        <v>0</v>
      </c>
      <c r="Q590" s="215">
        <f t="shared" si="350"/>
        <v>0</v>
      </c>
      <c r="R590" s="215">
        <f t="shared" si="350"/>
        <v>0</v>
      </c>
      <c r="S590" s="215">
        <f t="shared" si="350"/>
        <v>0</v>
      </c>
      <c r="T590" s="215">
        <f t="shared" si="350"/>
        <v>0</v>
      </c>
      <c r="U590" s="215">
        <f t="shared" si="350"/>
        <v>0</v>
      </c>
      <c r="V590" s="215">
        <f t="shared" si="350"/>
        <v>0</v>
      </c>
      <c r="W590" s="215">
        <f t="shared" si="350"/>
        <v>0</v>
      </c>
      <c r="X590" s="215">
        <f t="shared" si="350"/>
        <v>0</v>
      </c>
      <c r="Y590" s="215">
        <f t="shared" si="350"/>
        <v>0</v>
      </c>
      <c r="Z590" s="215">
        <f t="shared" si="350"/>
        <v>0</v>
      </c>
      <c r="AA590" s="215">
        <f t="shared" si="350"/>
        <v>0</v>
      </c>
      <c r="AB590" s="215">
        <f t="shared" si="350"/>
        <v>0</v>
      </c>
      <c r="AC590" s="215">
        <f t="shared" si="350"/>
        <v>0</v>
      </c>
      <c r="AD590" s="215">
        <f t="shared" si="350"/>
        <v>0</v>
      </c>
      <c r="AE590" s="215">
        <f t="shared" si="350"/>
        <v>0</v>
      </c>
      <c r="AF590" s="215">
        <f t="shared" si="350"/>
        <v>0</v>
      </c>
      <c r="AG590" s="215">
        <f t="shared" si="350"/>
        <v>0</v>
      </c>
      <c r="AH590" s="215">
        <f t="shared" si="350"/>
        <v>0</v>
      </c>
      <c r="AI590" s="215">
        <f t="shared" si="350"/>
        <v>0</v>
      </c>
      <c r="AJ590" s="215">
        <f t="shared" si="350"/>
        <v>0</v>
      </c>
      <c r="AK590" s="215">
        <f t="shared" si="350"/>
        <v>0</v>
      </c>
      <c r="AL590" s="215">
        <f t="shared" si="350"/>
        <v>0</v>
      </c>
      <c r="AM590" s="215">
        <f t="shared" si="350"/>
        <v>0</v>
      </c>
      <c r="AN590" s="215">
        <f t="shared" si="350"/>
        <v>0</v>
      </c>
      <c r="AO590" s="215">
        <f t="shared" si="350"/>
        <v>0</v>
      </c>
      <c r="AP590" s="215">
        <f t="shared" si="350"/>
        <v>0</v>
      </c>
    </row>
    <row r="591" spans="1:42" s="101" customFormat="1" x14ac:dyDescent="0.2">
      <c r="A591" s="187" t="s">
        <v>160</v>
      </c>
      <c r="C591" s="216">
        <f>ROUND(C590*1000,0)</f>
        <v>0</v>
      </c>
      <c r="D591" s="216">
        <f>ROUND(D590*1000,0)</f>
        <v>0</v>
      </c>
      <c r="E591" s="216">
        <f t="shared" ref="E591:AP591" si="351">ROUND(E590*1000,0)</f>
        <v>0</v>
      </c>
      <c r="F591" s="216">
        <f t="shared" si="351"/>
        <v>0</v>
      </c>
      <c r="G591" s="216">
        <f t="shared" si="351"/>
        <v>0</v>
      </c>
      <c r="H591" s="216">
        <f t="shared" si="351"/>
        <v>0</v>
      </c>
      <c r="I591" s="216">
        <f t="shared" si="351"/>
        <v>0</v>
      </c>
      <c r="J591" s="216">
        <f t="shared" si="351"/>
        <v>0</v>
      </c>
      <c r="K591" s="216">
        <f t="shared" si="351"/>
        <v>0</v>
      </c>
      <c r="L591" s="216">
        <f t="shared" si="351"/>
        <v>0</v>
      </c>
      <c r="M591" s="216">
        <f t="shared" si="351"/>
        <v>0</v>
      </c>
      <c r="N591" s="216">
        <f t="shared" si="351"/>
        <v>0</v>
      </c>
      <c r="O591" s="216">
        <f t="shared" si="351"/>
        <v>0</v>
      </c>
      <c r="P591" s="216">
        <f t="shared" si="351"/>
        <v>0</v>
      </c>
      <c r="Q591" s="216">
        <f t="shared" si="351"/>
        <v>0</v>
      </c>
      <c r="R591" s="216">
        <f t="shared" si="351"/>
        <v>0</v>
      </c>
      <c r="S591" s="216">
        <f t="shared" si="351"/>
        <v>0</v>
      </c>
      <c r="T591" s="216">
        <f t="shared" si="351"/>
        <v>0</v>
      </c>
      <c r="U591" s="216">
        <f t="shared" si="351"/>
        <v>0</v>
      </c>
      <c r="V591" s="216">
        <f t="shared" si="351"/>
        <v>0</v>
      </c>
      <c r="W591" s="216">
        <f t="shared" si="351"/>
        <v>0</v>
      </c>
      <c r="X591" s="216">
        <f t="shared" si="351"/>
        <v>0</v>
      </c>
      <c r="Y591" s="216">
        <f t="shared" si="351"/>
        <v>0</v>
      </c>
      <c r="Z591" s="216">
        <f t="shared" si="351"/>
        <v>0</v>
      </c>
      <c r="AA591" s="216">
        <f t="shared" si="351"/>
        <v>0</v>
      </c>
      <c r="AB591" s="216">
        <f t="shared" si="351"/>
        <v>0</v>
      </c>
      <c r="AC591" s="216">
        <f t="shared" si="351"/>
        <v>0</v>
      </c>
      <c r="AD591" s="216">
        <f t="shared" si="351"/>
        <v>0</v>
      </c>
      <c r="AE591" s="216">
        <f t="shared" si="351"/>
        <v>0</v>
      </c>
      <c r="AF591" s="216">
        <f t="shared" si="351"/>
        <v>0</v>
      </c>
      <c r="AG591" s="216">
        <f t="shared" si="351"/>
        <v>0</v>
      </c>
      <c r="AH591" s="216">
        <f t="shared" si="351"/>
        <v>0</v>
      </c>
      <c r="AI591" s="216">
        <f t="shared" si="351"/>
        <v>0</v>
      </c>
      <c r="AJ591" s="216">
        <f t="shared" si="351"/>
        <v>0</v>
      </c>
      <c r="AK591" s="216">
        <f t="shared" si="351"/>
        <v>0</v>
      </c>
      <c r="AL591" s="216">
        <f t="shared" si="351"/>
        <v>0</v>
      </c>
      <c r="AM591" s="216">
        <f t="shared" si="351"/>
        <v>0</v>
      </c>
      <c r="AN591" s="216">
        <f t="shared" si="351"/>
        <v>0</v>
      </c>
      <c r="AO591" s="216">
        <f t="shared" si="351"/>
        <v>0</v>
      </c>
      <c r="AP591" s="216">
        <f t="shared" si="351"/>
        <v>0</v>
      </c>
    </row>
    <row r="592" spans="1:42" s="101" customFormat="1" x14ac:dyDescent="0.2">
      <c r="A592" s="187" t="s">
        <v>161</v>
      </c>
      <c r="C592" s="186">
        <f>C$5/1000</f>
        <v>16188.48</v>
      </c>
      <c r="D592" s="186">
        <f>D$5/1000</f>
        <v>16107.5376</v>
      </c>
      <c r="E592" s="186">
        <f t="shared" ref="E592:AP592" si="352">E$5/1000</f>
        <v>16026.999912000001</v>
      </c>
      <c r="F592" s="186">
        <f t="shared" si="352"/>
        <v>15946.86491244</v>
      </c>
      <c r="G592" s="186">
        <f t="shared" si="352"/>
        <v>15867.1305878778</v>
      </c>
      <c r="H592" s="186">
        <f t="shared" si="352"/>
        <v>15787.794934938413</v>
      </c>
      <c r="I592" s="186">
        <f t="shared" si="352"/>
        <v>15708.85596026372</v>
      </c>
      <c r="J592" s="186">
        <f t="shared" si="352"/>
        <v>15630.311680462401</v>
      </c>
      <c r="K592" s="186">
        <f t="shared" si="352"/>
        <v>15552.16012206009</v>
      </c>
      <c r="L592" s="186">
        <f t="shared" si="352"/>
        <v>15474.399321449788</v>
      </c>
      <c r="M592" s="186">
        <f t="shared" si="352"/>
        <v>15397.02732484254</v>
      </c>
      <c r="N592" s="186">
        <f t="shared" si="352"/>
        <v>15320.042188218327</v>
      </c>
      <c r="O592" s="186">
        <f t="shared" si="352"/>
        <v>15243.441977277236</v>
      </c>
      <c r="P592" s="186">
        <f t="shared" si="352"/>
        <v>15167.224767390851</v>
      </c>
      <c r="Q592" s="186">
        <f t="shared" si="352"/>
        <v>15091.388643553897</v>
      </c>
      <c r="R592" s="186">
        <f t="shared" si="352"/>
        <v>15015.931700336127</v>
      </c>
      <c r="S592" s="186">
        <f t="shared" si="352"/>
        <v>14940.852041834445</v>
      </c>
      <c r="T592" s="186">
        <f t="shared" si="352"/>
        <v>14866.147781625275</v>
      </c>
      <c r="U592" s="186">
        <f t="shared" si="352"/>
        <v>14791.817042717148</v>
      </c>
      <c r="V592" s="186">
        <f t="shared" si="352"/>
        <v>14717.85795750356</v>
      </c>
      <c r="W592" s="186">
        <f t="shared" si="352"/>
        <v>14644.268667716045</v>
      </c>
      <c r="X592" s="186">
        <f t="shared" si="352"/>
        <v>14571.047324377465</v>
      </c>
      <c r="Y592" s="186">
        <f t="shared" si="352"/>
        <v>14498.192087755579</v>
      </c>
      <c r="Z592" s="186">
        <f t="shared" si="352"/>
        <v>14425.701127316799</v>
      </c>
      <c r="AA592" s="186">
        <f t="shared" si="352"/>
        <v>14353.572621680216</v>
      </c>
      <c r="AB592" s="186">
        <f t="shared" si="352"/>
        <v>14281.804758571814</v>
      </c>
      <c r="AC592" s="186">
        <f t="shared" si="352"/>
        <v>14210.395734778956</v>
      </c>
      <c r="AD592" s="186">
        <f t="shared" si="352"/>
        <v>14139.34375610506</v>
      </c>
      <c r="AE592" s="186">
        <f t="shared" si="352"/>
        <v>14068.647037324537</v>
      </c>
      <c r="AF592" s="186">
        <f t="shared" si="352"/>
        <v>13998.303802137914</v>
      </c>
      <c r="AG592" s="186">
        <f t="shared" si="352"/>
        <v>13928.312283127225</v>
      </c>
      <c r="AH592" s="186">
        <f t="shared" si="352"/>
        <v>13858.670721711587</v>
      </c>
      <c r="AI592" s="186">
        <f t="shared" si="352"/>
        <v>13789.377368103029</v>
      </c>
      <c r="AJ592" s="186">
        <f t="shared" si="352"/>
        <v>13720.430481262514</v>
      </c>
      <c r="AK592" s="186">
        <f t="shared" si="352"/>
        <v>13651.828328856202</v>
      </c>
      <c r="AL592" s="186">
        <f t="shared" si="352"/>
        <v>13583.569187211922</v>
      </c>
      <c r="AM592" s="186">
        <f t="shared" si="352"/>
        <v>13515.651341275861</v>
      </c>
      <c r="AN592" s="186">
        <f t="shared" si="352"/>
        <v>13448.073084569483</v>
      </c>
      <c r="AO592" s="186">
        <f t="shared" si="352"/>
        <v>13380.832719146636</v>
      </c>
      <c r="AP592" s="186">
        <f t="shared" si="352"/>
        <v>13313.928555550903</v>
      </c>
    </row>
    <row r="593" spans="1:42" s="101" customFormat="1" x14ac:dyDescent="0.2">
      <c r="A593" s="187" t="s">
        <v>53</v>
      </c>
      <c r="C593" s="124">
        <f>C591*C592</f>
        <v>0</v>
      </c>
      <c r="D593" s="124">
        <f>D591*D592</f>
        <v>0</v>
      </c>
      <c r="E593" s="124">
        <f t="shared" ref="E593:AP593" si="353">E591*E592</f>
        <v>0</v>
      </c>
      <c r="F593" s="124">
        <f t="shared" si="353"/>
        <v>0</v>
      </c>
      <c r="G593" s="124">
        <f t="shared" si="353"/>
        <v>0</v>
      </c>
      <c r="H593" s="124">
        <f t="shared" si="353"/>
        <v>0</v>
      </c>
      <c r="I593" s="124">
        <f t="shared" si="353"/>
        <v>0</v>
      </c>
      <c r="J593" s="124">
        <f t="shared" si="353"/>
        <v>0</v>
      </c>
      <c r="K593" s="124">
        <f t="shared" si="353"/>
        <v>0</v>
      </c>
      <c r="L593" s="124">
        <f t="shared" si="353"/>
        <v>0</v>
      </c>
      <c r="M593" s="124">
        <f t="shared" si="353"/>
        <v>0</v>
      </c>
      <c r="N593" s="124">
        <f t="shared" si="353"/>
        <v>0</v>
      </c>
      <c r="O593" s="124">
        <f t="shared" si="353"/>
        <v>0</v>
      </c>
      <c r="P593" s="124">
        <f t="shared" si="353"/>
        <v>0</v>
      </c>
      <c r="Q593" s="124">
        <f t="shared" si="353"/>
        <v>0</v>
      </c>
      <c r="R593" s="124">
        <f t="shared" si="353"/>
        <v>0</v>
      </c>
      <c r="S593" s="124">
        <f t="shared" si="353"/>
        <v>0</v>
      </c>
      <c r="T593" s="124">
        <f t="shared" si="353"/>
        <v>0</v>
      </c>
      <c r="U593" s="124">
        <f t="shared" si="353"/>
        <v>0</v>
      </c>
      <c r="V593" s="124">
        <f t="shared" si="353"/>
        <v>0</v>
      </c>
      <c r="W593" s="124">
        <f t="shared" si="353"/>
        <v>0</v>
      </c>
      <c r="X593" s="124">
        <f t="shared" si="353"/>
        <v>0</v>
      </c>
      <c r="Y593" s="124">
        <f t="shared" si="353"/>
        <v>0</v>
      </c>
      <c r="Z593" s="124">
        <f t="shared" si="353"/>
        <v>0</v>
      </c>
      <c r="AA593" s="124">
        <f t="shared" si="353"/>
        <v>0</v>
      </c>
      <c r="AB593" s="124">
        <f t="shared" si="353"/>
        <v>0</v>
      </c>
      <c r="AC593" s="124">
        <f t="shared" si="353"/>
        <v>0</v>
      </c>
      <c r="AD593" s="124">
        <f t="shared" si="353"/>
        <v>0</v>
      </c>
      <c r="AE593" s="124">
        <f t="shared" si="353"/>
        <v>0</v>
      </c>
      <c r="AF593" s="124">
        <f t="shared" si="353"/>
        <v>0</v>
      </c>
      <c r="AG593" s="124">
        <f t="shared" si="353"/>
        <v>0</v>
      </c>
      <c r="AH593" s="124">
        <f t="shared" si="353"/>
        <v>0</v>
      </c>
      <c r="AI593" s="124">
        <f t="shared" si="353"/>
        <v>0</v>
      </c>
      <c r="AJ593" s="124">
        <f t="shared" si="353"/>
        <v>0</v>
      </c>
      <c r="AK593" s="124">
        <f t="shared" si="353"/>
        <v>0</v>
      </c>
      <c r="AL593" s="124">
        <f t="shared" si="353"/>
        <v>0</v>
      </c>
      <c r="AM593" s="124">
        <f t="shared" si="353"/>
        <v>0</v>
      </c>
      <c r="AN593" s="124">
        <f t="shared" si="353"/>
        <v>0</v>
      </c>
      <c r="AO593" s="124">
        <f t="shared" si="353"/>
        <v>0</v>
      </c>
      <c r="AP593" s="124">
        <f t="shared" si="353"/>
        <v>0</v>
      </c>
    </row>
    <row r="594" spans="1:42" s="101" customFormat="1" x14ac:dyDescent="0.2">
      <c r="A594" s="187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</row>
    <row r="595" spans="1:42" x14ac:dyDescent="0.2">
      <c r="A595" s="162" t="s">
        <v>58</v>
      </c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</row>
    <row r="596" spans="1:42" x14ac:dyDescent="0.2">
      <c r="A596" s="180" t="str">
        <f>'Inputs &amp; Results'!A54</f>
        <v>Fixed Amount ($)</v>
      </c>
      <c r="B596" s="101"/>
      <c r="C596" s="101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</row>
    <row r="597" spans="1:42" x14ac:dyDescent="0.2">
      <c r="A597" s="187" t="str">
        <f>'Inputs &amp; Results'!A55</f>
        <v>Federal</v>
      </c>
      <c r="B597" s="101"/>
      <c r="C597" s="181">
        <f>IBIFedFixed</f>
        <v>0</v>
      </c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</row>
    <row r="598" spans="1:42" x14ac:dyDescent="0.2">
      <c r="A598" s="187" t="str">
        <f>'Inputs &amp; Results'!A56</f>
        <v>State</v>
      </c>
      <c r="B598" s="101"/>
      <c r="C598" s="181">
        <f>IBIStateFixed</f>
        <v>0</v>
      </c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</row>
    <row r="599" spans="1:42" x14ac:dyDescent="0.2">
      <c r="A599" s="187" t="str">
        <f>'Inputs &amp; Results'!A57</f>
        <v>Utility</v>
      </c>
      <c r="B599" s="101"/>
      <c r="C599" s="181">
        <f>IBIUtilityFixed</f>
        <v>0</v>
      </c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</row>
    <row r="600" spans="1:42" x14ac:dyDescent="0.2">
      <c r="A600" s="187" t="str">
        <f>'Inputs &amp; Results'!A58</f>
        <v>Other</v>
      </c>
      <c r="C600" s="186">
        <f>IBIOtherFixed</f>
        <v>0</v>
      </c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</row>
    <row r="601" spans="1:42" x14ac:dyDescent="0.2">
      <c r="A601" s="167" t="s">
        <v>53</v>
      </c>
      <c r="C601" s="169">
        <f>SUM(C597:C600)</f>
        <v>0</v>
      </c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</row>
    <row r="602" spans="1:42" x14ac:dyDescent="0.2">
      <c r="A602" s="180" t="str">
        <f>'Inputs &amp; Results'!A59</f>
        <v>Percentage of Pre-Financing Costs</v>
      </c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</row>
    <row r="603" spans="1:42" x14ac:dyDescent="0.2">
      <c r="A603" s="187" t="str">
        <f>'Inputs &amp; Results'!A60</f>
        <v>Federal</v>
      </c>
      <c r="C603" s="181">
        <f>IBIFedPercent</f>
        <v>0</v>
      </c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</row>
    <row r="604" spans="1:42" x14ac:dyDescent="0.2">
      <c r="A604" s="187" t="str">
        <f>'Inputs &amp; Results'!A61</f>
        <v>State</v>
      </c>
      <c r="C604" s="181">
        <f>IBIStatePercent</f>
        <v>0</v>
      </c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</row>
    <row r="605" spans="1:42" x14ac:dyDescent="0.2">
      <c r="A605" s="187" t="str">
        <f>'Inputs &amp; Results'!A62</f>
        <v>Utility</v>
      </c>
      <c r="C605" s="181">
        <f>IBIUtilityPercent</f>
        <v>0</v>
      </c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</row>
    <row r="606" spans="1:42" x14ac:dyDescent="0.2">
      <c r="A606" s="187" t="str">
        <f>'Inputs &amp; Results'!A63</f>
        <v>Other</v>
      </c>
      <c r="C606" s="186">
        <f>IBIOtherPercent</f>
        <v>0</v>
      </c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</row>
    <row r="607" spans="1:42" x14ac:dyDescent="0.2">
      <c r="A607" s="187" t="s">
        <v>53</v>
      </c>
      <c r="C607" s="169">
        <f>SUM(C603:C606)</f>
        <v>0</v>
      </c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</row>
    <row r="608" spans="1:42" x14ac:dyDescent="0.2">
      <c r="A608" s="162" t="s">
        <v>120</v>
      </c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</row>
    <row r="609" spans="1:42" x14ac:dyDescent="0.2">
      <c r="A609" s="180" t="str">
        <f>'Inputs &amp; Results'!A65</f>
        <v>Federal</v>
      </c>
      <c r="B609" s="101"/>
      <c r="C609" s="181">
        <f>CBIFed</f>
        <v>0</v>
      </c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</row>
    <row r="610" spans="1:42" x14ac:dyDescent="0.2">
      <c r="A610" s="180" t="str">
        <f>'Inputs &amp; Results'!A66</f>
        <v>State</v>
      </c>
      <c r="B610" s="101"/>
      <c r="C610" s="181">
        <f>CBIState</f>
        <v>0</v>
      </c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</row>
    <row r="611" spans="1:42" x14ac:dyDescent="0.2">
      <c r="A611" s="180" t="str">
        <f>'Inputs &amp; Results'!A67</f>
        <v>Utility</v>
      </c>
      <c r="B611" s="101"/>
      <c r="C611" s="181">
        <f>CBIUtility</f>
        <v>0</v>
      </c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</row>
    <row r="612" spans="1:42" x14ac:dyDescent="0.2">
      <c r="A612" s="180" t="str">
        <f>'Inputs &amp; Results'!A68</f>
        <v>Other</v>
      </c>
      <c r="C612" s="186">
        <f>CBIOther</f>
        <v>0</v>
      </c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</row>
    <row r="613" spans="1:42" x14ac:dyDescent="0.2">
      <c r="A613" s="163" t="s">
        <v>53</v>
      </c>
      <c r="C613" s="169">
        <f>SUM(C609:C612)</f>
        <v>0</v>
      </c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</row>
    <row r="614" spans="1:42" x14ac:dyDescent="0.2"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</row>
    <row r="615" spans="1:42" x14ac:dyDescent="0.2">
      <c r="A615" s="162" t="s">
        <v>117</v>
      </c>
    </row>
    <row r="616" spans="1:42" x14ac:dyDescent="0.2">
      <c r="A616" s="163" t="str">
        <f>'Inputs &amp; Results'!A72</f>
        <v>Federal</v>
      </c>
    </row>
    <row r="617" spans="1:42" x14ac:dyDescent="0.2">
      <c r="A617" s="167" t="s">
        <v>118</v>
      </c>
      <c r="C617" s="215">
        <f t="shared" ref="C617:AP617" si="354">IF(AND(C$2&lt;=PBIFedTerm,C$2&lt;=AnalysisPeriod),PBIFed*(1+PBIFedEsc)^B$2,0)</f>
        <v>0</v>
      </c>
      <c r="D617" s="215">
        <f t="shared" si="354"/>
        <v>0</v>
      </c>
      <c r="E617" s="215">
        <f t="shared" si="354"/>
        <v>0</v>
      </c>
      <c r="F617" s="215">
        <f t="shared" si="354"/>
        <v>0</v>
      </c>
      <c r="G617" s="215">
        <f t="shared" si="354"/>
        <v>0</v>
      </c>
      <c r="H617" s="215">
        <f t="shared" si="354"/>
        <v>0</v>
      </c>
      <c r="I617" s="215">
        <f t="shared" si="354"/>
        <v>0</v>
      </c>
      <c r="J617" s="215">
        <f t="shared" si="354"/>
        <v>0</v>
      </c>
      <c r="K617" s="215">
        <f t="shared" si="354"/>
        <v>0</v>
      </c>
      <c r="L617" s="215">
        <f t="shared" si="354"/>
        <v>0</v>
      </c>
      <c r="M617" s="215">
        <f t="shared" si="354"/>
        <v>0</v>
      </c>
      <c r="N617" s="215">
        <f t="shared" si="354"/>
        <v>0</v>
      </c>
      <c r="O617" s="215">
        <f t="shared" si="354"/>
        <v>0</v>
      </c>
      <c r="P617" s="215">
        <f t="shared" si="354"/>
        <v>0</v>
      </c>
      <c r="Q617" s="215">
        <f t="shared" si="354"/>
        <v>0</v>
      </c>
      <c r="R617" s="215">
        <f t="shared" si="354"/>
        <v>0</v>
      </c>
      <c r="S617" s="215">
        <f t="shared" si="354"/>
        <v>0</v>
      </c>
      <c r="T617" s="215">
        <f t="shared" si="354"/>
        <v>0</v>
      </c>
      <c r="U617" s="215">
        <f t="shared" si="354"/>
        <v>0</v>
      </c>
      <c r="V617" s="215">
        <f t="shared" si="354"/>
        <v>0</v>
      </c>
      <c r="W617" s="215">
        <f t="shared" si="354"/>
        <v>0</v>
      </c>
      <c r="X617" s="215">
        <f t="shared" si="354"/>
        <v>0</v>
      </c>
      <c r="Y617" s="215">
        <f t="shared" si="354"/>
        <v>0</v>
      </c>
      <c r="Z617" s="215">
        <f t="shared" si="354"/>
        <v>0</v>
      </c>
      <c r="AA617" s="215">
        <f t="shared" si="354"/>
        <v>0</v>
      </c>
      <c r="AB617" s="215">
        <f t="shared" si="354"/>
        <v>0</v>
      </c>
      <c r="AC617" s="215">
        <f t="shared" si="354"/>
        <v>0</v>
      </c>
      <c r="AD617" s="215">
        <f t="shared" si="354"/>
        <v>0</v>
      </c>
      <c r="AE617" s="215">
        <f t="shared" si="354"/>
        <v>0</v>
      </c>
      <c r="AF617" s="215">
        <f t="shared" si="354"/>
        <v>0</v>
      </c>
      <c r="AG617" s="215">
        <f t="shared" si="354"/>
        <v>0</v>
      </c>
      <c r="AH617" s="215">
        <f t="shared" si="354"/>
        <v>0</v>
      </c>
      <c r="AI617" s="215">
        <f t="shared" si="354"/>
        <v>0</v>
      </c>
      <c r="AJ617" s="215">
        <f t="shared" si="354"/>
        <v>0</v>
      </c>
      <c r="AK617" s="215">
        <f t="shared" si="354"/>
        <v>0</v>
      </c>
      <c r="AL617" s="215">
        <f t="shared" si="354"/>
        <v>0</v>
      </c>
      <c r="AM617" s="215">
        <f t="shared" si="354"/>
        <v>0</v>
      </c>
      <c r="AN617" s="215">
        <f t="shared" si="354"/>
        <v>0</v>
      </c>
      <c r="AO617" s="215">
        <f t="shared" si="354"/>
        <v>0</v>
      </c>
      <c r="AP617" s="215">
        <f t="shared" si="354"/>
        <v>0</v>
      </c>
    </row>
    <row r="618" spans="1:42" x14ac:dyDescent="0.2">
      <c r="A618" s="167" t="s">
        <v>119</v>
      </c>
      <c r="C618" s="186">
        <f>C$5</f>
        <v>16188480</v>
      </c>
      <c r="D618" s="186">
        <f t="shared" ref="D618:AP618" si="355">D$5</f>
        <v>16107537.6</v>
      </c>
      <c r="E618" s="186">
        <f t="shared" si="355"/>
        <v>16026999.912</v>
      </c>
      <c r="F618" s="186">
        <f t="shared" si="355"/>
        <v>15946864.91244</v>
      </c>
      <c r="G618" s="186">
        <f t="shared" si="355"/>
        <v>15867130.587877801</v>
      </c>
      <c r="H618" s="186">
        <f t="shared" si="355"/>
        <v>15787794.934938412</v>
      </c>
      <c r="I618" s="186">
        <f t="shared" si="355"/>
        <v>15708855.96026372</v>
      </c>
      <c r="J618" s="186">
        <f t="shared" si="355"/>
        <v>15630311.680462401</v>
      </c>
      <c r="K618" s="186">
        <f t="shared" si="355"/>
        <v>15552160.12206009</v>
      </c>
      <c r="L618" s="186">
        <f t="shared" si="355"/>
        <v>15474399.321449788</v>
      </c>
      <c r="M618" s="186">
        <f t="shared" si="355"/>
        <v>15397027.324842541</v>
      </c>
      <c r="N618" s="186">
        <f t="shared" si="355"/>
        <v>15320042.188218327</v>
      </c>
      <c r="O618" s="186">
        <f t="shared" si="355"/>
        <v>15243441.977277236</v>
      </c>
      <c r="P618" s="186">
        <f t="shared" si="355"/>
        <v>15167224.767390851</v>
      </c>
      <c r="Q618" s="186">
        <f t="shared" si="355"/>
        <v>15091388.643553898</v>
      </c>
      <c r="R618" s="186">
        <f t="shared" si="355"/>
        <v>15015931.700336127</v>
      </c>
      <c r="S618" s="186">
        <f t="shared" si="355"/>
        <v>14940852.041834446</v>
      </c>
      <c r="T618" s="186">
        <f t="shared" si="355"/>
        <v>14866147.781625275</v>
      </c>
      <c r="U618" s="186">
        <f t="shared" si="355"/>
        <v>14791817.042717148</v>
      </c>
      <c r="V618" s="186">
        <f t="shared" si="355"/>
        <v>14717857.957503561</v>
      </c>
      <c r="W618" s="186">
        <f t="shared" si="355"/>
        <v>14644268.667716045</v>
      </c>
      <c r="X618" s="186">
        <f t="shared" si="355"/>
        <v>14571047.324377464</v>
      </c>
      <c r="Y618" s="186">
        <f t="shared" si="355"/>
        <v>14498192.087755578</v>
      </c>
      <c r="Z618" s="186">
        <f t="shared" si="355"/>
        <v>14425701.127316799</v>
      </c>
      <c r="AA618" s="186">
        <f t="shared" si="355"/>
        <v>14353572.621680215</v>
      </c>
      <c r="AB618" s="186">
        <f t="shared" si="355"/>
        <v>14281804.758571815</v>
      </c>
      <c r="AC618" s="186">
        <f t="shared" si="355"/>
        <v>14210395.734778956</v>
      </c>
      <c r="AD618" s="186">
        <f t="shared" si="355"/>
        <v>14139343.75610506</v>
      </c>
      <c r="AE618" s="186">
        <f t="shared" si="355"/>
        <v>14068647.037324537</v>
      </c>
      <c r="AF618" s="186">
        <f t="shared" si="355"/>
        <v>13998303.802137915</v>
      </c>
      <c r="AG618" s="186">
        <f t="shared" si="355"/>
        <v>13928312.283127224</v>
      </c>
      <c r="AH618" s="186">
        <f t="shared" si="355"/>
        <v>13858670.721711587</v>
      </c>
      <c r="AI618" s="186">
        <f t="shared" si="355"/>
        <v>13789377.368103029</v>
      </c>
      <c r="AJ618" s="186">
        <f t="shared" si="355"/>
        <v>13720430.481262514</v>
      </c>
      <c r="AK618" s="186">
        <f t="shared" si="355"/>
        <v>13651828.328856202</v>
      </c>
      <c r="AL618" s="186">
        <f t="shared" si="355"/>
        <v>13583569.187211921</v>
      </c>
      <c r="AM618" s="186">
        <f t="shared" si="355"/>
        <v>13515651.341275861</v>
      </c>
      <c r="AN618" s="186">
        <f t="shared" si="355"/>
        <v>13448073.084569484</v>
      </c>
      <c r="AO618" s="186">
        <f t="shared" si="355"/>
        <v>13380832.719146635</v>
      </c>
      <c r="AP618" s="186">
        <f t="shared" si="355"/>
        <v>13313928.555550903</v>
      </c>
    </row>
    <row r="619" spans="1:42" x14ac:dyDescent="0.2">
      <c r="A619" s="167" t="s">
        <v>53</v>
      </c>
      <c r="C619" s="181">
        <f>C617*C618</f>
        <v>0</v>
      </c>
      <c r="D619" s="181">
        <f t="shared" ref="D619:AP619" si="356">D617*D618</f>
        <v>0</v>
      </c>
      <c r="E619" s="181">
        <f t="shared" si="356"/>
        <v>0</v>
      </c>
      <c r="F619" s="181">
        <f t="shared" si="356"/>
        <v>0</v>
      </c>
      <c r="G619" s="181">
        <f t="shared" si="356"/>
        <v>0</v>
      </c>
      <c r="H619" s="181">
        <f t="shared" si="356"/>
        <v>0</v>
      </c>
      <c r="I619" s="181">
        <f t="shared" si="356"/>
        <v>0</v>
      </c>
      <c r="J619" s="181">
        <f t="shared" si="356"/>
        <v>0</v>
      </c>
      <c r="K619" s="181">
        <f t="shared" si="356"/>
        <v>0</v>
      </c>
      <c r="L619" s="181">
        <f t="shared" si="356"/>
        <v>0</v>
      </c>
      <c r="M619" s="181">
        <f t="shared" si="356"/>
        <v>0</v>
      </c>
      <c r="N619" s="181">
        <f t="shared" si="356"/>
        <v>0</v>
      </c>
      <c r="O619" s="181">
        <f t="shared" si="356"/>
        <v>0</v>
      </c>
      <c r="P619" s="181">
        <f t="shared" si="356"/>
        <v>0</v>
      </c>
      <c r="Q619" s="181">
        <f t="shared" si="356"/>
        <v>0</v>
      </c>
      <c r="R619" s="181">
        <f t="shared" si="356"/>
        <v>0</v>
      </c>
      <c r="S619" s="181">
        <f t="shared" si="356"/>
        <v>0</v>
      </c>
      <c r="T619" s="181">
        <f t="shared" si="356"/>
        <v>0</v>
      </c>
      <c r="U619" s="181">
        <f t="shared" si="356"/>
        <v>0</v>
      </c>
      <c r="V619" s="181">
        <f t="shared" si="356"/>
        <v>0</v>
      </c>
      <c r="W619" s="181">
        <f t="shared" si="356"/>
        <v>0</v>
      </c>
      <c r="X619" s="181">
        <f t="shared" si="356"/>
        <v>0</v>
      </c>
      <c r="Y619" s="181">
        <f t="shared" si="356"/>
        <v>0</v>
      </c>
      <c r="Z619" s="181">
        <f t="shared" si="356"/>
        <v>0</v>
      </c>
      <c r="AA619" s="181">
        <f t="shared" si="356"/>
        <v>0</v>
      </c>
      <c r="AB619" s="181">
        <f t="shared" si="356"/>
        <v>0</v>
      </c>
      <c r="AC619" s="181">
        <f t="shared" si="356"/>
        <v>0</v>
      </c>
      <c r="AD619" s="181">
        <f t="shared" si="356"/>
        <v>0</v>
      </c>
      <c r="AE619" s="181">
        <f t="shared" si="356"/>
        <v>0</v>
      </c>
      <c r="AF619" s="181">
        <f t="shared" si="356"/>
        <v>0</v>
      </c>
      <c r="AG619" s="181">
        <f t="shared" si="356"/>
        <v>0</v>
      </c>
      <c r="AH619" s="181">
        <f t="shared" si="356"/>
        <v>0</v>
      </c>
      <c r="AI619" s="181">
        <f t="shared" si="356"/>
        <v>0</v>
      </c>
      <c r="AJ619" s="181">
        <f t="shared" si="356"/>
        <v>0</v>
      </c>
      <c r="AK619" s="181">
        <f t="shared" si="356"/>
        <v>0</v>
      </c>
      <c r="AL619" s="181">
        <f t="shared" si="356"/>
        <v>0</v>
      </c>
      <c r="AM619" s="181">
        <f t="shared" si="356"/>
        <v>0</v>
      </c>
      <c r="AN619" s="181">
        <f t="shared" si="356"/>
        <v>0</v>
      </c>
      <c r="AO619" s="181">
        <f t="shared" si="356"/>
        <v>0</v>
      </c>
      <c r="AP619" s="181">
        <f t="shared" si="356"/>
        <v>0</v>
      </c>
    </row>
    <row r="620" spans="1:42" x14ac:dyDescent="0.2">
      <c r="A620" s="163" t="str">
        <f>'Inputs &amp; Results'!A73</f>
        <v>State</v>
      </c>
      <c r="E620" s="164"/>
    </row>
    <row r="621" spans="1:42" x14ac:dyDescent="0.2">
      <c r="A621" s="167" t="s">
        <v>118</v>
      </c>
      <c r="C621" s="215">
        <f t="shared" ref="C621:AP621" si="357">IF(AND(C$2&lt;=PBIStateTerm,C$2&lt;=AnalysisPeriod),PBIState*(1+PBIStateEsc)^B$2,0)</f>
        <v>0</v>
      </c>
      <c r="D621" s="215">
        <f t="shared" si="357"/>
        <v>0</v>
      </c>
      <c r="E621" s="215">
        <f t="shared" si="357"/>
        <v>0</v>
      </c>
      <c r="F621" s="215">
        <f t="shared" si="357"/>
        <v>0</v>
      </c>
      <c r="G621" s="215">
        <f t="shared" si="357"/>
        <v>0</v>
      </c>
      <c r="H621" s="215">
        <f t="shared" si="357"/>
        <v>0</v>
      </c>
      <c r="I621" s="215">
        <f t="shared" si="357"/>
        <v>0</v>
      </c>
      <c r="J621" s="215">
        <f t="shared" si="357"/>
        <v>0</v>
      </c>
      <c r="K621" s="215">
        <f t="shared" si="357"/>
        <v>0</v>
      </c>
      <c r="L621" s="215">
        <f t="shared" si="357"/>
        <v>0</v>
      </c>
      <c r="M621" s="215">
        <f t="shared" si="357"/>
        <v>0</v>
      </c>
      <c r="N621" s="215">
        <f t="shared" si="357"/>
        <v>0</v>
      </c>
      <c r="O621" s="215">
        <f t="shared" si="357"/>
        <v>0</v>
      </c>
      <c r="P621" s="215">
        <f t="shared" si="357"/>
        <v>0</v>
      </c>
      <c r="Q621" s="215">
        <f t="shared" si="357"/>
        <v>0</v>
      </c>
      <c r="R621" s="215">
        <f t="shared" si="357"/>
        <v>0</v>
      </c>
      <c r="S621" s="215">
        <f t="shared" si="357"/>
        <v>0</v>
      </c>
      <c r="T621" s="215">
        <f t="shared" si="357"/>
        <v>0</v>
      </c>
      <c r="U621" s="215">
        <f t="shared" si="357"/>
        <v>0</v>
      </c>
      <c r="V621" s="215">
        <f t="shared" si="357"/>
        <v>0</v>
      </c>
      <c r="W621" s="215">
        <f t="shared" si="357"/>
        <v>0</v>
      </c>
      <c r="X621" s="215">
        <f t="shared" si="357"/>
        <v>0</v>
      </c>
      <c r="Y621" s="215">
        <f t="shared" si="357"/>
        <v>0</v>
      </c>
      <c r="Z621" s="215">
        <f t="shared" si="357"/>
        <v>0</v>
      </c>
      <c r="AA621" s="215">
        <f t="shared" si="357"/>
        <v>0</v>
      </c>
      <c r="AB621" s="215">
        <f t="shared" si="357"/>
        <v>0</v>
      </c>
      <c r="AC621" s="215">
        <f t="shared" si="357"/>
        <v>0</v>
      </c>
      <c r="AD621" s="215">
        <f t="shared" si="357"/>
        <v>0</v>
      </c>
      <c r="AE621" s="215">
        <f t="shared" si="357"/>
        <v>0</v>
      </c>
      <c r="AF621" s="215">
        <f t="shared" si="357"/>
        <v>0</v>
      </c>
      <c r="AG621" s="215">
        <f t="shared" si="357"/>
        <v>0</v>
      </c>
      <c r="AH621" s="215">
        <f t="shared" si="357"/>
        <v>0</v>
      </c>
      <c r="AI621" s="215">
        <f t="shared" si="357"/>
        <v>0</v>
      </c>
      <c r="AJ621" s="215">
        <f t="shared" si="357"/>
        <v>0</v>
      </c>
      <c r="AK621" s="215">
        <f t="shared" si="357"/>
        <v>0</v>
      </c>
      <c r="AL621" s="215">
        <f t="shared" si="357"/>
        <v>0</v>
      </c>
      <c r="AM621" s="215">
        <f t="shared" si="357"/>
        <v>0</v>
      </c>
      <c r="AN621" s="215">
        <f t="shared" si="357"/>
        <v>0</v>
      </c>
      <c r="AO621" s="215">
        <f t="shared" si="357"/>
        <v>0</v>
      </c>
      <c r="AP621" s="215">
        <f t="shared" si="357"/>
        <v>0</v>
      </c>
    </row>
    <row r="622" spans="1:42" x14ac:dyDescent="0.2">
      <c r="A622" s="167" t="s">
        <v>119</v>
      </c>
      <c r="C622" s="186">
        <f>C$5</f>
        <v>16188480</v>
      </c>
      <c r="D622" s="186">
        <f t="shared" ref="D622:AP622" si="358">D$5</f>
        <v>16107537.6</v>
      </c>
      <c r="E622" s="186">
        <f t="shared" si="358"/>
        <v>16026999.912</v>
      </c>
      <c r="F622" s="186">
        <f t="shared" si="358"/>
        <v>15946864.91244</v>
      </c>
      <c r="G622" s="186">
        <f t="shared" si="358"/>
        <v>15867130.587877801</v>
      </c>
      <c r="H622" s="186">
        <f t="shared" si="358"/>
        <v>15787794.934938412</v>
      </c>
      <c r="I622" s="186">
        <f t="shared" si="358"/>
        <v>15708855.96026372</v>
      </c>
      <c r="J622" s="186">
        <f t="shared" si="358"/>
        <v>15630311.680462401</v>
      </c>
      <c r="K622" s="186">
        <f t="shared" si="358"/>
        <v>15552160.12206009</v>
      </c>
      <c r="L622" s="186">
        <f t="shared" si="358"/>
        <v>15474399.321449788</v>
      </c>
      <c r="M622" s="186">
        <f t="shared" si="358"/>
        <v>15397027.324842541</v>
      </c>
      <c r="N622" s="186">
        <f t="shared" si="358"/>
        <v>15320042.188218327</v>
      </c>
      <c r="O622" s="186">
        <f t="shared" si="358"/>
        <v>15243441.977277236</v>
      </c>
      <c r="P622" s="186">
        <f t="shared" si="358"/>
        <v>15167224.767390851</v>
      </c>
      <c r="Q622" s="186">
        <f t="shared" si="358"/>
        <v>15091388.643553898</v>
      </c>
      <c r="R622" s="186">
        <f t="shared" si="358"/>
        <v>15015931.700336127</v>
      </c>
      <c r="S622" s="186">
        <f t="shared" si="358"/>
        <v>14940852.041834446</v>
      </c>
      <c r="T622" s="186">
        <f t="shared" si="358"/>
        <v>14866147.781625275</v>
      </c>
      <c r="U622" s="186">
        <f t="shared" si="358"/>
        <v>14791817.042717148</v>
      </c>
      <c r="V622" s="186">
        <f t="shared" si="358"/>
        <v>14717857.957503561</v>
      </c>
      <c r="W622" s="186">
        <f t="shared" si="358"/>
        <v>14644268.667716045</v>
      </c>
      <c r="X622" s="186">
        <f t="shared" si="358"/>
        <v>14571047.324377464</v>
      </c>
      <c r="Y622" s="186">
        <f t="shared" si="358"/>
        <v>14498192.087755578</v>
      </c>
      <c r="Z622" s="186">
        <f t="shared" si="358"/>
        <v>14425701.127316799</v>
      </c>
      <c r="AA622" s="186">
        <f t="shared" si="358"/>
        <v>14353572.621680215</v>
      </c>
      <c r="AB622" s="186">
        <f t="shared" si="358"/>
        <v>14281804.758571815</v>
      </c>
      <c r="AC622" s="186">
        <f t="shared" si="358"/>
        <v>14210395.734778956</v>
      </c>
      <c r="AD622" s="186">
        <f t="shared" si="358"/>
        <v>14139343.75610506</v>
      </c>
      <c r="AE622" s="186">
        <f t="shared" si="358"/>
        <v>14068647.037324537</v>
      </c>
      <c r="AF622" s="186">
        <f t="shared" si="358"/>
        <v>13998303.802137915</v>
      </c>
      <c r="AG622" s="186">
        <f t="shared" si="358"/>
        <v>13928312.283127224</v>
      </c>
      <c r="AH622" s="186">
        <f t="shared" si="358"/>
        <v>13858670.721711587</v>
      </c>
      <c r="AI622" s="186">
        <f t="shared" si="358"/>
        <v>13789377.368103029</v>
      </c>
      <c r="AJ622" s="186">
        <f t="shared" si="358"/>
        <v>13720430.481262514</v>
      </c>
      <c r="AK622" s="186">
        <f t="shared" si="358"/>
        <v>13651828.328856202</v>
      </c>
      <c r="AL622" s="186">
        <f t="shared" si="358"/>
        <v>13583569.187211921</v>
      </c>
      <c r="AM622" s="186">
        <f t="shared" si="358"/>
        <v>13515651.341275861</v>
      </c>
      <c r="AN622" s="186">
        <f t="shared" si="358"/>
        <v>13448073.084569484</v>
      </c>
      <c r="AO622" s="186">
        <f t="shared" si="358"/>
        <v>13380832.719146635</v>
      </c>
      <c r="AP622" s="186">
        <f t="shared" si="358"/>
        <v>13313928.555550903</v>
      </c>
    </row>
    <row r="623" spans="1:42" x14ac:dyDescent="0.2">
      <c r="A623" s="167" t="s">
        <v>53</v>
      </c>
      <c r="C623" s="181">
        <f>C621*C622</f>
        <v>0</v>
      </c>
      <c r="D623" s="181">
        <f t="shared" ref="D623:AP623" si="359">D621*D622</f>
        <v>0</v>
      </c>
      <c r="E623" s="181">
        <f t="shared" si="359"/>
        <v>0</v>
      </c>
      <c r="F623" s="181">
        <f t="shared" si="359"/>
        <v>0</v>
      </c>
      <c r="G623" s="181">
        <f t="shared" si="359"/>
        <v>0</v>
      </c>
      <c r="H623" s="181">
        <f t="shared" si="359"/>
        <v>0</v>
      </c>
      <c r="I623" s="181">
        <f t="shared" si="359"/>
        <v>0</v>
      </c>
      <c r="J623" s="181">
        <f t="shared" si="359"/>
        <v>0</v>
      </c>
      <c r="K623" s="181">
        <f t="shared" si="359"/>
        <v>0</v>
      </c>
      <c r="L623" s="181">
        <f t="shared" si="359"/>
        <v>0</v>
      </c>
      <c r="M623" s="181">
        <f t="shared" si="359"/>
        <v>0</v>
      </c>
      <c r="N623" s="181">
        <f t="shared" si="359"/>
        <v>0</v>
      </c>
      <c r="O623" s="181">
        <f t="shared" si="359"/>
        <v>0</v>
      </c>
      <c r="P623" s="181">
        <f t="shared" si="359"/>
        <v>0</v>
      </c>
      <c r="Q623" s="181">
        <f t="shared" si="359"/>
        <v>0</v>
      </c>
      <c r="R623" s="181">
        <f t="shared" si="359"/>
        <v>0</v>
      </c>
      <c r="S623" s="181">
        <f t="shared" si="359"/>
        <v>0</v>
      </c>
      <c r="T623" s="181">
        <f t="shared" si="359"/>
        <v>0</v>
      </c>
      <c r="U623" s="181">
        <f t="shared" si="359"/>
        <v>0</v>
      </c>
      <c r="V623" s="181">
        <f t="shared" si="359"/>
        <v>0</v>
      </c>
      <c r="W623" s="181">
        <f t="shared" si="359"/>
        <v>0</v>
      </c>
      <c r="X623" s="181">
        <f t="shared" si="359"/>
        <v>0</v>
      </c>
      <c r="Y623" s="181">
        <f t="shared" si="359"/>
        <v>0</v>
      </c>
      <c r="Z623" s="181">
        <f t="shared" si="359"/>
        <v>0</v>
      </c>
      <c r="AA623" s="181">
        <f t="shared" si="359"/>
        <v>0</v>
      </c>
      <c r="AB623" s="181">
        <f t="shared" si="359"/>
        <v>0</v>
      </c>
      <c r="AC623" s="181">
        <f t="shared" si="359"/>
        <v>0</v>
      </c>
      <c r="AD623" s="181">
        <f t="shared" si="359"/>
        <v>0</v>
      </c>
      <c r="AE623" s="181">
        <f t="shared" si="359"/>
        <v>0</v>
      </c>
      <c r="AF623" s="181">
        <f t="shared" si="359"/>
        <v>0</v>
      </c>
      <c r="AG623" s="181">
        <f t="shared" si="359"/>
        <v>0</v>
      </c>
      <c r="AH623" s="181">
        <f t="shared" si="359"/>
        <v>0</v>
      </c>
      <c r="AI623" s="181">
        <f t="shared" si="359"/>
        <v>0</v>
      </c>
      <c r="AJ623" s="181">
        <f t="shared" si="359"/>
        <v>0</v>
      </c>
      <c r="AK623" s="181">
        <f t="shared" si="359"/>
        <v>0</v>
      </c>
      <c r="AL623" s="181">
        <f t="shared" si="359"/>
        <v>0</v>
      </c>
      <c r="AM623" s="181">
        <f t="shared" si="359"/>
        <v>0</v>
      </c>
      <c r="AN623" s="181">
        <f t="shared" si="359"/>
        <v>0</v>
      </c>
      <c r="AO623" s="181">
        <f t="shared" si="359"/>
        <v>0</v>
      </c>
      <c r="AP623" s="181">
        <f t="shared" si="359"/>
        <v>0</v>
      </c>
    </row>
    <row r="624" spans="1:42" x14ac:dyDescent="0.2">
      <c r="A624" s="163" t="str">
        <f>'Inputs &amp; Results'!A74</f>
        <v>Utility</v>
      </c>
    </row>
    <row r="625" spans="1:42" x14ac:dyDescent="0.2">
      <c r="A625" s="167" t="s">
        <v>118</v>
      </c>
      <c r="C625" s="215">
        <f t="shared" ref="C625:AP625" si="360">IF(AND(C$2&lt;=PBIUtilityTerm,C$2&lt;=AnalysisPeriod),PBIUtility*(1+PBIUtilityEsc)^B$2,0)</f>
        <v>0</v>
      </c>
      <c r="D625" s="215">
        <f t="shared" si="360"/>
        <v>0</v>
      </c>
      <c r="E625" s="215">
        <f t="shared" si="360"/>
        <v>0</v>
      </c>
      <c r="F625" s="215">
        <f t="shared" si="360"/>
        <v>0</v>
      </c>
      <c r="G625" s="215">
        <f t="shared" si="360"/>
        <v>0</v>
      </c>
      <c r="H625" s="215">
        <f t="shared" si="360"/>
        <v>0</v>
      </c>
      <c r="I625" s="215">
        <f t="shared" si="360"/>
        <v>0</v>
      </c>
      <c r="J625" s="215">
        <f t="shared" si="360"/>
        <v>0</v>
      </c>
      <c r="K625" s="215">
        <f t="shared" si="360"/>
        <v>0</v>
      </c>
      <c r="L625" s="215">
        <f t="shared" si="360"/>
        <v>0</v>
      </c>
      <c r="M625" s="215">
        <f t="shared" si="360"/>
        <v>0</v>
      </c>
      <c r="N625" s="215">
        <f t="shared" si="360"/>
        <v>0</v>
      </c>
      <c r="O625" s="215">
        <f t="shared" si="360"/>
        <v>0</v>
      </c>
      <c r="P625" s="215">
        <f t="shared" si="360"/>
        <v>0</v>
      </c>
      <c r="Q625" s="215">
        <f t="shared" si="360"/>
        <v>0</v>
      </c>
      <c r="R625" s="215">
        <f t="shared" si="360"/>
        <v>0</v>
      </c>
      <c r="S625" s="215">
        <f t="shared" si="360"/>
        <v>0</v>
      </c>
      <c r="T625" s="215">
        <f t="shared" si="360"/>
        <v>0</v>
      </c>
      <c r="U625" s="215">
        <f t="shared" si="360"/>
        <v>0</v>
      </c>
      <c r="V625" s="215">
        <f t="shared" si="360"/>
        <v>0</v>
      </c>
      <c r="W625" s="215">
        <f t="shared" si="360"/>
        <v>0</v>
      </c>
      <c r="X625" s="215">
        <f t="shared" si="360"/>
        <v>0</v>
      </c>
      <c r="Y625" s="215">
        <f t="shared" si="360"/>
        <v>0</v>
      </c>
      <c r="Z625" s="215">
        <f t="shared" si="360"/>
        <v>0</v>
      </c>
      <c r="AA625" s="215">
        <f t="shared" si="360"/>
        <v>0</v>
      </c>
      <c r="AB625" s="215">
        <f t="shared" si="360"/>
        <v>0</v>
      </c>
      <c r="AC625" s="215">
        <f t="shared" si="360"/>
        <v>0</v>
      </c>
      <c r="AD625" s="215">
        <f t="shared" si="360"/>
        <v>0</v>
      </c>
      <c r="AE625" s="215">
        <f t="shared" si="360"/>
        <v>0</v>
      </c>
      <c r="AF625" s="215">
        <f t="shared" si="360"/>
        <v>0</v>
      </c>
      <c r="AG625" s="215">
        <f t="shared" si="360"/>
        <v>0</v>
      </c>
      <c r="AH625" s="215">
        <f t="shared" si="360"/>
        <v>0</v>
      </c>
      <c r="AI625" s="215">
        <f t="shared" si="360"/>
        <v>0</v>
      </c>
      <c r="AJ625" s="215">
        <f t="shared" si="360"/>
        <v>0</v>
      </c>
      <c r="AK625" s="215">
        <f t="shared" si="360"/>
        <v>0</v>
      </c>
      <c r="AL625" s="215">
        <f t="shared" si="360"/>
        <v>0</v>
      </c>
      <c r="AM625" s="215">
        <f t="shared" si="360"/>
        <v>0</v>
      </c>
      <c r="AN625" s="215">
        <f t="shared" si="360"/>
        <v>0</v>
      </c>
      <c r="AO625" s="215">
        <f t="shared" si="360"/>
        <v>0</v>
      </c>
      <c r="AP625" s="215">
        <f t="shared" si="360"/>
        <v>0</v>
      </c>
    </row>
    <row r="626" spans="1:42" x14ac:dyDescent="0.2">
      <c r="A626" s="167" t="s">
        <v>119</v>
      </c>
      <c r="C626" s="186">
        <f>C$5</f>
        <v>16188480</v>
      </c>
      <c r="D626" s="186">
        <f t="shared" ref="D626:AP626" si="361">D$5</f>
        <v>16107537.6</v>
      </c>
      <c r="E626" s="186">
        <f t="shared" si="361"/>
        <v>16026999.912</v>
      </c>
      <c r="F626" s="186">
        <f t="shared" si="361"/>
        <v>15946864.91244</v>
      </c>
      <c r="G626" s="186">
        <f t="shared" si="361"/>
        <v>15867130.587877801</v>
      </c>
      <c r="H626" s="186">
        <f t="shared" si="361"/>
        <v>15787794.934938412</v>
      </c>
      <c r="I626" s="186">
        <f t="shared" si="361"/>
        <v>15708855.96026372</v>
      </c>
      <c r="J626" s="186">
        <f t="shared" si="361"/>
        <v>15630311.680462401</v>
      </c>
      <c r="K626" s="186">
        <f t="shared" si="361"/>
        <v>15552160.12206009</v>
      </c>
      <c r="L626" s="186">
        <f t="shared" si="361"/>
        <v>15474399.321449788</v>
      </c>
      <c r="M626" s="186">
        <f t="shared" si="361"/>
        <v>15397027.324842541</v>
      </c>
      <c r="N626" s="186">
        <f t="shared" si="361"/>
        <v>15320042.188218327</v>
      </c>
      <c r="O626" s="186">
        <f t="shared" si="361"/>
        <v>15243441.977277236</v>
      </c>
      <c r="P626" s="186">
        <f t="shared" si="361"/>
        <v>15167224.767390851</v>
      </c>
      <c r="Q626" s="186">
        <f t="shared" si="361"/>
        <v>15091388.643553898</v>
      </c>
      <c r="R626" s="186">
        <f t="shared" si="361"/>
        <v>15015931.700336127</v>
      </c>
      <c r="S626" s="186">
        <f t="shared" si="361"/>
        <v>14940852.041834446</v>
      </c>
      <c r="T626" s="186">
        <f t="shared" si="361"/>
        <v>14866147.781625275</v>
      </c>
      <c r="U626" s="186">
        <f t="shared" si="361"/>
        <v>14791817.042717148</v>
      </c>
      <c r="V626" s="186">
        <f t="shared" si="361"/>
        <v>14717857.957503561</v>
      </c>
      <c r="W626" s="186">
        <f t="shared" si="361"/>
        <v>14644268.667716045</v>
      </c>
      <c r="X626" s="186">
        <f t="shared" si="361"/>
        <v>14571047.324377464</v>
      </c>
      <c r="Y626" s="186">
        <f t="shared" si="361"/>
        <v>14498192.087755578</v>
      </c>
      <c r="Z626" s="186">
        <f t="shared" si="361"/>
        <v>14425701.127316799</v>
      </c>
      <c r="AA626" s="186">
        <f t="shared" si="361"/>
        <v>14353572.621680215</v>
      </c>
      <c r="AB626" s="186">
        <f t="shared" si="361"/>
        <v>14281804.758571815</v>
      </c>
      <c r="AC626" s="186">
        <f t="shared" si="361"/>
        <v>14210395.734778956</v>
      </c>
      <c r="AD626" s="186">
        <f t="shared" si="361"/>
        <v>14139343.75610506</v>
      </c>
      <c r="AE626" s="186">
        <f t="shared" si="361"/>
        <v>14068647.037324537</v>
      </c>
      <c r="AF626" s="186">
        <f t="shared" si="361"/>
        <v>13998303.802137915</v>
      </c>
      <c r="AG626" s="186">
        <f t="shared" si="361"/>
        <v>13928312.283127224</v>
      </c>
      <c r="AH626" s="186">
        <f t="shared" si="361"/>
        <v>13858670.721711587</v>
      </c>
      <c r="AI626" s="186">
        <f t="shared" si="361"/>
        <v>13789377.368103029</v>
      </c>
      <c r="AJ626" s="186">
        <f t="shared" si="361"/>
        <v>13720430.481262514</v>
      </c>
      <c r="AK626" s="186">
        <f t="shared" si="361"/>
        <v>13651828.328856202</v>
      </c>
      <c r="AL626" s="186">
        <f t="shared" si="361"/>
        <v>13583569.187211921</v>
      </c>
      <c r="AM626" s="186">
        <f t="shared" si="361"/>
        <v>13515651.341275861</v>
      </c>
      <c r="AN626" s="186">
        <f t="shared" si="361"/>
        <v>13448073.084569484</v>
      </c>
      <c r="AO626" s="186">
        <f t="shared" si="361"/>
        <v>13380832.719146635</v>
      </c>
      <c r="AP626" s="186">
        <f t="shared" si="361"/>
        <v>13313928.555550903</v>
      </c>
    </row>
    <row r="627" spans="1:42" x14ac:dyDescent="0.2">
      <c r="A627" s="167" t="s">
        <v>53</v>
      </c>
      <c r="C627" s="181">
        <f>C625*C626</f>
        <v>0</v>
      </c>
      <c r="D627" s="181">
        <f t="shared" ref="D627:AP627" si="362">D625*D626</f>
        <v>0</v>
      </c>
      <c r="E627" s="181">
        <f t="shared" si="362"/>
        <v>0</v>
      </c>
      <c r="F627" s="181">
        <f t="shared" si="362"/>
        <v>0</v>
      </c>
      <c r="G627" s="181">
        <f t="shared" si="362"/>
        <v>0</v>
      </c>
      <c r="H627" s="181">
        <f t="shared" si="362"/>
        <v>0</v>
      </c>
      <c r="I627" s="181">
        <f t="shared" si="362"/>
        <v>0</v>
      </c>
      <c r="J627" s="181">
        <f t="shared" si="362"/>
        <v>0</v>
      </c>
      <c r="K627" s="181">
        <f t="shared" si="362"/>
        <v>0</v>
      </c>
      <c r="L627" s="181">
        <f t="shared" si="362"/>
        <v>0</v>
      </c>
      <c r="M627" s="181">
        <f t="shared" si="362"/>
        <v>0</v>
      </c>
      <c r="N627" s="181">
        <f t="shared" si="362"/>
        <v>0</v>
      </c>
      <c r="O627" s="181">
        <f t="shared" si="362"/>
        <v>0</v>
      </c>
      <c r="P627" s="181">
        <f t="shared" si="362"/>
        <v>0</v>
      </c>
      <c r="Q627" s="181">
        <f t="shared" si="362"/>
        <v>0</v>
      </c>
      <c r="R627" s="181">
        <f t="shared" si="362"/>
        <v>0</v>
      </c>
      <c r="S627" s="181">
        <f t="shared" si="362"/>
        <v>0</v>
      </c>
      <c r="T627" s="181">
        <f t="shared" si="362"/>
        <v>0</v>
      </c>
      <c r="U627" s="181">
        <f t="shared" si="362"/>
        <v>0</v>
      </c>
      <c r="V627" s="181">
        <f t="shared" si="362"/>
        <v>0</v>
      </c>
      <c r="W627" s="181">
        <f t="shared" si="362"/>
        <v>0</v>
      </c>
      <c r="X627" s="181">
        <f t="shared" si="362"/>
        <v>0</v>
      </c>
      <c r="Y627" s="181">
        <f t="shared" si="362"/>
        <v>0</v>
      </c>
      <c r="Z627" s="181">
        <f t="shared" si="362"/>
        <v>0</v>
      </c>
      <c r="AA627" s="181">
        <f t="shared" si="362"/>
        <v>0</v>
      </c>
      <c r="AB627" s="181">
        <f t="shared" si="362"/>
        <v>0</v>
      </c>
      <c r="AC627" s="181">
        <f t="shared" si="362"/>
        <v>0</v>
      </c>
      <c r="AD627" s="181">
        <f t="shared" si="362"/>
        <v>0</v>
      </c>
      <c r="AE627" s="181">
        <f t="shared" si="362"/>
        <v>0</v>
      </c>
      <c r="AF627" s="181">
        <f t="shared" si="362"/>
        <v>0</v>
      </c>
      <c r="AG627" s="181">
        <f t="shared" si="362"/>
        <v>0</v>
      </c>
      <c r="AH627" s="181">
        <f t="shared" si="362"/>
        <v>0</v>
      </c>
      <c r="AI627" s="181">
        <f t="shared" si="362"/>
        <v>0</v>
      </c>
      <c r="AJ627" s="181">
        <f t="shared" si="362"/>
        <v>0</v>
      </c>
      <c r="AK627" s="181">
        <f t="shared" si="362"/>
        <v>0</v>
      </c>
      <c r="AL627" s="181">
        <f t="shared" si="362"/>
        <v>0</v>
      </c>
      <c r="AM627" s="181">
        <f t="shared" si="362"/>
        <v>0</v>
      </c>
      <c r="AN627" s="181">
        <f t="shared" si="362"/>
        <v>0</v>
      </c>
      <c r="AO627" s="181">
        <f t="shared" si="362"/>
        <v>0</v>
      </c>
      <c r="AP627" s="181">
        <f t="shared" si="362"/>
        <v>0</v>
      </c>
    </row>
    <row r="628" spans="1:42" x14ac:dyDescent="0.2">
      <c r="A628" s="163" t="str">
        <f>'Inputs &amp; Results'!A75</f>
        <v>Other</v>
      </c>
    </row>
    <row r="629" spans="1:42" x14ac:dyDescent="0.2">
      <c r="A629" s="167" t="s">
        <v>118</v>
      </c>
      <c r="C629" s="217">
        <f t="shared" ref="C629:AP629" si="363">IF(AND(C$2&lt;=PBIOtherTerm,C$2&lt;=AnalysisPeriod),PBIOther*(1+PBIOtherEsc)^B$2,0)</f>
        <v>0</v>
      </c>
      <c r="D629" s="217">
        <f t="shared" si="363"/>
        <v>0</v>
      </c>
      <c r="E629" s="217">
        <f t="shared" si="363"/>
        <v>0</v>
      </c>
      <c r="F629" s="217">
        <f t="shared" si="363"/>
        <v>0</v>
      </c>
      <c r="G629" s="217">
        <f t="shared" si="363"/>
        <v>0</v>
      </c>
      <c r="H629" s="217">
        <f t="shared" si="363"/>
        <v>0</v>
      </c>
      <c r="I629" s="217">
        <f t="shared" si="363"/>
        <v>0</v>
      </c>
      <c r="J629" s="217">
        <f t="shared" si="363"/>
        <v>0</v>
      </c>
      <c r="K629" s="217">
        <f t="shared" si="363"/>
        <v>0</v>
      </c>
      <c r="L629" s="217">
        <f t="shared" si="363"/>
        <v>0</v>
      </c>
      <c r="M629" s="217">
        <f t="shared" si="363"/>
        <v>0</v>
      </c>
      <c r="N629" s="217">
        <f t="shared" si="363"/>
        <v>0</v>
      </c>
      <c r="O629" s="217">
        <f t="shared" si="363"/>
        <v>0</v>
      </c>
      <c r="P629" s="217">
        <f t="shared" si="363"/>
        <v>0</v>
      </c>
      <c r="Q629" s="217">
        <f t="shared" si="363"/>
        <v>0</v>
      </c>
      <c r="R629" s="217">
        <f t="shared" si="363"/>
        <v>0</v>
      </c>
      <c r="S629" s="217">
        <f t="shared" si="363"/>
        <v>0</v>
      </c>
      <c r="T629" s="217">
        <f t="shared" si="363"/>
        <v>0</v>
      </c>
      <c r="U629" s="217">
        <f t="shared" si="363"/>
        <v>0</v>
      </c>
      <c r="V629" s="217">
        <f t="shared" si="363"/>
        <v>0</v>
      </c>
      <c r="W629" s="217">
        <f t="shared" si="363"/>
        <v>0</v>
      </c>
      <c r="X629" s="217">
        <f t="shared" si="363"/>
        <v>0</v>
      </c>
      <c r="Y629" s="217">
        <f t="shared" si="363"/>
        <v>0</v>
      </c>
      <c r="Z629" s="217">
        <f t="shared" si="363"/>
        <v>0</v>
      </c>
      <c r="AA629" s="217">
        <f t="shared" si="363"/>
        <v>0</v>
      </c>
      <c r="AB629" s="217">
        <f t="shared" si="363"/>
        <v>0</v>
      </c>
      <c r="AC629" s="217">
        <f t="shared" si="363"/>
        <v>0</v>
      </c>
      <c r="AD629" s="217">
        <f t="shared" si="363"/>
        <v>0</v>
      </c>
      <c r="AE629" s="217">
        <f t="shared" si="363"/>
        <v>0</v>
      </c>
      <c r="AF629" s="217">
        <f t="shared" si="363"/>
        <v>0</v>
      </c>
      <c r="AG629" s="217">
        <f t="shared" si="363"/>
        <v>0</v>
      </c>
      <c r="AH629" s="217">
        <f t="shared" si="363"/>
        <v>0</v>
      </c>
      <c r="AI629" s="217">
        <f t="shared" si="363"/>
        <v>0</v>
      </c>
      <c r="AJ629" s="217">
        <f t="shared" si="363"/>
        <v>0</v>
      </c>
      <c r="AK629" s="217">
        <f t="shared" si="363"/>
        <v>0</v>
      </c>
      <c r="AL629" s="217">
        <f t="shared" si="363"/>
        <v>0</v>
      </c>
      <c r="AM629" s="217">
        <f t="shared" si="363"/>
        <v>0</v>
      </c>
      <c r="AN629" s="217">
        <f t="shared" si="363"/>
        <v>0</v>
      </c>
      <c r="AO629" s="217">
        <f t="shared" si="363"/>
        <v>0</v>
      </c>
      <c r="AP629" s="217">
        <f t="shared" si="363"/>
        <v>0</v>
      </c>
    </row>
    <row r="630" spans="1:42" x14ac:dyDescent="0.2">
      <c r="A630" s="167" t="s">
        <v>119</v>
      </c>
      <c r="C630" s="186">
        <f>C$5</f>
        <v>16188480</v>
      </c>
      <c r="D630" s="186">
        <f t="shared" ref="D630:AP630" si="364">D$5</f>
        <v>16107537.6</v>
      </c>
      <c r="E630" s="186">
        <f t="shared" si="364"/>
        <v>16026999.912</v>
      </c>
      <c r="F630" s="186">
        <f t="shared" si="364"/>
        <v>15946864.91244</v>
      </c>
      <c r="G630" s="186">
        <f t="shared" si="364"/>
        <v>15867130.587877801</v>
      </c>
      <c r="H630" s="186">
        <f t="shared" si="364"/>
        <v>15787794.934938412</v>
      </c>
      <c r="I630" s="186">
        <f t="shared" si="364"/>
        <v>15708855.96026372</v>
      </c>
      <c r="J630" s="186">
        <f t="shared" si="364"/>
        <v>15630311.680462401</v>
      </c>
      <c r="K630" s="186">
        <f t="shared" si="364"/>
        <v>15552160.12206009</v>
      </c>
      <c r="L630" s="186">
        <f t="shared" si="364"/>
        <v>15474399.321449788</v>
      </c>
      <c r="M630" s="186">
        <f t="shared" si="364"/>
        <v>15397027.324842541</v>
      </c>
      <c r="N630" s="186">
        <f t="shared" si="364"/>
        <v>15320042.188218327</v>
      </c>
      <c r="O630" s="186">
        <f t="shared" si="364"/>
        <v>15243441.977277236</v>
      </c>
      <c r="P630" s="186">
        <f t="shared" si="364"/>
        <v>15167224.767390851</v>
      </c>
      <c r="Q630" s="186">
        <f t="shared" si="364"/>
        <v>15091388.643553898</v>
      </c>
      <c r="R630" s="186">
        <f t="shared" si="364"/>
        <v>15015931.700336127</v>
      </c>
      <c r="S630" s="186">
        <f t="shared" si="364"/>
        <v>14940852.041834446</v>
      </c>
      <c r="T630" s="186">
        <f t="shared" si="364"/>
        <v>14866147.781625275</v>
      </c>
      <c r="U630" s="186">
        <f t="shared" si="364"/>
        <v>14791817.042717148</v>
      </c>
      <c r="V630" s="186">
        <f t="shared" si="364"/>
        <v>14717857.957503561</v>
      </c>
      <c r="W630" s="186">
        <f t="shared" si="364"/>
        <v>14644268.667716045</v>
      </c>
      <c r="X630" s="186">
        <f t="shared" si="364"/>
        <v>14571047.324377464</v>
      </c>
      <c r="Y630" s="186">
        <f t="shared" si="364"/>
        <v>14498192.087755578</v>
      </c>
      <c r="Z630" s="186">
        <f t="shared" si="364"/>
        <v>14425701.127316799</v>
      </c>
      <c r="AA630" s="186">
        <f t="shared" si="364"/>
        <v>14353572.621680215</v>
      </c>
      <c r="AB630" s="186">
        <f t="shared" si="364"/>
        <v>14281804.758571815</v>
      </c>
      <c r="AC630" s="186">
        <f t="shared" si="364"/>
        <v>14210395.734778956</v>
      </c>
      <c r="AD630" s="186">
        <f t="shared" si="364"/>
        <v>14139343.75610506</v>
      </c>
      <c r="AE630" s="186">
        <f t="shared" si="364"/>
        <v>14068647.037324537</v>
      </c>
      <c r="AF630" s="186">
        <f t="shared" si="364"/>
        <v>13998303.802137915</v>
      </c>
      <c r="AG630" s="186">
        <f t="shared" si="364"/>
        <v>13928312.283127224</v>
      </c>
      <c r="AH630" s="186">
        <f t="shared" si="364"/>
        <v>13858670.721711587</v>
      </c>
      <c r="AI630" s="186">
        <f t="shared" si="364"/>
        <v>13789377.368103029</v>
      </c>
      <c r="AJ630" s="186">
        <f t="shared" si="364"/>
        <v>13720430.481262514</v>
      </c>
      <c r="AK630" s="186">
        <f t="shared" si="364"/>
        <v>13651828.328856202</v>
      </c>
      <c r="AL630" s="186">
        <f t="shared" si="364"/>
        <v>13583569.187211921</v>
      </c>
      <c r="AM630" s="186">
        <f t="shared" si="364"/>
        <v>13515651.341275861</v>
      </c>
      <c r="AN630" s="186">
        <f t="shared" si="364"/>
        <v>13448073.084569484</v>
      </c>
      <c r="AO630" s="186">
        <f t="shared" si="364"/>
        <v>13380832.719146635</v>
      </c>
      <c r="AP630" s="186">
        <f t="shared" si="364"/>
        <v>13313928.555550903</v>
      </c>
    </row>
    <row r="631" spans="1:42" x14ac:dyDescent="0.2">
      <c r="A631" s="167" t="s">
        <v>53</v>
      </c>
      <c r="C631" s="181">
        <f>C629*C630</f>
        <v>0</v>
      </c>
      <c r="D631" s="181">
        <f t="shared" ref="D631:AP631" si="365">D629*D630</f>
        <v>0</v>
      </c>
      <c r="E631" s="181">
        <f t="shared" si="365"/>
        <v>0</v>
      </c>
      <c r="F631" s="181">
        <f t="shared" si="365"/>
        <v>0</v>
      </c>
      <c r="G631" s="181">
        <f t="shared" si="365"/>
        <v>0</v>
      </c>
      <c r="H631" s="181">
        <f t="shared" si="365"/>
        <v>0</v>
      </c>
      <c r="I631" s="181">
        <f t="shared" si="365"/>
        <v>0</v>
      </c>
      <c r="J631" s="181">
        <f t="shared" si="365"/>
        <v>0</v>
      </c>
      <c r="K631" s="181">
        <f t="shared" si="365"/>
        <v>0</v>
      </c>
      <c r="L631" s="181">
        <f t="shared" si="365"/>
        <v>0</v>
      </c>
      <c r="M631" s="181">
        <f t="shared" si="365"/>
        <v>0</v>
      </c>
      <c r="N631" s="181">
        <f t="shared" si="365"/>
        <v>0</v>
      </c>
      <c r="O631" s="181">
        <f t="shared" si="365"/>
        <v>0</v>
      </c>
      <c r="P631" s="181">
        <f t="shared" si="365"/>
        <v>0</v>
      </c>
      <c r="Q631" s="181">
        <f t="shared" si="365"/>
        <v>0</v>
      </c>
      <c r="R631" s="181">
        <f t="shared" si="365"/>
        <v>0</v>
      </c>
      <c r="S631" s="181">
        <f t="shared" si="365"/>
        <v>0</v>
      </c>
      <c r="T631" s="181">
        <f t="shared" si="365"/>
        <v>0</v>
      </c>
      <c r="U631" s="181">
        <f t="shared" si="365"/>
        <v>0</v>
      </c>
      <c r="V631" s="181">
        <f t="shared" si="365"/>
        <v>0</v>
      </c>
      <c r="W631" s="181">
        <f t="shared" si="365"/>
        <v>0</v>
      </c>
      <c r="X631" s="181">
        <f t="shared" si="365"/>
        <v>0</v>
      </c>
      <c r="Y631" s="181">
        <f t="shared" si="365"/>
        <v>0</v>
      </c>
      <c r="Z631" s="181">
        <f t="shared" si="365"/>
        <v>0</v>
      </c>
      <c r="AA631" s="181">
        <f t="shared" si="365"/>
        <v>0</v>
      </c>
      <c r="AB631" s="181">
        <f t="shared" si="365"/>
        <v>0</v>
      </c>
      <c r="AC631" s="181">
        <f t="shared" si="365"/>
        <v>0</v>
      </c>
      <c r="AD631" s="181">
        <f t="shared" si="365"/>
        <v>0</v>
      </c>
      <c r="AE631" s="181">
        <f t="shared" si="365"/>
        <v>0</v>
      </c>
      <c r="AF631" s="181">
        <f t="shared" si="365"/>
        <v>0</v>
      </c>
      <c r="AG631" s="181">
        <f t="shared" si="365"/>
        <v>0</v>
      </c>
      <c r="AH631" s="181">
        <f t="shared" si="365"/>
        <v>0</v>
      </c>
      <c r="AI631" s="181">
        <f t="shared" si="365"/>
        <v>0</v>
      </c>
      <c r="AJ631" s="181">
        <f t="shared" si="365"/>
        <v>0</v>
      </c>
      <c r="AK631" s="181">
        <f t="shared" si="365"/>
        <v>0</v>
      </c>
      <c r="AL631" s="181">
        <f t="shared" si="365"/>
        <v>0</v>
      </c>
      <c r="AM631" s="181">
        <f t="shared" si="365"/>
        <v>0</v>
      </c>
      <c r="AN631" s="181">
        <f t="shared" si="365"/>
        <v>0</v>
      </c>
      <c r="AO631" s="181">
        <f t="shared" si="365"/>
        <v>0</v>
      </c>
      <c r="AP631" s="181">
        <f t="shared" si="365"/>
        <v>0</v>
      </c>
    </row>
    <row r="632" spans="1:42" x14ac:dyDescent="0.2"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</row>
    <row r="633" spans="1:42" x14ac:dyDescent="0.2">
      <c r="A633" s="20" t="s">
        <v>53</v>
      </c>
      <c r="C633" s="177">
        <f>C619+C623+C627+C631</f>
        <v>0</v>
      </c>
      <c r="D633" s="177">
        <f t="shared" ref="D633:AP633" si="366">D619+D623+D627+D631</f>
        <v>0</v>
      </c>
      <c r="E633" s="177">
        <f t="shared" si="366"/>
        <v>0</v>
      </c>
      <c r="F633" s="177">
        <f t="shared" si="366"/>
        <v>0</v>
      </c>
      <c r="G633" s="177">
        <f t="shared" si="366"/>
        <v>0</v>
      </c>
      <c r="H633" s="177">
        <f t="shared" si="366"/>
        <v>0</v>
      </c>
      <c r="I633" s="177">
        <f t="shared" si="366"/>
        <v>0</v>
      </c>
      <c r="J633" s="177">
        <f t="shared" si="366"/>
        <v>0</v>
      </c>
      <c r="K633" s="177">
        <f t="shared" si="366"/>
        <v>0</v>
      </c>
      <c r="L633" s="177">
        <f t="shared" si="366"/>
        <v>0</v>
      </c>
      <c r="M633" s="177">
        <f t="shared" si="366"/>
        <v>0</v>
      </c>
      <c r="N633" s="177">
        <f t="shared" si="366"/>
        <v>0</v>
      </c>
      <c r="O633" s="177">
        <f t="shared" si="366"/>
        <v>0</v>
      </c>
      <c r="P633" s="177">
        <f t="shared" si="366"/>
        <v>0</v>
      </c>
      <c r="Q633" s="177">
        <f t="shared" si="366"/>
        <v>0</v>
      </c>
      <c r="R633" s="177">
        <f t="shared" si="366"/>
        <v>0</v>
      </c>
      <c r="S633" s="177">
        <f t="shared" si="366"/>
        <v>0</v>
      </c>
      <c r="T633" s="177">
        <f t="shared" si="366"/>
        <v>0</v>
      </c>
      <c r="U633" s="177">
        <f t="shared" si="366"/>
        <v>0</v>
      </c>
      <c r="V633" s="177">
        <f t="shared" si="366"/>
        <v>0</v>
      </c>
      <c r="W633" s="177">
        <f t="shared" si="366"/>
        <v>0</v>
      </c>
      <c r="X633" s="177">
        <f t="shared" si="366"/>
        <v>0</v>
      </c>
      <c r="Y633" s="177">
        <f t="shared" si="366"/>
        <v>0</v>
      </c>
      <c r="Z633" s="177">
        <f t="shared" si="366"/>
        <v>0</v>
      </c>
      <c r="AA633" s="177">
        <f t="shared" si="366"/>
        <v>0</v>
      </c>
      <c r="AB633" s="177">
        <f t="shared" si="366"/>
        <v>0</v>
      </c>
      <c r="AC633" s="177">
        <f t="shared" si="366"/>
        <v>0</v>
      </c>
      <c r="AD633" s="177">
        <f t="shared" si="366"/>
        <v>0</v>
      </c>
      <c r="AE633" s="177">
        <f t="shared" si="366"/>
        <v>0</v>
      </c>
      <c r="AF633" s="177">
        <f t="shared" si="366"/>
        <v>0</v>
      </c>
      <c r="AG633" s="177">
        <f t="shared" si="366"/>
        <v>0</v>
      </c>
      <c r="AH633" s="177">
        <f t="shared" si="366"/>
        <v>0</v>
      </c>
      <c r="AI633" s="177">
        <f t="shared" si="366"/>
        <v>0</v>
      </c>
      <c r="AJ633" s="177">
        <f t="shared" si="366"/>
        <v>0</v>
      </c>
      <c r="AK633" s="177">
        <f t="shared" si="366"/>
        <v>0</v>
      </c>
      <c r="AL633" s="177">
        <f t="shared" si="366"/>
        <v>0</v>
      </c>
      <c r="AM633" s="177">
        <f t="shared" si="366"/>
        <v>0</v>
      </c>
      <c r="AN633" s="177">
        <f t="shared" si="366"/>
        <v>0</v>
      </c>
      <c r="AO633" s="177">
        <f t="shared" si="366"/>
        <v>0</v>
      </c>
      <c r="AP633" s="177">
        <f t="shared" si="366"/>
        <v>0</v>
      </c>
    </row>
    <row r="635" spans="1:42" x14ac:dyDescent="0.2">
      <c r="A635" s="162" t="s">
        <v>178</v>
      </c>
      <c r="B635" s="135"/>
      <c r="C635" s="135"/>
      <c r="D635" s="135"/>
      <c r="E635" s="135"/>
      <c r="F635" s="135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</row>
    <row r="636" spans="1:42" s="101" customFormat="1" x14ac:dyDescent="0.2">
      <c r="A636" s="250" t="str">
        <f>'Inputs &amp; Results'!A180</f>
        <v>Working Capital Reserve</v>
      </c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</row>
    <row r="637" spans="1:42" s="101" customFormat="1" x14ac:dyDescent="0.2">
      <c r="A637" s="101" t="s">
        <v>96</v>
      </c>
      <c r="B637" s="135">
        <v>0</v>
      </c>
      <c r="C637" s="135">
        <f>B640</f>
        <v>387206.93687500001</v>
      </c>
      <c r="D637" s="135">
        <f t="shared" ref="D637:AP637" si="367">C640</f>
        <v>384431.16756824998</v>
      </c>
      <c r="E637" s="135">
        <f t="shared" si="367"/>
        <v>381739.62918197032</v>
      </c>
      <c r="F637" s="135">
        <f t="shared" si="367"/>
        <v>379134.01992367639</v>
      </c>
      <c r="G637" s="135">
        <f t="shared" si="367"/>
        <v>376616.07351194887</v>
      </c>
      <c r="H637" s="135">
        <f t="shared" si="367"/>
        <v>374187.55993867398</v>
      </c>
      <c r="I637" s="135">
        <f t="shared" si="367"/>
        <v>371850.28624794976</v>
      </c>
      <c r="J637" s="135">
        <f t="shared" si="367"/>
        <v>369606.09733202669</v>
      </c>
      <c r="K637" s="135">
        <f t="shared" si="367"/>
        <v>367456.87674465985</v>
      </c>
      <c r="L637" s="135">
        <f t="shared" si="367"/>
        <v>365404.54753225867</v>
      </c>
      <c r="M637" s="135">
        <f t="shared" si="367"/>
        <v>363451.07308322965</v>
      </c>
      <c r="N637" s="135">
        <f t="shared" si="367"/>
        <v>361598.45799591293</v>
      </c>
      <c r="O637" s="135">
        <f t="shared" si="367"/>
        <v>359848.74896552722</v>
      </c>
      <c r="P637" s="135">
        <f t="shared" si="367"/>
        <v>358204.03569054336</v>
      </c>
      <c r="Q637" s="135">
        <f t="shared" si="367"/>
        <v>356666.45179891773</v>
      </c>
      <c r="R637" s="135">
        <f t="shared" si="367"/>
        <v>355238.17579462606</v>
      </c>
      <c r="S637" s="135">
        <f t="shared" si="367"/>
        <v>353921.4320249476</v>
      </c>
      <c r="T637" s="135">
        <f t="shared" si="367"/>
        <v>352718.49166896072</v>
      </c>
      <c r="U637" s="135">
        <f t="shared" si="367"/>
        <v>351631.67374772049</v>
      </c>
      <c r="V637" s="135">
        <f t="shared" si="367"/>
        <v>350663.34615659888</v>
      </c>
      <c r="W637" s="135">
        <f t="shared" si="367"/>
        <v>349815.9267202809</v>
      </c>
      <c r="X637" s="135">
        <f t="shared" si="367"/>
        <v>356257.34536466864</v>
      </c>
      <c r="Y637" s="135">
        <f t="shared" si="367"/>
        <v>362824.6619374578</v>
      </c>
      <c r="Z637" s="135">
        <f t="shared" si="367"/>
        <v>369520.45061541384</v>
      </c>
      <c r="AA637" s="135">
        <f t="shared" si="367"/>
        <v>376347.33996138244</v>
      </c>
      <c r="AB637" s="135">
        <f t="shared" si="367"/>
        <v>383308.01410033775</v>
      </c>
      <c r="AC637" s="135">
        <f t="shared" si="367"/>
        <v>390405.21392127697</v>
      </c>
      <c r="AD637" s="135">
        <f t="shared" si="367"/>
        <v>397641.73830553866</v>
      </c>
      <c r="AE637" s="135">
        <f t="shared" si="367"/>
        <v>405020.44538212963</v>
      </c>
      <c r="AF637" s="135">
        <f t="shared" si="367"/>
        <v>412544.253810664</v>
      </c>
      <c r="AG637" s="135">
        <f t="shared" si="367"/>
        <v>420216.14409252495</v>
      </c>
      <c r="AH637" s="135">
        <f t="shared" si="367"/>
        <v>428039.15991088084</v>
      </c>
      <c r="AI637" s="135">
        <f t="shared" si="367"/>
        <v>436016.40950019471</v>
      </c>
      <c r="AJ637" s="135">
        <f t="shared" si="367"/>
        <v>444151.06704588479</v>
      </c>
      <c r="AK637" s="135">
        <f t="shared" si="367"/>
        <v>452446.37411480671</v>
      </c>
      <c r="AL637" s="135">
        <f t="shared" si="367"/>
        <v>460905.64111724397</v>
      </c>
      <c r="AM637" s="135">
        <f t="shared" si="367"/>
        <v>469532.24880110752</v>
      </c>
      <c r="AN637" s="135">
        <f t="shared" si="367"/>
        <v>478329.64977906219</v>
      </c>
      <c r="AO637" s="135">
        <f t="shared" si="367"/>
        <v>487301.37008931278</v>
      </c>
      <c r="AP637" s="135">
        <f t="shared" si="367"/>
        <v>496451.01079080044</v>
      </c>
    </row>
    <row r="638" spans="1:42" s="101" customFormat="1" x14ac:dyDescent="0.2">
      <c r="A638" s="101" t="s">
        <v>97</v>
      </c>
      <c r="B638" s="135">
        <f t="shared" ref="B638:AP638" si="368">IF(B$2&lt;AnalysisPeriod,B640-B637,0)</f>
        <v>387206.93687500001</v>
      </c>
      <c r="C638" s="135">
        <f t="shared" si="368"/>
        <v>-2775.7693067500368</v>
      </c>
      <c r="D638" s="135">
        <f t="shared" si="368"/>
        <v>-2691.5383862796589</v>
      </c>
      <c r="E638" s="135">
        <f t="shared" si="368"/>
        <v>-2605.6092582939309</v>
      </c>
      <c r="F638" s="135">
        <f t="shared" si="368"/>
        <v>-2517.9464117275202</v>
      </c>
      <c r="G638" s="135">
        <f t="shared" si="368"/>
        <v>-2428.5135732748895</v>
      </c>
      <c r="H638" s="135">
        <f t="shared" si="368"/>
        <v>-2337.2736907242215</v>
      </c>
      <c r="I638" s="135">
        <f t="shared" si="368"/>
        <v>-2244.1889159230632</v>
      </c>
      <c r="J638" s="135">
        <f t="shared" si="368"/>
        <v>-2149.2205873668427</v>
      </c>
      <c r="K638" s="135">
        <f t="shared" si="368"/>
        <v>-2052.3292124011787</v>
      </c>
      <c r="L638" s="135">
        <f t="shared" si="368"/>
        <v>-1953.4744490290177</v>
      </c>
      <c r="M638" s="135">
        <f t="shared" si="368"/>
        <v>-1852.6150873167207</v>
      </c>
      <c r="N638" s="135">
        <f t="shared" si="368"/>
        <v>-1749.7090303857112</v>
      </c>
      <c r="O638" s="135">
        <f t="shared" si="368"/>
        <v>-1644.7132749838638</v>
      </c>
      <c r="P638" s="135">
        <f t="shared" si="368"/>
        <v>-1537.5838916256325</v>
      </c>
      <c r="Q638" s="135">
        <f t="shared" si="368"/>
        <v>-1428.2760042916634</v>
      </c>
      <c r="R638" s="135">
        <f t="shared" si="368"/>
        <v>-1316.7437696784618</v>
      </c>
      <c r="S638" s="135">
        <f t="shared" si="368"/>
        <v>-1202.9403559868806</v>
      </c>
      <c r="T638" s="135">
        <f t="shared" si="368"/>
        <v>-1086.817921240232</v>
      </c>
      <c r="U638" s="135">
        <f t="shared" si="368"/>
        <v>-968.3275911216042</v>
      </c>
      <c r="V638" s="135">
        <f t="shared" si="368"/>
        <v>-847.41943631798495</v>
      </c>
      <c r="W638" s="135">
        <f t="shared" si="368"/>
        <v>6441.4186443877406</v>
      </c>
      <c r="X638" s="135">
        <f t="shared" si="368"/>
        <v>6567.316572789161</v>
      </c>
      <c r="Y638" s="135">
        <f t="shared" si="368"/>
        <v>6695.7886779560358</v>
      </c>
      <c r="Z638" s="135">
        <f t="shared" si="368"/>
        <v>6826.8893459686078</v>
      </c>
      <c r="AA638" s="135">
        <f t="shared" si="368"/>
        <v>6960.6741389553063</v>
      </c>
      <c r="AB638" s="135">
        <f t="shared" si="368"/>
        <v>7097.1998209392186</v>
      </c>
      <c r="AC638" s="135">
        <f t="shared" si="368"/>
        <v>7236.524384261691</v>
      </c>
      <c r="AD638" s="135">
        <f t="shared" si="368"/>
        <v>7378.7070765909739</v>
      </c>
      <c r="AE638" s="135">
        <f t="shared" si="368"/>
        <v>7523.8084285343648</v>
      </c>
      <c r="AF638" s="135">
        <f t="shared" si="368"/>
        <v>7671.8902818609495</v>
      </c>
      <c r="AG638" s="135">
        <f t="shared" si="368"/>
        <v>7823.015818355896</v>
      </c>
      <c r="AH638" s="135">
        <f t="shared" si="368"/>
        <v>7977.2495893138694</v>
      </c>
      <c r="AI638" s="135">
        <f t="shared" si="368"/>
        <v>8134.6575456900755</v>
      </c>
      <c r="AJ638" s="135">
        <f t="shared" si="368"/>
        <v>8295.3070689219167</v>
      </c>
      <c r="AK638" s="135">
        <f t="shared" si="368"/>
        <v>8459.2670024372637</v>
      </c>
      <c r="AL638" s="135">
        <f t="shared" si="368"/>
        <v>8626.607683863549</v>
      </c>
      <c r="AM638" s="135">
        <f t="shared" si="368"/>
        <v>8797.4009779546759</v>
      </c>
      <c r="AN638" s="135">
        <f t="shared" si="368"/>
        <v>8971.7203102505882</v>
      </c>
      <c r="AO638" s="135">
        <f t="shared" si="368"/>
        <v>9149.6407014876604</v>
      </c>
      <c r="AP638" s="135">
        <f t="shared" si="368"/>
        <v>0</v>
      </c>
    </row>
    <row r="639" spans="1:42" s="101" customFormat="1" x14ac:dyDescent="0.2">
      <c r="A639" s="101" t="s">
        <v>103</v>
      </c>
      <c r="B639" s="170">
        <v>0</v>
      </c>
      <c r="C639" s="170">
        <f t="shared" ref="C639:AP639" si="369">IF(C$2=AnalysisPeriod,-C637,0)</f>
        <v>0</v>
      </c>
      <c r="D639" s="170">
        <f t="shared" si="369"/>
        <v>0</v>
      </c>
      <c r="E639" s="170">
        <f t="shared" si="369"/>
        <v>0</v>
      </c>
      <c r="F639" s="170">
        <f t="shared" si="369"/>
        <v>0</v>
      </c>
      <c r="G639" s="170">
        <f t="shared" si="369"/>
        <v>0</v>
      </c>
      <c r="H639" s="170">
        <f t="shared" si="369"/>
        <v>0</v>
      </c>
      <c r="I639" s="170">
        <f t="shared" si="369"/>
        <v>0</v>
      </c>
      <c r="J639" s="170">
        <f t="shared" si="369"/>
        <v>0</v>
      </c>
      <c r="K639" s="170">
        <f t="shared" si="369"/>
        <v>0</v>
      </c>
      <c r="L639" s="170">
        <f t="shared" si="369"/>
        <v>0</v>
      </c>
      <c r="M639" s="170">
        <f t="shared" si="369"/>
        <v>0</v>
      </c>
      <c r="N639" s="170">
        <f t="shared" si="369"/>
        <v>0</v>
      </c>
      <c r="O639" s="170">
        <f t="shared" si="369"/>
        <v>0</v>
      </c>
      <c r="P639" s="170">
        <f t="shared" si="369"/>
        <v>0</v>
      </c>
      <c r="Q639" s="170">
        <f t="shared" si="369"/>
        <v>0</v>
      </c>
      <c r="R639" s="170">
        <f t="shared" si="369"/>
        <v>0</v>
      </c>
      <c r="S639" s="170">
        <f t="shared" si="369"/>
        <v>0</v>
      </c>
      <c r="T639" s="170">
        <f t="shared" si="369"/>
        <v>0</v>
      </c>
      <c r="U639" s="170">
        <f t="shared" si="369"/>
        <v>0</v>
      </c>
      <c r="V639" s="170">
        <f t="shared" si="369"/>
        <v>0</v>
      </c>
      <c r="W639" s="170">
        <f t="shared" si="369"/>
        <v>0</v>
      </c>
      <c r="X639" s="170">
        <f t="shared" si="369"/>
        <v>0</v>
      </c>
      <c r="Y639" s="170">
        <f t="shared" si="369"/>
        <v>0</v>
      </c>
      <c r="Z639" s="170">
        <f t="shared" si="369"/>
        <v>0</v>
      </c>
      <c r="AA639" s="170">
        <f t="shared" si="369"/>
        <v>0</v>
      </c>
      <c r="AB639" s="170">
        <f t="shared" si="369"/>
        <v>0</v>
      </c>
      <c r="AC639" s="170">
        <f t="shared" si="369"/>
        <v>0</v>
      </c>
      <c r="AD639" s="170">
        <f t="shared" si="369"/>
        <v>0</v>
      </c>
      <c r="AE639" s="170">
        <f t="shared" si="369"/>
        <v>0</v>
      </c>
      <c r="AF639" s="170">
        <f t="shared" si="369"/>
        <v>0</v>
      </c>
      <c r="AG639" s="170">
        <f t="shared" si="369"/>
        <v>0</v>
      </c>
      <c r="AH639" s="170">
        <f t="shared" si="369"/>
        <v>0</v>
      </c>
      <c r="AI639" s="170">
        <f t="shared" si="369"/>
        <v>0</v>
      </c>
      <c r="AJ639" s="170">
        <f t="shared" si="369"/>
        <v>0</v>
      </c>
      <c r="AK639" s="170">
        <f t="shared" si="369"/>
        <v>0</v>
      </c>
      <c r="AL639" s="170">
        <f t="shared" si="369"/>
        <v>0</v>
      </c>
      <c r="AM639" s="170">
        <f t="shared" si="369"/>
        <v>0</v>
      </c>
      <c r="AN639" s="170">
        <f t="shared" si="369"/>
        <v>0</v>
      </c>
      <c r="AO639" s="170">
        <f t="shared" si="369"/>
        <v>0</v>
      </c>
      <c r="AP639" s="170">
        <f t="shared" si="369"/>
        <v>-496451.01079080044</v>
      </c>
    </row>
    <row r="640" spans="1:42" s="101" customFormat="1" x14ac:dyDescent="0.2">
      <c r="A640" s="101" t="s">
        <v>99</v>
      </c>
      <c r="B640" s="181">
        <f t="shared" ref="B640:AP640" si="370">(C23+C27+C31+C39+C40)*(SLWC/12)</f>
        <v>387206.93687500001</v>
      </c>
      <c r="C640" s="181">
        <f t="shared" si="370"/>
        <v>384431.16756824998</v>
      </c>
      <c r="D640" s="181">
        <f t="shared" si="370"/>
        <v>381739.62918197032</v>
      </c>
      <c r="E640" s="181">
        <f t="shared" si="370"/>
        <v>379134.01992367639</v>
      </c>
      <c r="F640" s="181">
        <f t="shared" si="370"/>
        <v>376616.07351194887</v>
      </c>
      <c r="G640" s="181">
        <f t="shared" si="370"/>
        <v>374187.55993867398</v>
      </c>
      <c r="H640" s="181">
        <f t="shared" si="370"/>
        <v>371850.28624794976</v>
      </c>
      <c r="I640" s="181">
        <f t="shared" si="370"/>
        <v>369606.09733202669</v>
      </c>
      <c r="J640" s="181">
        <f t="shared" si="370"/>
        <v>367456.87674465985</v>
      </c>
      <c r="K640" s="181">
        <f t="shared" si="370"/>
        <v>365404.54753225867</v>
      </c>
      <c r="L640" s="181">
        <f t="shared" si="370"/>
        <v>363451.07308322965</v>
      </c>
      <c r="M640" s="181">
        <f t="shared" si="370"/>
        <v>361598.45799591293</v>
      </c>
      <c r="N640" s="181">
        <f t="shared" si="370"/>
        <v>359848.74896552722</v>
      </c>
      <c r="O640" s="181">
        <f t="shared" si="370"/>
        <v>358204.03569054336</v>
      </c>
      <c r="P640" s="181">
        <f t="shared" si="370"/>
        <v>356666.45179891773</v>
      </c>
      <c r="Q640" s="181">
        <f t="shared" si="370"/>
        <v>355238.17579462606</v>
      </c>
      <c r="R640" s="181">
        <f t="shared" si="370"/>
        <v>353921.4320249476</v>
      </c>
      <c r="S640" s="181">
        <f t="shared" si="370"/>
        <v>352718.49166896072</v>
      </c>
      <c r="T640" s="181">
        <f t="shared" si="370"/>
        <v>351631.67374772049</v>
      </c>
      <c r="U640" s="181">
        <f t="shared" si="370"/>
        <v>350663.34615659888</v>
      </c>
      <c r="V640" s="181">
        <f t="shared" si="370"/>
        <v>349815.9267202809</v>
      </c>
      <c r="W640" s="181">
        <f t="shared" si="370"/>
        <v>356257.34536466864</v>
      </c>
      <c r="X640" s="181">
        <f t="shared" si="370"/>
        <v>362824.6619374578</v>
      </c>
      <c r="Y640" s="181">
        <f t="shared" si="370"/>
        <v>369520.45061541384</v>
      </c>
      <c r="Z640" s="181">
        <f t="shared" si="370"/>
        <v>376347.33996138244</v>
      </c>
      <c r="AA640" s="181">
        <f t="shared" si="370"/>
        <v>383308.01410033775</v>
      </c>
      <c r="AB640" s="181">
        <f t="shared" si="370"/>
        <v>390405.21392127697</v>
      </c>
      <c r="AC640" s="181">
        <f t="shared" si="370"/>
        <v>397641.73830553866</v>
      </c>
      <c r="AD640" s="181">
        <f t="shared" si="370"/>
        <v>405020.44538212963</v>
      </c>
      <c r="AE640" s="181">
        <f t="shared" si="370"/>
        <v>412544.253810664</v>
      </c>
      <c r="AF640" s="181">
        <f t="shared" si="370"/>
        <v>420216.14409252495</v>
      </c>
      <c r="AG640" s="181">
        <f t="shared" si="370"/>
        <v>428039.15991088084</v>
      </c>
      <c r="AH640" s="181">
        <f t="shared" si="370"/>
        <v>436016.40950019471</v>
      </c>
      <c r="AI640" s="181">
        <f t="shared" si="370"/>
        <v>444151.06704588479</v>
      </c>
      <c r="AJ640" s="181">
        <f t="shared" si="370"/>
        <v>452446.37411480671</v>
      </c>
      <c r="AK640" s="181">
        <f t="shared" si="370"/>
        <v>460905.64111724397</v>
      </c>
      <c r="AL640" s="181">
        <f t="shared" si="370"/>
        <v>469532.24880110752</v>
      </c>
      <c r="AM640" s="181">
        <f t="shared" si="370"/>
        <v>478329.64977906219</v>
      </c>
      <c r="AN640" s="181">
        <f t="shared" si="370"/>
        <v>487301.37008931278</v>
      </c>
      <c r="AO640" s="181">
        <f t="shared" si="370"/>
        <v>496451.01079080044</v>
      </c>
      <c r="AP640" s="181">
        <f t="shared" si="370"/>
        <v>0</v>
      </c>
    </row>
    <row r="641" spans="1:42" s="101" customFormat="1" x14ac:dyDescent="0.2">
      <c r="B641" s="181"/>
      <c r="C641" s="181"/>
      <c r="D641" s="181"/>
      <c r="E641" s="181"/>
      <c r="F641" s="181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</row>
    <row r="642" spans="1:42" s="101" customFormat="1" x14ac:dyDescent="0.2">
      <c r="A642" s="250" t="str">
        <f>'Inputs &amp; Results'!A178</f>
        <v>Lease Payment Reserve</v>
      </c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</row>
    <row r="643" spans="1:42" s="101" customFormat="1" x14ac:dyDescent="0.2">
      <c r="A643" s="101" t="s">
        <v>96</v>
      </c>
      <c r="B643" s="181">
        <v>0</v>
      </c>
      <c r="C643" s="181">
        <f>B646</f>
        <v>3113558.5054389434</v>
      </c>
      <c r="D643" s="181">
        <f t="shared" ref="D643" si="371">C646</f>
        <v>3113558.5054389434</v>
      </c>
      <c r="E643" s="181">
        <f t="shared" ref="E643" si="372">D646</f>
        <v>3113558.5054389434</v>
      </c>
      <c r="F643" s="181">
        <f t="shared" ref="F643" si="373">E646</f>
        <v>3113558.5054389434</v>
      </c>
      <c r="G643" s="181">
        <f t="shared" ref="G643" si="374">F646</f>
        <v>3113558.5054389434</v>
      </c>
      <c r="H643" s="181">
        <f t="shared" ref="H643" si="375">G646</f>
        <v>3113558.5054389434</v>
      </c>
      <c r="I643" s="181">
        <f t="shared" ref="I643" si="376">H646</f>
        <v>3113558.5054389434</v>
      </c>
      <c r="J643" s="181">
        <f t="shared" ref="J643" si="377">I646</f>
        <v>3113558.5054389434</v>
      </c>
      <c r="K643" s="181">
        <f t="shared" ref="K643" si="378">J646</f>
        <v>3113558.5054389434</v>
      </c>
      <c r="L643" s="181">
        <f t="shared" ref="L643" si="379">K646</f>
        <v>3113558.5054389434</v>
      </c>
      <c r="M643" s="181">
        <f t="shared" ref="M643" si="380">L646</f>
        <v>3113558.5054389434</v>
      </c>
      <c r="N643" s="181">
        <f t="shared" ref="N643" si="381">M646</f>
        <v>3113558.5054389434</v>
      </c>
      <c r="O643" s="181">
        <f t="shared" ref="O643" si="382">N646</f>
        <v>3113558.5054389434</v>
      </c>
      <c r="P643" s="181">
        <f t="shared" ref="P643" si="383">O646</f>
        <v>3113558.5054389434</v>
      </c>
      <c r="Q643" s="181">
        <f t="shared" ref="Q643" si="384">P646</f>
        <v>3113558.5054389434</v>
      </c>
      <c r="R643" s="181">
        <f t="shared" ref="R643" si="385">Q646</f>
        <v>3113558.5054389434</v>
      </c>
      <c r="S643" s="181">
        <f t="shared" ref="S643" si="386">R646</f>
        <v>3113558.5054389434</v>
      </c>
      <c r="T643" s="181">
        <f t="shared" ref="T643" si="387">S646</f>
        <v>3113558.5054389434</v>
      </c>
      <c r="U643" s="181">
        <f t="shared" ref="U643" si="388">T646</f>
        <v>3113558.5054389434</v>
      </c>
      <c r="V643" s="181">
        <f t="shared" ref="V643" si="389">U646</f>
        <v>3113558.5054389434</v>
      </c>
      <c r="W643" s="181">
        <f t="shared" ref="W643" si="390">V646</f>
        <v>3113558.5054389434</v>
      </c>
      <c r="X643" s="181">
        <f t="shared" ref="X643" si="391">W646</f>
        <v>3113558.5054389434</v>
      </c>
      <c r="Y643" s="181">
        <f t="shared" ref="Y643" si="392">X646</f>
        <v>3113558.5054389434</v>
      </c>
      <c r="Z643" s="181">
        <f t="shared" ref="Z643" si="393">Y646</f>
        <v>3113558.5054389434</v>
      </c>
      <c r="AA643" s="181">
        <f t="shared" ref="AA643" si="394">Z646</f>
        <v>3113558.5054389434</v>
      </c>
      <c r="AB643" s="181">
        <f t="shared" ref="AB643" si="395">AA646</f>
        <v>3113558.5054389434</v>
      </c>
      <c r="AC643" s="181">
        <f t="shared" ref="AC643" si="396">AB646</f>
        <v>3113558.5054389434</v>
      </c>
      <c r="AD643" s="181">
        <f t="shared" ref="AD643" si="397">AC646</f>
        <v>3113558.5054389434</v>
      </c>
      <c r="AE643" s="181">
        <f t="shared" ref="AE643" si="398">AD646</f>
        <v>3113558.5054389434</v>
      </c>
      <c r="AF643" s="181">
        <f t="shared" ref="AF643" si="399">AE646</f>
        <v>3113558.5054389434</v>
      </c>
      <c r="AG643" s="181">
        <f t="shared" ref="AG643" si="400">AF646</f>
        <v>3113558.5054389434</v>
      </c>
      <c r="AH643" s="181">
        <f t="shared" ref="AH643" si="401">AG646</f>
        <v>3113558.5054389434</v>
      </c>
      <c r="AI643" s="181">
        <f t="shared" ref="AI643" si="402">AH646</f>
        <v>3113558.5054389434</v>
      </c>
      <c r="AJ643" s="181">
        <f t="shared" ref="AJ643" si="403">AI646</f>
        <v>3113558.5054389434</v>
      </c>
      <c r="AK643" s="181">
        <f t="shared" ref="AK643" si="404">AJ646</f>
        <v>3113558.5054389434</v>
      </c>
      <c r="AL643" s="181">
        <f t="shared" ref="AL643" si="405">AK646</f>
        <v>3113558.5054389434</v>
      </c>
      <c r="AM643" s="181">
        <f t="shared" ref="AM643" si="406">AL646</f>
        <v>3113558.5054389434</v>
      </c>
      <c r="AN643" s="181">
        <f t="shared" ref="AN643" si="407">AM646</f>
        <v>3113558.5054389434</v>
      </c>
      <c r="AO643" s="181">
        <f t="shared" ref="AO643" si="408">AN646</f>
        <v>3113558.5054389434</v>
      </c>
      <c r="AP643" s="181">
        <f t="shared" ref="AP643" si="409">AO646</f>
        <v>3113558.5054389434</v>
      </c>
    </row>
    <row r="644" spans="1:42" s="101" customFormat="1" x14ac:dyDescent="0.2">
      <c r="A644" s="101" t="s">
        <v>97</v>
      </c>
      <c r="B644" s="181">
        <f>(LeaseReserveMonths/12)*C76</f>
        <v>3113558.5054389434</v>
      </c>
      <c r="C644" s="181">
        <v>0</v>
      </c>
      <c r="D644" s="181">
        <v>0</v>
      </c>
      <c r="E644" s="181">
        <v>0</v>
      </c>
      <c r="F644" s="181">
        <v>0</v>
      </c>
      <c r="G644" s="181">
        <v>0</v>
      </c>
      <c r="H644" s="181">
        <v>0</v>
      </c>
      <c r="I644" s="181">
        <v>0</v>
      </c>
      <c r="J644" s="181">
        <v>0</v>
      </c>
      <c r="K644" s="181">
        <v>0</v>
      </c>
      <c r="L644" s="181">
        <v>0</v>
      </c>
      <c r="M644" s="181">
        <v>0</v>
      </c>
      <c r="N644" s="181">
        <v>0</v>
      </c>
      <c r="O644" s="181">
        <v>0</v>
      </c>
      <c r="P644" s="181">
        <v>0</v>
      </c>
      <c r="Q644" s="181">
        <v>0</v>
      </c>
      <c r="R644" s="181">
        <v>0</v>
      </c>
      <c r="S644" s="181">
        <v>0</v>
      </c>
      <c r="T644" s="181">
        <v>0</v>
      </c>
      <c r="U644" s="181">
        <v>0</v>
      </c>
      <c r="V644" s="181">
        <v>0</v>
      </c>
      <c r="W644" s="181">
        <v>0</v>
      </c>
      <c r="X644" s="181">
        <v>0</v>
      </c>
      <c r="Y644" s="181">
        <v>0</v>
      </c>
      <c r="Z644" s="181">
        <v>0</v>
      </c>
      <c r="AA644" s="181">
        <v>0</v>
      </c>
      <c r="AB644" s="181">
        <v>0</v>
      </c>
      <c r="AC644" s="181">
        <v>0</v>
      </c>
      <c r="AD644" s="181">
        <v>0</v>
      </c>
      <c r="AE644" s="181">
        <v>0</v>
      </c>
      <c r="AF644" s="181">
        <v>0</v>
      </c>
      <c r="AG644" s="181">
        <v>0</v>
      </c>
      <c r="AH644" s="181">
        <v>0</v>
      </c>
      <c r="AI644" s="181">
        <v>0</v>
      </c>
      <c r="AJ644" s="181">
        <v>0</v>
      </c>
      <c r="AK644" s="181">
        <v>0</v>
      </c>
      <c r="AL644" s="181">
        <v>0</v>
      </c>
      <c r="AM644" s="181">
        <v>0</v>
      </c>
      <c r="AN644" s="181">
        <v>0</v>
      </c>
      <c r="AO644" s="181">
        <v>0</v>
      </c>
      <c r="AP644" s="181">
        <v>0</v>
      </c>
    </row>
    <row r="645" spans="1:42" s="101" customFormat="1" x14ac:dyDescent="0.2">
      <c r="A645" s="101" t="s">
        <v>103</v>
      </c>
      <c r="B645" s="186">
        <v>0</v>
      </c>
      <c r="C645" s="186">
        <f t="shared" ref="C645:AP645" si="410">IF(C$2=AnalysisPeriod,-C643,0)</f>
        <v>0</v>
      </c>
      <c r="D645" s="186">
        <f t="shared" si="410"/>
        <v>0</v>
      </c>
      <c r="E645" s="186">
        <f t="shared" si="410"/>
        <v>0</v>
      </c>
      <c r="F645" s="186">
        <f t="shared" si="410"/>
        <v>0</v>
      </c>
      <c r="G645" s="186">
        <f t="shared" si="410"/>
        <v>0</v>
      </c>
      <c r="H645" s="186">
        <f t="shared" si="410"/>
        <v>0</v>
      </c>
      <c r="I645" s="186">
        <f t="shared" si="410"/>
        <v>0</v>
      </c>
      <c r="J645" s="186">
        <f t="shared" si="410"/>
        <v>0</v>
      </c>
      <c r="K645" s="186">
        <f t="shared" si="410"/>
        <v>0</v>
      </c>
      <c r="L645" s="186">
        <f t="shared" si="410"/>
        <v>0</v>
      </c>
      <c r="M645" s="186">
        <f t="shared" si="410"/>
        <v>0</v>
      </c>
      <c r="N645" s="186">
        <f t="shared" si="410"/>
        <v>0</v>
      </c>
      <c r="O645" s="186">
        <f t="shared" si="410"/>
        <v>0</v>
      </c>
      <c r="P645" s="186">
        <f t="shared" si="410"/>
        <v>0</v>
      </c>
      <c r="Q645" s="186">
        <f t="shared" si="410"/>
        <v>0</v>
      </c>
      <c r="R645" s="186">
        <f t="shared" si="410"/>
        <v>0</v>
      </c>
      <c r="S645" s="186">
        <f t="shared" si="410"/>
        <v>0</v>
      </c>
      <c r="T645" s="186">
        <f t="shared" si="410"/>
        <v>0</v>
      </c>
      <c r="U645" s="186">
        <f t="shared" si="410"/>
        <v>0</v>
      </c>
      <c r="V645" s="186">
        <f t="shared" si="410"/>
        <v>0</v>
      </c>
      <c r="W645" s="186">
        <f t="shared" si="410"/>
        <v>0</v>
      </c>
      <c r="X645" s="186">
        <f t="shared" si="410"/>
        <v>0</v>
      </c>
      <c r="Y645" s="186">
        <f t="shared" si="410"/>
        <v>0</v>
      </c>
      <c r="Z645" s="186">
        <f t="shared" si="410"/>
        <v>0</v>
      </c>
      <c r="AA645" s="186">
        <f t="shared" si="410"/>
        <v>0</v>
      </c>
      <c r="AB645" s="186">
        <f t="shared" si="410"/>
        <v>0</v>
      </c>
      <c r="AC645" s="186">
        <f t="shared" si="410"/>
        <v>0</v>
      </c>
      <c r="AD645" s="186">
        <f t="shared" si="410"/>
        <v>0</v>
      </c>
      <c r="AE645" s="186">
        <f t="shared" si="410"/>
        <v>0</v>
      </c>
      <c r="AF645" s="186">
        <f t="shared" si="410"/>
        <v>0</v>
      </c>
      <c r="AG645" s="186">
        <f t="shared" si="410"/>
        <v>0</v>
      </c>
      <c r="AH645" s="186">
        <f t="shared" si="410"/>
        <v>0</v>
      </c>
      <c r="AI645" s="186">
        <f t="shared" si="410"/>
        <v>0</v>
      </c>
      <c r="AJ645" s="186">
        <f t="shared" si="410"/>
        <v>0</v>
      </c>
      <c r="AK645" s="186">
        <f t="shared" si="410"/>
        <v>0</v>
      </c>
      <c r="AL645" s="186">
        <f t="shared" si="410"/>
        <v>0</v>
      </c>
      <c r="AM645" s="186">
        <f t="shared" si="410"/>
        <v>0</v>
      </c>
      <c r="AN645" s="186">
        <f t="shared" si="410"/>
        <v>0</v>
      </c>
      <c r="AO645" s="186">
        <f t="shared" si="410"/>
        <v>0</v>
      </c>
      <c r="AP645" s="186">
        <f t="shared" si="410"/>
        <v>-3113558.5054389434</v>
      </c>
    </row>
    <row r="646" spans="1:42" s="101" customFormat="1" x14ac:dyDescent="0.2">
      <c r="A646" s="101" t="s">
        <v>99</v>
      </c>
      <c r="B646" s="181">
        <f>SUM(B643:B645)</f>
        <v>3113558.5054389434</v>
      </c>
      <c r="C646" s="181">
        <f t="shared" ref="C646:AP646" si="411">SUM(C643:C645)</f>
        <v>3113558.5054389434</v>
      </c>
      <c r="D646" s="181">
        <f t="shared" si="411"/>
        <v>3113558.5054389434</v>
      </c>
      <c r="E646" s="181">
        <f t="shared" si="411"/>
        <v>3113558.5054389434</v>
      </c>
      <c r="F646" s="181">
        <f t="shared" si="411"/>
        <v>3113558.5054389434</v>
      </c>
      <c r="G646" s="181">
        <f t="shared" si="411"/>
        <v>3113558.5054389434</v>
      </c>
      <c r="H646" s="181">
        <f t="shared" si="411"/>
        <v>3113558.5054389434</v>
      </c>
      <c r="I646" s="181">
        <f t="shared" si="411"/>
        <v>3113558.5054389434</v>
      </c>
      <c r="J646" s="181">
        <f t="shared" si="411"/>
        <v>3113558.5054389434</v>
      </c>
      <c r="K646" s="181">
        <f t="shared" si="411"/>
        <v>3113558.5054389434</v>
      </c>
      <c r="L646" s="181">
        <f t="shared" si="411"/>
        <v>3113558.5054389434</v>
      </c>
      <c r="M646" s="181">
        <f t="shared" si="411"/>
        <v>3113558.5054389434</v>
      </c>
      <c r="N646" s="181">
        <f t="shared" si="411"/>
        <v>3113558.5054389434</v>
      </c>
      <c r="O646" s="181">
        <f t="shared" si="411"/>
        <v>3113558.5054389434</v>
      </c>
      <c r="P646" s="181">
        <f t="shared" si="411"/>
        <v>3113558.5054389434</v>
      </c>
      <c r="Q646" s="181">
        <f t="shared" si="411"/>
        <v>3113558.5054389434</v>
      </c>
      <c r="R646" s="181">
        <f t="shared" si="411"/>
        <v>3113558.5054389434</v>
      </c>
      <c r="S646" s="181">
        <f t="shared" si="411"/>
        <v>3113558.5054389434</v>
      </c>
      <c r="T646" s="181">
        <f t="shared" si="411"/>
        <v>3113558.5054389434</v>
      </c>
      <c r="U646" s="181">
        <f t="shared" si="411"/>
        <v>3113558.5054389434</v>
      </c>
      <c r="V646" s="181">
        <f t="shared" si="411"/>
        <v>3113558.5054389434</v>
      </c>
      <c r="W646" s="181">
        <f t="shared" si="411"/>
        <v>3113558.5054389434</v>
      </c>
      <c r="X646" s="181">
        <f t="shared" si="411"/>
        <v>3113558.5054389434</v>
      </c>
      <c r="Y646" s="181">
        <f t="shared" si="411"/>
        <v>3113558.5054389434</v>
      </c>
      <c r="Z646" s="181">
        <f t="shared" si="411"/>
        <v>3113558.5054389434</v>
      </c>
      <c r="AA646" s="181">
        <f t="shared" si="411"/>
        <v>3113558.5054389434</v>
      </c>
      <c r="AB646" s="181">
        <f t="shared" si="411"/>
        <v>3113558.5054389434</v>
      </c>
      <c r="AC646" s="181">
        <f t="shared" si="411"/>
        <v>3113558.5054389434</v>
      </c>
      <c r="AD646" s="181">
        <f t="shared" si="411"/>
        <v>3113558.5054389434</v>
      </c>
      <c r="AE646" s="181">
        <f t="shared" si="411"/>
        <v>3113558.5054389434</v>
      </c>
      <c r="AF646" s="181">
        <f t="shared" si="411"/>
        <v>3113558.5054389434</v>
      </c>
      <c r="AG646" s="181">
        <f t="shared" si="411"/>
        <v>3113558.5054389434</v>
      </c>
      <c r="AH646" s="181">
        <f t="shared" si="411"/>
        <v>3113558.5054389434</v>
      </c>
      <c r="AI646" s="181">
        <f t="shared" si="411"/>
        <v>3113558.5054389434</v>
      </c>
      <c r="AJ646" s="181">
        <f t="shared" si="411"/>
        <v>3113558.5054389434</v>
      </c>
      <c r="AK646" s="181">
        <f t="shared" si="411"/>
        <v>3113558.5054389434</v>
      </c>
      <c r="AL646" s="181">
        <f t="shared" si="411"/>
        <v>3113558.5054389434</v>
      </c>
      <c r="AM646" s="181">
        <f t="shared" si="411"/>
        <v>3113558.5054389434</v>
      </c>
      <c r="AN646" s="181">
        <f t="shared" si="411"/>
        <v>3113558.5054389434</v>
      </c>
      <c r="AO646" s="181">
        <f t="shared" si="411"/>
        <v>3113558.5054389434</v>
      </c>
      <c r="AP646" s="181">
        <f t="shared" si="411"/>
        <v>0</v>
      </c>
    </row>
    <row r="647" spans="1:42" s="101" customFormat="1" x14ac:dyDescent="0.2">
      <c r="B647" s="181"/>
      <c r="C647" s="181"/>
      <c r="D647" s="181"/>
      <c r="E647" s="181"/>
      <c r="F647" s="181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</row>
    <row r="648" spans="1:42" x14ac:dyDescent="0.2">
      <c r="A648" s="165" t="s">
        <v>296</v>
      </c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</row>
    <row r="649" spans="1:42" x14ac:dyDescent="0.2">
      <c r="A649" s="20" t="s">
        <v>96</v>
      </c>
      <c r="B649" s="135">
        <v>0</v>
      </c>
      <c r="C649" s="135">
        <f>B652</f>
        <v>0</v>
      </c>
      <c r="D649" s="135">
        <f t="shared" ref="D649:AP649" si="412">C652</f>
        <v>245406.02862510949</v>
      </c>
      <c r="E649" s="135">
        <f t="shared" si="412"/>
        <v>490812.05725021899</v>
      </c>
      <c r="F649" s="135">
        <f t="shared" si="412"/>
        <v>736218.08587532851</v>
      </c>
      <c r="G649" s="135">
        <f t="shared" si="412"/>
        <v>981624.11450043798</v>
      </c>
      <c r="H649" s="135">
        <f t="shared" si="412"/>
        <v>1227030.1431255476</v>
      </c>
      <c r="I649" s="135">
        <f t="shared" si="412"/>
        <v>1472436.171750657</v>
      </c>
      <c r="J649" s="135">
        <f t="shared" si="412"/>
        <v>1717842.2003757665</v>
      </c>
      <c r="K649" s="135">
        <f t="shared" si="412"/>
        <v>1963248.229000876</v>
      </c>
      <c r="L649" s="135">
        <f t="shared" si="412"/>
        <v>2208654.2576259854</v>
      </c>
      <c r="M649" s="135">
        <f t="shared" si="412"/>
        <v>2454060.2862510951</v>
      </c>
      <c r="N649" s="135">
        <f t="shared" si="412"/>
        <v>2699466.3148762048</v>
      </c>
      <c r="O649" s="135">
        <f t="shared" si="412"/>
        <v>0</v>
      </c>
      <c r="P649" s="135">
        <f t="shared" si="412"/>
        <v>293411.90721039008</v>
      </c>
      <c r="Q649" s="135">
        <f t="shared" si="412"/>
        <v>586823.81442078017</v>
      </c>
      <c r="R649" s="135">
        <f t="shared" si="412"/>
        <v>880235.72163117025</v>
      </c>
      <c r="S649" s="135">
        <f t="shared" si="412"/>
        <v>1173647.6288415603</v>
      </c>
      <c r="T649" s="135">
        <f t="shared" si="412"/>
        <v>1467059.5360519504</v>
      </c>
      <c r="U649" s="135">
        <f t="shared" si="412"/>
        <v>1760471.4432623405</v>
      </c>
      <c r="V649" s="135">
        <f t="shared" si="412"/>
        <v>2053883.3504727306</v>
      </c>
      <c r="W649" s="135">
        <f t="shared" si="412"/>
        <v>2347295.2576831207</v>
      </c>
      <c r="X649" s="135">
        <f t="shared" si="412"/>
        <v>2640707.1648935108</v>
      </c>
      <c r="Y649" s="135">
        <f t="shared" si="412"/>
        <v>2934119.0721039008</v>
      </c>
      <c r="Z649" s="135">
        <f t="shared" si="412"/>
        <v>3227530.9793142909</v>
      </c>
      <c r="AA649" s="135">
        <f t="shared" si="412"/>
        <v>0</v>
      </c>
      <c r="AB649" s="135">
        <f t="shared" si="412"/>
        <v>350808.60798392771</v>
      </c>
      <c r="AC649" s="135">
        <f t="shared" si="412"/>
        <v>701617.21596785542</v>
      </c>
      <c r="AD649" s="135">
        <f t="shared" si="412"/>
        <v>1052425.8239517831</v>
      </c>
      <c r="AE649" s="135">
        <f t="shared" si="412"/>
        <v>1403234.4319357108</v>
      </c>
      <c r="AF649" s="135">
        <f t="shared" si="412"/>
        <v>1754043.0399196385</v>
      </c>
      <c r="AG649" s="135">
        <f t="shared" si="412"/>
        <v>2104851.6479035662</v>
      </c>
      <c r="AH649" s="135">
        <f t="shared" si="412"/>
        <v>2455660.255887494</v>
      </c>
      <c r="AI649" s="135">
        <f t="shared" si="412"/>
        <v>2806468.8638714217</v>
      </c>
      <c r="AJ649" s="135">
        <f t="shared" si="412"/>
        <v>3157277.4718553494</v>
      </c>
      <c r="AK649" s="135">
        <f t="shared" si="412"/>
        <v>3508086.0798392771</v>
      </c>
      <c r="AL649" s="135">
        <f t="shared" si="412"/>
        <v>3858894.6878232048</v>
      </c>
      <c r="AM649" s="135">
        <f t="shared" si="412"/>
        <v>0</v>
      </c>
      <c r="AN649" s="135">
        <f t="shared" si="412"/>
        <v>0</v>
      </c>
      <c r="AO649" s="135">
        <f t="shared" si="412"/>
        <v>0</v>
      </c>
      <c r="AP649" s="135">
        <f t="shared" si="412"/>
        <v>0</v>
      </c>
    </row>
    <row r="650" spans="1:42" x14ac:dyDescent="0.2">
      <c r="A650" s="20" t="s">
        <v>183</v>
      </c>
      <c r="B650" s="135">
        <v>0</v>
      </c>
      <c r="C650" s="135">
        <f>C678</f>
        <v>245406.02862510949</v>
      </c>
      <c r="D650" s="135">
        <f t="shared" ref="D650:AP650" si="413">D678</f>
        <v>245406.02862510949</v>
      </c>
      <c r="E650" s="135">
        <f t="shared" si="413"/>
        <v>245406.02862510949</v>
      </c>
      <c r="F650" s="135">
        <f t="shared" si="413"/>
        <v>245406.02862510949</v>
      </c>
      <c r="G650" s="135">
        <f t="shared" si="413"/>
        <v>245406.02862510949</v>
      </c>
      <c r="H650" s="135">
        <f t="shared" si="413"/>
        <v>245406.02862510949</v>
      </c>
      <c r="I650" s="135">
        <f t="shared" si="413"/>
        <v>245406.02862510949</v>
      </c>
      <c r="J650" s="135">
        <f t="shared" si="413"/>
        <v>245406.02862510949</v>
      </c>
      <c r="K650" s="135">
        <f t="shared" si="413"/>
        <v>245406.02862510949</v>
      </c>
      <c r="L650" s="135">
        <f t="shared" si="413"/>
        <v>245406.02862510949</v>
      </c>
      <c r="M650" s="135">
        <f t="shared" si="413"/>
        <v>245406.02862510949</v>
      </c>
      <c r="N650" s="135">
        <f t="shared" si="413"/>
        <v>245406.02862510949</v>
      </c>
      <c r="O650" s="135">
        <f t="shared" si="413"/>
        <v>293411.90721039008</v>
      </c>
      <c r="P650" s="135">
        <f t="shared" si="413"/>
        <v>293411.90721039008</v>
      </c>
      <c r="Q650" s="135">
        <f t="shared" si="413"/>
        <v>293411.90721039008</v>
      </c>
      <c r="R650" s="135">
        <f t="shared" si="413"/>
        <v>293411.90721039008</v>
      </c>
      <c r="S650" s="135">
        <f t="shared" si="413"/>
        <v>293411.90721039008</v>
      </c>
      <c r="T650" s="135">
        <f t="shared" si="413"/>
        <v>293411.90721039008</v>
      </c>
      <c r="U650" s="135">
        <f t="shared" si="413"/>
        <v>293411.90721039008</v>
      </c>
      <c r="V650" s="135">
        <f t="shared" si="413"/>
        <v>293411.90721039008</v>
      </c>
      <c r="W650" s="135">
        <f t="shared" si="413"/>
        <v>293411.90721039008</v>
      </c>
      <c r="X650" s="135">
        <f t="shared" si="413"/>
        <v>293411.90721039008</v>
      </c>
      <c r="Y650" s="135">
        <f t="shared" si="413"/>
        <v>293411.90721039008</v>
      </c>
      <c r="Z650" s="135">
        <f t="shared" si="413"/>
        <v>293411.90721039008</v>
      </c>
      <c r="AA650" s="135">
        <f t="shared" si="413"/>
        <v>350808.60798392771</v>
      </c>
      <c r="AB650" s="135">
        <f t="shared" si="413"/>
        <v>350808.60798392771</v>
      </c>
      <c r="AC650" s="135">
        <f t="shared" si="413"/>
        <v>350808.60798392771</v>
      </c>
      <c r="AD650" s="135">
        <f t="shared" si="413"/>
        <v>350808.60798392771</v>
      </c>
      <c r="AE650" s="135">
        <f t="shared" si="413"/>
        <v>350808.60798392771</v>
      </c>
      <c r="AF650" s="135">
        <f t="shared" si="413"/>
        <v>350808.60798392771</v>
      </c>
      <c r="AG650" s="135">
        <f t="shared" si="413"/>
        <v>350808.60798392771</v>
      </c>
      <c r="AH650" s="135">
        <f t="shared" si="413"/>
        <v>350808.60798392771</v>
      </c>
      <c r="AI650" s="135">
        <f t="shared" si="413"/>
        <v>350808.60798392771</v>
      </c>
      <c r="AJ650" s="135">
        <f t="shared" si="413"/>
        <v>350808.60798392771</v>
      </c>
      <c r="AK650" s="135">
        <f t="shared" si="413"/>
        <v>350808.60798392771</v>
      </c>
      <c r="AL650" s="135">
        <f t="shared" si="413"/>
        <v>350808.60798392771</v>
      </c>
      <c r="AM650" s="135">
        <f t="shared" si="413"/>
        <v>0</v>
      </c>
      <c r="AN650" s="135">
        <f t="shared" si="413"/>
        <v>0</v>
      </c>
      <c r="AO650" s="135">
        <f t="shared" si="413"/>
        <v>0</v>
      </c>
      <c r="AP650" s="135">
        <f t="shared" si="413"/>
        <v>0</v>
      </c>
    </row>
    <row r="651" spans="1:42" x14ac:dyDescent="0.2">
      <c r="A651" s="20" t="s">
        <v>103</v>
      </c>
      <c r="B651" s="170">
        <v>0</v>
      </c>
      <c r="C651" s="170">
        <f>-C666</f>
        <v>0</v>
      </c>
      <c r="D651" s="170">
        <f t="shared" ref="D651:AP651" si="414">-D666</f>
        <v>0</v>
      </c>
      <c r="E651" s="170">
        <f t="shared" si="414"/>
        <v>0</v>
      </c>
      <c r="F651" s="170">
        <f t="shared" si="414"/>
        <v>0</v>
      </c>
      <c r="G651" s="170">
        <f t="shared" si="414"/>
        <v>0</v>
      </c>
      <c r="H651" s="170">
        <f t="shared" si="414"/>
        <v>0</v>
      </c>
      <c r="I651" s="170">
        <f t="shared" si="414"/>
        <v>0</v>
      </c>
      <c r="J651" s="170">
        <f t="shared" si="414"/>
        <v>0</v>
      </c>
      <c r="K651" s="170">
        <f t="shared" si="414"/>
        <v>0</v>
      </c>
      <c r="L651" s="170">
        <f t="shared" si="414"/>
        <v>0</v>
      </c>
      <c r="M651" s="170">
        <f t="shared" si="414"/>
        <v>0</v>
      </c>
      <c r="N651" s="170">
        <f t="shared" si="414"/>
        <v>-2944872.3435013141</v>
      </c>
      <c r="O651" s="170">
        <f t="shared" si="414"/>
        <v>0</v>
      </c>
      <c r="P651" s="170">
        <f t="shared" si="414"/>
        <v>0</v>
      </c>
      <c r="Q651" s="170">
        <f t="shared" si="414"/>
        <v>0</v>
      </c>
      <c r="R651" s="170">
        <f t="shared" si="414"/>
        <v>0</v>
      </c>
      <c r="S651" s="170">
        <f t="shared" si="414"/>
        <v>0</v>
      </c>
      <c r="T651" s="170">
        <f t="shared" si="414"/>
        <v>0</v>
      </c>
      <c r="U651" s="170">
        <f t="shared" si="414"/>
        <v>0</v>
      </c>
      <c r="V651" s="170">
        <f t="shared" si="414"/>
        <v>0</v>
      </c>
      <c r="W651" s="170">
        <f t="shared" si="414"/>
        <v>0</v>
      </c>
      <c r="X651" s="170">
        <f t="shared" si="414"/>
        <v>0</v>
      </c>
      <c r="Y651" s="170">
        <f t="shared" si="414"/>
        <v>0</v>
      </c>
      <c r="Z651" s="170">
        <f t="shared" si="414"/>
        <v>-3520942.886524681</v>
      </c>
      <c r="AA651" s="170">
        <f t="shared" si="414"/>
        <v>0</v>
      </c>
      <c r="AB651" s="170">
        <f t="shared" si="414"/>
        <v>0</v>
      </c>
      <c r="AC651" s="170">
        <f t="shared" si="414"/>
        <v>0</v>
      </c>
      <c r="AD651" s="170">
        <f t="shared" si="414"/>
        <v>0</v>
      </c>
      <c r="AE651" s="170">
        <f t="shared" si="414"/>
        <v>0</v>
      </c>
      <c r="AF651" s="170">
        <f t="shared" si="414"/>
        <v>0</v>
      </c>
      <c r="AG651" s="170">
        <f t="shared" si="414"/>
        <v>0</v>
      </c>
      <c r="AH651" s="170">
        <f t="shared" si="414"/>
        <v>0</v>
      </c>
      <c r="AI651" s="170">
        <f t="shared" si="414"/>
        <v>0</v>
      </c>
      <c r="AJ651" s="170">
        <f t="shared" si="414"/>
        <v>0</v>
      </c>
      <c r="AK651" s="170">
        <f t="shared" si="414"/>
        <v>0</v>
      </c>
      <c r="AL651" s="170">
        <f t="shared" si="414"/>
        <v>-4209703.2958071325</v>
      </c>
      <c r="AM651" s="170">
        <f t="shared" si="414"/>
        <v>0</v>
      </c>
      <c r="AN651" s="170">
        <f t="shared" si="414"/>
        <v>0</v>
      </c>
      <c r="AO651" s="170">
        <f t="shared" si="414"/>
        <v>0</v>
      </c>
      <c r="AP651" s="170">
        <f t="shared" si="414"/>
        <v>0</v>
      </c>
    </row>
    <row r="652" spans="1:42" x14ac:dyDescent="0.2">
      <c r="A652" s="20" t="s">
        <v>99</v>
      </c>
      <c r="B652" s="135">
        <f>SUM(B649:B651)</f>
        <v>0</v>
      </c>
      <c r="C652" s="135">
        <f>SUM(C649:C651)</f>
        <v>245406.02862510949</v>
      </c>
      <c r="D652" s="135">
        <f t="shared" ref="D652:AP652" si="415">SUM(D649:D651)</f>
        <v>490812.05725021899</v>
      </c>
      <c r="E652" s="135">
        <f t="shared" si="415"/>
        <v>736218.08587532851</v>
      </c>
      <c r="F652" s="135">
        <f t="shared" si="415"/>
        <v>981624.11450043798</v>
      </c>
      <c r="G652" s="135">
        <f t="shared" si="415"/>
        <v>1227030.1431255476</v>
      </c>
      <c r="H652" s="135">
        <f t="shared" si="415"/>
        <v>1472436.171750657</v>
      </c>
      <c r="I652" s="135">
        <f t="shared" si="415"/>
        <v>1717842.2003757665</v>
      </c>
      <c r="J652" s="135">
        <f t="shared" si="415"/>
        <v>1963248.229000876</v>
      </c>
      <c r="K652" s="135">
        <f t="shared" si="415"/>
        <v>2208654.2576259854</v>
      </c>
      <c r="L652" s="135">
        <f t="shared" si="415"/>
        <v>2454060.2862510951</v>
      </c>
      <c r="M652" s="135">
        <f t="shared" si="415"/>
        <v>2699466.3148762048</v>
      </c>
      <c r="N652" s="135">
        <f t="shared" si="415"/>
        <v>0</v>
      </c>
      <c r="O652" s="135">
        <f t="shared" si="415"/>
        <v>293411.90721039008</v>
      </c>
      <c r="P652" s="135">
        <f t="shared" si="415"/>
        <v>586823.81442078017</v>
      </c>
      <c r="Q652" s="135">
        <f t="shared" si="415"/>
        <v>880235.72163117025</v>
      </c>
      <c r="R652" s="135">
        <f t="shared" si="415"/>
        <v>1173647.6288415603</v>
      </c>
      <c r="S652" s="135">
        <f t="shared" si="415"/>
        <v>1467059.5360519504</v>
      </c>
      <c r="T652" s="135">
        <f t="shared" si="415"/>
        <v>1760471.4432623405</v>
      </c>
      <c r="U652" s="135">
        <f t="shared" si="415"/>
        <v>2053883.3504727306</v>
      </c>
      <c r="V652" s="135">
        <f t="shared" si="415"/>
        <v>2347295.2576831207</v>
      </c>
      <c r="W652" s="135">
        <f t="shared" si="415"/>
        <v>2640707.1648935108</v>
      </c>
      <c r="X652" s="135">
        <f t="shared" si="415"/>
        <v>2934119.0721039008</v>
      </c>
      <c r="Y652" s="135">
        <f t="shared" si="415"/>
        <v>3227530.9793142909</v>
      </c>
      <c r="Z652" s="135">
        <f t="shared" si="415"/>
        <v>0</v>
      </c>
      <c r="AA652" s="135">
        <f t="shared" si="415"/>
        <v>350808.60798392771</v>
      </c>
      <c r="AB652" s="135">
        <f t="shared" si="415"/>
        <v>701617.21596785542</v>
      </c>
      <c r="AC652" s="135">
        <f t="shared" si="415"/>
        <v>1052425.8239517831</v>
      </c>
      <c r="AD652" s="135">
        <f t="shared" si="415"/>
        <v>1403234.4319357108</v>
      </c>
      <c r="AE652" s="135">
        <f t="shared" si="415"/>
        <v>1754043.0399196385</v>
      </c>
      <c r="AF652" s="135">
        <f t="shared" si="415"/>
        <v>2104851.6479035662</v>
      </c>
      <c r="AG652" s="135">
        <f t="shared" si="415"/>
        <v>2455660.255887494</v>
      </c>
      <c r="AH652" s="135">
        <f t="shared" si="415"/>
        <v>2806468.8638714217</v>
      </c>
      <c r="AI652" s="135">
        <f t="shared" si="415"/>
        <v>3157277.4718553494</v>
      </c>
      <c r="AJ652" s="135">
        <f t="shared" si="415"/>
        <v>3508086.0798392771</v>
      </c>
      <c r="AK652" s="135">
        <f t="shared" si="415"/>
        <v>3858894.6878232048</v>
      </c>
      <c r="AL652" s="135">
        <f t="shared" si="415"/>
        <v>0</v>
      </c>
      <c r="AM652" s="135">
        <f t="shared" si="415"/>
        <v>0</v>
      </c>
      <c r="AN652" s="135">
        <f t="shared" si="415"/>
        <v>0</v>
      </c>
      <c r="AO652" s="135">
        <f t="shared" si="415"/>
        <v>0</v>
      </c>
      <c r="AP652" s="135">
        <f t="shared" si="415"/>
        <v>0</v>
      </c>
    </row>
    <row r="653" spans="1:42" x14ac:dyDescent="0.2">
      <c r="B653" s="135"/>
      <c r="C653" s="135"/>
      <c r="D653" s="135"/>
      <c r="E653" s="135"/>
      <c r="F653" s="135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</row>
    <row r="654" spans="1:42" x14ac:dyDescent="0.2">
      <c r="A654" s="20" t="s">
        <v>181</v>
      </c>
      <c r="B654" s="135"/>
      <c r="C654" s="135"/>
      <c r="D654" s="135"/>
      <c r="E654" s="135"/>
      <c r="F654" s="135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</row>
    <row r="655" spans="1:42" x14ac:dyDescent="0.2">
      <c r="A655" s="20" t="s">
        <v>182</v>
      </c>
      <c r="B655" s="135"/>
      <c r="C655" s="135"/>
      <c r="D655" s="135"/>
      <c r="E655" s="135"/>
      <c r="F655" s="135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</row>
    <row r="656" spans="1:42" x14ac:dyDescent="0.2">
      <c r="A656" s="20">
        <v>1</v>
      </c>
      <c r="B656" s="179">
        <f t="shared" ref="B656:B665" si="416">SUM(C656:AP656)</f>
        <v>2944872.3435013141</v>
      </c>
      <c r="C656" s="169">
        <f t="shared" ref="C656:R665" si="417">IF(C$2&gt;AnalysisPeriod,0,IF(C$2=MMFrequency*$A656,MMCost*CapacityDC*1000*(1+Inflation)^B$2,0))</f>
        <v>0</v>
      </c>
      <c r="D656" s="169">
        <f t="shared" si="417"/>
        <v>0</v>
      </c>
      <c r="E656" s="169">
        <f t="shared" si="417"/>
        <v>0</v>
      </c>
      <c r="F656" s="169">
        <f t="shared" si="417"/>
        <v>0</v>
      </c>
      <c r="G656" s="169">
        <f t="shared" si="417"/>
        <v>0</v>
      </c>
      <c r="H656" s="169">
        <f t="shared" si="417"/>
        <v>0</v>
      </c>
      <c r="I656" s="169">
        <f t="shared" si="417"/>
        <v>0</v>
      </c>
      <c r="J656" s="169">
        <f t="shared" si="417"/>
        <v>0</v>
      </c>
      <c r="K656" s="169">
        <f t="shared" si="417"/>
        <v>0</v>
      </c>
      <c r="L656" s="169">
        <f t="shared" si="417"/>
        <v>0</v>
      </c>
      <c r="M656" s="169">
        <f t="shared" si="417"/>
        <v>0</v>
      </c>
      <c r="N656" s="169">
        <f t="shared" si="417"/>
        <v>2944872.3435013141</v>
      </c>
      <c r="O656" s="169">
        <f t="shared" si="417"/>
        <v>0</v>
      </c>
      <c r="P656" s="169">
        <f t="shared" si="417"/>
        <v>0</v>
      </c>
      <c r="Q656" s="169">
        <f t="shared" si="417"/>
        <v>0</v>
      </c>
      <c r="R656" s="169">
        <f t="shared" si="417"/>
        <v>0</v>
      </c>
      <c r="S656" s="169">
        <f t="shared" ref="S656:AH665" si="418">IF(S$2&gt;AnalysisPeriod,0,IF(S$2=MMFrequency*$A656,MMCost*CapacityDC*1000*(1+Inflation)^R$2,0))</f>
        <v>0</v>
      </c>
      <c r="T656" s="169">
        <f t="shared" si="418"/>
        <v>0</v>
      </c>
      <c r="U656" s="169">
        <f t="shared" si="418"/>
        <v>0</v>
      </c>
      <c r="V656" s="169">
        <f t="shared" si="418"/>
        <v>0</v>
      </c>
      <c r="W656" s="169">
        <f t="shared" si="418"/>
        <v>0</v>
      </c>
      <c r="X656" s="169">
        <f t="shared" si="418"/>
        <v>0</v>
      </c>
      <c r="Y656" s="169">
        <f t="shared" si="418"/>
        <v>0</v>
      </c>
      <c r="Z656" s="169">
        <f t="shared" si="418"/>
        <v>0</v>
      </c>
      <c r="AA656" s="169">
        <f t="shared" si="418"/>
        <v>0</v>
      </c>
      <c r="AB656" s="169">
        <f t="shared" si="418"/>
        <v>0</v>
      </c>
      <c r="AC656" s="169">
        <f t="shared" si="418"/>
        <v>0</v>
      </c>
      <c r="AD656" s="169">
        <f t="shared" si="418"/>
        <v>0</v>
      </c>
      <c r="AE656" s="169">
        <f t="shared" si="418"/>
        <v>0</v>
      </c>
      <c r="AF656" s="169">
        <f t="shared" si="418"/>
        <v>0</v>
      </c>
      <c r="AG656" s="169">
        <f t="shared" si="418"/>
        <v>0</v>
      </c>
      <c r="AH656" s="169">
        <f t="shared" si="418"/>
        <v>0</v>
      </c>
      <c r="AI656" s="169">
        <f t="shared" ref="AI656:AP665" si="419">IF(AI$2&gt;AnalysisPeriod,0,IF(AI$2=MMFrequency*$A656,MMCost*CapacityDC*1000*(1+Inflation)^AH$2,0))</f>
        <v>0</v>
      </c>
      <c r="AJ656" s="169">
        <f t="shared" si="419"/>
        <v>0</v>
      </c>
      <c r="AK656" s="169">
        <f t="shared" si="419"/>
        <v>0</v>
      </c>
      <c r="AL656" s="169">
        <f t="shared" si="419"/>
        <v>0</v>
      </c>
      <c r="AM656" s="169">
        <f t="shared" si="419"/>
        <v>0</v>
      </c>
      <c r="AN656" s="169">
        <f t="shared" si="419"/>
        <v>0</v>
      </c>
      <c r="AO656" s="169">
        <f t="shared" si="419"/>
        <v>0</v>
      </c>
      <c r="AP656" s="169">
        <f t="shared" si="419"/>
        <v>0</v>
      </c>
    </row>
    <row r="657" spans="1:42" x14ac:dyDescent="0.2">
      <c r="A657" s="20">
        <f>A656+1</f>
        <v>2</v>
      </c>
      <c r="B657" s="179">
        <f t="shared" si="416"/>
        <v>3520942.886524681</v>
      </c>
      <c r="C657" s="169">
        <f t="shared" si="417"/>
        <v>0</v>
      </c>
      <c r="D657" s="169">
        <f t="shared" si="417"/>
        <v>0</v>
      </c>
      <c r="E657" s="169">
        <f t="shared" si="417"/>
        <v>0</v>
      </c>
      <c r="F657" s="169">
        <f t="shared" si="417"/>
        <v>0</v>
      </c>
      <c r="G657" s="169">
        <f t="shared" si="417"/>
        <v>0</v>
      </c>
      <c r="H657" s="169">
        <f t="shared" si="417"/>
        <v>0</v>
      </c>
      <c r="I657" s="169">
        <f t="shared" si="417"/>
        <v>0</v>
      </c>
      <c r="J657" s="169">
        <f t="shared" si="417"/>
        <v>0</v>
      </c>
      <c r="K657" s="169">
        <f t="shared" si="417"/>
        <v>0</v>
      </c>
      <c r="L657" s="169">
        <f t="shared" si="417"/>
        <v>0</v>
      </c>
      <c r="M657" s="169">
        <f t="shared" si="417"/>
        <v>0</v>
      </c>
      <c r="N657" s="169">
        <f t="shared" si="417"/>
        <v>0</v>
      </c>
      <c r="O657" s="169">
        <f t="shared" si="417"/>
        <v>0</v>
      </c>
      <c r="P657" s="169">
        <f t="shared" si="417"/>
        <v>0</v>
      </c>
      <c r="Q657" s="169">
        <f t="shared" si="417"/>
        <v>0</v>
      </c>
      <c r="R657" s="169">
        <f t="shared" si="417"/>
        <v>0</v>
      </c>
      <c r="S657" s="169">
        <f t="shared" si="418"/>
        <v>0</v>
      </c>
      <c r="T657" s="169">
        <f t="shared" si="418"/>
        <v>0</v>
      </c>
      <c r="U657" s="169">
        <f t="shared" si="418"/>
        <v>0</v>
      </c>
      <c r="V657" s="169">
        <f t="shared" si="418"/>
        <v>0</v>
      </c>
      <c r="W657" s="169">
        <f t="shared" si="418"/>
        <v>0</v>
      </c>
      <c r="X657" s="169">
        <f t="shared" si="418"/>
        <v>0</v>
      </c>
      <c r="Y657" s="169">
        <f t="shared" si="418"/>
        <v>0</v>
      </c>
      <c r="Z657" s="169">
        <f t="shared" si="418"/>
        <v>3520942.886524681</v>
      </c>
      <c r="AA657" s="169">
        <f t="shared" si="418"/>
        <v>0</v>
      </c>
      <c r="AB657" s="169">
        <f t="shared" si="418"/>
        <v>0</v>
      </c>
      <c r="AC657" s="169">
        <f t="shared" si="418"/>
        <v>0</v>
      </c>
      <c r="AD657" s="169">
        <f t="shared" si="418"/>
        <v>0</v>
      </c>
      <c r="AE657" s="169">
        <f t="shared" si="418"/>
        <v>0</v>
      </c>
      <c r="AF657" s="169">
        <f t="shared" si="418"/>
        <v>0</v>
      </c>
      <c r="AG657" s="169">
        <f t="shared" si="418"/>
        <v>0</v>
      </c>
      <c r="AH657" s="169">
        <f t="shared" si="418"/>
        <v>0</v>
      </c>
      <c r="AI657" s="169">
        <f t="shared" si="419"/>
        <v>0</v>
      </c>
      <c r="AJ657" s="169">
        <f t="shared" si="419"/>
        <v>0</v>
      </c>
      <c r="AK657" s="169">
        <f t="shared" si="419"/>
        <v>0</v>
      </c>
      <c r="AL657" s="169">
        <f t="shared" si="419"/>
        <v>0</v>
      </c>
      <c r="AM657" s="169">
        <f t="shared" si="419"/>
        <v>0</v>
      </c>
      <c r="AN657" s="169">
        <f t="shared" si="419"/>
        <v>0</v>
      </c>
      <c r="AO657" s="169">
        <f t="shared" si="419"/>
        <v>0</v>
      </c>
      <c r="AP657" s="169">
        <f t="shared" si="419"/>
        <v>0</v>
      </c>
    </row>
    <row r="658" spans="1:42" x14ac:dyDescent="0.2">
      <c r="A658" s="20">
        <f t="shared" ref="A658:A665" si="420">A657+1</f>
        <v>3</v>
      </c>
      <c r="B658" s="179">
        <f t="shared" si="416"/>
        <v>4209703.2958071325</v>
      </c>
      <c r="C658" s="169">
        <f t="shared" si="417"/>
        <v>0</v>
      </c>
      <c r="D658" s="169">
        <f t="shared" si="417"/>
        <v>0</v>
      </c>
      <c r="E658" s="169">
        <f t="shared" si="417"/>
        <v>0</v>
      </c>
      <c r="F658" s="169">
        <f t="shared" si="417"/>
        <v>0</v>
      </c>
      <c r="G658" s="169">
        <f t="shared" si="417"/>
        <v>0</v>
      </c>
      <c r="H658" s="169">
        <f t="shared" si="417"/>
        <v>0</v>
      </c>
      <c r="I658" s="169">
        <f t="shared" si="417"/>
        <v>0</v>
      </c>
      <c r="J658" s="169">
        <f t="shared" si="417"/>
        <v>0</v>
      </c>
      <c r="K658" s="169">
        <f t="shared" si="417"/>
        <v>0</v>
      </c>
      <c r="L658" s="169">
        <f t="shared" si="417"/>
        <v>0</v>
      </c>
      <c r="M658" s="169">
        <f t="shared" si="417"/>
        <v>0</v>
      </c>
      <c r="N658" s="169">
        <f t="shared" si="417"/>
        <v>0</v>
      </c>
      <c r="O658" s="169">
        <f t="shared" si="417"/>
        <v>0</v>
      </c>
      <c r="P658" s="169">
        <f t="shared" si="417"/>
        <v>0</v>
      </c>
      <c r="Q658" s="169">
        <f t="shared" si="417"/>
        <v>0</v>
      </c>
      <c r="R658" s="169">
        <f t="shared" si="417"/>
        <v>0</v>
      </c>
      <c r="S658" s="169">
        <f t="shared" si="418"/>
        <v>0</v>
      </c>
      <c r="T658" s="169">
        <f t="shared" si="418"/>
        <v>0</v>
      </c>
      <c r="U658" s="169">
        <f t="shared" si="418"/>
        <v>0</v>
      </c>
      <c r="V658" s="169">
        <f t="shared" si="418"/>
        <v>0</v>
      </c>
      <c r="W658" s="169">
        <f t="shared" si="418"/>
        <v>0</v>
      </c>
      <c r="X658" s="169">
        <f t="shared" si="418"/>
        <v>0</v>
      </c>
      <c r="Y658" s="169">
        <f t="shared" si="418"/>
        <v>0</v>
      </c>
      <c r="Z658" s="169">
        <f t="shared" si="418"/>
        <v>0</v>
      </c>
      <c r="AA658" s="169">
        <f t="shared" si="418"/>
        <v>0</v>
      </c>
      <c r="AB658" s="169">
        <f t="shared" si="418"/>
        <v>0</v>
      </c>
      <c r="AC658" s="169">
        <f t="shared" si="418"/>
        <v>0</v>
      </c>
      <c r="AD658" s="169">
        <f t="shared" si="418"/>
        <v>0</v>
      </c>
      <c r="AE658" s="169">
        <f t="shared" si="418"/>
        <v>0</v>
      </c>
      <c r="AF658" s="169">
        <f t="shared" si="418"/>
        <v>0</v>
      </c>
      <c r="AG658" s="169">
        <f t="shared" si="418"/>
        <v>0</v>
      </c>
      <c r="AH658" s="169">
        <f t="shared" si="418"/>
        <v>0</v>
      </c>
      <c r="AI658" s="169">
        <f t="shared" si="419"/>
        <v>0</v>
      </c>
      <c r="AJ658" s="169">
        <f t="shared" si="419"/>
        <v>0</v>
      </c>
      <c r="AK658" s="169">
        <f t="shared" si="419"/>
        <v>0</v>
      </c>
      <c r="AL658" s="169">
        <f t="shared" si="419"/>
        <v>4209703.2958071325</v>
      </c>
      <c r="AM658" s="169">
        <f t="shared" si="419"/>
        <v>0</v>
      </c>
      <c r="AN658" s="169">
        <f t="shared" si="419"/>
        <v>0</v>
      </c>
      <c r="AO658" s="169">
        <f t="shared" si="419"/>
        <v>0</v>
      </c>
      <c r="AP658" s="169">
        <f t="shared" si="419"/>
        <v>0</v>
      </c>
    </row>
    <row r="659" spans="1:42" x14ac:dyDescent="0.2">
      <c r="A659" s="20">
        <f t="shared" si="420"/>
        <v>4</v>
      </c>
      <c r="B659" s="179">
        <f t="shared" si="416"/>
        <v>0</v>
      </c>
      <c r="C659" s="169">
        <f t="shared" si="417"/>
        <v>0</v>
      </c>
      <c r="D659" s="169">
        <f t="shared" si="417"/>
        <v>0</v>
      </c>
      <c r="E659" s="169">
        <f t="shared" si="417"/>
        <v>0</v>
      </c>
      <c r="F659" s="169">
        <f t="shared" si="417"/>
        <v>0</v>
      </c>
      <c r="G659" s="169">
        <f t="shared" si="417"/>
        <v>0</v>
      </c>
      <c r="H659" s="169">
        <f t="shared" si="417"/>
        <v>0</v>
      </c>
      <c r="I659" s="169">
        <f t="shared" si="417"/>
        <v>0</v>
      </c>
      <c r="J659" s="169">
        <f t="shared" si="417"/>
        <v>0</v>
      </c>
      <c r="K659" s="169">
        <f t="shared" si="417"/>
        <v>0</v>
      </c>
      <c r="L659" s="169">
        <f t="shared" si="417"/>
        <v>0</v>
      </c>
      <c r="M659" s="169">
        <f t="shared" si="417"/>
        <v>0</v>
      </c>
      <c r="N659" s="169">
        <f t="shared" si="417"/>
        <v>0</v>
      </c>
      <c r="O659" s="169">
        <f t="shared" si="417"/>
        <v>0</v>
      </c>
      <c r="P659" s="169">
        <f t="shared" si="417"/>
        <v>0</v>
      </c>
      <c r="Q659" s="169">
        <f t="shared" si="417"/>
        <v>0</v>
      </c>
      <c r="R659" s="169">
        <f t="shared" si="417"/>
        <v>0</v>
      </c>
      <c r="S659" s="169">
        <f t="shared" si="418"/>
        <v>0</v>
      </c>
      <c r="T659" s="169">
        <f t="shared" si="418"/>
        <v>0</v>
      </c>
      <c r="U659" s="169">
        <f t="shared" si="418"/>
        <v>0</v>
      </c>
      <c r="V659" s="169">
        <f t="shared" si="418"/>
        <v>0</v>
      </c>
      <c r="W659" s="169">
        <f t="shared" si="418"/>
        <v>0</v>
      </c>
      <c r="X659" s="169">
        <f t="shared" si="418"/>
        <v>0</v>
      </c>
      <c r="Y659" s="169">
        <f t="shared" si="418"/>
        <v>0</v>
      </c>
      <c r="Z659" s="169">
        <f t="shared" si="418"/>
        <v>0</v>
      </c>
      <c r="AA659" s="169">
        <f t="shared" si="418"/>
        <v>0</v>
      </c>
      <c r="AB659" s="169">
        <f t="shared" si="418"/>
        <v>0</v>
      </c>
      <c r="AC659" s="169">
        <f t="shared" si="418"/>
        <v>0</v>
      </c>
      <c r="AD659" s="169">
        <f t="shared" si="418"/>
        <v>0</v>
      </c>
      <c r="AE659" s="169">
        <f t="shared" si="418"/>
        <v>0</v>
      </c>
      <c r="AF659" s="169">
        <f t="shared" si="418"/>
        <v>0</v>
      </c>
      <c r="AG659" s="169">
        <f t="shared" si="418"/>
        <v>0</v>
      </c>
      <c r="AH659" s="169">
        <f t="shared" si="418"/>
        <v>0</v>
      </c>
      <c r="AI659" s="169">
        <f t="shared" si="419"/>
        <v>0</v>
      </c>
      <c r="AJ659" s="169">
        <f t="shared" si="419"/>
        <v>0</v>
      </c>
      <c r="AK659" s="169">
        <f t="shared" si="419"/>
        <v>0</v>
      </c>
      <c r="AL659" s="169">
        <f t="shared" si="419"/>
        <v>0</v>
      </c>
      <c r="AM659" s="169">
        <f t="shared" si="419"/>
        <v>0</v>
      </c>
      <c r="AN659" s="169">
        <f t="shared" si="419"/>
        <v>0</v>
      </c>
      <c r="AO659" s="169">
        <f t="shared" si="419"/>
        <v>0</v>
      </c>
      <c r="AP659" s="169">
        <f t="shared" si="419"/>
        <v>0</v>
      </c>
    </row>
    <row r="660" spans="1:42" x14ac:dyDescent="0.2">
      <c r="A660" s="20">
        <f t="shared" si="420"/>
        <v>5</v>
      </c>
      <c r="B660" s="179">
        <f t="shared" si="416"/>
        <v>0</v>
      </c>
      <c r="C660" s="169">
        <f t="shared" si="417"/>
        <v>0</v>
      </c>
      <c r="D660" s="169">
        <f t="shared" si="417"/>
        <v>0</v>
      </c>
      <c r="E660" s="169">
        <f t="shared" si="417"/>
        <v>0</v>
      </c>
      <c r="F660" s="169">
        <f t="shared" si="417"/>
        <v>0</v>
      </c>
      <c r="G660" s="169">
        <f t="shared" si="417"/>
        <v>0</v>
      </c>
      <c r="H660" s="169">
        <f t="shared" si="417"/>
        <v>0</v>
      </c>
      <c r="I660" s="169">
        <f t="shared" si="417"/>
        <v>0</v>
      </c>
      <c r="J660" s="169">
        <f t="shared" si="417"/>
        <v>0</v>
      </c>
      <c r="K660" s="169">
        <f t="shared" si="417"/>
        <v>0</v>
      </c>
      <c r="L660" s="169">
        <f t="shared" si="417"/>
        <v>0</v>
      </c>
      <c r="M660" s="169">
        <f t="shared" si="417"/>
        <v>0</v>
      </c>
      <c r="N660" s="169">
        <f t="shared" si="417"/>
        <v>0</v>
      </c>
      <c r="O660" s="169">
        <f t="shared" si="417"/>
        <v>0</v>
      </c>
      <c r="P660" s="169">
        <f t="shared" si="417"/>
        <v>0</v>
      </c>
      <c r="Q660" s="169">
        <f t="shared" si="417"/>
        <v>0</v>
      </c>
      <c r="R660" s="169">
        <f t="shared" si="417"/>
        <v>0</v>
      </c>
      <c r="S660" s="169">
        <f t="shared" si="418"/>
        <v>0</v>
      </c>
      <c r="T660" s="169">
        <f t="shared" si="418"/>
        <v>0</v>
      </c>
      <c r="U660" s="169">
        <f t="shared" si="418"/>
        <v>0</v>
      </c>
      <c r="V660" s="169">
        <f t="shared" si="418"/>
        <v>0</v>
      </c>
      <c r="W660" s="169">
        <f t="shared" si="418"/>
        <v>0</v>
      </c>
      <c r="X660" s="169">
        <f t="shared" si="418"/>
        <v>0</v>
      </c>
      <c r="Y660" s="169">
        <f t="shared" si="418"/>
        <v>0</v>
      </c>
      <c r="Z660" s="169">
        <f t="shared" si="418"/>
        <v>0</v>
      </c>
      <c r="AA660" s="169">
        <f t="shared" si="418"/>
        <v>0</v>
      </c>
      <c r="AB660" s="169">
        <f t="shared" si="418"/>
        <v>0</v>
      </c>
      <c r="AC660" s="169">
        <f t="shared" si="418"/>
        <v>0</v>
      </c>
      <c r="AD660" s="169">
        <f t="shared" si="418"/>
        <v>0</v>
      </c>
      <c r="AE660" s="169">
        <f t="shared" si="418"/>
        <v>0</v>
      </c>
      <c r="AF660" s="169">
        <f t="shared" si="418"/>
        <v>0</v>
      </c>
      <c r="AG660" s="169">
        <f t="shared" si="418"/>
        <v>0</v>
      </c>
      <c r="AH660" s="169">
        <f t="shared" si="418"/>
        <v>0</v>
      </c>
      <c r="AI660" s="169">
        <f t="shared" si="419"/>
        <v>0</v>
      </c>
      <c r="AJ660" s="169">
        <f t="shared" si="419"/>
        <v>0</v>
      </c>
      <c r="AK660" s="169">
        <f t="shared" si="419"/>
        <v>0</v>
      </c>
      <c r="AL660" s="169">
        <f t="shared" si="419"/>
        <v>0</v>
      </c>
      <c r="AM660" s="169">
        <f t="shared" si="419"/>
        <v>0</v>
      </c>
      <c r="AN660" s="169">
        <f t="shared" si="419"/>
        <v>0</v>
      </c>
      <c r="AO660" s="169">
        <f t="shared" si="419"/>
        <v>0</v>
      </c>
      <c r="AP660" s="169">
        <f t="shared" si="419"/>
        <v>0</v>
      </c>
    </row>
    <row r="661" spans="1:42" x14ac:dyDescent="0.2">
      <c r="A661" s="20">
        <f t="shared" si="420"/>
        <v>6</v>
      </c>
      <c r="B661" s="179">
        <f t="shared" si="416"/>
        <v>0</v>
      </c>
      <c r="C661" s="169">
        <f t="shared" si="417"/>
        <v>0</v>
      </c>
      <c r="D661" s="169">
        <f t="shared" si="417"/>
        <v>0</v>
      </c>
      <c r="E661" s="169">
        <f t="shared" si="417"/>
        <v>0</v>
      </c>
      <c r="F661" s="169">
        <f t="shared" si="417"/>
        <v>0</v>
      </c>
      <c r="G661" s="169">
        <f t="shared" si="417"/>
        <v>0</v>
      </c>
      <c r="H661" s="169">
        <f t="shared" si="417"/>
        <v>0</v>
      </c>
      <c r="I661" s="169">
        <f t="shared" si="417"/>
        <v>0</v>
      </c>
      <c r="J661" s="169">
        <f t="shared" si="417"/>
        <v>0</v>
      </c>
      <c r="K661" s="169">
        <f t="shared" si="417"/>
        <v>0</v>
      </c>
      <c r="L661" s="169">
        <f t="shared" si="417"/>
        <v>0</v>
      </c>
      <c r="M661" s="169">
        <f t="shared" si="417"/>
        <v>0</v>
      </c>
      <c r="N661" s="169">
        <f t="shared" si="417"/>
        <v>0</v>
      </c>
      <c r="O661" s="169">
        <f t="shared" si="417"/>
        <v>0</v>
      </c>
      <c r="P661" s="169">
        <f t="shared" si="417"/>
        <v>0</v>
      </c>
      <c r="Q661" s="169">
        <f t="shared" si="417"/>
        <v>0</v>
      </c>
      <c r="R661" s="169">
        <f t="shared" si="417"/>
        <v>0</v>
      </c>
      <c r="S661" s="169">
        <f t="shared" si="418"/>
        <v>0</v>
      </c>
      <c r="T661" s="169">
        <f t="shared" si="418"/>
        <v>0</v>
      </c>
      <c r="U661" s="169">
        <f t="shared" si="418"/>
        <v>0</v>
      </c>
      <c r="V661" s="169">
        <f t="shared" si="418"/>
        <v>0</v>
      </c>
      <c r="W661" s="169">
        <f t="shared" si="418"/>
        <v>0</v>
      </c>
      <c r="X661" s="169">
        <f t="shared" si="418"/>
        <v>0</v>
      </c>
      <c r="Y661" s="169">
        <f t="shared" si="418"/>
        <v>0</v>
      </c>
      <c r="Z661" s="169">
        <f t="shared" si="418"/>
        <v>0</v>
      </c>
      <c r="AA661" s="169">
        <f t="shared" si="418"/>
        <v>0</v>
      </c>
      <c r="AB661" s="169">
        <f t="shared" si="418"/>
        <v>0</v>
      </c>
      <c r="AC661" s="169">
        <f t="shared" si="418"/>
        <v>0</v>
      </c>
      <c r="AD661" s="169">
        <f t="shared" si="418"/>
        <v>0</v>
      </c>
      <c r="AE661" s="169">
        <f t="shared" si="418"/>
        <v>0</v>
      </c>
      <c r="AF661" s="169">
        <f t="shared" si="418"/>
        <v>0</v>
      </c>
      <c r="AG661" s="169">
        <f t="shared" si="418"/>
        <v>0</v>
      </c>
      <c r="AH661" s="169">
        <f t="shared" si="418"/>
        <v>0</v>
      </c>
      <c r="AI661" s="169">
        <f t="shared" si="419"/>
        <v>0</v>
      </c>
      <c r="AJ661" s="169">
        <f t="shared" si="419"/>
        <v>0</v>
      </c>
      <c r="AK661" s="169">
        <f t="shared" si="419"/>
        <v>0</v>
      </c>
      <c r="AL661" s="169">
        <f t="shared" si="419"/>
        <v>0</v>
      </c>
      <c r="AM661" s="169">
        <f t="shared" si="419"/>
        <v>0</v>
      </c>
      <c r="AN661" s="169">
        <f t="shared" si="419"/>
        <v>0</v>
      </c>
      <c r="AO661" s="169">
        <f t="shared" si="419"/>
        <v>0</v>
      </c>
      <c r="AP661" s="169">
        <f t="shared" si="419"/>
        <v>0</v>
      </c>
    </row>
    <row r="662" spans="1:42" x14ac:dyDescent="0.2">
      <c r="A662" s="20">
        <f t="shared" si="420"/>
        <v>7</v>
      </c>
      <c r="B662" s="179">
        <f t="shared" si="416"/>
        <v>0</v>
      </c>
      <c r="C662" s="169">
        <f t="shared" si="417"/>
        <v>0</v>
      </c>
      <c r="D662" s="169">
        <f t="shared" si="417"/>
        <v>0</v>
      </c>
      <c r="E662" s="169">
        <f t="shared" si="417"/>
        <v>0</v>
      </c>
      <c r="F662" s="169">
        <f t="shared" si="417"/>
        <v>0</v>
      </c>
      <c r="G662" s="169">
        <f t="shared" si="417"/>
        <v>0</v>
      </c>
      <c r="H662" s="169">
        <f t="shared" si="417"/>
        <v>0</v>
      </c>
      <c r="I662" s="169">
        <f t="shared" si="417"/>
        <v>0</v>
      </c>
      <c r="J662" s="169">
        <f t="shared" si="417"/>
        <v>0</v>
      </c>
      <c r="K662" s="169">
        <f t="shared" si="417"/>
        <v>0</v>
      </c>
      <c r="L662" s="169">
        <f t="shared" si="417"/>
        <v>0</v>
      </c>
      <c r="M662" s="169">
        <f t="shared" si="417"/>
        <v>0</v>
      </c>
      <c r="N662" s="169">
        <f t="shared" si="417"/>
        <v>0</v>
      </c>
      <c r="O662" s="169">
        <f t="shared" si="417"/>
        <v>0</v>
      </c>
      <c r="P662" s="169">
        <f t="shared" si="417"/>
        <v>0</v>
      </c>
      <c r="Q662" s="169">
        <f t="shared" si="417"/>
        <v>0</v>
      </c>
      <c r="R662" s="169">
        <f t="shared" si="417"/>
        <v>0</v>
      </c>
      <c r="S662" s="169">
        <f t="shared" si="418"/>
        <v>0</v>
      </c>
      <c r="T662" s="169">
        <f t="shared" si="418"/>
        <v>0</v>
      </c>
      <c r="U662" s="169">
        <f t="shared" si="418"/>
        <v>0</v>
      </c>
      <c r="V662" s="169">
        <f t="shared" si="418"/>
        <v>0</v>
      </c>
      <c r="W662" s="169">
        <f t="shared" si="418"/>
        <v>0</v>
      </c>
      <c r="X662" s="169">
        <f t="shared" si="418"/>
        <v>0</v>
      </c>
      <c r="Y662" s="169">
        <f t="shared" si="418"/>
        <v>0</v>
      </c>
      <c r="Z662" s="169">
        <f t="shared" si="418"/>
        <v>0</v>
      </c>
      <c r="AA662" s="169">
        <f t="shared" si="418"/>
        <v>0</v>
      </c>
      <c r="AB662" s="169">
        <f t="shared" si="418"/>
        <v>0</v>
      </c>
      <c r="AC662" s="169">
        <f t="shared" si="418"/>
        <v>0</v>
      </c>
      <c r="AD662" s="169">
        <f t="shared" si="418"/>
        <v>0</v>
      </c>
      <c r="AE662" s="169">
        <f t="shared" si="418"/>
        <v>0</v>
      </c>
      <c r="AF662" s="169">
        <f t="shared" si="418"/>
        <v>0</v>
      </c>
      <c r="AG662" s="169">
        <f t="shared" si="418"/>
        <v>0</v>
      </c>
      <c r="AH662" s="169">
        <f t="shared" si="418"/>
        <v>0</v>
      </c>
      <c r="AI662" s="169">
        <f t="shared" si="419"/>
        <v>0</v>
      </c>
      <c r="AJ662" s="169">
        <f t="shared" si="419"/>
        <v>0</v>
      </c>
      <c r="AK662" s="169">
        <f t="shared" si="419"/>
        <v>0</v>
      </c>
      <c r="AL662" s="169">
        <f t="shared" si="419"/>
        <v>0</v>
      </c>
      <c r="AM662" s="169">
        <f t="shared" si="419"/>
        <v>0</v>
      </c>
      <c r="AN662" s="169">
        <f t="shared" si="419"/>
        <v>0</v>
      </c>
      <c r="AO662" s="169">
        <f t="shared" si="419"/>
        <v>0</v>
      </c>
      <c r="AP662" s="169">
        <f t="shared" si="419"/>
        <v>0</v>
      </c>
    </row>
    <row r="663" spans="1:42" x14ac:dyDescent="0.2">
      <c r="A663" s="20">
        <f t="shared" si="420"/>
        <v>8</v>
      </c>
      <c r="B663" s="179">
        <f t="shared" si="416"/>
        <v>0</v>
      </c>
      <c r="C663" s="169">
        <f t="shared" si="417"/>
        <v>0</v>
      </c>
      <c r="D663" s="169">
        <f t="shared" si="417"/>
        <v>0</v>
      </c>
      <c r="E663" s="169">
        <f t="shared" si="417"/>
        <v>0</v>
      </c>
      <c r="F663" s="169">
        <f t="shared" si="417"/>
        <v>0</v>
      </c>
      <c r="G663" s="169">
        <f t="shared" si="417"/>
        <v>0</v>
      </c>
      <c r="H663" s="169">
        <f t="shared" si="417"/>
        <v>0</v>
      </c>
      <c r="I663" s="169">
        <f t="shared" si="417"/>
        <v>0</v>
      </c>
      <c r="J663" s="169">
        <f t="shared" si="417"/>
        <v>0</v>
      </c>
      <c r="K663" s="169">
        <f t="shared" si="417"/>
        <v>0</v>
      </c>
      <c r="L663" s="169">
        <f t="shared" si="417"/>
        <v>0</v>
      </c>
      <c r="M663" s="169">
        <f t="shared" si="417"/>
        <v>0</v>
      </c>
      <c r="N663" s="169">
        <f t="shared" si="417"/>
        <v>0</v>
      </c>
      <c r="O663" s="169">
        <f t="shared" si="417"/>
        <v>0</v>
      </c>
      <c r="P663" s="169">
        <f t="shared" si="417"/>
        <v>0</v>
      </c>
      <c r="Q663" s="169">
        <f t="shared" si="417"/>
        <v>0</v>
      </c>
      <c r="R663" s="169">
        <f t="shared" si="417"/>
        <v>0</v>
      </c>
      <c r="S663" s="169">
        <f t="shared" si="418"/>
        <v>0</v>
      </c>
      <c r="T663" s="169">
        <f t="shared" si="418"/>
        <v>0</v>
      </c>
      <c r="U663" s="169">
        <f t="shared" si="418"/>
        <v>0</v>
      </c>
      <c r="V663" s="169">
        <f t="shared" si="418"/>
        <v>0</v>
      </c>
      <c r="W663" s="169">
        <f t="shared" si="418"/>
        <v>0</v>
      </c>
      <c r="X663" s="169">
        <f t="shared" si="418"/>
        <v>0</v>
      </c>
      <c r="Y663" s="169">
        <f t="shared" si="418"/>
        <v>0</v>
      </c>
      <c r="Z663" s="169">
        <f t="shared" si="418"/>
        <v>0</v>
      </c>
      <c r="AA663" s="169">
        <f t="shared" si="418"/>
        <v>0</v>
      </c>
      <c r="AB663" s="169">
        <f t="shared" si="418"/>
        <v>0</v>
      </c>
      <c r="AC663" s="169">
        <f t="shared" si="418"/>
        <v>0</v>
      </c>
      <c r="AD663" s="169">
        <f t="shared" si="418"/>
        <v>0</v>
      </c>
      <c r="AE663" s="169">
        <f t="shared" si="418"/>
        <v>0</v>
      </c>
      <c r="AF663" s="169">
        <f t="shared" si="418"/>
        <v>0</v>
      </c>
      <c r="AG663" s="169">
        <f t="shared" si="418"/>
        <v>0</v>
      </c>
      <c r="AH663" s="169">
        <f t="shared" si="418"/>
        <v>0</v>
      </c>
      <c r="AI663" s="169">
        <f t="shared" si="419"/>
        <v>0</v>
      </c>
      <c r="AJ663" s="169">
        <f t="shared" si="419"/>
        <v>0</v>
      </c>
      <c r="AK663" s="169">
        <f t="shared" si="419"/>
        <v>0</v>
      </c>
      <c r="AL663" s="169">
        <f t="shared" si="419"/>
        <v>0</v>
      </c>
      <c r="AM663" s="169">
        <f t="shared" si="419"/>
        <v>0</v>
      </c>
      <c r="AN663" s="169">
        <f t="shared" si="419"/>
        <v>0</v>
      </c>
      <c r="AO663" s="169">
        <f t="shared" si="419"/>
        <v>0</v>
      </c>
      <c r="AP663" s="169">
        <f t="shared" si="419"/>
        <v>0</v>
      </c>
    </row>
    <row r="664" spans="1:42" x14ac:dyDescent="0.2">
      <c r="A664" s="20">
        <f>A663+1</f>
        <v>9</v>
      </c>
      <c r="B664" s="179">
        <f t="shared" si="416"/>
        <v>0</v>
      </c>
      <c r="C664" s="169">
        <f t="shared" si="417"/>
        <v>0</v>
      </c>
      <c r="D664" s="169">
        <f t="shared" si="417"/>
        <v>0</v>
      </c>
      <c r="E664" s="169">
        <f t="shared" si="417"/>
        <v>0</v>
      </c>
      <c r="F664" s="169">
        <f t="shared" si="417"/>
        <v>0</v>
      </c>
      <c r="G664" s="169">
        <f t="shared" si="417"/>
        <v>0</v>
      </c>
      <c r="H664" s="169">
        <f t="shared" si="417"/>
        <v>0</v>
      </c>
      <c r="I664" s="169">
        <f t="shared" si="417"/>
        <v>0</v>
      </c>
      <c r="J664" s="169">
        <f t="shared" si="417"/>
        <v>0</v>
      </c>
      <c r="K664" s="169">
        <f t="shared" si="417"/>
        <v>0</v>
      </c>
      <c r="L664" s="169">
        <f t="shared" si="417"/>
        <v>0</v>
      </c>
      <c r="M664" s="169">
        <f t="shared" si="417"/>
        <v>0</v>
      </c>
      <c r="N664" s="169">
        <f t="shared" si="417"/>
        <v>0</v>
      </c>
      <c r="O664" s="169">
        <f t="shared" si="417"/>
        <v>0</v>
      </c>
      <c r="P664" s="169">
        <f t="shared" si="417"/>
        <v>0</v>
      </c>
      <c r="Q664" s="169">
        <f t="shared" si="417"/>
        <v>0</v>
      </c>
      <c r="R664" s="169">
        <f t="shared" si="417"/>
        <v>0</v>
      </c>
      <c r="S664" s="169">
        <f t="shared" si="418"/>
        <v>0</v>
      </c>
      <c r="T664" s="169">
        <f t="shared" si="418"/>
        <v>0</v>
      </c>
      <c r="U664" s="169">
        <f t="shared" si="418"/>
        <v>0</v>
      </c>
      <c r="V664" s="169">
        <f t="shared" si="418"/>
        <v>0</v>
      </c>
      <c r="W664" s="169">
        <f t="shared" si="418"/>
        <v>0</v>
      </c>
      <c r="X664" s="169">
        <f t="shared" si="418"/>
        <v>0</v>
      </c>
      <c r="Y664" s="169">
        <f t="shared" si="418"/>
        <v>0</v>
      </c>
      <c r="Z664" s="169">
        <f t="shared" si="418"/>
        <v>0</v>
      </c>
      <c r="AA664" s="169">
        <f t="shared" si="418"/>
        <v>0</v>
      </c>
      <c r="AB664" s="169">
        <f t="shared" si="418"/>
        <v>0</v>
      </c>
      <c r="AC664" s="169">
        <f t="shared" si="418"/>
        <v>0</v>
      </c>
      <c r="AD664" s="169">
        <f t="shared" si="418"/>
        <v>0</v>
      </c>
      <c r="AE664" s="169">
        <f t="shared" si="418"/>
        <v>0</v>
      </c>
      <c r="AF664" s="169">
        <f t="shared" si="418"/>
        <v>0</v>
      </c>
      <c r="AG664" s="169">
        <f t="shared" si="418"/>
        <v>0</v>
      </c>
      <c r="AH664" s="169">
        <f t="shared" si="418"/>
        <v>0</v>
      </c>
      <c r="AI664" s="169">
        <f t="shared" si="419"/>
        <v>0</v>
      </c>
      <c r="AJ664" s="169">
        <f t="shared" si="419"/>
        <v>0</v>
      </c>
      <c r="AK664" s="169">
        <f t="shared" si="419"/>
        <v>0</v>
      </c>
      <c r="AL664" s="169">
        <f t="shared" si="419"/>
        <v>0</v>
      </c>
      <c r="AM664" s="169">
        <f t="shared" si="419"/>
        <v>0</v>
      </c>
      <c r="AN664" s="169">
        <f t="shared" si="419"/>
        <v>0</v>
      </c>
      <c r="AO664" s="169">
        <f t="shared" si="419"/>
        <v>0</v>
      </c>
      <c r="AP664" s="169">
        <f t="shared" si="419"/>
        <v>0</v>
      </c>
    </row>
    <row r="665" spans="1:42" x14ac:dyDescent="0.2">
      <c r="A665" s="20">
        <f t="shared" si="420"/>
        <v>10</v>
      </c>
      <c r="B665" s="179">
        <f t="shared" si="416"/>
        <v>0</v>
      </c>
      <c r="C665" s="170">
        <f t="shared" si="417"/>
        <v>0</v>
      </c>
      <c r="D665" s="170">
        <f t="shared" si="417"/>
        <v>0</v>
      </c>
      <c r="E665" s="170">
        <f t="shared" si="417"/>
        <v>0</v>
      </c>
      <c r="F665" s="170">
        <f t="shared" si="417"/>
        <v>0</v>
      </c>
      <c r="G665" s="170">
        <f t="shared" si="417"/>
        <v>0</v>
      </c>
      <c r="H665" s="170">
        <f t="shared" si="417"/>
        <v>0</v>
      </c>
      <c r="I665" s="170">
        <f t="shared" si="417"/>
        <v>0</v>
      </c>
      <c r="J665" s="170">
        <f t="shared" si="417"/>
        <v>0</v>
      </c>
      <c r="K665" s="170">
        <f t="shared" si="417"/>
        <v>0</v>
      </c>
      <c r="L665" s="170">
        <f t="shared" si="417"/>
        <v>0</v>
      </c>
      <c r="M665" s="170">
        <f t="shared" si="417"/>
        <v>0</v>
      </c>
      <c r="N665" s="170">
        <f t="shared" si="417"/>
        <v>0</v>
      </c>
      <c r="O665" s="170">
        <f t="shared" si="417"/>
        <v>0</v>
      </c>
      <c r="P665" s="170">
        <f t="shared" si="417"/>
        <v>0</v>
      </c>
      <c r="Q665" s="170">
        <f t="shared" si="417"/>
        <v>0</v>
      </c>
      <c r="R665" s="170">
        <f t="shared" si="417"/>
        <v>0</v>
      </c>
      <c r="S665" s="170">
        <f t="shared" si="418"/>
        <v>0</v>
      </c>
      <c r="T665" s="170">
        <f t="shared" si="418"/>
        <v>0</v>
      </c>
      <c r="U665" s="170">
        <f t="shared" si="418"/>
        <v>0</v>
      </c>
      <c r="V665" s="170">
        <f t="shared" si="418"/>
        <v>0</v>
      </c>
      <c r="W665" s="170">
        <f t="shared" si="418"/>
        <v>0</v>
      </c>
      <c r="X665" s="170">
        <f t="shared" si="418"/>
        <v>0</v>
      </c>
      <c r="Y665" s="170">
        <f t="shared" si="418"/>
        <v>0</v>
      </c>
      <c r="Z665" s="170">
        <f t="shared" si="418"/>
        <v>0</v>
      </c>
      <c r="AA665" s="170">
        <f t="shared" si="418"/>
        <v>0</v>
      </c>
      <c r="AB665" s="170">
        <f t="shared" si="418"/>
        <v>0</v>
      </c>
      <c r="AC665" s="170">
        <f t="shared" si="418"/>
        <v>0</v>
      </c>
      <c r="AD665" s="170">
        <f t="shared" si="418"/>
        <v>0</v>
      </c>
      <c r="AE665" s="170">
        <f t="shared" si="418"/>
        <v>0</v>
      </c>
      <c r="AF665" s="170">
        <f t="shared" si="418"/>
        <v>0</v>
      </c>
      <c r="AG665" s="170">
        <f t="shared" si="418"/>
        <v>0</v>
      </c>
      <c r="AH665" s="170">
        <f t="shared" si="418"/>
        <v>0</v>
      </c>
      <c r="AI665" s="170">
        <f t="shared" si="419"/>
        <v>0</v>
      </c>
      <c r="AJ665" s="170">
        <f t="shared" si="419"/>
        <v>0</v>
      </c>
      <c r="AK665" s="170">
        <f t="shared" si="419"/>
        <v>0</v>
      </c>
      <c r="AL665" s="170">
        <f t="shared" si="419"/>
        <v>0</v>
      </c>
      <c r="AM665" s="170">
        <f t="shared" si="419"/>
        <v>0</v>
      </c>
      <c r="AN665" s="170">
        <f t="shared" si="419"/>
        <v>0</v>
      </c>
      <c r="AO665" s="170">
        <f t="shared" si="419"/>
        <v>0</v>
      </c>
      <c r="AP665" s="170">
        <f t="shared" si="419"/>
        <v>0</v>
      </c>
    </row>
    <row r="666" spans="1:42" x14ac:dyDescent="0.2">
      <c r="A666" s="202" t="s">
        <v>53</v>
      </c>
      <c r="B666" s="169"/>
      <c r="C666" s="135">
        <f>SUM(C656:C665)</f>
        <v>0</v>
      </c>
      <c r="D666" s="135">
        <f t="shared" ref="D666:AP666" si="421">SUM(D656:D665)</f>
        <v>0</v>
      </c>
      <c r="E666" s="135">
        <f t="shared" si="421"/>
        <v>0</v>
      </c>
      <c r="F666" s="135">
        <f t="shared" si="421"/>
        <v>0</v>
      </c>
      <c r="G666" s="135">
        <f t="shared" si="421"/>
        <v>0</v>
      </c>
      <c r="H666" s="135">
        <f t="shared" si="421"/>
        <v>0</v>
      </c>
      <c r="I666" s="135">
        <f t="shared" si="421"/>
        <v>0</v>
      </c>
      <c r="J666" s="135">
        <f t="shared" si="421"/>
        <v>0</v>
      </c>
      <c r="K666" s="135">
        <f t="shared" si="421"/>
        <v>0</v>
      </c>
      <c r="L666" s="135">
        <f t="shared" si="421"/>
        <v>0</v>
      </c>
      <c r="M666" s="135">
        <f t="shared" si="421"/>
        <v>0</v>
      </c>
      <c r="N666" s="135">
        <f t="shared" si="421"/>
        <v>2944872.3435013141</v>
      </c>
      <c r="O666" s="135">
        <f t="shared" si="421"/>
        <v>0</v>
      </c>
      <c r="P666" s="135">
        <f t="shared" si="421"/>
        <v>0</v>
      </c>
      <c r="Q666" s="135">
        <f t="shared" si="421"/>
        <v>0</v>
      </c>
      <c r="R666" s="135">
        <f t="shared" si="421"/>
        <v>0</v>
      </c>
      <c r="S666" s="135">
        <f t="shared" si="421"/>
        <v>0</v>
      </c>
      <c r="T666" s="135">
        <f t="shared" si="421"/>
        <v>0</v>
      </c>
      <c r="U666" s="135">
        <f t="shared" si="421"/>
        <v>0</v>
      </c>
      <c r="V666" s="135">
        <f t="shared" si="421"/>
        <v>0</v>
      </c>
      <c r="W666" s="135">
        <f t="shared" si="421"/>
        <v>0</v>
      </c>
      <c r="X666" s="135">
        <f t="shared" si="421"/>
        <v>0</v>
      </c>
      <c r="Y666" s="135">
        <f t="shared" si="421"/>
        <v>0</v>
      </c>
      <c r="Z666" s="135">
        <f t="shared" si="421"/>
        <v>3520942.886524681</v>
      </c>
      <c r="AA666" s="135">
        <f t="shared" si="421"/>
        <v>0</v>
      </c>
      <c r="AB666" s="135">
        <f t="shared" si="421"/>
        <v>0</v>
      </c>
      <c r="AC666" s="135">
        <f t="shared" si="421"/>
        <v>0</v>
      </c>
      <c r="AD666" s="135">
        <f t="shared" si="421"/>
        <v>0</v>
      </c>
      <c r="AE666" s="135">
        <f t="shared" si="421"/>
        <v>0</v>
      </c>
      <c r="AF666" s="135">
        <f t="shared" si="421"/>
        <v>0</v>
      </c>
      <c r="AG666" s="135">
        <f t="shared" si="421"/>
        <v>0</v>
      </c>
      <c r="AH666" s="135">
        <f t="shared" si="421"/>
        <v>0</v>
      </c>
      <c r="AI666" s="135">
        <f t="shared" si="421"/>
        <v>0</v>
      </c>
      <c r="AJ666" s="135">
        <f t="shared" si="421"/>
        <v>0</v>
      </c>
      <c r="AK666" s="135">
        <f t="shared" si="421"/>
        <v>0</v>
      </c>
      <c r="AL666" s="135">
        <f t="shared" si="421"/>
        <v>4209703.2958071325</v>
      </c>
      <c r="AM666" s="135">
        <f t="shared" si="421"/>
        <v>0</v>
      </c>
      <c r="AN666" s="135">
        <f t="shared" si="421"/>
        <v>0</v>
      </c>
      <c r="AO666" s="135">
        <f t="shared" si="421"/>
        <v>0</v>
      </c>
      <c r="AP666" s="135">
        <f t="shared" si="421"/>
        <v>0</v>
      </c>
    </row>
    <row r="667" spans="1:42" x14ac:dyDescent="0.2">
      <c r="A667" s="20" t="s">
        <v>184</v>
      </c>
      <c r="B667" s="135"/>
      <c r="C667" s="135"/>
      <c r="D667" s="135"/>
      <c r="E667" s="135"/>
      <c r="F667" s="135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</row>
    <row r="668" spans="1:42" x14ac:dyDescent="0.2">
      <c r="A668" s="20">
        <v>1</v>
      </c>
      <c r="B668" s="179">
        <f t="shared" ref="B668:B677" si="422">SUM(C668:AP668)</f>
        <v>2944872.3435013145</v>
      </c>
      <c r="C668" s="135">
        <f t="shared" ref="C668:AP668" si="423">IF(C$2&lt;=MMFrequency*$A$656,$B$656/(MMFrequency),0)</f>
        <v>245406.02862510949</v>
      </c>
      <c r="D668" s="135">
        <f t="shared" si="423"/>
        <v>245406.02862510949</v>
      </c>
      <c r="E668" s="135">
        <f t="shared" si="423"/>
        <v>245406.02862510949</v>
      </c>
      <c r="F668" s="135">
        <f t="shared" si="423"/>
        <v>245406.02862510949</v>
      </c>
      <c r="G668" s="135">
        <f t="shared" si="423"/>
        <v>245406.02862510949</v>
      </c>
      <c r="H668" s="135">
        <f t="shared" si="423"/>
        <v>245406.02862510949</v>
      </c>
      <c r="I668" s="135">
        <f t="shared" si="423"/>
        <v>245406.02862510949</v>
      </c>
      <c r="J668" s="135">
        <f t="shared" si="423"/>
        <v>245406.02862510949</v>
      </c>
      <c r="K668" s="135">
        <f t="shared" si="423"/>
        <v>245406.02862510949</v>
      </c>
      <c r="L668" s="135">
        <f t="shared" si="423"/>
        <v>245406.02862510949</v>
      </c>
      <c r="M668" s="135">
        <f t="shared" si="423"/>
        <v>245406.02862510949</v>
      </c>
      <c r="N668" s="135">
        <f t="shared" si="423"/>
        <v>245406.02862510949</v>
      </c>
      <c r="O668" s="135">
        <f t="shared" si="423"/>
        <v>0</v>
      </c>
      <c r="P668" s="135">
        <f t="shared" si="423"/>
        <v>0</v>
      </c>
      <c r="Q668" s="135">
        <f t="shared" si="423"/>
        <v>0</v>
      </c>
      <c r="R668" s="135">
        <f t="shared" si="423"/>
        <v>0</v>
      </c>
      <c r="S668" s="135">
        <f t="shared" si="423"/>
        <v>0</v>
      </c>
      <c r="T668" s="135">
        <f t="shared" si="423"/>
        <v>0</v>
      </c>
      <c r="U668" s="135">
        <f t="shared" si="423"/>
        <v>0</v>
      </c>
      <c r="V668" s="135">
        <f t="shared" si="423"/>
        <v>0</v>
      </c>
      <c r="W668" s="135">
        <f t="shared" si="423"/>
        <v>0</v>
      </c>
      <c r="X668" s="135">
        <f t="shared" si="423"/>
        <v>0</v>
      </c>
      <c r="Y668" s="135">
        <f t="shared" si="423"/>
        <v>0</v>
      </c>
      <c r="Z668" s="135">
        <f t="shared" si="423"/>
        <v>0</v>
      </c>
      <c r="AA668" s="135">
        <f t="shared" si="423"/>
        <v>0</v>
      </c>
      <c r="AB668" s="135">
        <f t="shared" si="423"/>
        <v>0</v>
      </c>
      <c r="AC668" s="135">
        <f t="shared" si="423"/>
        <v>0</v>
      </c>
      <c r="AD668" s="135">
        <f t="shared" si="423"/>
        <v>0</v>
      </c>
      <c r="AE668" s="135">
        <f t="shared" si="423"/>
        <v>0</v>
      </c>
      <c r="AF668" s="135">
        <f t="shared" si="423"/>
        <v>0</v>
      </c>
      <c r="AG668" s="135">
        <f t="shared" si="423"/>
        <v>0</v>
      </c>
      <c r="AH668" s="135">
        <f t="shared" si="423"/>
        <v>0</v>
      </c>
      <c r="AI668" s="135">
        <f t="shared" si="423"/>
        <v>0</v>
      </c>
      <c r="AJ668" s="135">
        <f t="shared" si="423"/>
        <v>0</v>
      </c>
      <c r="AK668" s="135">
        <f t="shared" si="423"/>
        <v>0</v>
      </c>
      <c r="AL668" s="135">
        <f t="shared" si="423"/>
        <v>0</v>
      </c>
      <c r="AM668" s="135">
        <f t="shared" si="423"/>
        <v>0</v>
      </c>
      <c r="AN668" s="135">
        <f t="shared" si="423"/>
        <v>0</v>
      </c>
      <c r="AO668" s="135">
        <f t="shared" si="423"/>
        <v>0</v>
      </c>
      <c r="AP668" s="135">
        <f t="shared" si="423"/>
        <v>0</v>
      </c>
    </row>
    <row r="669" spans="1:42" x14ac:dyDescent="0.2">
      <c r="A669" s="20">
        <f>A668+1</f>
        <v>2</v>
      </c>
      <c r="B669" s="179">
        <f t="shared" si="422"/>
        <v>3520942.886524681</v>
      </c>
      <c r="C669" s="208">
        <f t="shared" ref="C669:AP675" si="424">IF(AND(C$2&gt;MMFrequency*$A656,C$2&lt;=MMFrequency*$A657),$B657/(MMFrequency),0)</f>
        <v>0</v>
      </c>
      <c r="D669" s="169">
        <f t="shared" si="424"/>
        <v>0</v>
      </c>
      <c r="E669" s="169">
        <f t="shared" si="424"/>
        <v>0</v>
      </c>
      <c r="F669" s="169">
        <f t="shared" si="424"/>
        <v>0</v>
      </c>
      <c r="G669" s="169">
        <f t="shared" si="424"/>
        <v>0</v>
      </c>
      <c r="H669" s="169">
        <f t="shared" si="424"/>
        <v>0</v>
      </c>
      <c r="I669" s="169">
        <f t="shared" si="424"/>
        <v>0</v>
      </c>
      <c r="J669" s="169">
        <f t="shared" si="424"/>
        <v>0</v>
      </c>
      <c r="K669" s="169">
        <f t="shared" si="424"/>
        <v>0</v>
      </c>
      <c r="L669" s="169">
        <f t="shared" si="424"/>
        <v>0</v>
      </c>
      <c r="M669" s="169">
        <f t="shared" si="424"/>
        <v>0</v>
      </c>
      <c r="N669" s="169">
        <f t="shared" si="424"/>
        <v>0</v>
      </c>
      <c r="O669" s="169">
        <f t="shared" si="424"/>
        <v>293411.90721039008</v>
      </c>
      <c r="P669" s="169">
        <f t="shared" si="424"/>
        <v>293411.90721039008</v>
      </c>
      <c r="Q669" s="169">
        <f t="shared" si="424"/>
        <v>293411.90721039008</v>
      </c>
      <c r="R669" s="169">
        <f t="shared" si="424"/>
        <v>293411.90721039008</v>
      </c>
      <c r="S669" s="169">
        <f t="shared" si="424"/>
        <v>293411.90721039008</v>
      </c>
      <c r="T669" s="169">
        <f t="shared" si="424"/>
        <v>293411.90721039008</v>
      </c>
      <c r="U669" s="169">
        <f t="shared" si="424"/>
        <v>293411.90721039008</v>
      </c>
      <c r="V669" s="169">
        <f t="shared" si="424"/>
        <v>293411.90721039008</v>
      </c>
      <c r="W669" s="169">
        <f t="shared" si="424"/>
        <v>293411.90721039008</v>
      </c>
      <c r="X669" s="169">
        <f t="shared" si="424"/>
        <v>293411.90721039008</v>
      </c>
      <c r="Y669" s="169">
        <f t="shared" si="424"/>
        <v>293411.90721039008</v>
      </c>
      <c r="Z669" s="169">
        <f t="shared" si="424"/>
        <v>293411.90721039008</v>
      </c>
      <c r="AA669" s="169">
        <f t="shared" si="424"/>
        <v>0</v>
      </c>
      <c r="AB669" s="169">
        <f t="shared" si="424"/>
        <v>0</v>
      </c>
      <c r="AC669" s="169">
        <f t="shared" si="424"/>
        <v>0</v>
      </c>
      <c r="AD669" s="169">
        <f t="shared" si="424"/>
        <v>0</v>
      </c>
      <c r="AE669" s="169">
        <f t="shared" si="424"/>
        <v>0</v>
      </c>
      <c r="AF669" s="169">
        <f t="shared" si="424"/>
        <v>0</v>
      </c>
      <c r="AG669" s="169">
        <f t="shared" si="424"/>
        <v>0</v>
      </c>
      <c r="AH669" s="169">
        <f t="shared" si="424"/>
        <v>0</v>
      </c>
      <c r="AI669" s="169">
        <f t="shared" si="424"/>
        <v>0</v>
      </c>
      <c r="AJ669" s="169">
        <f t="shared" si="424"/>
        <v>0</v>
      </c>
      <c r="AK669" s="169">
        <f t="shared" si="424"/>
        <v>0</v>
      </c>
      <c r="AL669" s="169">
        <f t="shared" si="424"/>
        <v>0</v>
      </c>
      <c r="AM669" s="169">
        <f t="shared" si="424"/>
        <v>0</v>
      </c>
      <c r="AN669" s="169">
        <f t="shared" si="424"/>
        <v>0</v>
      </c>
      <c r="AO669" s="169">
        <f t="shared" si="424"/>
        <v>0</v>
      </c>
      <c r="AP669" s="169">
        <f t="shared" si="424"/>
        <v>0</v>
      </c>
    </row>
    <row r="670" spans="1:42" x14ac:dyDescent="0.2">
      <c r="A670" s="20">
        <f t="shared" ref="A670:A675" si="425">A669+1</f>
        <v>3</v>
      </c>
      <c r="B670" s="179">
        <f t="shared" si="422"/>
        <v>4209703.2958071325</v>
      </c>
      <c r="C670" s="208">
        <f t="shared" si="424"/>
        <v>0</v>
      </c>
      <c r="D670" s="169">
        <f t="shared" si="424"/>
        <v>0</v>
      </c>
      <c r="E670" s="169">
        <f t="shared" si="424"/>
        <v>0</v>
      </c>
      <c r="F670" s="169">
        <f t="shared" si="424"/>
        <v>0</v>
      </c>
      <c r="G670" s="169">
        <f t="shared" si="424"/>
        <v>0</v>
      </c>
      <c r="H670" s="169">
        <f t="shared" si="424"/>
        <v>0</v>
      </c>
      <c r="I670" s="169">
        <f t="shared" si="424"/>
        <v>0</v>
      </c>
      <c r="J670" s="169">
        <f t="shared" si="424"/>
        <v>0</v>
      </c>
      <c r="K670" s="169">
        <f t="shared" si="424"/>
        <v>0</v>
      </c>
      <c r="L670" s="169">
        <f t="shared" si="424"/>
        <v>0</v>
      </c>
      <c r="M670" s="169">
        <f t="shared" si="424"/>
        <v>0</v>
      </c>
      <c r="N670" s="169">
        <f t="shared" si="424"/>
        <v>0</v>
      </c>
      <c r="O670" s="169">
        <f t="shared" si="424"/>
        <v>0</v>
      </c>
      <c r="P670" s="169">
        <f t="shared" si="424"/>
        <v>0</v>
      </c>
      <c r="Q670" s="169">
        <f t="shared" si="424"/>
        <v>0</v>
      </c>
      <c r="R670" s="169">
        <f t="shared" si="424"/>
        <v>0</v>
      </c>
      <c r="S670" s="169">
        <f t="shared" si="424"/>
        <v>0</v>
      </c>
      <c r="T670" s="169">
        <f t="shared" si="424"/>
        <v>0</v>
      </c>
      <c r="U670" s="169">
        <f t="shared" si="424"/>
        <v>0</v>
      </c>
      <c r="V670" s="169">
        <f t="shared" si="424"/>
        <v>0</v>
      </c>
      <c r="W670" s="169">
        <f t="shared" si="424"/>
        <v>0</v>
      </c>
      <c r="X670" s="169">
        <f t="shared" si="424"/>
        <v>0</v>
      </c>
      <c r="Y670" s="169">
        <f t="shared" si="424"/>
        <v>0</v>
      </c>
      <c r="Z670" s="169">
        <f t="shared" si="424"/>
        <v>0</v>
      </c>
      <c r="AA670" s="169">
        <f t="shared" si="424"/>
        <v>350808.60798392771</v>
      </c>
      <c r="AB670" s="169">
        <f t="shared" si="424"/>
        <v>350808.60798392771</v>
      </c>
      <c r="AC670" s="169">
        <f t="shared" si="424"/>
        <v>350808.60798392771</v>
      </c>
      <c r="AD670" s="169">
        <f t="shared" si="424"/>
        <v>350808.60798392771</v>
      </c>
      <c r="AE670" s="169">
        <f t="shared" si="424"/>
        <v>350808.60798392771</v>
      </c>
      <c r="AF670" s="169">
        <f t="shared" si="424"/>
        <v>350808.60798392771</v>
      </c>
      <c r="AG670" s="169">
        <f t="shared" si="424"/>
        <v>350808.60798392771</v>
      </c>
      <c r="AH670" s="169">
        <f t="shared" si="424"/>
        <v>350808.60798392771</v>
      </c>
      <c r="AI670" s="169">
        <f t="shared" si="424"/>
        <v>350808.60798392771</v>
      </c>
      <c r="AJ670" s="169">
        <f t="shared" si="424"/>
        <v>350808.60798392771</v>
      </c>
      <c r="AK670" s="169">
        <f t="shared" si="424"/>
        <v>350808.60798392771</v>
      </c>
      <c r="AL670" s="169">
        <f t="shared" si="424"/>
        <v>350808.60798392771</v>
      </c>
      <c r="AM670" s="169">
        <f t="shared" si="424"/>
        <v>0</v>
      </c>
      <c r="AN670" s="169">
        <f t="shared" si="424"/>
        <v>0</v>
      </c>
      <c r="AO670" s="169">
        <f t="shared" si="424"/>
        <v>0</v>
      </c>
      <c r="AP670" s="169">
        <f t="shared" si="424"/>
        <v>0</v>
      </c>
    </row>
    <row r="671" spans="1:42" x14ac:dyDescent="0.2">
      <c r="A671" s="20">
        <f t="shared" si="425"/>
        <v>4</v>
      </c>
      <c r="B671" s="179">
        <f t="shared" si="422"/>
        <v>0</v>
      </c>
      <c r="C671" s="208">
        <f t="shared" si="424"/>
        <v>0</v>
      </c>
      <c r="D671" s="169">
        <f t="shared" si="424"/>
        <v>0</v>
      </c>
      <c r="E671" s="169">
        <f t="shared" si="424"/>
        <v>0</v>
      </c>
      <c r="F671" s="169">
        <f t="shared" si="424"/>
        <v>0</v>
      </c>
      <c r="G671" s="169">
        <f t="shared" si="424"/>
        <v>0</v>
      </c>
      <c r="H671" s="169">
        <f t="shared" si="424"/>
        <v>0</v>
      </c>
      <c r="I671" s="169">
        <f t="shared" si="424"/>
        <v>0</v>
      </c>
      <c r="J671" s="169">
        <f t="shared" si="424"/>
        <v>0</v>
      </c>
      <c r="K671" s="169">
        <f t="shared" si="424"/>
        <v>0</v>
      </c>
      <c r="L671" s="169">
        <f t="shared" si="424"/>
        <v>0</v>
      </c>
      <c r="M671" s="169">
        <f t="shared" si="424"/>
        <v>0</v>
      </c>
      <c r="N671" s="169">
        <f t="shared" si="424"/>
        <v>0</v>
      </c>
      <c r="O671" s="169">
        <f t="shared" si="424"/>
        <v>0</v>
      </c>
      <c r="P671" s="169">
        <f t="shared" si="424"/>
        <v>0</v>
      </c>
      <c r="Q671" s="169">
        <f t="shared" si="424"/>
        <v>0</v>
      </c>
      <c r="R671" s="169">
        <f t="shared" si="424"/>
        <v>0</v>
      </c>
      <c r="S671" s="169">
        <f t="shared" si="424"/>
        <v>0</v>
      </c>
      <c r="T671" s="169">
        <f t="shared" si="424"/>
        <v>0</v>
      </c>
      <c r="U671" s="169">
        <f t="shared" si="424"/>
        <v>0</v>
      </c>
      <c r="V671" s="169">
        <f t="shared" si="424"/>
        <v>0</v>
      </c>
      <c r="W671" s="169">
        <f t="shared" si="424"/>
        <v>0</v>
      </c>
      <c r="X671" s="169">
        <f t="shared" si="424"/>
        <v>0</v>
      </c>
      <c r="Y671" s="169">
        <f t="shared" si="424"/>
        <v>0</v>
      </c>
      <c r="Z671" s="169">
        <f t="shared" si="424"/>
        <v>0</v>
      </c>
      <c r="AA671" s="169">
        <f t="shared" si="424"/>
        <v>0</v>
      </c>
      <c r="AB671" s="169">
        <f t="shared" si="424"/>
        <v>0</v>
      </c>
      <c r="AC671" s="169">
        <f t="shared" si="424"/>
        <v>0</v>
      </c>
      <c r="AD671" s="169">
        <f t="shared" si="424"/>
        <v>0</v>
      </c>
      <c r="AE671" s="169">
        <f t="shared" si="424"/>
        <v>0</v>
      </c>
      <c r="AF671" s="169">
        <f t="shared" si="424"/>
        <v>0</v>
      </c>
      <c r="AG671" s="169">
        <f t="shared" si="424"/>
        <v>0</v>
      </c>
      <c r="AH671" s="169">
        <f t="shared" si="424"/>
        <v>0</v>
      </c>
      <c r="AI671" s="169">
        <f t="shared" si="424"/>
        <v>0</v>
      </c>
      <c r="AJ671" s="169">
        <f t="shared" si="424"/>
        <v>0</v>
      </c>
      <c r="AK671" s="169">
        <f t="shared" si="424"/>
        <v>0</v>
      </c>
      <c r="AL671" s="169">
        <f t="shared" si="424"/>
        <v>0</v>
      </c>
      <c r="AM671" s="169">
        <f t="shared" si="424"/>
        <v>0</v>
      </c>
      <c r="AN671" s="169">
        <f t="shared" si="424"/>
        <v>0</v>
      </c>
      <c r="AO671" s="169">
        <f t="shared" si="424"/>
        <v>0</v>
      </c>
      <c r="AP671" s="169">
        <f t="shared" si="424"/>
        <v>0</v>
      </c>
    </row>
    <row r="672" spans="1:42" x14ac:dyDescent="0.2">
      <c r="A672" s="20">
        <f t="shared" si="425"/>
        <v>5</v>
      </c>
      <c r="B672" s="179">
        <f t="shared" si="422"/>
        <v>0</v>
      </c>
      <c r="C672" s="208">
        <f t="shared" si="424"/>
        <v>0</v>
      </c>
      <c r="D672" s="169">
        <f t="shared" si="424"/>
        <v>0</v>
      </c>
      <c r="E672" s="169">
        <f t="shared" si="424"/>
        <v>0</v>
      </c>
      <c r="F672" s="169">
        <f t="shared" si="424"/>
        <v>0</v>
      </c>
      <c r="G672" s="169">
        <f t="shared" si="424"/>
        <v>0</v>
      </c>
      <c r="H672" s="169">
        <f t="shared" si="424"/>
        <v>0</v>
      </c>
      <c r="I672" s="169">
        <f t="shared" si="424"/>
        <v>0</v>
      </c>
      <c r="J672" s="169">
        <f t="shared" si="424"/>
        <v>0</v>
      </c>
      <c r="K672" s="169">
        <f t="shared" si="424"/>
        <v>0</v>
      </c>
      <c r="L672" s="169">
        <f t="shared" si="424"/>
        <v>0</v>
      </c>
      <c r="M672" s="169">
        <f t="shared" si="424"/>
        <v>0</v>
      </c>
      <c r="N672" s="169">
        <f t="shared" si="424"/>
        <v>0</v>
      </c>
      <c r="O672" s="169">
        <f t="shared" si="424"/>
        <v>0</v>
      </c>
      <c r="P672" s="169">
        <f t="shared" si="424"/>
        <v>0</v>
      </c>
      <c r="Q672" s="169">
        <f t="shared" si="424"/>
        <v>0</v>
      </c>
      <c r="R672" s="169">
        <f t="shared" si="424"/>
        <v>0</v>
      </c>
      <c r="S672" s="169">
        <f t="shared" si="424"/>
        <v>0</v>
      </c>
      <c r="T672" s="169">
        <f t="shared" si="424"/>
        <v>0</v>
      </c>
      <c r="U672" s="169">
        <f t="shared" si="424"/>
        <v>0</v>
      </c>
      <c r="V672" s="169">
        <f t="shared" si="424"/>
        <v>0</v>
      </c>
      <c r="W672" s="169">
        <f t="shared" si="424"/>
        <v>0</v>
      </c>
      <c r="X672" s="169">
        <f t="shared" si="424"/>
        <v>0</v>
      </c>
      <c r="Y672" s="169">
        <f t="shared" si="424"/>
        <v>0</v>
      </c>
      <c r="Z672" s="169">
        <f t="shared" si="424"/>
        <v>0</v>
      </c>
      <c r="AA672" s="169">
        <f t="shared" si="424"/>
        <v>0</v>
      </c>
      <c r="AB672" s="169">
        <f t="shared" si="424"/>
        <v>0</v>
      </c>
      <c r="AC672" s="169">
        <f t="shared" si="424"/>
        <v>0</v>
      </c>
      <c r="AD672" s="169">
        <f t="shared" si="424"/>
        <v>0</v>
      </c>
      <c r="AE672" s="169">
        <f t="shared" si="424"/>
        <v>0</v>
      </c>
      <c r="AF672" s="169">
        <f t="shared" si="424"/>
        <v>0</v>
      </c>
      <c r="AG672" s="169">
        <f t="shared" si="424"/>
        <v>0</v>
      </c>
      <c r="AH672" s="169">
        <f t="shared" si="424"/>
        <v>0</v>
      </c>
      <c r="AI672" s="169">
        <f t="shared" si="424"/>
        <v>0</v>
      </c>
      <c r="AJ672" s="169">
        <f t="shared" si="424"/>
        <v>0</v>
      </c>
      <c r="AK672" s="169">
        <f t="shared" si="424"/>
        <v>0</v>
      </c>
      <c r="AL672" s="169">
        <f t="shared" si="424"/>
        <v>0</v>
      </c>
      <c r="AM672" s="169">
        <f t="shared" si="424"/>
        <v>0</v>
      </c>
      <c r="AN672" s="169">
        <f t="shared" si="424"/>
        <v>0</v>
      </c>
      <c r="AO672" s="169">
        <f t="shared" si="424"/>
        <v>0</v>
      </c>
      <c r="AP672" s="169">
        <f t="shared" si="424"/>
        <v>0</v>
      </c>
    </row>
    <row r="673" spans="1:42" x14ac:dyDescent="0.2">
      <c r="A673" s="20">
        <f t="shared" si="425"/>
        <v>6</v>
      </c>
      <c r="B673" s="179">
        <f t="shared" si="422"/>
        <v>0</v>
      </c>
      <c r="C673" s="208">
        <f t="shared" si="424"/>
        <v>0</v>
      </c>
      <c r="D673" s="169">
        <f t="shared" si="424"/>
        <v>0</v>
      </c>
      <c r="E673" s="169">
        <f t="shared" si="424"/>
        <v>0</v>
      </c>
      <c r="F673" s="169">
        <f t="shared" si="424"/>
        <v>0</v>
      </c>
      <c r="G673" s="169">
        <f t="shared" si="424"/>
        <v>0</v>
      </c>
      <c r="H673" s="169">
        <f t="shared" si="424"/>
        <v>0</v>
      </c>
      <c r="I673" s="169">
        <f t="shared" si="424"/>
        <v>0</v>
      </c>
      <c r="J673" s="169">
        <f t="shared" si="424"/>
        <v>0</v>
      </c>
      <c r="K673" s="169">
        <f t="shared" si="424"/>
        <v>0</v>
      </c>
      <c r="L673" s="169">
        <f t="shared" si="424"/>
        <v>0</v>
      </c>
      <c r="M673" s="169">
        <f t="shared" si="424"/>
        <v>0</v>
      </c>
      <c r="N673" s="169">
        <f t="shared" si="424"/>
        <v>0</v>
      </c>
      <c r="O673" s="169">
        <f t="shared" si="424"/>
        <v>0</v>
      </c>
      <c r="P673" s="169">
        <f t="shared" si="424"/>
        <v>0</v>
      </c>
      <c r="Q673" s="169">
        <f t="shared" si="424"/>
        <v>0</v>
      </c>
      <c r="R673" s="169">
        <f t="shared" si="424"/>
        <v>0</v>
      </c>
      <c r="S673" s="169">
        <f t="shared" si="424"/>
        <v>0</v>
      </c>
      <c r="T673" s="169">
        <f t="shared" si="424"/>
        <v>0</v>
      </c>
      <c r="U673" s="169">
        <f t="shared" si="424"/>
        <v>0</v>
      </c>
      <c r="V673" s="169">
        <f t="shared" si="424"/>
        <v>0</v>
      </c>
      <c r="W673" s="169">
        <f t="shared" si="424"/>
        <v>0</v>
      </c>
      <c r="X673" s="169">
        <f t="shared" si="424"/>
        <v>0</v>
      </c>
      <c r="Y673" s="169">
        <f t="shared" si="424"/>
        <v>0</v>
      </c>
      <c r="Z673" s="169">
        <f t="shared" si="424"/>
        <v>0</v>
      </c>
      <c r="AA673" s="169">
        <f t="shared" si="424"/>
        <v>0</v>
      </c>
      <c r="AB673" s="169">
        <f t="shared" si="424"/>
        <v>0</v>
      </c>
      <c r="AC673" s="169">
        <f t="shared" si="424"/>
        <v>0</v>
      </c>
      <c r="AD673" s="169">
        <f t="shared" si="424"/>
        <v>0</v>
      </c>
      <c r="AE673" s="169">
        <f t="shared" si="424"/>
        <v>0</v>
      </c>
      <c r="AF673" s="169">
        <f t="shared" si="424"/>
        <v>0</v>
      </c>
      <c r="AG673" s="169">
        <f t="shared" si="424"/>
        <v>0</v>
      </c>
      <c r="AH673" s="169">
        <f t="shared" si="424"/>
        <v>0</v>
      </c>
      <c r="AI673" s="169">
        <f t="shared" si="424"/>
        <v>0</v>
      </c>
      <c r="AJ673" s="169">
        <f t="shared" si="424"/>
        <v>0</v>
      </c>
      <c r="AK673" s="169">
        <f t="shared" si="424"/>
        <v>0</v>
      </c>
      <c r="AL673" s="169">
        <f t="shared" si="424"/>
        <v>0</v>
      </c>
      <c r="AM673" s="169">
        <f t="shared" si="424"/>
        <v>0</v>
      </c>
      <c r="AN673" s="169">
        <f t="shared" si="424"/>
        <v>0</v>
      </c>
      <c r="AO673" s="169">
        <f t="shared" si="424"/>
        <v>0</v>
      </c>
      <c r="AP673" s="169">
        <f t="shared" si="424"/>
        <v>0</v>
      </c>
    </row>
    <row r="674" spans="1:42" x14ac:dyDescent="0.2">
      <c r="A674" s="20">
        <f t="shared" si="425"/>
        <v>7</v>
      </c>
      <c r="B674" s="179">
        <f t="shared" si="422"/>
        <v>0</v>
      </c>
      <c r="C674" s="208">
        <f t="shared" si="424"/>
        <v>0</v>
      </c>
      <c r="D674" s="169">
        <f t="shared" si="424"/>
        <v>0</v>
      </c>
      <c r="E674" s="169">
        <f t="shared" si="424"/>
        <v>0</v>
      </c>
      <c r="F674" s="169">
        <f t="shared" si="424"/>
        <v>0</v>
      </c>
      <c r="G674" s="169">
        <f t="shared" si="424"/>
        <v>0</v>
      </c>
      <c r="H674" s="169">
        <f t="shared" si="424"/>
        <v>0</v>
      </c>
      <c r="I674" s="169">
        <f t="shared" si="424"/>
        <v>0</v>
      </c>
      <c r="J674" s="169">
        <f t="shared" si="424"/>
        <v>0</v>
      </c>
      <c r="K674" s="169">
        <f t="shared" si="424"/>
        <v>0</v>
      </c>
      <c r="L674" s="169">
        <f t="shared" si="424"/>
        <v>0</v>
      </c>
      <c r="M674" s="169">
        <f t="shared" si="424"/>
        <v>0</v>
      </c>
      <c r="N674" s="169">
        <f t="shared" si="424"/>
        <v>0</v>
      </c>
      <c r="O674" s="169">
        <f t="shared" si="424"/>
        <v>0</v>
      </c>
      <c r="P674" s="169">
        <f t="shared" si="424"/>
        <v>0</v>
      </c>
      <c r="Q674" s="169">
        <f t="shared" si="424"/>
        <v>0</v>
      </c>
      <c r="R674" s="169">
        <f t="shared" si="424"/>
        <v>0</v>
      </c>
      <c r="S674" s="169">
        <f t="shared" si="424"/>
        <v>0</v>
      </c>
      <c r="T674" s="169">
        <f t="shared" si="424"/>
        <v>0</v>
      </c>
      <c r="U674" s="169">
        <f t="shared" si="424"/>
        <v>0</v>
      </c>
      <c r="V674" s="169">
        <f t="shared" si="424"/>
        <v>0</v>
      </c>
      <c r="W674" s="169">
        <f t="shared" si="424"/>
        <v>0</v>
      </c>
      <c r="X674" s="169">
        <f t="shared" si="424"/>
        <v>0</v>
      </c>
      <c r="Y674" s="169">
        <f t="shared" si="424"/>
        <v>0</v>
      </c>
      <c r="Z674" s="169">
        <f t="shared" si="424"/>
        <v>0</v>
      </c>
      <c r="AA674" s="169">
        <f t="shared" si="424"/>
        <v>0</v>
      </c>
      <c r="AB674" s="169">
        <f t="shared" si="424"/>
        <v>0</v>
      </c>
      <c r="AC674" s="169">
        <f t="shared" si="424"/>
        <v>0</v>
      </c>
      <c r="AD674" s="169">
        <f t="shared" si="424"/>
        <v>0</v>
      </c>
      <c r="AE674" s="169">
        <f t="shared" si="424"/>
        <v>0</v>
      </c>
      <c r="AF674" s="169">
        <f t="shared" si="424"/>
        <v>0</v>
      </c>
      <c r="AG674" s="169">
        <f t="shared" si="424"/>
        <v>0</v>
      </c>
      <c r="AH674" s="169">
        <f t="shared" si="424"/>
        <v>0</v>
      </c>
      <c r="AI674" s="169">
        <f t="shared" si="424"/>
        <v>0</v>
      </c>
      <c r="AJ674" s="169">
        <f t="shared" si="424"/>
        <v>0</v>
      </c>
      <c r="AK674" s="169">
        <f t="shared" si="424"/>
        <v>0</v>
      </c>
      <c r="AL674" s="169">
        <f t="shared" si="424"/>
        <v>0</v>
      </c>
      <c r="AM674" s="169">
        <f t="shared" si="424"/>
        <v>0</v>
      </c>
      <c r="AN674" s="169">
        <f t="shared" si="424"/>
        <v>0</v>
      </c>
      <c r="AO674" s="169">
        <f t="shared" si="424"/>
        <v>0</v>
      </c>
      <c r="AP674" s="169">
        <f t="shared" si="424"/>
        <v>0</v>
      </c>
    </row>
    <row r="675" spans="1:42" x14ac:dyDescent="0.2">
      <c r="A675" s="20">
        <f t="shared" si="425"/>
        <v>8</v>
      </c>
      <c r="B675" s="179">
        <f t="shared" si="422"/>
        <v>0</v>
      </c>
      <c r="C675" s="208">
        <f t="shared" si="424"/>
        <v>0</v>
      </c>
      <c r="D675" s="169">
        <f t="shared" si="424"/>
        <v>0</v>
      </c>
      <c r="E675" s="169">
        <f t="shared" si="424"/>
        <v>0</v>
      </c>
      <c r="F675" s="169">
        <f t="shared" si="424"/>
        <v>0</v>
      </c>
      <c r="G675" s="169">
        <f t="shared" si="424"/>
        <v>0</v>
      </c>
      <c r="H675" s="169">
        <f t="shared" si="424"/>
        <v>0</v>
      </c>
      <c r="I675" s="169">
        <f t="shared" si="424"/>
        <v>0</v>
      </c>
      <c r="J675" s="169">
        <f t="shared" si="424"/>
        <v>0</v>
      </c>
      <c r="K675" s="169">
        <f t="shared" si="424"/>
        <v>0</v>
      </c>
      <c r="L675" s="169">
        <f t="shared" si="424"/>
        <v>0</v>
      </c>
      <c r="M675" s="169">
        <f t="shared" si="424"/>
        <v>0</v>
      </c>
      <c r="N675" s="169">
        <f t="shared" si="424"/>
        <v>0</v>
      </c>
      <c r="O675" s="169">
        <f t="shared" si="424"/>
        <v>0</v>
      </c>
      <c r="P675" s="169">
        <f t="shared" si="424"/>
        <v>0</v>
      </c>
      <c r="Q675" s="169">
        <f t="shared" si="424"/>
        <v>0</v>
      </c>
      <c r="R675" s="169">
        <f t="shared" ref="R675:AP675" si="426">IF(AND(R$2&gt;MMFrequency*$A662,R$2&lt;=MMFrequency*$A663),$B663/(MMFrequency),0)</f>
        <v>0</v>
      </c>
      <c r="S675" s="169">
        <f t="shared" si="426"/>
        <v>0</v>
      </c>
      <c r="T675" s="169">
        <f t="shared" si="426"/>
        <v>0</v>
      </c>
      <c r="U675" s="169">
        <f t="shared" si="426"/>
        <v>0</v>
      </c>
      <c r="V675" s="169">
        <f t="shared" si="426"/>
        <v>0</v>
      </c>
      <c r="W675" s="169">
        <f t="shared" si="426"/>
        <v>0</v>
      </c>
      <c r="X675" s="169">
        <f t="shared" si="426"/>
        <v>0</v>
      </c>
      <c r="Y675" s="169">
        <f t="shared" si="426"/>
        <v>0</v>
      </c>
      <c r="Z675" s="169">
        <f t="shared" si="426"/>
        <v>0</v>
      </c>
      <c r="AA675" s="169">
        <f t="shared" si="426"/>
        <v>0</v>
      </c>
      <c r="AB675" s="169">
        <f t="shared" si="426"/>
        <v>0</v>
      </c>
      <c r="AC675" s="169">
        <f t="shared" si="426"/>
        <v>0</v>
      </c>
      <c r="AD675" s="169">
        <f t="shared" si="426"/>
        <v>0</v>
      </c>
      <c r="AE675" s="169">
        <f t="shared" si="426"/>
        <v>0</v>
      </c>
      <c r="AF675" s="169">
        <f t="shared" si="426"/>
        <v>0</v>
      </c>
      <c r="AG675" s="169">
        <f t="shared" si="426"/>
        <v>0</v>
      </c>
      <c r="AH675" s="169">
        <f t="shared" si="426"/>
        <v>0</v>
      </c>
      <c r="AI675" s="169">
        <f t="shared" si="426"/>
        <v>0</v>
      </c>
      <c r="AJ675" s="169">
        <f t="shared" si="426"/>
        <v>0</v>
      </c>
      <c r="AK675" s="169">
        <f t="shared" si="426"/>
        <v>0</v>
      </c>
      <c r="AL675" s="169">
        <f t="shared" si="426"/>
        <v>0</v>
      </c>
      <c r="AM675" s="169">
        <f t="shared" si="426"/>
        <v>0</v>
      </c>
      <c r="AN675" s="169">
        <f t="shared" si="426"/>
        <v>0</v>
      </c>
      <c r="AO675" s="169">
        <f t="shared" si="426"/>
        <v>0</v>
      </c>
      <c r="AP675" s="169">
        <f t="shared" si="426"/>
        <v>0</v>
      </c>
    </row>
    <row r="676" spans="1:42" x14ac:dyDescent="0.2">
      <c r="A676" s="20">
        <f>A675+1</f>
        <v>9</v>
      </c>
      <c r="B676" s="179">
        <f t="shared" si="422"/>
        <v>0</v>
      </c>
      <c r="C676" s="208">
        <f t="shared" ref="C676:AP677" si="427">IF(AND(C$2&gt;MMFrequency*$A663,C$2&lt;=MMFrequency*$A664),$B664/(MMFrequency),0)</f>
        <v>0</v>
      </c>
      <c r="D676" s="169">
        <f t="shared" si="427"/>
        <v>0</v>
      </c>
      <c r="E676" s="169">
        <f t="shared" si="427"/>
        <v>0</v>
      </c>
      <c r="F676" s="169">
        <f t="shared" si="427"/>
        <v>0</v>
      </c>
      <c r="G676" s="169">
        <f t="shared" si="427"/>
        <v>0</v>
      </c>
      <c r="H676" s="169">
        <f t="shared" si="427"/>
        <v>0</v>
      </c>
      <c r="I676" s="169">
        <f t="shared" si="427"/>
        <v>0</v>
      </c>
      <c r="J676" s="169">
        <f t="shared" si="427"/>
        <v>0</v>
      </c>
      <c r="K676" s="169">
        <f t="shared" si="427"/>
        <v>0</v>
      </c>
      <c r="L676" s="169">
        <f t="shared" si="427"/>
        <v>0</v>
      </c>
      <c r="M676" s="169">
        <f t="shared" si="427"/>
        <v>0</v>
      </c>
      <c r="N676" s="169">
        <f t="shared" si="427"/>
        <v>0</v>
      </c>
      <c r="O676" s="169">
        <f t="shared" si="427"/>
        <v>0</v>
      </c>
      <c r="P676" s="169">
        <f t="shared" si="427"/>
        <v>0</v>
      </c>
      <c r="Q676" s="169">
        <f t="shared" si="427"/>
        <v>0</v>
      </c>
      <c r="R676" s="169">
        <f t="shared" si="427"/>
        <v>0</v>
      </c>
      <c r="S676" s="169">
        <f t="shared" si="427"/>
        <v>0</v>
      </c>
      <c r="T676" s="169">
        <f t="shared" si="427"/>
        <v>0</v>
      </c>
      <c r="U676" s="169">
        <f t="shared" si="427"/>
        <v>0</v>
      </c>
      <c r="V676" s="169">
        <f t="shared" si="427"/>
        <v>0</v>
      </c>
      <c r="W676" s="169">
        <f t="shared" si="427"/>
        <v>0</v>
      </c>
      <c r="X676" s="169">
        <f t="shared" si="427"/>
        <v>0</v>
      </c>
      <c r="Y676" s="169">
        <f t="shared" si="427"/>
        <v>0</v>
      </c>
      <c r="Z676" s="169">
        <f t="shared" si="427"/>
        <v>0</v>
      </c>
      <c r="AA676" s="169">
        <f t="shared" si="427"/>
        <v>0</v>
      </c>
      <c r="AB676" s="169">
        <f t="shared" si="427"/>
        <v>0</v>
      </c>
      <c r="AC676" s="169">
        <f t="shared" si="427"/>
        <v>0</v>
      </c>
      <c r="AD676" s="169">
        <f t="shared" si="427"/>
        <v>0</v>
      </c>
      <c r="AE676" s="169">
        <f t="shared" si="427"/>
        <v>0</v>
      </c>
      <c r="AF676" s="169">
        <f t="shared" si="427"/>
        <v>0</v>
      </c>
      <c r="AG676" s="169">
        <f t="shared" si="427"/>
        <v>0</v>
      </c>
      <c r="AH676" s="169">
        <f t="shared" si="427"/>
        <v>0</v>
      </c>
      <c r="AI676" s="169">
        <f t="shared" si="427"/>
        <v>0</v>
      </c>
      <c r="AJ676" s="169">
        <f t="shared" si="427"/>
        <v>0</v>
      </c>
      <c r="AK676" s="169">
        <f t="shared" si="427"/>
        <v>0</v>
      </c>
      <c r="AL676" s="169">
        <f t="shared" si="427"/>
        <v>0</v>
      </c>
      <c r="AM676" s="169">
        <f t="shared" si="427"/>
        <v>0</v>
      </c>
      <c r="AN676" s="169">
        <f t="shared" si="427"/>
        <v>0</v>
      </c>
      <c r="AO676" s="169">
        <f t="shared" si="427"/>
        <v>0</v>
      </c>
      <c r="AP676" s="169">
        <f t="shared" si="427"/>
        <v>0</v>
      </c>
    </row>
    <row r="677" spans="1:42" x14ac:dyDescent="0.2">
      <c r="A677" s="20">
        <f t="shared" ref="A677" si="428">A676+1</f>
        <v>10</v>
      </c>
      <c r="B677" s="179">
        <f t="shared" si="422"/>
        <v>0</v>
      </c>
      <c r="C677" s="204">
        <f t="shared" si="427"/>
        <v>0</v>
      </c>
      <c r="D677" s="170">
        <f t="shared" si="427"/>
        <v>0</v>
      </c>
      <c r="E677" s="170">
        <f t="shared" si="427"/>
        <v>0</v>
      </c>
      <c r="F677" s="170">
        <f t="shared" si="427"/>
        <v>0</v>
      </c>
      <c r="G677" s="170">
        <f t="shared" si="427"/>
        <v>0</v>
      </c>
      <c r="H677" s="170">
        <f t="shared" si="427"/>
        <v>0</v>
      </c>
      <c r="I677" s="170">
        <f t="shared" si="427"/>
        <v>0</v>
      </c>
      <c r="J677" s="170">
        <f t="shared" si="427"/>
        <v>0</v>
      </c>
      <c r="K677" s="170">
        <f t="shared" si="427"/>
        <v>0</v>
      </c>
      <c r="L677" s="170">
        <f t="shared" si="427"/>
        <v>0</v>
      </c>
      <c r="M677" s="170">
        <f t="shared" si="427"/>
        <v>0</v>
      </c>
      <c r="N677" s="170">
        <f t="shared" si="427"/>
        <v>0</v>
      </c>
      <c r="O677" s="170">
        <f t="shared" si="427"/>
        <v>0</v>
      </c>
      <c r="P677" s="170">
        <f t="shared" si="427"/>
        <v>0</v>
      </c>
      <c r="Q677" s="170">
        <f t="shared" si="427"/>
        <v>0</v>
      </c>
      <c r="R677" s="170">
        <f t="shared" si="427"/>
        <v>0</v>
      </c>
      <c r="S677" s="170">
        <f t="shared" si="427"/>
        <v>0</v>
      </c>
      <c r="T677" s="170">
        <f t="shared" si="427"/>
        <v>0</v>
      </c>
      <c r="U677" s="170">
        <f t="shared" si="427"/>
        <v>0</v>
      </c>
      <c r="V677" s="170">
        <f t="shared" si="427"/>
        <v>0</v>
      </c>
      <c r="W677" s="170">
        <f t="shared" si="427"/>
        <v>0</v>
      </c>
      <c r="X677" s="170">
        <f t="shared" si="427"/>
        <v>0</v>
      </c>
      <c r="Y677" s="170">
        <f t="shared" si="427"/>
        <v>0</v>
      </c>
      <c r="Z677" s="170">
        <f t="shared" si="427"/>
        <v>0</v>
      </c>
      <c r="AA677" s="170">
        <f t="shared" si="427"/>
        <v>0</v>
      </c>
      <c r="AB677" s="170">
        <f t="shared" si="427"/>
        <v>0</v>
      </c>
      <c r="AC677" s="170">
        <f t="shared" si="427"/>
        <v>0</v>
      </c>
      <c r="AD677" s="170">
        <f t="shared" si="427"/>
        <v>0</v>
      </c>
      <c r="AE677" s="170">
        <f t="shared" si="427"/>
        <v>0</v>
      </c>
      <c r="AF677" s="170">
        <f t="shared" si="427"/>
        <v>0</v>
      </c>
      <c r="AG677" s="170">
        <f t="shared" si="427"/>
        <v>0</v>
      </c>
      <c r="AH677" s="170">
        <f t="shared" si="427"/>
        <v>0</v>
      </c>
      <c r="AI677" s="170">
        <f t="shared" si="427"/>
        <v>0</v>
      </c>
      <c r="AJ677" s="170">
        <f t="shared" si="427"/>
        <v>0</v>
      </c>
      <c r="AK677" s="170">
        <f t="shared" si="427"/>
        <v>0</v>
      </c>
      <c r="AL677" s="170">
        <f t="shared" si="427"/>
        <v>0</v>
      </c>
      <c r="AM677" s="170">
        <f t="shared" si="427"/>
        <v>0</v>
      </c>
      <c r="AN677" s="170">
        <f t="shared" si="427"/>
        <v>0</v>
      </c>
      <c r="AO677" s="170">
        <f t="shared" si="427"/>
        <v>0</v>
      </c>
      <c r="AP677" s="170">
        <f t="shared" si="427"/>
        <v>0</v>
      </c>
    </row>
    <row r="678" spans="1:42" x14ac:dyDescent="0.2">
      <c r="A678" s="202" t="s">
        <v>53</v>
      </c>
      <c r="B678" s="169"/>
      <c r="C678" s="135">
        <f>SUM(C668:C677)</f>
        <v>245406.02862510949</v>
      </c>
      <c r="D678" s="135">
        <f t="shared" ref="D678:AP678" si="429">SUM(D668:D677)</f>
        <v>245406.02862510949</v>
      </c>
      <c r="E678" s="135">
        <f t="shared" si="429"/>
        <v>245406.02862510949</v>
      </c>
      <c r="F678" s="135">
        <f t="shared" si="429"/>
        <v>245406.02862510949</v>
      </c>
      <c r="G678" s="135">
        <f t="shared" si="429"/>
        <v>245406.02862510949</v>
      </c>
      <c r="H678" s="135">
        <f t="shared" si="429"/>
        <v>245406.02862510949</v>
      </c>
      <c r="I678" s="135">
        <f t="shared" si="429"/>
        <v>245406.02862510949</v>
      </c>
      <c r="J678" s="135">
        <f t="shared" si="429"/>
        <v>245406.02862510949</v>
      </c>
      <c r="K678" s="135">
        <f t="shared" si="429"/>
        <v>245406.02862510949</v>
      </c>
      <c r="L678" s="135">
        <f t="shared" si="429"/>
        <v>245406.02862510949</v>
      </c>
      <c r="M678" s="135">
        <f t="shared" si="429"/>
        <v>245406.02862510949</v>
      </c>
      <c r="N678" s="135">
        <f t="shared" si="429"/>
        <v>245406.02862510949</v>
      </c>
      <c r="O678" s="135">
        <f t="shared" si="429"/>
        <v>293411.90721039008</v>
      </c>
      <c r="P678" s="135">
        <f t="shared" si="429"/>
        <v>293411.90721039008</v>
      </c>
      <c r="Q678" s="135">
        <f t="shared" si="429"/>
        <v>293411.90721039008</v>
      </c>
      <c r="R678" s="135">
        <f t="shared" si="429"/>
        <v>293411.90721039008</v>
      </c>
      <c r="S678" s="135">
        <f t="shared" si="429"/>
        <v>293411.90721039008</v>
      </c>
      <c r="T678" s="135">
        <f t="shared" si="429"/>
        <v>293411.90721039008</v>
      </c>
      <c r="U678" s="135">
        <f t="shared" si="429"/>
        <v>293411.90721039008</v>
      </c>
      <c r="V678" s="135">
        <f t="shared" si="429"/>
        <v>293411.90721039008</v>
      </c>
      <c r="W678" s="135">
        <f t="shared" si="429"/>
        <v>293411.90721039008</v>
      </c>
      <c r="X678" s="135">
        <f t="shared" si="429"/>
        <v>293411.90721039008</v>
      </c>
      <c r="Y678" s="135">
        <f t="shared" si="429"/>
        <v>293411.90721039008</v>
      </c>
      <c r="Z678" s="135">
        <f t="shared" si="429"/>
        <v>293411.90721039008</v>
      </c>
      <c r="AA678" s="135">
        <f t="shared" si="429"/>
        <v>350808.60798392771</v>
      </c>
      <c r="AB678" s="135">
        <f t="shared" si="429"/>
        <v>350808.60798392771</v>
      </c>
      <c r="AC678" s="135">
        <f t="shared" si="429"/>
        <v>350808.60798392771</v>
      </c>
      <c r="AD678" s="135">
        <f t="shared" si="429"/>
        <v>350808.60798392771</v>
      </c>
      <c r="AE678" s="135">
        <f t="shared" si="429"/>
        <v>350808.60798392771</v>
      </c>
      <c r="AF678" s="135">
        <f t="shared" si="429"/>
        <v>350808.60798392771</v>
      </c>
      <c r="AG678" s="135">
        <f t="shared" si="429"/>
        <v>350808.60798392771</v>
      </c>
      <c r="AH678" s="135">
        <f t="shared" si="429"/>
        <v>350808.60798392771</v>
      </c>
      <c r="AI678" s="135">
        <f t="shared" si="429"/>
        <v>350808.60798392771</v>
      </c>
      <c r="AJ678" s="135">
        <f t="shared" si="429"/>
        <v>350808.60798392771</v>
      </c>
      <c r="AK678" s="135">
        <f t="shared" si="429"/>
        <v>350808.60798392771</v>
      </c>
      <c r="AL678" s="135">
        <f t="shared" si="429"/>
        <v>350808.60798392771</v>
      </c>
      <c r="AM678" s="135">
        <f t="shared" si="429"/>
        <v>0</v>
      </c>
      <c r="AN678" s="135">
        <f t="shared" si="429"/>
        <v>0</v>
      </c>
      <c r="AO678" s="135">
        <f t="shared" si="429"/>
        <v>0</v>
      </c>
      <c r="AP678" s="135">
        <f t="shared" si="429"/>
        <v>0</v>
      </c>
    </row>
    <row r="679" spans="1:42" x14ac:dyDescent="0.2">
      <c r="B679" s="169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</row>
    <row r="680" spans="1:42" x14ac:dyDescent="0.2">
      <c r="A680" s="165" t="s">
        <v>297</v>
      </c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</row>
    <row r="681" spans="1:42" x14ac:dyDescent="0.2">
      <c r="A681" s="20" t="s">
        <v>96</v>
      </c>
      <c r="B681" s="135">
        <v>0</v>
      </c>
      <c r="C681" s="135">
        <f>B684</f>
        <v>0</v>
      </c>
      <c r="D681" s="135">
        <f t="shared" ref="D681:AP681" si="430">C684</f>
        <v>0</v>
      </c>
      <c r="E681" s="135">
        <f t="shared" si="430"/>
        <v>0</v>
      </c>
      <c r="F681" s="135">
        <f t="shared" si="430"/>
        <v>0</v>
      </c>
      <c r="G681" s="135">
        <f t="shared" si="430"/>
        <v>0</v>
      </c>
      <c r="H681" s="135">
        <f t="shared" si="430"/>
        <v>0</v>
      </c>
      <c r="I681" s="135">
        <f t="shared" si="430"/>
        <v>0</v>
      </c>
      <c r="J681" s="135">
        <f t="shared" si="430"/>
        <v>0</v>
      </c>
      <c r="K681" s="135">
        <f t="shared" si="430"/>
        <v>0</v>
      </c>
      <c r="L681" s="135">
        <f t="shared" si="430"/>
        <v>0</v>
      </c>
      <c r="M681" s="135">
        <f t="shared" si="430"/>
        <v>0</v>
      </c>
      <c r="N681" s="135">
        <f t="shared" si="430"/>
        <v>0</v>
      </c>
      <c r="O681" s="135">
        <f t="shared" si="430"/>
        <v>0</v>
      </c>
      <c r="P681" s="135">
        <f t="shared" si="430"/>
        <v>0</v>
      </c>
      <c r="Q681" s="135">
        <f t="shared" si="430"/>
        <v>0</v>
      </c>
      <c r="R681" s="135">
        <f t="shared" si="430"/>
        <v>0</v>
      </c>
      <c r="S681" s="135">
        <f t="shared" si="430"/>
        <v>0</v>
      </c>
      <c r="T681" s="135">
        <f t="shared" si="430"/>
        <v>0</v>
      </c>
      <c r="U681" s="135">
        <f t="shared" si="430"/>
        <v>0</v>
      </c>
      <c r="V681" s="135">
        <f t="shared" si="430"/>
        <v>0</v>
      </c>
      <c r="W681" s="135">
        <f t="shared" si="430"/>
        <v>0</v>
      </c>
      <c r="X681" s="135">
        <f t="shared" si="430"/>
        <v>0</v>
      </c>
      <c r="Y681" s="135">
        <f t="shared" si="430"/>
        <v>0</v>
      </c>
      <c r="Z681" s="135">
        <f t="shared" si="430"/>
        <v>0</v>
      </c>
      <c r="AA681" s="135">
        <f t="shared" si="430"/>
        <v>0</v>
      </c>
      <c r="AB681" s="135">
        <f t="shared" si="430"/>
        <v>0</v>
      </c>
      <c r="AC681" s="135">
        <f t="shared" si="430"/>
        <v>0</v>
      </c>
      <c r="AD681" s="135">
        <f t="shared" si="430"/>
        <v>0</v>
      </c>
      <c r="AE681" s="135">
        <f t="shared" si="430"/>
        <v>0</v>
      </c>
      <c r="AF681" s="135">
        <f t="shared" si="430"/>
        <v>0</v>
      </c>
      <c r="AG681" s="135">
        <f t="shared" si="430"/>
        <v>0</v>
      </c>
      <c r="AH681" s="135">
        <f t="shared" si="430"/>
        <v>0</v>
      </c>
      <c r="AI681" s="135">
        <f t="shared" si="430"/>
        <v>0</v>
      </c>
      <c r="AJ681" s="135">
        <f t="shared" si="430"/>
        <v>0</v>
      </c>
      <c r="AK681" s="135">
        <f t="shared" si="430"/>
        <v>0</v>
      </c>
      <c r="AL681" s="135">
        <f t="shared" si="430"/>
        <v>0</v>
      </c>
      <c r="AM681" s="135">
        <f t="shared" si="430"/>
        <v>0</v>
      </c>
      <c r="AN681" s="135">
        <f t="shared" si="430"/>
        <v>0</v>
      </c>
      <c r="AO681" s="135">
        <f t="shared" si="430"/>
        <v>0</v>
      </c>
      <c r="AP681" s="135">
        <f t="shared" si="430"/>
        <v>0</v>
      </c>
    </row>
    <row r="682" spans="1:42" x14ac:dyDescent="0.2">
      <c r="A682" s="20" t="s">
        <v>183</v>
      </c>
      <c r="B682" s="135">
        <v>0</v>
      </c>
      <c r="C682" s="135">
        <f>C710</f>
        <v>0</v>
      </c>
      <c r="D682" s="135">
        <f t="shared" ref="D682:AP682" si="431">D710</f>
        <v>0</v>
      </c>
      <c r="E682" s="135">
        <f t="shared" si="431"/>
        <v>0</v>
      </c>
      <c r="F682" s="135">
        <f t="shared" si="431"/>
        <v>0</v>
      </c>
      <c r="G682" s="135">
        <f t="shared" si="431"/>
        <v>0</v>
      </c>
      <c r="H682" s="135">
        <f t="shared" si="431"/>
        <v>0</v>
      </c>
      <c r="I682" s="135">
        <f t="shared" si="431"/>
        <v>0</v>
      </c>
      <c r="J682" s="135">
        <f t="shared" si="431"/>
        <v>0</v>
      </c>
      <c r="K682" s="135">
        <f t="shared" si="431"/>
        <v>0</v>
      </c>
      <c r="L682" s="135">
        <f t="shared" si="431"/>
        <v>0</v>
      </c>
      <c r="M682" s="135">
        <f t="shared" si="431"/>
        <v>0</v>
      </c>
      <c r="N682" s="135">
        <f t="shared" si="431"/>
        <v>0</v>
      </c>
      <c r="O682" s="135">
        <f t="shared" si="431"/>
        <v>0</v>
      </c>
      <c r="P682" s="135">
        <f t="shared" si="431"/>
        <v>0</v>
      </c>
      <c r="Q682" s="135">
        <f t="shared" si="431"/>
        <v>0</v>
      </c>
      <c r="R682" s="135">
        <f t="shared" si="431"/>
        <v>0</v>
      </c>
      <c r="S682" s="135">
        <f t="shared" si="431"/>
        <v>0</v>
      </c>
      <c r="T682" s="135">
        <f t="shared" si="431"/>
        <v>0</v>
      </c>
      <c r="U682" s="135">
        <f t="shared" si="431"/>
        <v>0</v>
      </c>
      <c r="V682" s="135">
        <f t="shared" si="431"/>
        <v>0</v>
      </c>
      <c r="W682" s="135">
        <f t="shared" si="431"/>
        <v>0</v>
      </c>
      <c r="X682" s="135">
        <f t="shared" si="431"/>
        <v>0</v>
      </c>
      <c r="Y682" s="135">
        <f t="shared" si="431"/>
        <v>0</v>
      </c>
      <c r="Z682" s="135">
        <f t="shared" si="431"/>
        <v>0</v>
      </c>
      <c r="AA682" s="135">
        <f t="shared" si="431"/>
        <v>0</v>
      </c>
      <c r="AB682" s="135">
        <f t="shared" si="431"/>
        <v>0</v>
      </c>
      <c r="AC682" s="135">
        <f t="shared" si="431"/>
        <v>0</v>
      </c>
      <c r="AD682" s="135">
        <f t="shared" si="431"/>
        <v>0</v>
      </c>
      <c r="AE682" s="135">
        <f t="shared" si="431"/>
        <v>0</v>
      </c>
      <c r="AF682" s="135">
        <f t="shared" si="431"/>
        <v>0</v>
      </c>
      <c r="AG682" s="135">
        <f t="shared" si="431"/>
        <v>0</v>
      </c>
      <c r="AH682" s="135">
        <f t="shared" si="431"/>
        <v>0</v>
      </c>
      <c r="AI682" s="135">
        <f t="shared" si="431"/>
        <v>0</v>
      </c>
      <c r="AJ682" s="135">
        <f t="shared" si="431"/>
        <v>0</v>
      </c>
      <c r="AK682" s="135">
        <f t="shared" si="431"/>
        <v>0</v>
      </c>
      <c r="AL682" s="135">
        <f t="shared" si="431"/>
        <v>0</v>
      </c>
      <c r="AM682" s="135">
        <f t="shared" si="431"/>
        <v>0</v>
      </c>
      <c r="AN682" s="135">
        <f t="shared" si="431"/>
        <v>0</v>
      </c>
      <c r="AO682" s="135">
        <f t="shared" si="431"/>
        <v>0</v>
      </c>
      <c r="AP682" s="135">
        <f t="shared" si="431"/>
        <v>0</v>
      </c>
    </row>
    <row r="683" spans="1:42" x14ac:dyDescent="0.2">
      <c r="A683" s="20" t="s">
        <v>103</v>
      </c>
      <c r="B683" s="170">
        <v>0</v>
      </c>
      <c r="C683" s="170">
        <f>-C698</f>
        <v>0</v>
      </c>
      <c r="D683" s="170">
        <f t="shared" ref="D683:AP683" si="432">-D698</f>
        <v>0</v>
      </c>
      <c r="E683" s="170">
        <f t="shared" si="432"/>
        <v>0</v>
      </c>
      <c r="F683" s="170">
        <f t="shared" si="432"/>
        <v>0</v>
      </c>
      <c r="G683" s="170">
        <f t="shared" si="432"/>
        <v>0</v>
      </c>
      <c r="H683" s="170">
        <f t="shared" si="432"/>
        <v>0</v>
      </c>
      <c r="I683" s="170">
        <f t="shared" si="432"/>
        <v>0</v>
      </c>
      <c r="J683" s="170">
        <f t="shared" si="432"/>
        <v>0</v>
      </c>
      <c r="K683" s="170">
        <f t="shared" si="432"/>
        <v>0</v>
      </c>
      <c r="L683" s="170">
        <f t="shared" si="432"/>
        <v>0</v>
      </c>
      <c r="M683" s="170">
        <f t="shared" si="432"/>
        <v>0</v>
      </c>
      <c r="N683" s="170">
        <f t="shared" si="432"/>
        <v>0</v>
      </c>
      <c r="O683" s="170">
        <f t="shared" si="432"/>
        <v>0</v>
      </c>
      <c r="P683" s="170">
        <f t="shared" si="432"/>
        <v>0</v>
      </c>
      <c r="Q683" s="170">
        <f t="shared" si="432"/>
        <v>0</v>
      </c>
      <c r="R683" s="170">
        <f t="shared" si="432"/>
        <v>0</v>
      </c>
      <c r="S683" s="170">
        <f t="shared" si="432"/>
        <v>0</v>
      </c>
      <c r="T683" s="170">
        <f t="shared" si="432"/>
        <v>0</v>
      </c>
      <c r="U683" s="170">
        <f t="shared" si="432"/>
        <v>0</v>
      </c>
      <c r="V683" s="170">
        <f t="shared" si="432"/>
        <v>0</v>
      </c>
      <c r="W683" s="170">
        <f t="shared" si="432"/>
        <v>0</v>
      </c>
      <c r="X683" s="170">
        <f t="shared" si="432"/>
        <v>0</v>
      </c>
      <c r="Y683" s="170">
        <f t="shared" si="432"/>
        <v>0</v>
      </c>
      <c r="Z683" s="170">
        <f t="shared" si="432"/>
        <v>0</v>
      </c>
      <c r="AA683" s="170">
        <f t="shared" si="432"/>
        <v>0</v>
      </c>
      <c r="AB683" s="170">
        <f t="shared" si="432"/>
        <v>0</v>
      </c>
      <c r="AC683" s="170">
        <f t="shared" si="432"/>
        <v>0</v>
      </c>
      <c r="AD683" s="170">
        <f t="shared" si="432"/>
        <v>0</v>
      </c>
      <c r="AE683" s="170">
        <f t="shared" si="432"/>
        <v>0</v>
      </c>
      <c r="AF683" s="170">
        <f t="shared" si="432"/>
        <v>0</v>
      </c>
      <c r="AG683" s="170">
        <f t="shared" si="432"/>
        <v>0</v>
      </c>
      <c r="AH683" s="170">
        <f t="shared" si="432"/>
        <v>0</v>
      </c>
      <c r="AI683" s="170">
        <f t="shared" si="432"/>
        <v>0</v>
      </c>
      <c r="AJ683" s="170">
        <f t="shared" si="432"/>
        <v>0</v>
      </c>
      <c r="AK683" s="170">
        <f t="shared" si="432"/>
        <v>0</v>
      </c>
      <c r="AL683" s="170">
        <f t="shared" si="432"/>
        <v>0</v>
      </c>
      <c r="AM683" s="170">
        <f t="shared" si="432"/>
        <v>0</v>
      </c>
      <c r="AN683" s="170">
        <f t="shared" si="432"/>
        <v>0</v>
      </c>
      <c r="AO683" s="170">
        <f t="shared" si="432"/>
        <v>0</v>
      </c>
      <c r="AP683" s="170">
        <f t="shared" si="432"/>
        <v>0</v>
      </c>
    </row>
    <row r="684" spans="1:42" x14ac:dyDescent="0.2">
      <c r="A684" s="20" t="s">
        <v>99</v>
      </c>
      <c r="B684" s="135">
        <f>SUM(B681:B683)</f>
        <v>0</v>
      </c>
      <c r="C684" s="135">
        <f>SUM(C681:C683)</f>
        <v>0</v>
      </c>
      <c r="D684" s="135">
        <f t="shared" ref="D684:AP684" si="433">SUM(D681:D683)</f>
        <v>0</v>
      </c>
      <c r="E684" s="135">
        <f t="shared" si="433"/>
        <v>0</v>
      </c>
      <c r="F684" s="135">
        <f t="shared" si="433"/>
        <v>0</v>
      </c>
      <c r="G684" s="135">
        <f t="shared" si="433"/>
        <v>0</v>
      </c>
      <c r="H684" s="135">
        <f t="shared" si="433"/>
        <v>0</v>
      </c>
      <c r="I684" s="135">
        <f t="shared" si="433"/>
        <v>0</v>
      </c>
      <c r="J684" s="135">
        <f t="shared" si="433"/>
        <v>0</v>
      </c>
      <c r="K684" s="135">
        <f t="shared" si="433"/>
        <v>0</v>
      </c>
      <c r="L684" s="135">
        <f t="shared" si="433"/>
        <v>0</v>
      </c>
      <c r="M684" s="135">
        <f t="shared" si="433"/>
        <v>0</v>
      </c>
      <c r="N684" s="135">
        <f t="shared" si="433"/>
        <v>0</v>
      </c>
      <c r="O684" s="135">
        <f t="shared" si="433"/>
        <v>0</v>
      </c>
      <c r="P684" s="135">
        <f t="shared" si="433"/>
        <v>0</v>
      </c>
      <c r="Q684" s="135">
        <f t="shared" si="433"/>
        <v>0</v>
      </c>
      <c r="R684" s="135">
        <f t="shared" si="433"/>
        <v>0</v>
      </c>
      <c r="S684" s="135">
        <f t="shared" si="433"/>
        <v>0</v>
      </c>
      <c r="T684" s="135">
        <f t="shared" si="433"/>
        <v>0</v>
      </c>
      <c r="U684" s="135">
        <f t="shared" si="433"/>
        <v>0</v>
      </c>
      <c r="V684" s="135">
        <f t="shared" si="433"/>
        <v>0</v>
      </c>
      <c r="W684" s="135">
        <f t="shared" si="433"/>
        <v>0</v>
      </c>
      <c r="X684" s="135">
        <f t="shared" si="433"/>
        <v>0</v>
      </c>
      <c r="Y684" s="135">
        <f t="shared" si="433"/>
        <v>0</v>
      </c>
      <c r="Z684" s="135">
        <f t="shared" si="433"/>
        <v>0</v>
      </c>
      <c r="AA684" s="135">
        <f t="shared" si="433"/>
        <v>0</v>
      </c>
      <c r="AB684" s="135">
        <f t="shared" si="433"/>
        <v>0</v>
      </c>
      <c r="AC684" s="135">
        <f t="shared" si="433"/>
        <v>0</v>
      </c>
      <c r="AD684" s="135">
        <f t="shared" si="433"/>
        <v>0</v>
      </c>
      <c r="AE684" s="135">
        <f t="shared" si="433"/>
        <v>0</v>
      </c>
      <c r="AF684" s="135">
        <f t="shared" si="433"/>
        <v>0</v>
      </c>
      <c r="AG684" s="135">
        <f t="shared" si="433"/>
        <v>0</v>
      </c>
      <c r="AH684" s="135">
        <f t="shared" si="433"/>
        <v>0</v>
      </c>
      <c r="AI684" s="135">
        <f t="shared" si="433"/>
        <v>0</v>
      </c>
      <c r="AJ684" s="135">
        <f t="shared" si="433"/>
        <v>0</v>
      </c>
      <c r="AK684" s="135">
        <f t="shared" si="433"/>
        <v>0</v>
      </c>
      <c r="AL684" s="135">
        <f t="shared" si="433"/>
        <v>0</v>
      </c>
      <c r="AM684" s="135">
        <f t="shared" si="433"/>
        <v>0</v>
      </c>
      <c r="AN684" s="135">
        <f t="shared" si="433"/>
        <v>0</v>
      </c>
      <c r="AO684" s="135">
        <f t="shared" si="433"/>
        <v>0</v>
      </c>
      <c r="AP684" s="135">
        <f t="shared" si="433"/>
        <v>0</v>
      </c>
    </row>
    <row r="685" spans="1:42" x14ac:dyDescent="0.2">
      <c r="B685" s="135"/>
      <c r="C685" s="135"/>
      <c r="D685" s="135"/>
      <c r="E685" s="135"/>
      <c r="F685" s="135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</row>
    <row r="686" spans="1:42" x14ac:dyDescent="0.2">
      <c r="A686" s="20" t="s">
        <v>181</v>
      </c>
      <c r="B686" s="135"/>
      <c r="C686" s="135"/>
      <c r="D686" s="135"/>
      <c r="E686" s="135"/>
      <c r="F686" s="135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</row>
    <row r="687" spans="1:42" x14ac:dyDescent="0.2">
      <c r="A687" s="20" t="s">
        <v>182</v>
      </c>
      <c r="B687" s="135"/>
      <c r="C687" s="135"/>
      <c r="D687" s="135"/>
      <c r="E687" s="135"/>
      <c r="F687" s="135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</row>
    <row r="688" spans="1:42" x14ac:dyDescent="0.2">
      <c r="A688" s="20">
        <v>1</v>
      </c>
      <c r="B688" s="179">
        <f t="shared" ref="B688:B697" si="434">SUM(C688:AP688)</f>
        <v>0</v>
      </c>
      <c r="C688" s="169">
        <f t="shared" ref="C688:R697" si="435">IF(C$2&gt;AnalysisPeriod,0,IF(C$2=MMFrequency2*$A688,MMCost2*CapacityDC*1000*(1+Inflation)^B$2,0))</f>
        <v>0</v>
      </c>
      <c r="D688" s="169">
        <f t="shared" si="435"/>
        <v>0</v>
      </c>
      <c r="E688" s="169">
        <f t="shared" si="435"/>
        <v>0</v>
      </c>
      <c r="F688" s="169">
        <f t="shared" si="435"/>
        <v>0</v>
      </c>
      <c r="G688" s="169">
        <f t="shared" si="435"/>
        <v>0</v>
      </c>
      <c r="H688" s="169">
        <f t="shared" si="435"/>
        <v>0</v>
      </c>
      <c r="I688" s="169">
        <f t="shared" si="435"/>
        <v>0</v>
      </c>
      <c r="J688" s="169">
        <f t="shared" si="435"/>
        <v>0</v>
      </c>
      <c r="K688" s="169">
        <f t="shared" si="435"/>
        <v>0</v>
      </c>
      <c r="L688" s="169">
        <f t="shared" si="435"/>
        <v>0</v>
      </c>
      <c r="M688" s="169">
        <f t="shared" si="435"/>
        <v>0</v>
      </c>
      <c r="N688" s="169">
        <f t="shared" si="435"/>
        <v>0</v>
      </c>
      <c r="O688" s="169">
        <f t="shared" si="435"/>
        <v>0</v>
      </c>
      <c r="P688" s="169">
        <f t="shared" si="435"/>
        <v>0</v>
      </c>
      <c r="Q688" s="169">
        <f t="shared" si="435"/>
        <v>0</v>
      </c>
      <c r="R688" s="169">
        <f t="shared" si="435"/>
        <v>0</v>
      </c>
      <c r="S688" s="169">
        <f t="shared" ref="S688:AH697" si="436">IF(S$2&gt;AnalysisPeriod,0,IF(S$2=MMFrequency2*$A688,MMCost2*CapacityDC*1000*(1+Inflation)^R$2,0))</f>
        <v>0</v>
      </c>
      <c r="T688" s="169">
        <f t="shared" si="436"/>
        <v>0</v>
      </c>
      <c r="U688" s="169">
        <f t="shared" si="436"/>
        <v>0</v>
      </c>
      <c r="V688" s="169">
        <f t="shared" si="436"/>
        <v>0</v>
      </c>
      <c r="W688" s="169">
        <f t="shared" si="436"/>
        <v>0</v>
      </c>
      <c r="X688" s="169">
        <f t="shared" si="436"/>
        <v>0</v>
      </c>
      <c r="Y688" s="169">
        <f t="shared" si="436"/>
        <v>0</v>
      </c>
      <c r="Z688" s="169">
        <f t="shared" si="436"/>
        <v>0</v>
      </c>
      <c r="AA688" s="169">
        <f t="shared" si="436"/>
        <v>0</v>
      </c>
      <c r="AB688" s="169">
        <f t="shared" si="436"/>
        <v>0</v>
      </c>
      <c r="AC688" s="169">
        <f t="shared" si="436"/>
        <v>0</v>
      </c>
      <c r="AD688" s="169">
        <f t="shared" si="436"/>
        <v>0</v>
      </c>
      <c r="AE688" s="169">
        <f t="shared" si="436"/>
        <v>0</v>
      </c>
      <c r="AF688" s="169">
        <f t="shared" si="436"/>
        <v>0</v>
      </c>
      <c r="AG688" s="169">
        <f t="shared" si="436"/>
        <v>0</v>
      </c>
      <c r="AH688" s="169">
        <f t="shared" si="436"/>
        <v>0</v>
      </c>
      <c r="AI688" s="169">
        <f t="shared" ref="AI688:AP697" si="437">IF(AI$2&gt;AnalysisPeriod,0,IF(AI$2=MMFrequency2*$A688,MMCost2*CapacityDC*1000*(1+Inflation)^AH$2,0))</f>
        <v>0</v>
      </c>
      <c r="AJ688" s="169">
        <f t="shared" si="437"/>
        <v>0</v>
      </c>
      <c r="AK688" s="169">
        <f t="shared" si="437"/>
        <v>0</v>
      </c>
      <c r="AL688" s="169">
        <f t="shared" si="437"/>
        <v>0</v>
      </c>
      <c r="AM688" s="169">
        <f t="shared" si="437"/>
        <v>0</v>
      </c>
      <c r="AN688" s="169">
        <f t="shared" si="437"/>
        <v>0</v>
      </c>
      <c r="AO688" s="169">
        <f t="shared" si="437"/>
        <v>0</v>
      </c>
      <c r="AP688" s="169">
        <f t="shared" si="437"/>
        <v>0</v>
      </c>
    </row>
    <row r="689" spans="1:42" x14ac:dyDescent="0.2">
      <c r="A689" s="20">
        <f>A688+1</f>
        <v>2</v>
      </c>
      <c r="B689" s="179">
        <f t="shared" si="434"/>
        <v>0</v>
      </c>
      <c r="C689" s="169">
        <f t="shared" si="435"/>
        <v>0</v>
      </c>
      <c r="D689" s="169">
        <f t="shared" si="435"/>
        <v>0</v>
      </c>
      <c r="E689" s="169">
        <f t="shared" si="435"/>
        <v>0</v>
      </c>
      <c r="F689" s="169">
        <f t="shared" si="435"/>
        <v>0</v>
      </c>
      <c r="G689" s="169">
        <f t="shared" si="435"/>
        <v>0</v>
      </c>
      <c r="H689" s="169">
        <f t="shared" si="435"/>
        <v>0</v>
      </c>
      <c r="I689" s="169">
        <f t="shared" si="435"/>
        <v>0</v>
      </c>
      <c r="J689" s="169">
        <f t="shared" si="435"/>
        <v>0</v>
      </c>
      <c r="K689" s="169">
        <f t="shared" si="435"/>
        <v>0</v>
      </c>
      <c r="L689" s="169">
        <f t="shared" si="435"/>
        <v>0</v>
      </c>
      <c r="M689" s="169">
        <f t="shared" si="435"/>
        <v>0</v>
      </c>
      <c r="N689" s="169">
        <f t="shared" si="435"/>
        <v>0</v>
      </c>
      <c r="O689" s="169">
        <f t="shared" si="435"/>
        <v>0</v>
      </c>
      <c r="P689" s="169">
        <f t="shared" si="435"/>
        <v>0</v>
      </c>
      <c r="Q689" s="169">
        <f t="shared" si="435"/>
        <v>0</v>
      </c>
      <c r="R689" s="169">
        <f t="shared" si="435"/>
        <v>0</v>
      </c>
      <c r="S689" s="169">
        <f t="shared" si="436"/>
        <v>0</v>
      </c>
      <c r="T689" s="169">
        <f t="shared" si="436"/>
        <v>0</v>
      </c>
      <c r="U689" s="169">
        <f t="shared" si="436"/>
        <v>0</v>
      </c>
      <c r="V689" s="169">
        <f t="shared" si="436"/>
        <v>0</v>
      </c>
      <c r="W689" s="169">
        <f t="shared" si="436"/>
        <v>0</v>
      </c>
      <c r="X689" s="169">
        <f t="shared" si="436"/>
        <v>0</v>
      </c>
      <c r="Y689" s="169">
        <f t="shared" si="436"/>
        <v>0</v>
      </c>
      <c r="Z689" s="169">
        <f t="shared" si="436"/>
        <v>0</v>
      </c>
      <c r="AA689" s="169">
        <f t="shared" si="436"/>
        <v>0</v>
      </c>
      <c r="AB689" s="169">
        <f t="shared" si="436"/>
        <v>0</v>
      </c>
      <c r="AC689" s="169">
        <f t="shared" si="436"/>
        <v>0</v>
      </c>
      <c r="AD689" s="169">
        <f t="shared" si="436"/>
        <v>0</v>
      </c>
      <c r="AE689" s="169">
        <f t="shared" si="436"/>
        <v>0</v>
      </c>
      <c r="AF689" s="169">
        <f t="shared" si="436"/>
        <v>0</v>
      </c>
      <c r="AG689" s="169">
        <f t="shared" si="436"/>
        <v>0</v>
      </c>
      <c r="AH689" s="169">
        <f t="shared" si="436"/>
        <v>0</v>
      </c>
      <c r="AI689" s="169">
        <f t="shared" si="437"/>
        <v>0</v>
      </c>
      <c r="AJ689" s="169">
        <f t="shared" si="437"/>
        <v>0</v>
      </c>
      <c r="AK689" s="169">
        <f t="shared" si="437"/>
        <v>0</v>
      </c>
      <c r="AL689" s="169">
        <f t="shared" si="437"/>
        <v>0</v>
      </c>
      <c r="AM689" s="169">
        <f t="shared" si="437"/>
        <v>0</v>
      </c>
      <c r="AN689" s="169">
        <f t="shared" si="437"/>
        <v>0</v>
      </c>
      <c r="AO689" s="169">
        <f t="shared" si="437"/>
        <v>0</v>
      </c>
      <c r="AP689" s="169">
        <f t="shared" si="437"/>
        <v>0</v>
      </c>
    </row>
    <row r="690" spans="1:42" x14ac:dyDescent="0.2">
      <c r="A690" s="20">
        <f t="shared" ref="A690:A697" si="438">A689+1</f>
        <v>3</v>
      </c>
      <c r="B690" s="179">
        <f t="shared" si="434"/>
        <v>0</v>
      </c>
      <c r="C690" s="169">
        <f t="shared" si="435"/>
        <v>0</v>
      </c>
      <c r="D690" s="169">
        <f t="shared" si="435"/>
        <v>0</v>
      </c>
      <c r="E690" s="169">
        <f t="shared" si="435"/>
        <v>0</v>
      </c>
      <c r="F690" s="169">
        <f t="shared" si="435"/>
        <v>0</v>
      </c>
      <c r="G690" s="169">
        <f t="shared" si="435"/>
        <v>0</v>
      </c>
      <c r="H690" s="169">
        <f t="shared" si="435"/>
        <v>0</v>
      </c>
      <c r="I690" s="169">
        <f t="shared" si="435"/>
        <v>0</v>
      </c>
      <c r="J690" s="169">
        <f t="shared" si="435"/>
        <v>0</v>
      </c>
      <c r="K690" s="169">
        <f t="shared" si="435"/>
        <v>0</v>
      </c>
      <c r="L690" s="169">
        <f t="shared" si="435"/>
        <v>0</v>
      </c>
      <c r="M690" s="169">
        <f t="shared" si="435"/>
        <v>0</v>
      </c>
      <c r="N690" s="169">
        <f t="shared" si="435"/>
        <v>0</v>
      </c>
      <c r="O690" s="169">
        <f t="shared" si="435"/>
        <v>0</v>
      </c>
      <c r="P690" s="169">
        <f t="shared" si="435"/>
        <v>0</v>
      </c>
      <c r="Q690" s="169">
        <f t="shared" si="435"/>
        <v>0</v>
      </c>
      <c r="R690" s="169">
        <f t="shared" si="435"/>
        <v>0</v>
      </c>
      <c r="S690" s="169">
        <f t="shared" si="436"/>
        <v>0</v>
      </c>
      <c r="T690" s="169">
        <f t="shared" si="436"/>
        <v>0</v>
      </c>
      <c r="U690" s="169">
        <f t="shared" si="436"/>
        <v>0</v>
      </c>
      <c r="V690" s="169">
        <f t="shared" si="436"/>
        <v>0</v>
      </c>
      <c r="W690" s="169">
        <f t="shared" si="436"/>
        <v>0</v>
      </c>
      <c r="X690" s="169">
        <f t="shared" si="436"/>
        <v>0</v>
      </c>
      <c r="Y690" s="169">
        <f t="shared" si="436"/>
        <v>0</v>
      </c>
      <c r="Z690" s="169">
        <f t="shared" si="436"/>
        <v>0</v>
      </c>
      <c r="AA690" s="169">
        <f t="shared" si="436"/>
        <v>0</v>
      </c>
      <c r="AB690" s="169">
        <f t="shared" si="436"/>
        <v>0</v>
      </c>
      <c r="AC690" s="169">
        <f t="shared" si="436"/>
        <v>0</v>
      </c>
      <c r="AD690" s="169">
        <f t="shared" si="436"/>
        <v>0</v>
      </c>
      <c r="AE690" s="169">
        <f t="shared" si="436"/>
        <v>0</v>
      </c>
      <c r="AF690" s="169">
        <f t="shared" si="436"/>
        <v>0</v>
      </c>
      <c r="AG690" s="169">
        <f t="shared" si="436"/>
        <v>0</v>
      </c>
      <c r="AH690" s="169">
        <f t="shared" si="436"/>
        <v>0</v>
      </c>
      <c r="AI690" s="169">
        <f t="shared" si="437"/>
        <v>0</v>
      </c>
      <c r="AJ690" s="169">
        <f t="shared" si="437"/>
        <v>0</v>
      </c>
      <c r="AK690" s="169">
        <f t="shared" si="437"/>
        <v>0</v>
      </c>
      <c r="AL690" s="169">
        <f t="shared" si="437"/>
        <v>0</v>
      </c>
      <c r="AM690" s="169">
        <f t="shared" si="437"/>
        <v>0</v>
      </c>
      <c r="AN690" s="169">
        <f t="shared" si="437"/>
        <v>0</v>
      </c>
      <c r="AO690" s="169">
        <f t="shared" si="437"/>
        <v>0</v>
      </c>
      <c r="AP690" s="169">
        <f t="shared" si="437"/>
        <v>0</v>
      </c>
    </row>
    <row r="691" spans="1:42" x14ac:dyDescent="0.2">
      <c r="A691" s="20">
        <f t="shared" si="438"/>
        <v>4</v>
      </c>
      <c r="B691" s="179">
        <f t="shared" si="434"/>
        <v>0</v>
      </c>
      <c r="C691" s="169">
        <f t="shared" si="435"/>
        <v>0</v>
      </c>
      <c r="D691" s="169">
        <f t="shared" si="435"/>
        <v>0</v>
      </c>
      <c r="E691" s="169">
        <f t="shared" si="435"/>
        <v>0</v>
      </c>
      <c r="F691" s="169">
        <f t="shared" si="435"/>
        <v>0</v>
      </c>
      <c r="G691" s="169">
        <f t="shared" si="435"/>
        <v>0</v>
      </c>
      <c r="H691" s="169">
        <f t="shared" si="435"/>
        <v>0</v>
      </c>
      <c r="I691" s="169">
        <f t="shared" si="435"/>
        <v>0</v>
      </c>
      <c r="J691" s="169">
        <f t="shared" si="435"/>
        <v>0</v>
      </c>
      <c r="K691" s="169">
        <f t="shared" si="435"/>
        <v>0</v>
      </c>
      <c r="L691" s="169">
        <f t="shared" si="435"/>
        <v>0</v>
      </c>
      <c r="M691" s="169">
        <f t="shared" si="435"/>
        <v>0</v>
      </c>
      <c r="N691" s="169">
        <f t="shared" si="435"/>
        <v>0</v>
      </c>
      <c r="O691" s="169">
        <f t="shared" si="435"/>
        <v>0</v>
      </c>
      <c r="P691" s="169">
        <f t="shared" si="435"/>
        <v>0</v>
      </c>
      <c r="Q691" s="169">
        <f t="shared" si="435"/>
        <v>0</v>
      </c>
      <c r="R691" s="169">
        <f t="shared" si="435"/>
        <v>0</v>
      </c>
      <c r="S691" s="169">
        <f t="shared" si="436"/>
        <v>0</v>
      </c>
      <c r="T691" s="169">
        <f t="shared" si="436"/>
        <v>0</v>
      </c>
      <c r="U691" s="169">
        <f t="shared" si="436"/>
        <v>0</v>
      </c>
      <c r="V691" s="169">
        <f t="shared" si="436"/>
        <v>0</v>
      </c>
      <c r="W691" s="169">
        <f t="shared" si="436"/>
        <v>0</v>
      </c>
      <c r="X691" s="169">
        <f t="shared" si="436"/>
        <v>0</v>
      </c>
      <c r="Y691" s="169">
        <f t="shared" si="436"/>
        <v>0</v>
      </c>
      <c r="Z691" s="169">
        <f t="shared" si="436"/>
        <v>0</v>
      </c>
      <c r="AA691" s="169">
        <f t="shared" si="436"/>
        <v>0</v>
      </c>
      <c r="AB691" s="169">
        <f t="shared" si="436"/>
        <v>0</v>
      </c>
      <c r="AC691" s="169">
        <f t="shared" si="436"/>
        <v>0</v>
      </c>
      <c r="AD691" s="169">
        <f t="shared" si="436"/>
        <v>0</v>
      </c>
      <c r="AE691" s="169">
        <f t="shared" si="436"/>
        <v>0</v>
      </c>
      <c r="AF691" s="169">
        <f t="shared" si="436"/>
        <v>0</v>
      </c>
      <c r="AG691" s="169">
        <f t="shared" si="436"/>
        <v>0</v>
      </c>
      <c r="AH691" s="169">
        <f t="shared" si="436"/>
        <v>0</v>
      </c>
      <c r="AI691" s="169">
        <f t="shared" si="437"/>
        <v>0</v>
      </c>
      <c r="AJ691" s="169">
        <f t="shared" si="437"/>
        <v>0</v>
      </c>
      <c r="AK691" s="169">
        <f t="shared" si="437"/>
        <v>0</v>
      </c>
      <c r="AL691" s="169">
        <f t="shared" si="437"/>
        <v>0</v>
      </c>
      <c r="AM691" s="169">
        <f t="shared" si="437"/>
        <v>0</v>
      </c>
      <c r="AN691" s="169">
        <f t="shared" si="437"/>
        <v>0</v>
      </c>
      <c r="AO691" s="169">
        <f t="shared" si="437"/>
        <v>0</v>
      </c>
      <c r="AP691" s="169">
        <f t="shared" si="437"/>
        <v>0</v>
      </c>
    </row>
    <row r="692" spans="1:42" x14ac:dyDescent="0.2">
      <c r="A692" s="20">
        <f t="shared" si="438"/>
        <v>5</v>
      </c>
      <c r="B692" s="179">
        <f t="shared" si="434"/>
        <v>0</v>
      </c>
      <c r="C692" s="169">
        <f t="shared" si="435"/>
        <v>0</v>
      </c>
      <c r="D692" s="169">
        <f t="shared" si="435"/>
        <v>0</v>
      </c>
      <c r="E692" s="169">
        <f t="shared" si="435"/>
        <v>0</v>
      </c>
      <c r="F692" s="169">
        <f t="shared" si="435"/>
        <v>0</v>
      </c>
      <c r="G692" s="169">
        <f t="shared" si="435"/>
        <v>0</v>
      </c>
      <c r="H692" s="169">
        <f t="shared" si="435"/>
        <v>0</v>
      </c>
      <c r="I692" s="169">
        <f t="shared" si="435"/>
        <v>0</v>
      </c>
      <c r="J692" s="169">
        <f t="shared" si="435"/>
        <v>0</v>
      </c>
      <c r="K692" s="169">
        <f t="shared" si="435"/>
        <v>0</v>
      </c>
      <c r="L692" s="169">
        <f t="shared" si="435"/>
        <v>0</v>
      </c>
      <c r="M692" s="169">
        <f t="shared" si="435"/>
        <v>0</v>
      </c>
      <c r="N692" s="169">
        <f t="shared" si="435"/>
        <v>0</v>
      </c>
      <c r="O692" s="169">
        <f t="shared" si="435"/>
        <v>0</v>
      </c>
      <c r="P692" s="169">
        <f t="shared" si="435"/>
        <v>0</v>
      </c>
      <c r="Q692" s="169">
        <f t="shared" si="435"/>
        <v>0</v>
      </c>
      <c r="R692" s="169">
        <f t="shared" si="435"/>
        <v>0</v>
      </c>
      <c r="S692" s="169">
        <f t="shared" si="436"/>
        <v>0</v>
      </c>
      <c r="T692" s="169">
        <f t="shared" si="436"/>
        <v>0</v>
      </c>
      <c r="U692" s="169">
        <f t="shared" si="436"/>
        <v>0</v>
      </c>
      <c r="V692" s="169">
        <f t="shared" si="436"/>
        <v>0</v>
      </c>
      <c r="W692" s="169">
        <f t="shared" si="436"/>
        <v>0</v>
      </c>
      <c r="X692" s="169">
        <f t="shared" si="436"/>
        <v>0</v>
      </c>
      <c r="Y692" s="169">
        <f t="shared" si="436"/>
        <v>0</v>
      </c>
      <c r="Z692" s="169">
        <f t="shared" si="436"/>
        <v>0</v>
      </c>
      <c r="AA692" s="169">
        <f t="shared" si="436"/>
        <v>0</v>
      </c>
      <c r="AB692" s="169">
        <f t="shared" si="436"/>
        <v>0</v>
      </c>
      <c r="AC692" s="169">
        <f t="shared" si="436"/>
        <v>0</v>
      </c>
      <c r="AD692" s="169">
        <f t="shared" si="436"/>
        <v>0</v>
      </c>
      <c r="AE692" s="169">
        <f t="shared" si="436"/>
        <v>0</v>
      </c>
      <c r="AF692" s="169">
        <f t="shared" si="436"/>
        <v>0</v>
      </c>
      <c r="AG692" s="169">
        <f t="shared" si="436"/>
        <v>0</v>
      </c>
      <c r="AH692" s="169">
        <f t="shared" si="436"/>
        <v>0</v>
      </c>
      <c r="AI692" s="169">
        <f t="shared" si="437"/>
        <v>0</v>
      </c>
      <c r="AJ692" s="169">
        <f t="shared" si="437"/>
        <v>0</v>
      </c>
      <c r="AK692" s="169">
        <f t="shared" si="437"/>
        <v>0</v>
      </c>
      <c r="AL692" s="169">
        <f t="shared" si="437"/>
        <v>0</v>
      </c>
      <c r="AM692" s="169">
        <f t="shared" si="437"/>
        <v>0</v>
      </c>
      <c r="AN692" s="169">
        <f t="shared" si="437"/>
        <v>0</v>
      </c>
      <c r="AO692" s="169">
        <f t="shared" si="437"/>
        <v>0</v>
      </c>
      <c r="AP692" s="169">
        <f t="shared" si="437"/>
        <v>0</v>
      </c>
    </row>
    <row r="693" spans="1:42" x14ac:dyDescent="0.2">
      <c r="A693" s="20">
        <f t="shared" si="438"/>
        <v>6</v>
      </c>
      <c r="B693" s="179">
        <f t="shared" si="434"/>
        <v>0</v>
      </c>
      <c r="C693" s="169">
        <f t="shared" si="435"/>
        <v>0</v>
      </c>
      <c r="D693" s="169">
        <f t="shared" si="435"/>
        <v>0</v>
      </c>
      <c r="E693" s="169">
        <f t="shared" si="435"/>
        <v>0</v>
      </c>
      <c r="F693" s="169">
        <f t="shared" si="435"/>
        <v>0</v>
      </c>
      <c r="G693" s="169">
        <f t="shared" si="435"/>
        <v>0</v>
      </c>
      <c r="H693" s="169">
        <f t="shared" si="435"/>
        <v>0</v>
      </c>
      <c r="I693" s="169">
        <f t="shared" si="435"/>
        <v>0</v>
      </c>
      <c r="J693" s="169">
        <f t="shared" si="435"/>
        <v>0</v>
      </c>
      <c r="K693" s="169">
        <f t="shared" si="435"/>
        <v>0</v>
      </c>
      <c r="L693" s="169">
        <f t="shared" si="435"/>
        <v>0</v>
      </c>
      <c r="M693" s="169">
        <f t="shared" si="435"/>
        <v>0</v>
      </c>
      <c r="N693" s="169">
        <f t="shared" si="435"/>
        <v>0</v>
      </c>
      <c r="O693" s="169">
        <f t="shared" si="435"/>
        <v>0</v>
      </c>
      <c r="P693" s="169">
        <f t="shared" si="435"/>
        <v>0</v>
      </c>
      <c r="Q693" s="169">
        <f t="shared" si="435"/>
        <v>0</v>
      </c>
      <c r="R693" s="169">
        <f t="shared" si="435"/>
        <v>0</v>
      </c>
      <c r="S693" s="169">
        <f t="shared" si="436"/>
        <v>0</v>
      </c>
      <c r="T693" s="169">
        <f t="shared" si="436"/>
        <v>0</v>
      </c>
      <c r="U693" s="169">
        <f t="shared" si="436"/>
        <v>0</v>
      </c>
      <c r="V693" s="169">
        <f t="shared" si="436"/>
        <v>0</v>
      </c>
      <c r="W693" s="169">
        <f t="shared" si="436"/>
        <v>0</v>
      </c>
      <c r="X693" s="169">
        <f t="shared" si="436"/>
        <v>0</v>
      </c>
      <c r="Y693" s="169">
        <f t="shared" si="436"/>
        <v>0</v>
      </c>
      <c r="Z693" s="169">
        <f t="shared" si="436"/>
        <v>0</v>
      </c>
      <c r="AA693" s="169">
        <f t="shared" si="436"/>
        <v>0</v>
      </c>
      <c r="AB693" s="169">
        <f t="shared" si="436"/>
        <v>0</v>
      </c>
      <c r="AC693" s="169">
        <f t="shared" si="436"/>
        <v>0</v>
      </c>
      <c r="AD693" s="169">
        <f t="shared" si="436"/>
        <v>0</v>
      </c>
      <c r="AE693" s="169">
        <f t="shared" si="436"/>
        <v>0</v>
      </c>
      <c r="AF693" s="169">
        <f t="shared" si="436"/>
        <v>0</v>
      </c>
      <c r="AG693" s="169">
        <f t="shared" si="436"/>
        <v>0</v>
      </c>
      <c r="AH693" s="169">
        <f t="shared" si="436"/>
        <v>0</v>
      </c>
      <c r="AI693" s="169">
        <f t="shared" si="437"/>
        <v>0</v>
      </c>
      <c r="AJ693" s="169">
        <f t="shared" si="437"/>
        <v>0</v>
      </c>
      <c r="AK693" s="169">
        <f t="shared" si="437"/>
        <v>0</v>
      </c>
      <c r="AL693" s="169">
        <f t="shared" si="437"/>
        <v>0</v>
      </c>
      <c r="AM693" s="169">
        <f t="shared" si="437"/>
        <v>0</v>
      </c>
      <c r="AN693" s="169">
        <f t="shared" si="437"/>
        <v>0</v>
      </c>
      <c r="AO693" s="169">
        <f t="shared" si="437"/>
        <v>0</v>
      </c>
      <c r="AP693" s="169">
        <f t="shared" si="437"/>
        <v>0</v>
      </c>
    </row>
    <row r="694" spans="1:42" x14ac:dyDescent="0.2">
      <c r="A694" s="20">
        <f t="shared" si="438"/>
        <v>7</v>
      </c>
      <c r="B694" s="179">
        <f t="shared" si="434"/>
        <v>0</v>
      </c>
      <c r="C694" s="169">
        <f t="shared" si="435"/>
        <v>0</v>
      </c>
      <c r="D694" s="169">
        <f t="shared" si="435"/>
        <v>0</v>
      </c>
      <c r="E694" s="169">
        <f t="shared" si="435"/>
        <v>0</v>
      </c>
      <c r="F694" s="169">
        <f t="shared" si="435"/>
        <v>0</v>
      </c>
      <c r="G694" s="169">
        <f t="shared" si="435"/>
        <v>0</v>
      </c>
      <c r="H694" s="169">
        <f t="shared" si="435"/>
        <v>0</v>
      </c>
      <c r="I694" s="169">
        <f t="shared" si="435"/>
        <v>0</v>
      </c>
      <c r="J694" s="169">
        <f t="shared" si="435"/>
        <v>0</v>
      </c>
      <c r="K694" s="169">
        <f t="shared" si="435"/>
        <v>0</v>
      </c>
      <c r="L694" s="169">
        <f t="shared" si="435"/>
        <v>0</v>
      </c>
      <c r="M694" s="169">
        <f t="shared" si="435"/>
        <v>0</v>
      </c>
      <c r="N694" s="169">
        <f t="shared" si="435"/>
        <v>0</v>
      </c>
      <c r="O694" s="169">
        <f t="shared" si="435"/>
        <v>0</v>
      </c>
      <c r="P694" s="169">
        <f t="shared" si="435"/>
        <v>0</v>
      </c>
      <c r="Q694" s="169">
        <f t="shared" si="435"/>
        <v>0</v>
      </c>
      <c r="R694" s="169">
        <f t="shared" si="435"/>
        <v>0</v>
      </c>
      <c r="S694" s="169">
        <f t="shared" si="436"/>
        <v>0</v>
      </c>
      <c r="T694" s="169">
        <f t="shared" si="436"/>
        <v>0</v>
      </c>
      <c r="U694" s="169">
        <f t="shared" si="436"/>
        <v>0</v>
      </c>
      <c r="V694" s="169">
        <f t="shared" si="436"/>
        <v>0</v>
      </c>
      <c r="W694" s="169">
        <f t="shared" si="436"/>
        <v>0</v>
      </c>
      <c r="X694" s="169">
        <f t="shared" si="436"/>
        <v>0</v>
      </c>
      <c r="Y694" s="169">
        <f t="shared" si="436"/>
        <v>0</v>
      </c>
      <c r="Z694" s="169">
        <f t="shared" si="436"/>
        <v>0</v>
      </c>
      <c r="AA694" s="169">
        <f t="shared" si="436"/>
        <v>0</v>
      </c>
      <c r="AB694" s="169">
        <f t="shared" si="436"/>
        <v>0</v>
      </c>
      <c r="AC694" s="169">
        <f t="shared" si="436"/>
        <v>0</v>
      </c>
      <c r="AD694" s="169">
        <f t="shared" si="436"/>
        <v>0</v>
      </c>
      <c r="AE694" s="169">
        <f t="shared" si="436"/>
        <v>0</v>
      </c>
      <c r="AF694" s="169">
        <f t="shared" si="436"/>
        <v>0</v>
      </c>
      <c r="AG694" s="169">
        <f t="shared" si="436"/>
        <v>0</v>
      </c>
      <c r="AH694" s="169">
        <f t="shared" si="436"/>
        <v>0</v>
      </c>
      <c r="AI694" s="169">
        <f t="shared" si="437"/>
        <v>0</v>
      </c>
      <c r="AJ694" s="169">
        <f t="shared" si="437"/>
        <v>0</v>
      </c>
      <c r="AK694" s="169">
        <f t="shared" si="437"/>
        <v>0</v>
      </c>
      <c r="AL694" s="169">
        <f t="shared" si="437"/>
        <v>0</v>
      </c>
      <c r="AM694" s="169">
        <f t="shared" si="437"/>
        <v>0</v>
      </c>
      <c r="AN694" s="169">
        <f t="shared" si="437"/>
        <v>0</v>
      </c>
      <c r="AO694" s="169">
        <f t="shared" si="437"/>
        <v>0</v>
      </c>
      <c r="AP694" s="169">
        <f t="shared" si="437"/>
        <v>0</v>
      </c>
    </row>
    <row r="695" spans="1:42" x14ac:dyDescent="0.2">
      <c r="A695" s="20">
        <f t="shared" si="438"/>
        <v>8</v>
      </c>
      <c r="B695" s="179">
        <f t="shared" si="434"/>
        <v>0</v>
      </c>
      <c r="C695" s="169">
        <f t="shared" si="435"/>
        <v>0</v>
      </c>
      <c r="D695" s="169">
        <f t="shared" si="435"/>
        <v>0</v>
      </c>
      <c r="E695" s="169">
        <f t="shared" si="435"/>
        <v>0</v>
      </c>
      <c r="F695" s="169">
        <f t="shared" si="435"/>
        <v>0</v>
      </c>
      <c r="G695" s="169">
        <f t="shared" si="435"/>
        <v>0</v>
      </c>
      <c r="H695" s="169">
        <f t="shared" si="435"/>
        <v>0</v>
      </c>
      <c r="I695" s="169">
        <f t="shared" si="435"/>
        <v>0</v>
      </c>
      <c r="J695" s="169">
        <f t="shared" si="435"/>
        <v>0</v>
      </c>
      <c r="K695" s="169">
        <f t="shared" si="435"/>
        <v>0</v>
      </c>
      <c r="L695" s="169">
        <f t="shared" si="435"/>
        <v>0</v>
      </c>
      <c r="M695" s="169">
        <f t="shared" si="435"/>
        <v>0</v>
      </c>
      <c r="N695" s="169">
        <f t="shared" si="435"/>
        <v>0</v>
      </c>
      <c r="O695" s="169">
        <f t="shared" si="435"/>
        <v>0</v>
      </c>
      <c r="P695" s="169">
        <f t="shared" si="435"/>
        <v>0</v>
      </c>
      <c r="Q695" s="169">
        <f t="shared" si="435"/>
        <v>0</v>
      </c>
      <c r="R695" s="169">
        <f t="shared" si="435"/>
        <v>0</v>
      </c>
      <c r="S695" s="169">
        <f t="shared" si="436"/>
        <v>0</v>
      </c>
      <c r="T695" s="169">
        <f t="shared" si="436"/>
        <v>0</v>
      </c>
      <c r="U695" s="169">
        <f t="shared" si="436"/>
        <v>0</v>
      </c>
      <c r="V695" s="169">
        <f t="shared" si="436"/>
        <v>0</v>
      </c>
      <c r="W695" s="169">
        <f t="shared" si="436"/>
        <v>0</v>
      </c>
      <c r="X695" s="169">
        <f t="shared" si="436"/>
        <v>0</v>
      </c>
      <c r="Y695" s="169">
        <f t="shared" si="436"/>
        <v>0</v>
      </c>
      <c r="Z695" s="169">
        <f t="shared" si="436"/>
        <v>0</v>
      </c>
      <c r="AA695" s="169">
        <f t="shared" si="436"/>
        <v>0</v>
      </c>
      <c r="AB695" s="169">
        <f t="shared" si="436"/>
        <v>0</v>
      </c>
      <c r="AC695" s="169">
        <f t="shared" si="436"/>
        <v>0</v>
      </c>
      <c r="AD695" s="169">
        <f t="shared" si="436"/>
        <v>0</v>
      </c>
      <c r="AE695" s="169">
        <f t="shared" si="436"/>
        <v>0</v>
      </c>
      <c r="AF695" s="169">
        <f t="shared" si="436"/>
        <v>0</v>
      </c>
      <c r="AG695" s="169">
        <f t="shared" si="436"/>
        <v>0</v>
      </c>
      <c r="AH695" s="169">
        <f t="shared" si="436"/>
        <v>0</v>
      </c>
      <c r="AI695" s="169">
        <f t="shared" si="437"/>
        <v>0</v>
      </c>
      <c r="AJ695" s="169">
        <f t="shared" si="437"/>
        <v>0</v>
      </c>
      <c r="AK695" s="169">
        <f t="shared" si="437"/>
        <v>0</v>
      </c>
      <c r="AL695" s="169">
        <f t="shared" si="437"/>
        <v>0</v>
      </c>
      <c r="AM695" s="169">
        <f t="shared" si="437"/>
        <v>0</v>
      </c>
      <c r="AN695" s="169">
        <f t="shared" si="437"/>
        <v>0</v>
      </c>
      <c r="AO695" s="169">
        <f t="shared" si="437"/>
        <v>0</v>
      </c>
      <c r="AP695" s="169">
        <f t="shared" si="437"/>
        <v>0</v>
      </c>
    </row>
    <row r="696" spans="1:42" x14ac:dyDescent="0.2">
      <c r="A696" s="20">
        <f>A695+1</f>
        <v>9</v>
      </c>
      <c r="B696" s="179">
        <f t="shared" si="434"/>
        <v>0</v>
      </c>
      <c r="C696" s="169">
        <f t="shared" si="435"/>
        <v>0</v>
      </c>
      <c r="D696" s="169">
        <f t="shared" si="435"/>
        <v>0</v>
      </c>
      <c r="E696" s="169">
        <f t="shared" si="435"/>
        <v>0</v>
      </c>
      <c r="F696" s="169">
        <f t="shared" si="435"/>
        <v>0</v>
      </c>
      <c r="G696" s="169">
        <f t="shared" si="435"/>
        <v>0</v>
      </c>
      <c r="H696" s="169">
        <f t="shared" si="435"/>
        <v>0</v>
      </c>
      <c r="I696" s="169">
        <f t="shared" si="435"/>
        <v>0</v>
      </c>
      <c r="J696" s="169">
        <f t="shared" si="435"/>
        <v>0</v>
      </c>
      <c r="K696" s="169">
        <f t="shared" si="435"/>
        <v>0</v>
      </c>
      <c r="L696" s="169">
        <f t="shared" si="435"/>
        <v>0</v>
      </c>
      <c r="M696" s="169">
        <f t="shared" si="435"/>
        <v>0</v>
      </c>
      <c r="N696" s="169">
        <f t="shared" si="435"/>
        <v>0</v>
      </c>
      <c r="O696" s="169">
        <f t="shared" si="435"/>
        <v>0</v>
      </c>
      <c r="P696" s="169">
        <f t="shared" si="435"/>
        <v>0</v>
      </c>
      <c r="Q696" s="169">
        <f t="shared" si="435"/>
        <v>0</v>
      </c>
      <c r="R696" s="169">
        <f t="shared" si="435"/>
        <v>0</v>
      </c>
      <c r="S696" s="169">
        <f t="shared" si="436"/>
        <v>0</v>
      </c>
      <c r="T696" s="169">
        <f t="shared" si="436"/>
        <v>0</v>
      </c>
      <c r="U696" s="169">
        <f t="shared" si="436"/>
        <v>0</v>
      </c>
      <c r="V696" s="169">
        <f t="shared" si="436"/>
        <v>0</v>
      </c>
      <c r="W696" s="169">
        <f t="shared" si="436"/>
        <v>0</v>
      </c>
      <c r="X696" s="169">
        <f t="shared" si="436"/>
        <v>0</v>
      </c>
      <c r="Y696" s="169">
        <f t="shared" si="436"/>
        <v>0</v>
      </c>
      <c r="Z696" s="169">
        <f t="shared" si="436"/>
        <v>0</v>
      </c>
      <c r="AA696" s="169">
        <f t="shared" si="436"/>
        <v>0</v>
      </c>
      <c r="AB696" s="169">
        <f t="shared" si="436"/>
        <v>0</v>
      </c>
      <c r="AC696" s="169">
        <f t="shared" si="436"/>
        <v>0</v>
      </c>
      <c r="AD696" s="169">
        <f t="shared" si="436"/>
        <v>0</v>
      </c>
      <c r="AE696" s="169">
        <f t="shared" si="436"/>
        <v>0</v>
      </c>
      <c r="AF696" s="169">
        <f t="shared" si="436"/>
        <v>0</v>
      </c>
      <c r="AG696" s="169">
        <f t="shared" si="436"/>
        <v>0</v>
      </c>
      <c r="AH696" s="169">
        <f t="shared" si="436"/>
        <v>0</v>
      </c>
      <c r="AI696" s="169">
        <f t="shared" si="437"/>
        <v>0</v>
      </c>
      <c r="AJ696" s="169">
        <f t="shared" si="437"/>
        <v>0</v>
      </c>
      <c r="AK696" s="169">
        <f t="shared" si="437"/>
        <v>0</v>
      </c>
      <c r="AL696" s="169">
        <f t="shared" si="437"/>
        <v>0</v>
      </c>
      <c r="AM696" s="169">
        <f t="shared" si="437"/>
        <v>0</v>
      </c>
      <c r="AN696" s="169">
        <f t="shared" si="437"/>
        <v>0</v>
      </c>
      <c r="AO696" s="169">
        <f t="shared" si="437"/>
        <v>0</v>
      </c>
      <c r="AP696" s="169">
        <f t="shared" si="437"/>
        <v>0</v>
      </c>
    </row>
    <row r="697" spans="1:42" x14ac:dyDescent="0.2">
      <c r="A697" s="20">
        <f t="shared" si="438"/>
        <v>10</v>
      </c>
      <c r="B697" s="179">
        <f t="shared" si="434"/>
        <v>0</v>
      </c>
      <c r="C697" s="170">
        <f t="shared" si="435"/>
        <v>0</v>
      </c>
      <c r="D697" s="170">
        <f t="shared" si="435"/>
        <v>0</v>
      </c>
      <c r="E697" s="170">
        <f t="shared" si="435"/>
        <v>0</v>
      </c>
      <c r="F697" s="170">
        <f t="shared" si="435"/>
        <v>0</v>
      </c>
      <c r="G697" s="170">
        <f t="shared" si="435"/>
        <v>0</v>
      </c>
      <c r="H697" s="170">
        <f t="shared" si="435"/>
        <v>0</v>
      </c>
      <c r="I697" s="170">
        <f t="shared" si="435"/>
        <v>0</v>
      </c>
      <c r="J697" s="170">
        <f t="shared" si="435"/>
        <v>0</v>
      </c>
      <c r="K697" s="170">
        <f t="shared" si="435"/>
        <v>0</v>
      </c>
      <c r="L697" s="170">
        <f t="shared" si="435"/>
        <v>0</v>
      </c>
      <c r="M697" s="170">
        <f t="shared" si="435"/>
        <v>0</v>
      </c>
      <c r="N697" s="170">
        <f t="shared" si="435"/>
        <v>0</v>
      </c>
      <c r="O697" s="170">
        <f t="shared" si="435"/>
        <v>0</v>
      </c>
      <c r="P697" s="170">
        <f t="shared" si="435"/>
        <v>0</v>
      </c>
      <c r="Q697" s="170">
        <f t="shared" si="435"/>
        <v>0</v>
      </c>
      <c r="R697" s="170">
        <f t="shared" si="435"/>
        <v>0</v>
      </c>
      <c r="S697" s="170">
        <f t="shared" si="436"/>
        <v>0</v>
      </c>
      <c r="T697" s="170">
        <f t="shared" si="436"/>
        <v>0</v>
      </c>
      <c r="U697" s="170">
        <f t="shared" si="436"/>
        <v>0</v>
      </c>
      <c r="V697" s="170">
        <f t="shared" si="436"/>
        <v>0</v>
      </c>
      <c r="W697" s="170">
        <f t="shared" si="436"/>
        <v>0</v>
      </c>
      <c r="X697" s="170">
        <f t="shared" si="436"/>
        <v>0</v>
      </c>
      <c r="Y697" s="170">
        <f t="shared" si="436"/>
        <v>0</v>
      </c>
      <c r="Z697" s="170">
        <f t="shared" si="436"/>
        <v>0</v>
      </c>
      <c r="AA697" s="170">
        <f t="shared" si="436"/>
        <v>0</v>
      </c>
      <c r="AB697" s="170">
        <f t="shared" si="436"/>
        <v>0</v>
      </c>
      <c r="AC697" s="170">
        <f t="shared" si="436"/>
        <v>0</v>
      </c>
      <c r="AD697" s="170">
        <f t="shared" si="436"/>
        <v>0</v>
      </c>
      <c r="AE697" s="170">
        <f t="shared" si="436"/>
        <v>0</v>
      </c>
      <c r="AF697" s="170">
        <f t="shared" si="436"/>
        <v>0</v>
      </c>
      <c r="AG697" s="170">
        <f t="shared" si="436"/>
        <v>0</v>
      </c>
      <c r="AH697" s="170">
        <f t="shared" si="436"/>
        <v>0</v>
      </c>
      <c r="AI697" s="170">
        <f t="shared" si="437"/>
        <v>0</v>
      </c>
      <c r="AJ697" s="170">
        <f t="shared" si="437"/>
        <v>0</v>
      </c>
      <c r="AK697" s="170">
        <f t="shared" si="437"/>
        <v>0</v>
      </c>
      <c r="AL697" s="170">
        <f t="shared" si="437"/>
        <v>0</v>
      </c>
      <c r="AM697" s="170">
        <f t="shared" si="437"/>
        <v>0</v>
      </c>
      <c r="AN697" s="170">
        <f t="shared" si="437"/>
        <v>0</v>
      </c>
      <c r="AO697" s="170">
        <f t="shared" si="437"/>
        <v>0</v>
      </c>
      <c r="AP697" s="170">
        <f t="shared" si="437"/>
        <v>0</v>
      </c>
    </row>
    <row r="698" spans="1:42" x14ac:dyDescent="0.2">
      <c r="A698" s="202" t="s">
        <v>53</v>
      </c>
      <c r="B698" s="169"/>
      <c r="C698" s="135">
        <f>SUM(C688:C697)</f>
        <v>0</v>
      </c>
      <c r="D698" s="135">
        <f t="shared" ref="D698:AP698" si="439">SUM(D688:D697)</f>
        <v>0</v>
      </c>
      <c r="E698" s="135">
        <f t="shared" si="439"/>
        <v>0</v>
      </c>
      <c r="F698" s="135">
        <f t="shared" si="439"/>
        <v>0</v>
      </c>
      <c r="G698" s="135">
        <f t="shared" si="439"/>
        <v>0</v>
      </c>
      <c r="H698" s="135">
        <f t="shared" si="439"/>
        <v>0</v>
      </c>
      <c r="I698" s="135">
        <f t="shared" si="439"/>
        <v>0</v>
      </c>
      <c r="J698" s="135">
        <f t="shared" si="439"/>
        <v>0</v>
      </c>
      <c r="K698" s="135">
        <f t="shared" si="439"/>
        <v>0</v>
      </c>
      <c r="L698" s="135">
        <f t="shared" si="439"/>
        <v>0</v>
      </c>
      <c r="M698" s="135">
        <f t="shared" si="439"/>
        <v>0</v>
      </c>
      <c r="N698" s="135">
        <f t="shared" si="439"/>
        <v>0</v>
      </c>
      <c r="O698" s="135">
        <f t="shared" si="439"/>
        <v>0</v>
      </c>
      <c r="P698" s="135">
        <f t="shared" si="439"/>
        <v>0</v>
      </c>
      <c r="Q698" s="135">
        <f t="shared" si="439"/>
        <v>0</v>
      </c>
      <c r="R698" s="135">
        <f t="shared" si="439"/>
        <v>0</v>
      </c>
      <c r="S698" s="135">
        <f t="shared" si="439"/>
        <v>0</v>
      </c>
      <c r="T698" s="135">
        <f t="shared" si="439"/>
        <v>0</v>
      </c>
      <c r="U698" s="135">
        <f t="shared" si="439"/>
        <v>0</v>
      </c>
      <c r="V698" s="135">
        <f t="shared" si="439"/>
        <v>0</v>
      </c>
      <c r="W698" s="135">
        <f t="shared" si="439"/>
        <v>0</v>
      </c>
      <c r="X698" s="135">
        <f t="shared" si="439"/>
        <v>0</v>
      </c>
      <c r="Y698" s="135">
        <f t="shared" si="439"/>
        <v>0</v>
      </c>
      <c r="Z698" s="135">
        <f t="shared" si="439"/>
        <v>0</v>
      </c>
      <c r="AA698" s="135">
        <f t="shared" si="439"/>
        <v>0</v>
      </c>
      <c r="AB698" s="135">
        <f t="shared" si="439"/>
        <v>0</v>
      </c>
      <c r="AC698" s="135">
        <f t="shared" si="439"/>
        <v>0</v>
      </c>
      <c r="AD698" s="135">
        <f t="shared" si="439"/>
        <v>0</v>
      </c>
      <c r="AE698" s="135">
        <f t="shared" si="439"/>
        <v>0</v>
      </c>
      <c r="AF698" s="135">
        <f t="shared" si="439"/>
        <v>0</v>
      </c>
      <c r="AG698" s="135">
        <f t="shared" si="439"/>
        <v>0</v>
      </c>
      <c r="AH698" s="135">
        <f t="shared" si="439"/>
        <v>0</v>
      </c>
      <c r="AI698" s="135">
        <f t="shared" si="439"/>
        <v>0</v>
      </c>
      <c r="AJ698" s="135">
        <f t="shared" si="439"/>
        <v>0</v>
      </c>
      <c r="AK698" s="135">
        <f t="shared" si="439"/>
        <v>0</v>
      </c>
      <c r="AL698" s="135">
        <f t="shared" si="439"/>
        <v>0</v>
      </c>
      <c r="AM698" s="135">
        <f t="shared" si="439"/>
        <v>0</v>
      </c>
      <c r="AN698" s="135">
        <f t="shared" si="439"/>
        <v>0</v>
      </c>
      <c r="AO698" s="135">
        <f t="shared" si="439"/>
        <v>0</v>
      </c>
      <c r="AP698" s="135">
        <f t="shared" si="439"/>
        <v>0</v>
      </c>
    </row>
    <row r="699" spans="1:42" x14ac:dyDescent="0.2">
      <c r="A699" s="20" t="s">
        <v>184</v>
      </c>
      <c r="B699" s="135"/>
      <c r="C699" s="135"/>
      <c r="D699" s="135"/>
      <c r="E699" s="135"/>
      <c r="F699" s="135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</row>
    <row r="700" spans="1:42" x14ac:dyDescent="0.2">
      <c r="A700" s="20">
        <v>1</v>
      </c>
      <c r="B700" s="233">
        <f t="shared" ref="B700:B709" si="440">SUM(C700:AP700)</f>
        <v>0</v>
      </c>
      <c r="C700" s="169">
        <f t="shared" ref="C700:AP700" si="441">IF(C$2&lt;=MMFrequency2*$A$688,$B$688/(MMFrequency2),0)</f>
        <v>0</v>
      </c>
      <c r="D700" s="169">
        <f t="shared" si="441"/>
        <v>0</v>
      </c>
      <c r="E700" s="169">
        <f t="shared" si="441"/>
        <v>0</v>
      </c>
      <c r="F700" s="169">
        <f t="shared" si="441"/>
        <v>0</v>
      </c>
      <c r="G700" s="169">
        <f t="shared" si="441"/>
        <v>0</v>
      </c>
      <c r="H700" s="169">
        <f t="shared" si="441"/>
        <v>0</v>
      </c>
      <c r="I700" s="169">
        <f t="shared" si="441"/>
        <v>0</v>
      </c>
      <c r="J700" s="169">
        <f t="shared" si="441"/>
        <v>0</v>
      </c>
      <c r="K700" s="169">
        <f t="shared" si="441"/>
        <v>0</v>
      </c>
      <c r="L700" s="169">
        <f t="shared" si="441"/>
        <v>0</v>
      </c>
      <c r="M700" s="169">
        <f t="shared" si="441"/>
        <v>0</v>
      </c>
      <c r="N700" s="169">
        <f t="shared" si="441"/>
        <v>0</v>
      </c>
      <c r="O700" s="169">
        <f t="shared" si="441"/>
        <v>0</v>
      </c>
      <c r="P700" s="169">
        <f t="shared" si="441"/>
        <v>0</v>
      </c>
      <c r="Q700" s="169">
        <f t="shared" si="441"/>
        <v>0</v>
      </c>
      <c r="R700" s="169">
        <f t="shared" si="441"/>
        <v>0</v>
      </c>
      <c r="S700" s="169">
        <f t="shared" si="441"/>
        <v>0</v>
      </c>
      <c r="T700" s="169">
        <f t="shared" si="441"/>
        <v>0</v>
      </c>
      <c r="U700" s="169">
        <f t="shared" si="441"/>
        <v>0</v>
      </c>
      <c r="V700" s="169">
        <f t="shared" si="441"/>
        <v>0</v>
      </c>
      <c r="W700" s="169">
        <f t="shared" si="441"/>
        <v>0</v>
      </c>
      <c r="X700" s="169">
        <f t="shared" si="441"/>
        <v>0</v>
      </c>
      <c r="Y700" s="169">
        <f t="shared" si="441"/>
        <v>0</v>
      </c>
      <c r="Z700" s="169">
        <f t="shared" si="441"/>
        <v>0</v>
      </c>
      <c r="AA700" s="169">
        <f t="shared" si="441"/>
        <v>0</v>
      </c>
      <c r="AB700" s="169">
        <f t="shared" si="441"/>
        <v>0</v>
      </c>
      <c r="AC700" s="169">
        <f t="shared" si="441"/>
        <v>0</v>
      </c>
      <c r="AD700" s="169">
        <f t="shared" si="441"/>
        <v>0</v>
      </c>
      <c r="AE700" s="169">
        <f t="shared" si="441"/>
        <v>0</v>
      </c>
      <c r="AF700" s="169">
        <f t="shared" si="441"/>
        <v>0</v>
      </c>
      <c r="AG700" s="169">
        <f t="shared" si="441"/>
        <v>0</v>
      </c>
      <c r="AH700" s="169">
        <f t="shared" si="441"/>
        <v>0</v>
      </c>
      <c r="AI700" s="169">
        <f t="shared" si="441"/>
        <v>0</v>
      </c>
      <c r="AJ700" s="169">
        <f t="shared" si="441"/>
        <v>0</v>
      </c>
      <c r="AK700" s="169">
        <f t="shared" si="441"/>
        <v>0</v>
      </c>
      <c r="AL700" s="169">
        <f t="shared" si="441"/>
        <v>0</v>
      </c>
      <c r="AM700" s="169">
        <f t="shared" si="441"/>
        <v>0</v>
      </c>
      <c r="AN700" s="169">
        <f t="shared" si="441"/>
        <v>0</v>
      </c>
      <c r="AO700" s="169">
        <f t="shared" si="441"/>
        <v>0</v>
      </c>
      <c r="AP700" s="169">
        <f t="shared" si="441"/>
        <v>0</v>
      </c>
    </row>
    <row r="701" spans="1:42" x14ac:dyDescent="0.2">
      <c r="A701" s="20">
        <f>A700+1</f>
        <v>2</v>
      </c>
      <c r="B701" s="233">
        <f t="shared" si="440"/>
        <v>0</v>
      </c>
      <c r="C701" s="169">
        <f t="shared" ref="C701:AP707" si="442">IF(AND(C$2&gt;MMFrequency2*$A688,C$2&lt;=MMFrequency2*$A689),$B689/(MMFrequency2),0)</f>
        <v>0</v>
      </c>
      <c r="D701" s="169">
        <f t="shared" si="442"/>
        <v>0</v>
      </c>
      <c r="E701" s="169">
        <f t="shared" si="442"/>
        <v>0</v>
      </c>
      <c r="F701" s="169">
        <f t="shared" si="442"/>
        <v>0</v>
      </c>
      <c r="G701" s="169">
        <f t="shared" si="442"/>
        <v>0</v>
      </c>
      <c r="H701" s="169">
        <f t="shared" si="442"/>
        <v>0</v>
      </c>
      <c r="I701" s="169">
        <f t="shared" si="442"/>
        <v>0</v>
      </c>
      <c r="J701" s="169">
        <f t="shared" si="442"/>
        <v>0</v>
      </c>
      <c r="K701" s="169">
        <f t="shared" si="442"/>
        <v>0</v>
      </c>
      <c r="L701" s="169">
        <f t="shared" si="442"/>
        <v>0</v>
      </c>
      <c r="M701" s="169">
        <f t="shared" si="442"/>
        <v>0</v>
      </c>
      <c r="N701" s="169">
        <f t="shared" si="442"/>
        <v>0</v>
      </c>
      <c r="O701" s="169">
        <f t="shared" si="442"/>
        <v>0</v>
      </c>
      <c r="P701" s="169">
        <f t="shared" si="442"/>
        <v>0</v>
      </c>
      <c r="Q701" s="169">
        <f t="shared" si="442"/>
        <v>0</v>
      </c>
      <c r="R701" s="169">
        <f t="shared" si="442"/>
        <v>0</v>
      </c>
      <c r="S701" s="169">
        <f t="shared" si="442"/>
        <v>0</v>
      </c>
      <c r="T701" s="169">
        <f t="shared" si="442"/>
        <v>0</v>
      </c>
      <c r="U701" s="169">
        <f t="shared" si="442"/>
        <v>0</v>
      </c>
      <c r="V701" s="169">
        <f t="shared" si="442"/>
        <v>0</v>
      </c>
      <c r="W701" s="169">
        <f t="shared" si="442"/>
        <v>0</v>
      </c>
      <c r="X701" s="169">
        <f t="shared" si="442"/>
        <v>0</v>
      </c>
      <c r="Y701" s="169">
        <f t="shared" si="442"/>
        <v>0</v>
      </c>
      <c r="Z701" s="169">
        <f t="shared" si="442"/>
        <v>0</v>
      </c>
      <c r="AA701" s="169">
        <f t="shared" si="442"/>
        <v>0</v>
      </c>
      <c r="AB701" s="169">
        <f t="shared" si="442"/>
        <v>0</v>
      </c>
      <c r="AC701" s="169">
        <f t="shared" si="442"/>
        <v>0</v>
      </c>
      <c r="AD701" s="169">
        <f t="shared" si="442"/>
        <v>0</v>
      </c>
      <c r="AE701" s="169">
        <f t="shared" si="442"/>
        <v>0</v>
      </c>
      <c r="AF701" s="169">
        <f t="shared" si="442"/>
        <v>0</v>
      </c>
      <c r="AG701" s="169">
        <f t="shared" si="442"/>
        <v>0</v>
      </c>
      <c r="AH701" s="169">
        <f t="shared" si="442"/>
        <v>0</v>
      </c>
      <c r="AI701" s="169">
        <f t="shared" si="442"/>
        <v>0</v>
      </c>
      <c r="AJ701" s="169">
        <f t="shared" si="442"/>
        <v>0</v>
      </c>
      <c r="AK701" s="169">
        <f t="shared" si="442"/>
        <v>0</v>
      </c>
      <c r="AL701" s="169">
        <f t="shared" si="442"/>
        <v>0</v>
      </c>
      <c r="AM701" s="169">
        <f t="shared" si="442"/>
        <v>0</v>
      </c>
      <c r="AN701" s="169">
        <f t="shared" si="442"/>
        <v>0</v>
      </c>
      <c r="AO701" s="169">
        <f t="shared" si="442"/>
        <v>0</v>
      </c>
      <c r="AP701" s="169">
        <f t="shared" si="442"/>
        <v>0</v>
      </c>
    </row>
    <row r="702" spans="1:42" x14ac:dyDescent="0.2">
      <c r="A702" s="20">
        <f t="shared" ref="A702:A707" si="443">A701+1</f>
        <v>3</v>
      </c>
      <c r="B702" s="233">
        <f t="shared" si="440"/>
        <v>0</v>
      </c>
      <c r="C702" s="169">
        <f t="shared" si="442"/>
        <v>0</v>
      </c>
      <c r="D702" s="169">
        <f t="shared" si="442"/>
        <v>0</v>
      </c>
      <c r="E702" s="169">
        <f t="shared" si="442"/>
        <v>0</v>
      </c>
      <c r="F702" s="169">
        <f t="shared" si="442"/>
        <v>0</v>
      </c>
      <c r="G702" s="169">
        <f t="shared" si="442"/>
        <v>0</v>
      </c>
      <c r="H702" s="169">
        <f t="shared" si="442"/>
        <v>0</v>
      </c>
      <c r="I702" s="169">
        <f t="shared" si="442"/>
        <v>0</v>
      </c>
      <c r="J702" s="169">
        <f t="shared" si="442"/>
        <v>0</v>
      </c>
      <c r="K702" s="169">
        <f t="shared" si="442"/>
        <v>0</v>
      </c>
      <c r="L702" s="169">
        <f t="shared" si="442"/>
        <v>0</v>
      </c>
      <c r="M702" s="169">
        <f t="shared" si="442"/>
        <v>0</v>
      </c>
      <c r="N702" s="169">
        <f t="shared" si="442"/>
        <v>0</v>
      </c>
      <c r="O702" s="169">
        <f t="shared" si="442"/>
        <v>0</v>
      </c>
      <c r="P702" s="169">
        <f t="shared" si="442"/>
        <v>0</v>
      </c>
      <c r="Q702" s="169">
        <f t="shared" si="442"/>
        <v>0</v>
      </c>
      <c r="R702" s="169">
        <f t="shared" si="442"/>
        <v>0</v>
      </c>
      <c r="S702" s="169">
        <f t="shared" si="442"/>
        <v>0</v>
      </c>
      <c r="T702" s="169">
        <f t="shared" si="442"/>
        <v>0</v>
      </c>
      <c r="U702" s="169">
        <f t="shared" si="442"/>
        <v>0</v>
      </c>
      <c r="V702" s="169">
        <f t="shared" si="442"/>
        <v>0</v>
      </c>
      <c r="W702" s="169">
        <f t="shared" si="442"/>
        <v>0</v>
      </c>
      <c r="X702" s="169">
        <f t="shared" si="442"/>
        <v>0</v>
      </c>
      <c r="Y702" s="169">
        <f t="shared" si="442"/>
        <v>0</v>
      </c>
      <c r="Z702" s="169">
        <f t="shared" si="442"/>
        <v>0</v>
      </c>
      <c r="AA702" s="169">
        <f t="shared" si="442"/>
        <v>0</v>
      </c>
      <c r="AB702" s="169">
        <f t="shared" si="442"/>
        <v>0</v>
      </c>
      <c r="AC702" s="169">
        <f t="shared" si="442"/>
        <v>0</v>
      </c>
      <c r="AD702" s="169">
        <f t="shared" si="442"/>
        <v>0</v>
      </c>
      <c r="AE702" s="169">
        <f t="shared" si="442"/>
        <v>0</v>
      </c>
      <c r="AF702" s="169">
        <f t="shared" si="442"/>
        <v>0</v>
      </c>
      <c r="AG702" s="169">
        <f t="shared" si="442"/>
        <v>0</v>
      </c>
      <c r="AH702" s="169">
        <f t="shared" si="442"/>
        <v>0</v>
      </c>
      <c r="AI702" s="169">
        <f t="shared" si="442"/>
        <v>0</v>
      </c>
      <c r="AJ702" s="169">
        <f t="shared" si="442"/>
        <v>0</v>
      </c>
      <c r="AK702" s="169">
        <f t="shared" si="442"/>
        <v>0</v>
      </c>
      <c r="AL702" s="169">
        <f t="shared" si="442"/>
        <v>0</v>
      </c>
      <c r="AM702" s="169">
        <f t="shared" si="442"/>
        <v>0</v>
      </c>
      <c r="AN702" s="169">
        <f t="shared" si="442"/>
        <v>0</v>
      </c>
      <c r="AO702" s="169">
        <f t="shared" si="442"/>
        <v>0</v>
      </c>
      <c r="AP702" s="169">
        <f t="shared" si="442"/>
        <v>0</v>
      </c>
    </row>
    <row r="703" spans="1:42" x14ac:dyDescent="0.2">
      <c r="A703" s="20">
        <f t="shared" si="443"/>
        <v>4</v>
      </c>
      <c r="B703" s="233">
        <f t="shared" si="440"/>
        <v>0</v>
      </c>
      <c r="C703" s="169">
        <f t="shared" si="442"/>
        <v>0</v>
      </c>
      <c r="D703" s="169">
        <f t="shared" si="442"/>
        <v>0</v>
      </c>
      <c r="E703" s="169">
        <f t="shared" si="442"/>
        <v>0</v>
      </c>
      <c r="F703" s="169">
        <f t="shared" si="442"/>
        <v>0</v>
      </c>
      <c r="G703" s="169">
        <f t="shared" si="442"/>
        <v>0</v>
      </c>
      <c r="H703" s="169">
        <f t="shared" si="442"/>
        <v>0</v>
      </c>
      <c r="I703" s="169">
        <f t="shared" si="442"/>
        <v>0</v>
      </c>
      <c r="J703" s="169">
        <f t="shared" si="442"/>
        <v>0</v>
      </c>
      <c r="K703" s="169">
        <f t="shared" si="442"/>
        <v>0</v>
      </c>
      <c r="L703" s="169">
        <f t="shared" si="442"/>
        <v>0</v>
      </c>
      <c r="M703" s="169">
        <f t="shared" si="442"/>
        <v>0</v>
      </c>
      <c r="N703" s="169">
        <f t="shared" si="442"/>
        <v>0</v>
      </c>
      <c r="O703" s="169">
        <f t="shared" si="442"/>
        <v>0</v>
      </c>
      <c r="P703" s="169">
        <f t="shared" si="442"/>
        <v>0</v>
      </c>
      <c r="Q703" s="169">
        <f t="shared" si="442"/>
        <v>0</v>
      </c>
      <c r="R703" s="169">
        <f t="shared" si="442"/>
        <v>0</v>
      </c>
      <c r="S703" s="169">
        <f t="shared" si="442"/>
        <v>0</v>
      </c>
      <c r="T703" s="169">
        <f t="shared" si="442"/>
        <v>0</v>
      </c>
      <c r="U703" s="169">
        <f t="shared" si="442"/>
        <v>0</v>
      </c>
      <c r="V703" s="169">
        <f t="shared" si="442"/>
        <v>0</v>
      </c>
      <c r="W703" s="169">
        <f t="shared" si="442"/>
        <v>0</v>
      </c>
      <c r="X703" s="169">
        <f t="shared" si="442"/>
        <v>0</v>
      </c>
      <c r="Y703" s="169">
        <f t="shared" si="442"/>
        <v>0</v>
      </c>
      <c r="Z703" s="169">
        <f t="shared" si="442"/>
        <v>0</v>
      </c>
      <c r="AA703" s="169">
        <f t="shared" si="442"/>
        <v>0</v>
      </c>
      <c r="AB703" s="169">
        <f t="shared" si="442"/>
        <v>0</v>
      </c>
      <c r="AC703" s="169">
        <f t="shared" si="442"/>
        <v>0</v>
      </c>
      <c r="AD703" s="169">
        <f t="shared" si="442"/>
        <v>0</v>
      </c>
      <c r="AE703" s="169">
        <f t="shared" si="442"/>
        <v>0</v>
      </c>
      <c r="AF703" s="169">
        <f t="shared" si="442"/>
        <v>0</v>
      </c>
      <c r="AG703" s="169">
        <f t="shared" si="442"/>
        <v>0</v>
      </c>
      <c r="AH703" s="169">
        <f t="shared" si="442"/>
        <v>0</v>
      </c>
      <c r="AI703" s="169">
        <f t="shared" si="442"/>
        <v>0</v>
      </c>
      <c r="AJ703" s="169">
        <f t="shared" si="442"/>
        <v>0</v>
      </c>
      <c r="AK703" s="169">
        <f t="shared" si="442"/>
        <v>0</v>
      </c>
      <c r="AL703" s="169">
        <f t="shared" si="442"/>
        <v>0</v>
      </c>
      <c r="AM703" s="169">
        <f t="shared" si="442"/>
        <v>0</v>
      </c>
      <c r="AN703" s="169">
        <f t="shared" si="442"/>
        <v>0</v>
      </c>
      <c r="AO703" s="169">
        <f t="shared" si="442"/>
        <v>0</v>
      </c>
      <c r="AP703" s="169">
        <f t="shared" si="442"/>
        <v>0</v>
      </c>
    </row>
    <row r="704" spans="1:42" x14ac:dyDescent="0.2">
      <c r="A704" s="20">
        <f t="shared" si="443"/>
        <v>5</v>
      </c>
      <c r="B704" s="233">
        <f t="shared" si="440"/>
        <v>0</v>
      </c>
      <c r="C704" s="169">
        <f t="shared" si="442"/>
        <v>0</v>
      </c>
      <c r="D704" s="169">
        <f t="shared" si="442"/>
        <v>0</v>
      </c>
      <c r="E704" s="169">
        <f t="shared" si="442"/>
        <v>0</v>
      </c>
      <c r="F704" s="169">
        <f t="shared" si="442"/>
        <v>0</v>
      </c>
      <c r="G704" s="169">
        <f t="shared" si="442"/>
        <v>0</v>
      </c>
      <c r="H704" s="169">
        <f t="shared" si="442"/>
        <v>0</v>
      </c>
      <c r="I704" s="169">
        <f t="shared" si="442"/>
        <v>0</v>
      </c>
      <c r="J704" s="169">
        <f t="shared" si="442"/>
        <v>0</v>
      </c>
      <c r="K704" s="169">
        <f t="shared" si="442"/>
        <v>0</v>
      </c>
      <c r="L704" s="169">
        <f t="shared" si="442"/>
        <v>0</v>
      </c>
      <c r="M704" s="169">
        <f t="shared" si="442"/>
        <v>0</v>
      </c>
      <c r="N704" s="169">
        <f t="shared" si="442"/>
        <v>0</v>
      </c>
      <c r="O704" s="169">
        <f t="shared" si="442"/>
        <v>0</v>
      </c>
      <c r="P704" s="169">
        <f t="shared" si="442"/>
        <v>0</v>
      </c>
      <c r="Q704" s="169">
        <f t="shared" si="442"/>
        <v>0</v>
      </c>
      <c r="R704" s="169">
        <f t="shared" si="442"/>
        <v>0</v>
      </c>
      <c r="S704" s="169">
        <f t="shared" si="442"/>
        <v>0</v>
      </c>
      <c r="T704" s="169">
        <f t="shared" si="442"/>
        <v>0</v>
      </c>
      <c r="U704" s="169">
        <f t="shared" si="442"/>
        <v>0</v>
      </c>
      <c r="V704" s="169">
        <f t="shared" si="442"/>
        <v>0</v>
      </c>
      <c r="W704" s="169">
        <f t="shared" si="442"/>
        <v>0</v>
      </c>
      <c r="X704" s="169">
        <f t="shared" si="442"/>
        <v>0</v>
      </c>
      <c r="Y704" s="169">
        <f t="shared" si="442"/>
        <v>0</v>
      </c>
      <c r="Z704" s="169">
        <f t="shared" si="442"/>
        <v>0</v>
      </c>
      <c r="AA704" s="169">
        <f t="shared" si="442"/>
        <v>0</v>
      </c>
      <c r="AB704" s="169">
        <f t="shared" si="442"/>
        <v>0</v>
      </c>
      <c r="AC704" s="169">
        <f t="shared" si="442"/>
        <v>0</v>
      </c>
      <c r="AD704" s="169">
        <f t="shared" si="442"/>
        <v>0</v>
      </c>
      <c r="AE704" s="169">
        <f t="shared" si="442"/>
        <v>0</v>
      </c>
      <c r="AF704" s="169">
        <f t="shared" si="442"/>
        <v>0</v>
      </c>
      <c r="AG704" s="169">
        <f t="shared" si="442"/>
        <v>0</v>
      </c>
      <c r="AH704" s="169">
        <f t="shared" si="442"/>
        <v>0</v>
      </c>
      <c r="AI704" s="169">
        <f t="shared" si="442"/>
        <v>0</v>
      </c>
      <c r="AJ704" s="169">
        <f t="shared" si="442"/>
        <v>0</v>
      </c>
      <c r="AK704" s="169">
        <f t="shared" si="442"/>
        <v>0</v>
      </c>
      <c r="AL704" s="169">
        <f t="shared" si="442"/>
        <v>0</v>
      </c>
      <c r="AM704" s="169">
        <f t="shared" si="442"/>
        <v>0</v>
      </c>
      <c r="AN704" s="169">
        <f t="shared" si="442"/>
        <v>0</v>
      </c>
      <c r="AO704" s="169">
        <f t="shared" si="442"/>
        <v>0</v>
      </c>
      <c r="AP704" s="169">
        <f t="shared" si="442"/>
        <v>0</v>
      </c>
    </row>
    <row r="705" spans="1:42" x14ac:dyDescent="0.2">
      <c r="A705" s="20">
        <f t="shared" si="443"/>
        <v>6</v>
      </c>
      <c r="B705" s="233">
        <f t="shared" si="440"/>
        <v>0</v>
      </c>
      <c r="C705" s="169">
        <f t="shared" si="442"/>
        <v>0</v>
      </c>
      <c r="D705" s="169">
        <f t="shared" si="442"/>
        <v>0</v>
      </c>
      <c r="E705" s="169">
        <f t="shared" si="442"/>
        <v>0</v>
      </c>
      <c r="F705" s="169">
        <f t="shared" si="442"/>
        <v>0</v>
      </c>
      <c r="G705" s="169">
        <f t="shared" si="442"/>
        <v>0</v>
      </c>
      <c r="H705" s="169">
        <f t="shared" si="442"/>
        <v>0</v>
      </c>
      <c r="I705" s="169">
        <f t="shared" si="442"/>
        <v>0</v>
      </c>
      <c r="J705" s="169">
        <f t="shared" si="442"/>
        <v>0</v>
      </c>
      <c r="K705" s="169">
        <f t="shared" si="442"/>
        <v>0</v>
      </c>
      <c r="L705" s="169">
        <f t="shared" si="442"/>
        <v>0</v>
      </c>
      <c r="M705" s="169">
        <f t="shared" si="442"/>
        <v>0</v>
      </c>
      <c r="N705" s="169">
        <f t="shared" si="442"/>
        <v>0</v>
      </c>
      <c r="O705" s="169">
        <f t="shared" si="442"/>
        <v>0</v>
      </c>
      <c r="P705" s="169">
        <f t="shared" si="442"/>
        <v>0</v>
      </c>
      <c r="Q705" s="169">
        <f t="shared" si="442"/>
        <v>0</v>
      </c>
      <c r="R705" s="169">
        <f t="shared" si="442"/>
        <v>0</v>
      </c>
      <c r="S705" s="169">
        <f t="shared" si="442"/>
        <v>0</v>
      </c>
      <c r="T705" s="169">
        <f t="shared" si="442"/>
        <v>0</v>
      </c>
      <c r="U705" s="169">
        <f t="shared" si="442"/>
        <v>0</v>
      </c>
      <c r="V705" s="169">
        <f t="shared" si="442"/>
        <v>0</v>
      </c>
      <c r="W705" s="169">
        <f t="shared" si="442"/>
        <v>0</v>
      </c>
      <c r="X705" s="169">
        <f t="shared" si="442"/>
        <v>0</v>
      </c>
      <c r="Y705" s="169">
        <f t="shared" si="442"/>
        <v>0</v>
      </c>
      <c r="Z705" s="169">
        <f t="shared" si="442"/>
        <v>0</v>
      </c>
      <c r="AA705" s="169">
        <f t="shared" si="442"/>
        <v>0</v>
      </c>
      <c r="AB705" s="169">
        <f t="shared" si="442"/>
        <v>0</v>
      </c>
      <c r="AC705" s="169">
        <f t="shared" si="442"/>
        <v>0</v>
      </c>
      <c r="AD705" s="169">
        <f t="shared" si="442"/>
        <v>0</v>
      </c>
      <c r="AE705" s="169">
        <f t="shared" si="442"/>
        <v>0</v>
      </c>
      <c r="AF705" s="169">
        <f t="shared" si="442"/>
        <v>0</v>
      </c>
      <c r="AG705" s="169">
        <f t="shared" si="442"/>
        <v>0</v>
      </c>
      <c r="AH705" s="169">
        <f t="shared" si="442"/>
        <v>0</v>
      </c>
      <c r="AI705" s="169">
        <f t="shared" si="442"/>
        <v>0</v>
      </c>
      <c r="AJ705" s="169">
        <f t="shared" si="442"/>
        <v>0</v>
      </c>
      <c r="AK705" s="169">
        <f t="shared" si="442"/>
        <v>0</v>
      </c>
      <c r="AL705" s="169">
        <f t="shared" si="442"/>
        <v>0</v>
      </c>
      <c r="AM705" s="169">
        <f t="shared" si="442"/>
        <v>0</v>
      </c>
      <c r="AN705" s="169">
        <f t="shared" si="442"/>
        <v>0</v>
      </c>
      <c r="AO705" s="169">
        <f t="shared" si="442"/>
        <v>0</v>
      </c>
      <c r="AP705" s="169">
        <f t="shared" si="442"/>
        <v>0</v>
      </c>
    </row>
    <row r="706" spans="1:42" x14ac:dyDescent="0.2">
      <c r="A706" s="20">
        <f t="shared" si="443"/>
        <v>7</v>
      </c>
      <c r="B706" s="233">
        <f t="shared" si="440"/>
        <v>0</v>
      </c>
      <c r="C706" s="169">
        <f t="shared" si="442"/>
        <v>0</v>
      </c>
      <c r="D706" s="169">
        <f t="shared" si="442"/>
        <v>0</v>
      </c>
      <c r="E706" s="169">
        <f t="shared" si="442"/>
        <v>0</v>
      </c>
      <c r="F706" s="169">
        <f t="shared" si="442"/>
        <v>0</v>
      </c>
      <c r="G706" s="169">
        <f t="shared" si="442"/>
        <v>0</v>
      </c>
      <c r="H706" s="169">
        <f t="shared" si="442"/>
        <v>0</v>
      </c>
      <c r="I706" s="169">
        <f t="shared" si="442"/>
        <v>0</v>
      </c>
      <c r="J706" s="169">
        <f t="shared" si="442"/>
        <v>0</v>
      </c>
      <c r="K706" s="169">
        <f t="shared" si="442"/>
        <v>0</v>
      </c>
      <c r="L706" s="169">
        <f t="shared" si="442"/>
        <v>0</v>
      </c>
      <c r="M706" s="169">
        <f t="shared" si="442"/>
        <v>0</v>
      </c>
      <c r="N706" s="169">
        <f t="shared" si="442"/>
        <v>0</v>
      </c>
      <c r="O706" s="169">
        <f t="shared" si="442"/>
        <v>0</v>
      </c>
      <c r="P706" s="169">
        <f t="shared" si="442"/>
        <v>0</v>
      </c>
      <c r="Q706" s="169">
        <f t="shared" si="442"/>
        <v>0</v>
      </c>
      <c r="R706" s="169">
        <f t="shared" si="442"/>
        <v>0</v>
      </c>
      <c r="S706" s="169">
        <f t="shared" si="442"/>
        <v>0</v>
      </c>
      <c r="T706" s="169">
        <f t="shared" si="442"/>
        <v>0</v>
      </c>
      <c r="U706" s="169">
        <f t="shared" si="442"/>
        <v>0</v>
      </c>
      <c r="V706" s="169">
        <f t="shared" si="442"/>
        <v>0</v>
      </c>
      <c r="W706" s="169">
        <f t="shared" si="442"/>
        <v>0</v>
      </c>
      <c r="X706" s="169">
        <f t="shared" si="442"/>
        <v>0</v>
      </c>
      <c r="Y706" s="169">
        <f t="shared" si="442"/>
        <v>0</v>
      </c>
      <c r="Z706" s="169">
        <f t="shared" si="442"/>
        <v>0</v>
      </c>
      <c r="AA706" s="169">
        <f t="shared" si="442"/>
        <v>0</v>
      </c>
      <c r="AB706" s="169">
        <f t="shared" si="442"/>
        <v>0</v>
      </c>
      <c r="AC706" s="169">
        <f t="shared" si="442"/>
        <v>0</v>
      </c>
      <c r="AD706" s="169">
        <f t="shared" si="442"/>
        <v>0</v>
      </c>
      <c r="AE706" s="169">
        <f t="shared" si="442"/>
        <v>0</v>
      </c>
      <c r="AF706" s="169">
        <f t="shared" si="442"/>
        <v>0</v>
      </c>
      <c r="AG706" s="169">
        <f t="shared" si="442"/>
        <v>0</v>
      </c>
      <c r="AH706" s="169">
        <f t="shared" si="442"/>
        <v>0</v>
      </c>
      <c r="AI706" s="169">
        <f t="shared" si="442"/>
        <v>0</v>
      </c>
      <c r="AJ706" s="169">
        <f t="shared" si="442"/>
        <v>0</v>
      </c>
      <c r="AK706" s="169">
        <f t="shared" si="442"/>
        <v>0</v>
      </c>
      <c r="AL706" s="169">
        <f t="shared" si="442"/>
        <v>0</v>
      </c>
      <c r="AM706" s="169">
        <f t="shared" si="442"/>
        <v>0</v>
      </c>
      <c r="AN706" s="169">
        <f t="shared" si="442"/>
        <v>0</v>
      </c>
      <c r="AO706" s="169">
        <f t="shared" si="442"/>
        <v>0</v>
      </c>
      <c r="AP706" s="169">
        <f t="shared" si="442"/>
        <v>0</v>
      </c>
    </row>
    <row r="707" spans="1:42" x14ac:dyDescent="0.2">
      <c r="A707" s="20">
        <f t="shared" si="443"/>
        <v>8</v>
      </c>
      <c r="B707" s="233">
        <f t="shared" si="440"/>
        <v>0</v>
      </c>
      <c r="C707" s="169">
        <f t="shared" si="442"/>
        <v>0</v>
      </c>
      <c r="D707" s="169">
        <f t="shared" si="442"/>
        <v>0</v>
      </c>
      <c r="E707" s="169">
        <f t="shared" si="442"/>
        <v>0</v>
      </c>
      <c r="F707" s="169">
        <f t="shared" si="442"/>
        <v>0</v>
      </c>
      <c r="G707" s="169">
        <f t="shared" si="442"/>
        <v>0</v>
      </c>
      <c r="H707" s="169">
        <f t="shared" si="442"/>
        <v>0</v>
      </c>
      <c r="I707" s="169">
        <f t="shared" si="442"/>
        <v>0</v>
      </c>
      <c r="J707" s="169">
        <f t="shared" si="442"/>
        <v>0</v>
      </c>
      <c r="K707" s="169">
        <f t="shared" si="442"/>
        <v>0</v>
      </c>
      <c r="L707" s="169">
        <f t="shared" si="442"/>
        <v>0</v>
      </c>
      <c r="M707" s="169">
        <f t="shared" si="442"/>
        <v>0</v>
      </c>
      <c r="N707" s="169">
        <f t="shared" si="442"/>
        <v>0</v>
      </c>
      <c r="O707" s="169">
        <f t="shared" si="442"/>
        <v>0</v>
      </c>
      <c r="P707" s="169">
        <f t="shared" si="442"/>
        <v>0</v>
      </c>
      <c r="Q707" s="169">
        <f t="shared" si="442"/>
        <v>0</v>
      </c>
      <c r="R707" s="169">
        <f t="shared" ref="R707:AP707" si="444">IF(AND(R$2&gt;MMFrequency2*$A694,R$2&lt;=MMFrequency2*$A695),$B695/(MMFrequency2),0)</f>
        <v>0</v>
      </c>
      <c r="S707" s="169">
        <f t="shared" si="444"/>
        <v>0</v>
      </c>
      <c r="T707" s="169">
        <f t="shared" si="444"/>
        <v>0</v>
      </c>
      <c r="U707" s="169">
        <f t="shared" si="444"/>
        <v>0</v>
      </c>
      <c r="V707" s="169">
        <f t="shared" si="444"/>
        <v>0</v>
      </c>
      <c r="W707" s="169">
        <f t="shared" si="444"/>
        <v>0</v>
      </c>
      <c r="X707" s="169">
        <f t="shared" si="444"/>
        <v>0</v>
      </c>
      <c r="Y707" s="169">
        <f t="shared" si="444"/>
        <v>0</v>
      </c>
      <c r="Z707" s="169">
        <f t="shared" si="444"/>
        <v>0</v>
      </c>
      <c r="AA707" s="169">
        <f t="shared" si="444"/>
        <v>0</v>
      </c>
      <c r="AB707" s="169">
        <f t="shared" si="444"/>
        <v>0</v>
      </c>
      <c r="AC707" s="169">
        <f t="shared" si="444"/>
        <v>0</v>
      </c>
      <c r="AD707" s="169">
        <f t="shared" si="444"/>
        <v>0</v>
      </c>
      <c r="AE707" s="169">
        <f t="shared" si="444"/>
        <v>0</v>
      </c>
      <c r="AF707" s="169">
        <f t="shared" si="444"/>
        <v>0</v>
      </c>
      <c r="AG707" s="169">
        <f t="shared" si="444"/>
        <v>0</v>
      </c>
      <c r="AH707" s="169">
        <f t="shared" si="444"/>
        <v>0</v>
      </c>
      <c r="AI707" s="169">
        <f t="shared" si="444"/>
        <v>0</v>
      </c>
      <c r="AJ707" s="169">
        <f t="shared" si="444"/>
        <v>0</v>
      </c>
      <c r="AK707" s="169">
        <f t="shared" si="444"/>
        <v>0</v>
      </c>
      <c r="AL707" s="169">
        <f t="shared" si="444"/>
        <v>0</v>
      </c>
      <c r="AM707" s="169">
        <f t="shared" si="444"/>
        <v>0</v>
      </c>
      <c r="AN707" s="169">
        <f t="shared" si="444"/>
        <v>0</v>
      </c>
      <c r="AO707" s="169">
        <f t="shared" si="444"/>
        <v>0</v>
      </c>
      <c r="AP707" s="169">
        <f t="shared" si="444"/>
        <v>0</v>
      </c>
    </row>
    <row r="708" spans="1:42" x14ac:dyDescent="0.2">
      <c r="A708" s="20">
        <f>A707+1</f>
        <v>9</v>
      </c>
      <c r="B708" s="233">
        <f t="shared" si="440"/>
        <v>0</v>
      </c>
      <c r="C708" s="169">
        <f t="shared" ref="C708:AP709" si="445">IF(AND(C$2&gt;MMFrequency2*$A695,C$2&lt;=MMFrequency2*$A696),$B696/(MMFrequency2),0)</f>
        <v>0</v>
      </c>
      <c r="D708" s="169">
        <f t="shared" si="445"/>
        <v>0</v>
      </c>
      <c r="E708" s="169">
        <f t="shared" si="445"/>
        <v>0</v>
      </c>
      <c r="F708" s="169">
        <f t="shared" si="445"/>
        <v>0</v>
      </c>
      <c r="G708" s="169">
        <f t="shared" si="445"/>
        <v>0</v>
      </c>
      <c r="H708" s="169">
        <f t="shared" si="445"/>
        <v>0</v>
      </c>
      <c r="I708" s="169">
        <f t="shared" si="445"/>
        <v>0</v>
      </c>
      <c r="J708" s="169">
        <f t="shared" si="445"/>
        <v>0</v>
      </c>
      <c r="K708" s="169">
        <f t="shared" si="445"/>
        <v>0</v>
      </c>
      <c r="L708" s="169">
        <f t="shared" si="445"/>
        <v>0</v>
      </c>
      <c r="M708" s="169">
        <f t="shared" si="445"/>
        <v>0</v>
      </c>
      <c r="N708" s="169">
        <f t="shared" si="445"/>
        <v>0</v>
      </c>
      <c r="O708" s="169">
        <f t="shared" si="445"/>
        <v>0</v>
      </c>
      <c r="P708" s="169">
        <f t="shared" si="445"/>
        <v>0</v>
      </c>
      <c r="Q708" s="169">
        <f t="shared" si="445"/>
        <v>0</v>
      </c>
      <c r="R708" s="169">
        <f t="shared" si="445"/>
        <v>0</v>
      </c>
      <c r="S708" s="169">
        <f t="shared" si="445"/>
        <v>0</v>
      </c>
      <c r="T708" s="169">
        <f t="shared" si="445"/>
        <v>0</v>
      </c>
      <c r="U708" s="169">
        <f t="shared" si="445"/>
        <v>0</v>
      </c>
      <c r="V708" s="169">
        <f t="shared" si="445"/>
        <v>0</v>
      </c>
      <c r="W708" s="169">
        <f t="shared" si="445"/>
        <v>0</v>
      </c>
      <c r="X708" s="169">
        <f t="shared" si="445"/>
        <v>0</v>
      </c>
      <c r="Y708" s="169">
        <f t="shared" si="445"/>
        <v>0</v>
      </c>
      <c r="Z708" s="169">
        <f t="shared" si="445"/>
        <v>0</v>
      </c>
      <c r="AA708" s="169">
        <f t="shared" si="445"/>
        <v>0</v>
      </c>
      <c r="AB708" s="169">
        <f t="shared" si="445"/>
        <v>0</v>
      </c>
      <c r="AC708" s="169">
        <f t="shared" si="445"/>
        <v>0</v>
      </c>
      <c r="AD708" s="169">
        <f t="shared" si="445"/>
        <v>0</v>
      </c>
      <c r="AE708" s="169">
        <f t="shared" si="445"/>
        <v>0</v>
      </c>
      <c r="AF708" s="169">
        <f t="shared" si="445"/>
        <v>0</v>
      </c>
      <c r="AG708" s="169">
        <f t="shared" si="445"/>
        <v>0</v>
      </c>
      <c r="AH708" s="169">
        <f t="shared" si="445"/>
        <v>0</v>
      </c>
      <c r="AI708" s="169">
        <f t="shared" si="445"/>
        <v>0</v>
      </c>
      <c r="AJ708" s="169">
        <f t="shared" si="445"/>
        <v>0</v>
      </c>
      <c r="AK708" s="169">
        <f t="shared" si="445"/>
        <v>0</v>
      </c>
      <c r="AL708" s="169">
        <f t="shared" si="445"/>
        <v>0</v>
      </c>
      <c r="AM708" s="169">
        <f t="shared" si="445"/>
        <v>0</v>
      </c>
      <c r="AN708" s="169">
        <f t="shared" si="445"/>
        <v>0</v>
      </c>
      <c r="AO708" s="169">
        <f t="shared" si="445"/>
        <v>0</v>
      </c>
      <c r="AP708" s="169">
        <f t="shared" si="445"/>
        <v>0</v>
      </c>
    </row>
    <row r="709" spans="1:42" x14ac:dyDescent="0.2">
      <c r="A709" s="20">
        <f t="shared" ref="A709" si="446">A708+1</f>
        <v>10</v>
      </c>
      <c r="B709" s="233">
        <f t="shared" si="440"/>
        <v>0</v>
      </c>
      <c r="C709" s="170">
        <f t="shared" si="445"/>
        <v>0</v>
      </c>
      <c r="D709" s="170">
        <f t="shared" si="445"/>
        <v>0</v>
      </c>
      <c r="E709" s="170">
        <f t="shared" si="445"/>
        <v>0</v>
      </c>
      <c r="F709" s="170">
        <f t="shared" si="445"/>
        <v>0</v>
      </c>
      <c r="G709" s="170">
        <f t="shared" si="445"/>
        <v>0</v>
      </c>
      <c r="H709" s="170">
        <f t="shared" si="445"/>
        <v>0</v>
      </c>
      <c r="I709" s="170">
        <f t="shared" si="445"/>
        <v>0</v>
      </c>
      <c r="J709" s="170">
        <f t="shared" si="445"/>
        <v>0</v>
      </c>
      <c r="K709" s="170">
        <f t="shared" si="445"/>
        <v>0</v>
      </c>
      <c r="L709" s="170">
        <f t="shared" si="445"/>
        <v>0</v>
      </c>
      <c r="M709" s="170">
        <f t="shared" si="445"/>
        <v>0</v>
      </c>
      <c r="N709" s="170">
        <f t="shared" si="445"/>
        <v>0</v>
      </c>
      <c r="O709" s="170">
        <f t="shared" si="445"/>
        <v>0</v>
      </c>
      <c r="P709" s="170">
        <f t="shared" si="445"/>
        <v>0</v>
      </c>
      <c r="Q709" s="170">
        <f t="shared" si="445"/>
        <v>0</v>
      </c>
      <c r="R709" s="170">
        <f t="shared" si="445"/>
        <v>0</v>
      </c>
      <c r="S709" s="170">
        <f t="shared" si="445"/>
        <v>0</v>
      </c>
      <c r="T709" s="170">
        <f t="shared" si="445"/>
        <v>0</v>
      </c>
      <c r="U709" s="170">
        <f t="shared" si="445"/>
        <v>0</v>
      </c>
      <c r="V709" s="170">
        <f t="shared" si="445"/>
        <v>0</v>
      </c>
      <c r="W709" s="170">
        <f t="shared" si="445"/>
        <v>0</v>
      </c>
      <c r="X709" s="170">
        <f t="shared" si="445"/>
        <v>0</v>
      </c>
      <c r="Y709" s="170">
        <f t="shared" si="445"/>
        <v>0</v>
      </c>
      <c r="Z709" s="170">
        <f t="shared" si="445"/>
        <v>0</v>
      </c>
      <c r="AA709" s="170">
        <f t="shared" si="445"/>
        <v>0</v>
      </c>
      <c r="AB709" s="170">
        <f t="shared" si="445"/>
        <v>0</v>
      </c>
      <c r="AC709" s="170">
        <f t="shared" si="445"/>
        <v>0</v>
      </c>
      <c r="AD709" s="170">
        <f t="shared" si="445"/>
        <v>0</v>
      </c>
      <c r="AE709" s="170">
        <f t="shared" si="445"/>
        <v>0</v>
      </c>
      <c r="AF709" s="170">
        <f t="shared" si="445"/>
        <v>0</v>
      </c>
      <c r="AG709" s="170">
        <f t="shared" si="445"/>
        <v>0</v>
      </c>
      <c r="AH709" s="170">
        <f t="shared" si="445"/>
        <v>0</v>
      </c>
      <c r="AI709" s="170">
        <f t="shared" si="445"/>
        <v>0</v>
      </c>
      <c r="AJ709" s="170">
        <f t="shared" si="445"/>
        <v>0</v>
      </c>
      <c r="AK709" s="170">
        <f t="shared" si="445"/>
        <v>0</v>
      </c>
      <c r="AL709" s="170">
        <f t="shared" si="445"/>
        <v>0</v>
      </c>
      <c r="AM709" s="170">
        <f t="shared" si="445"/>
        <v>0</v>
      </c>
      <c r="AN709" s="170">
        <f t="shared" si="445"/>
        <v>0</v>
      </c>
      <c r="AO709" s="170">
        <f t="shared" si="445"/>
        <v>0</v>
      </c>
      <c r="AP709" s="170">
        <f t="shared" si="445"/>
        <v>0</v>
      </c>
    </row>
    <row r="710" spans="1:42" x14ac:dyDescent="0.2">
      <c r="A710" s="202" t="s">
        <v>53</v>
      </c>
      <c r="B710" s="169"/>
      <c r="C710" s="135">
        <f>SUM(C700:C709)</f>
        <v>0</v>
      </c>
      <c r="D710" s="135">
        <f t="shared" ref="D710:AP710" si="447">SUM(D700:D709)</f>
        <v>0</v>
      </c>
      <c r="E710" s="135">
        <f t="shared" si="447"/>
        <v>0</v>
      </c>
      <c r="F710" s="135">
        <f t="shared" si="447"/>
        <v>0</v>
      </c>
      <c r="G710" s="135">
        <f t="shared" si="447"/>
        <v>0</v>
      </c>
      <c r="H710" s="135">
        <f t="shared" si="447"/>
        <v>0</v>
      </c>
      <c r="I710" s="135">
        <f t="shared" si="447"/>
        <v>0</v>
      </c>
      <c r="J710" s="135">
        <f t="shared" si="447"/>
        <v>0</v>
      </c>
      <c r="K710" s="135">
        <f t="shared" si="447"/>
        <v>0</v>
      </c>
      <c r="L710" s="135">
        <f t="shared" si="447"/>
        <v>0</v>
      </c>
      <c r="M710" s="135">
        <f t="shared" si="447"/>
        <v>0</v>
      </c>
      <c r="N710" s="135">
        <f t="shared" si="447"/>
        <v>0</v>
      </c>
      <c r="O710" s="135">
        <f t="shared" si="447"/>
        <v>0</v>
      </c>
      <c r="P710" s="135">
        <f t="shared" si="447"/>
        <v>0</v>
      </c>
      <c r="Q710" s="135">
        <f t="shared" si="447"/>
        <v>0</v>
      </c>
      <c r="R710" s="135">
        <f t="shared" si="447"/>
        <v>0</v>
      </c>
      <c r="S710" s="135">
        <f t="shared" si="447"/>
        <v>0</v>
      </c>
      <c r="T710" s="135">
        <f t="shared" si="447"/>
        <v>0</v>
      </c>
      <c r="U710" s="135">
        <f t="shared" si="447"/>
        <v>0</v>
      </c>
      <c r="V710" s="135">
        <f t="shared" si="447"/>
        <v>0</v>
      </c>
      <c r="W710" s="135">
        <f t="shared" si="447"/>
        <v>0</v>
      </c>
      <c r="X710" s="135">
        <f t="shared" si="447"/>
        <v>0</v>
      </c>
      <c r="Y710" s="135">
        <f t="shared" si="447"/>
        <v>0</v>
      </c>
      <c r="Z710" s="135">
        <f t="shared" si="447"/>
        <v>0</v>
      </c>
      <c r="AA710" s="135">
        <f t="shared" si="447"/>
        <v>0</v>
      </c>
      <c r="AB710" s="135">
        <f t="shared" si="447"/>
        <v>0</v>
      </c>
      <c r="AC710" s="135">
        <f t="shared" si="447"/>
        <v>0</v>
      </c>
      <c r="AD710" s="135">
        <f t="shared" si="447"/>
        <v>0</v>
      </c>
      <c r="AE710" s="135">
        <f t="shared" si="447"/>
        <v>0</v>
      </c>
      <c r="AF710" s="135">
        <f t="shared" si="447"/>
        <v>0</v>
      </c>
      <c r="AG710" s="135">
        <f t="shared" si="447"/>
        <v>0</v>
      </c>
      <c r="AH710" s="135">
        <f t="shared" si="447"/>
        <v>0</v>
      </c>
      <c r="AI710" s="135">
        <f t="shared" si="447"/>
        <v>0</v>
      </c>
      <c r="AJ710" s="135">
        <f t="shared" si="447"/>
        <v>0</v>
      </c>
      <c r="AK710" s="135">
        <f t="shared" si="447"/>
        <v>0</v>
      </c>
      <c r="AL710" s="135">
        <f t="shared" si="447"/>
        <v>0</v>
      </c>
      <c r="AM710" s="135">
        <f t="shared" si="447"/>
        <v>0</v>
      </c>
      <c r="AN710" s="135">
        <f t="shared" si="447"/>
        <v>0</v>
      </c>
      <c r="AO710" s="135">
        <f t="shared" si="447"/>
        <v>0</v>
      </c>
      <c r="AP710" s="135">
        <f t="shared" si="447"/>
        <v>0</v>
      </c>
    </row>
    <row r="711" spans="1:42" x14ac:dyDescent="0.2">
      <c r="B711" s="169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</row>
    <row r="712" spans="1:42" x14ac:dyDescent="0.2">
      <c r="A712" s="165" t="s">
        <v>299</v>
      </c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</row>
    <row r="713" spans="1:42" x14ac:dyDescent="0.2">
      <c r="A713" s="20" t="s">
        <v>96</v>
      </c>
      <c r="B713" s="135">
        <v>0</v>
      </c>
      <c r="C713" s="135">
        <f>B716</f>
        <v>0</v>
      </c>
      <c r="D713" s="135">
        <f t="shared" ref="D713:AP713" si="448">C716</f>
        <v>0</v>
      </c>
      <c r="E713" s="135">
        <f t="shared" si="448"/>
        <v>0</v>
      </c>
      <c r="F713" s="135">
        <f t="shared" si="448"/>
        <v>0</v>
      </c>
      <c r="G713" s="135">
        <f t="shared" si="448"/>
        <v>0</v>
      </c>
      <c r="H713" s="135">
        <f t="shared" si="448"/>
        <v>0</v>
      </c>
      <c r="I713" s="135">
        <f t="shared" si="448"/>
        <v>0</v>
      </c>
      <c r="J713" s="135">
        <f t="shared" si="448"/>
        <v>0</v>
      </c>
      <c r="K713" s="135">
        <f t="shared" si="448"/>
        <v>0</v>
      </c>
      <c r="L713" s="135">
        <f t="shared" si="448"/>
        <v>0</v>
      </c>
      <c r="M713" s="135">
        <f t="shared" si="448"/>
        <v>0</v>
      </c>
      <c r="N713" s="135">
        <f t="shared" si="448"/>
        <v>0</v>
      </c>
      <c r="O713" s="135">
        <f t="shared" si="448"/>
        <v>0</v>
      </c>
      <c r="P713" s="135">
        <f t="shared" si="448"/>
        <v>0</v>
      </c>
      <c r="Q713" s="135">
        <f t="shared" si="448"/>
        <v>0</v>
      </c>
      <c r="R713" s="135">
        <f t="shared" si="448"/>
        <v>0</v>
      </c>
      <c r="S713" s="135">
        <f t="shared" si="448"/>
        <v>0</v>
      </c>
      <c r="T713" s="135">
        <f t="shared" si="448"/>
        <v>0</v>
      </c>
      <c r="U713" s="135">
        <f t="shared" si="448"/>
        <v>0</v>
      </c>
      <c r="V713" s="135">
        <f t="shared" si="448"/>
        <v>0</v>
      </c>
      <c r="W713" s="135">
        <f t="shared" si="448"/>
        <v>0</v>
      </c>
      <c r="X713" s="135">
        <f t="shared" si="448"/>
        <v>0</v>
      </c>
      <c r="Y713" s="135">
        <f t="shared" si="448"/>
        <v>0</v>
      </c>
      <c r="Z713" s="135">
        <f t="shared" si="448"/>
        <v>0</v>
      </c>
      <c r="AA713" s="135">
        <f t="shared" si="448"/>
        <v>0</v>
      </c>
      <c r="AB713" s="135">
        <f t="shared" si="448"/>
        <v>0</v>
      </c>
      <c r="AC713" s="135">
        <f t="shared" si="448"/>
        <v>0</v>
      </c>
      <c r="AD713" s="135">
        <f t="shared" si="448"/>
        <v>0</v>
      </c>
      <c r="AE713" s="135">
        <f t="shared" si="448"/>
        <v>0</v>
      </c>
      <c r="AF713" s="135">
        <f t="shared" si="448"/>
        <v>0</v>
      </c>
      <c r="AG713" s="135">
        <f t="shared" si="448"/>
        <v>0</v>
      </c>
      <c r="AH713" s="135">
        <f t="shared" si="448"/>
        <v>0</v>
      </c>
      <c r="AI713" s="135">
        <f t="shared" si="448"/>
        <v>0</v>
      </c>
      <c r="AJ713" s="135">
        <f t="shared" si="448"/>
        <v>0</v>
      </c>
      <c r="AK713" s="135">
        <f t="shared" si="448"/>
        <v>0</v>
      </c>
      <c r="AL713" s="135">
        <f t="shared" si="448"/>
        <v>0</v>
      </c>
      <c r="AM713" s="135">
        <f t="shared" si="448"/>
        <v>0</v>
      </c>
      <c r="AN713" s="135">
        <f t="shared" si="448"/>
        <v>0</v>
      </c>
      <c r="AO713" s="135">
        <f t="shared" si="448"/>
        <v>0</v>
      </c>
      <c r="AP713" s="135">
        <f t="shared" si="448"/>
        <v>0</v>
      </c>
    </row>
    <row r="714" spans="1:42" x14ac:dyDescent="0.2">
      <c r="A714" s="20" t="s">
        <v>183</v>
      </c>
      <c r="B714" s="135">
        <v>0</v>
      </c>
      <c r="C714" s="135">
        <f>C742</f>
        <v>0</v>
      </c>
      <c r="D714" s="135">
        <f t="shared" ref="D714:AP714" si="449">D742</f>
        <v>0</v>
      </c>
      <c r="E714" s="135">
        <f t="shared" si="449"/>
        <v>0</v>
      </c>
      <c r="F714" s="135">
        <f t="shared" si="449"/>
        <v>0</v>
      </c>
      <c r="G714" s="135">
        <f t="shared" si="449"/>
        <v>0</v>
      </c>
      <c r="H714" s="135">
        <f t="shared" si="449"/>
        <v>0</v>
      </c>
      <c r="I714" s="135">
        <f t="shared" si="449"/>
        <v>0</v>
      </c>
      <c r="J714" s="135">
        <f t="shared" si="449"/>
        <v>0</v>
      </c>
      <c r="K714" s="135">
        <f t="shared" si="449"/>
        <v>0</v>
      </c>
      <c r="L714" s="135">
        <f t="shared" si="449"/>
        <v>0</v>
      </c>
      <c r="M714" s="135">
        <f t="shared" si="449"/>
        <v>0</v>
      </c>
      <c r="N714" s="135">
        <f t="shared" si="449"/>
        <v>0</v>
      </c>
      <c r="O714" s="135">
        <f t="shared" si="449"/>
        <v>0</v>
      </c>
      <c r="P714" s="135">
        <f t="shared" si="449"/>
        <v>0</v>
      </c>
      <c r="Q714" s="135">
        <f t="shared" si="449"/>
        <v>0</v>
      </c>
      <c r="R714" s="135">
        <f t="shared" si="449"/>
        <v>0</v>
      </c>
      <c r="S714" s="135">
        <f t="shared" si="449"/>
        <v>0</v>
      </c>
      <c r="T714" s="135">
        <f t="shared" si="449"/>
        <v>0</v>
      </c>
      <c r="U714" s="135">
        <f t="shared" si="449"/>
        <v>0</v>
      </c>
      <c r="V714" s="135">
        <f t="shared" si="449"/>
        <v>0</v>
      </c>
      <c r="W714" s="135">
        <f t="shared" si="449"/>
        <v>0</v>
      </c>
      <c r="X714" s="135">
        <f t="shared" si="449"/>
        <v>0</v>
      </c>
      <c r="Y714" s="135">
        <f t="shared" si="449"/>
        <v>0</v>
      </c>
      <c r="Z714" s="135">
        <f t="shared" si="449"/>
        <v>0</v>
      </c>
      <c r="AA714" s="135">
        <f t="shared" si="449"/>
        <v>0</v>
      </c>
      <c r="AB714" s="135">
        <f t="shared" si="449"/>
        <v>0</v>
      </c>
      <c r="AC714" s="135">
        <f t="shared" si="449"/>
        <v>0</v>
      </c>
      <c r="AD714" s="135">
        <f t="shared" si="449"/>
        <v>0</v>
      </c>
      <c r="AE714" s="135">
        <f t="shared" si="449"/>
        <v>0</v>
      </c>
      <c r="AF714" s="135">
        <f t="shared" si="449"/>
        <v>0</v>
      </c>
      <c r="AG714" s="135">
        <f t="shared" si="449"/>
        <v>0</v>
      </c>
      <c r="AH714" s="135">
        <f t="shared" si="449"/>
        <v>0</v>
      </c>
      <c r="AI714" s="135">
        <f t="shared" si="449"/>
        <v>0</v>
      </c>
      <c r="AJ714" s="135">
        <f t="shared" si="449"/>
        <v>0</v>
      </c>
      <c r="AK714" s="135">
        <f t="shared" si="449"/>
        <v>0</v>
      </c>
      <c r="AL714" s="135">
        <f t="shared" si="449"/>
        <v>0</v>
      </c>
      <c r="AM714" s="135">
        <f t="shared" si="449"/>
        <v>0</v>
      </c>
      <c r="AN714" s="135">
        <f t="shared" si="449"/>
        <v>0</v>
      </c>
      <c r="AO714" s="135">
        <f t="shared" si="449"/>
        <v>0</v>
      </c>
      <c r="AP714" s="135">
        <f t="shared" si="449"/>
        <v>0</v>
      </c>
    </row>
    <row r="715" spans="1:42" x14ac:dyDescent="0.2">
      <c r="A715" s="20" t="s">
        <v>103</v>
      </c>
      <c r="B715" s="170">
        <v>0</v>
      </c>
      <c r="C715" s="170">
        <f>-C730</f>
        <v>0</v>
      </c>
      <c r="D715" s="170">
        <f t="shared" ref="D715:AP715" si="450">-D730</f>
        <v>0</v>
      </c>
      <c r="E715" s="170">
        <f t="shared" si="450"/>
        <v>0</v>
      </c>
      <c r="F715" s="170">
        <f t="shared" si="450"/>
        <v>0</v>
      </c>
      <c r="G715" s="170">
        <f t="shared" si="450"/>
        <v>0</v>
      </c>
      <c r="H715" s="170">
        <f t="shared" si="450"/>
        <v>0</v>
      </c>
      <c r="I715" s="170">
        <f t="shared" si="450"/>
        <v>0</v>
      </c>
      <c r="J715" s="170">
        <f t="shared" si="450"/>
        <v>0</v>
      </c>
      <c r="K715" s="170">
        <f t="shared" si="450"/>
        <v>0</v>
      </c>
      <c r="L715" s="170">
        <f t="shared" si="450"/>
        <v>0</v>
      </c>
      <c r="M715" s="170">
        <f t="shared" si="450"/>
        <v>0</v>
      </c>
      <c r="N715" s="170">
        <f t="shared" si="450"/>
        <v>0</v>
      </c>
      <c r="O715" s="170">
        <f t="shared" si="450"/>
        <v>0</v>
      </c>
      <c r="P715" s="170">
        <f t="shared" si="450"/>
        <v>0</v>
      </c>
      <c r="Q715" s="170">
        <f t="shared" si="450"/>
        <v>0</v>
      </c>
      <c r="R715" s="170">
        <f t="shared" si="450"/>
        <v>0</v>
      </c>
      <c r="S715" s="170">
        <f t="shared" si="450"/>
        <v>0</v>
      </c>
      <c r="T715" s="170">
        <f t="shared" si="450"/>
        <v>0</v>
      </c>
      <c r="U715" s="170">
        <f t="shared" si="450"/>
        <v>0</v>
      </c>
      <c r="V715" s="170">
        <f t="shared" si="450"/>
        <v>0</v>
      </c>
      <c r="W715" s="170">
        <f t="shared" si="450"/>
        <v>0</v>
      </c>
      <c r="X715" s="170">
        <f t="shared" si="450"/>
        <v>0</v>
      </c>
      <c r="Y715" s="170">
        <f t="shared" si="450"/>
        <v>0</v>
      </c>
      <c r="Z715" s="170">
        <f t="shared" si="450"/>
        <v>0</v>
      </c>
      <c r="AA715" s="170">
        <f t="shared" si="450"/>
        <v>0</v>
      </c>
      <c r="AB715" s="170">
        <f t="shared" si="450"/>
        <v>0</v>
      </c>
      <c r="AC715" s="170">
        <f t="shared" si="450"/>
        <v>0</v>
      </c>
      <c r="AD715" s="170">
        <f t="shared" si="450"/>
        <v>0</v>
      </c>
      <c r="AE715" s="170">
        <f t="shared" si="450"/>
        <v>0</v>
      </c>
      <c r="AF715" s="170">
        <f t="shared" si="450"/>
        <v>0</v>
      </c>
      <c r="AG715" s="170">
        <f t="shared" si="450"/>
        <v>0</v>
      </c>
      <c r="AH715" s="170">
        <f t="shared" si="450"/>
        <v>0</v>
      </c>
      <c r="AI715" s="170">
        <f t="shared" si="450"/>
        <v>0</v>
      </c>
      <c r="AJ715" s="170">
        <f t="shared" si="450"/>
        <v>0</v>
      </c>
      <c r="AK715" s="170">
        <f t="shared" si="450"/>
        <v>0</v>
      </c>
      <c r="AL715" s="170">
        <f t="shared" si="450"/>
        <v>0</v>
      </c>
      <c r="AM715" s="170">
        <f t="shared" si="450"/>
        <v>0</v>
      </c>
      <c r="AN715" s="170">
        <f t="shared" si="450"/>
        <v>0</v>
      </c>
      <c r="AO715" s="170">
        <f t="shared" si="450"/>
        <v>0</v>
      </c>
      <c r="AP715" s="170">
        <f t="shared" si="450"/>
        <v>0</v>
      </c>
    </row>
    <row r="716" spans="1:42" x14ac:dyDescent="0.2">
      <c r="A716" s="20" t="s">
        <v>99</v>
      </c>
      <c r="B716" s="135">
        <f>SUM(B713:B715)</f>
        <v>0</v>
      </c>
      <c r="C716" s="135">
        <f>SUM(C713:C715)</f>
        <v>0</v>
      </c>
      <c r="D716" s="135">
        <f t="shared" ref="D716:AP716" si="451">SUM(D713:D715)</f>
        <v>0</v>
      </c>
      <c r="E716" s="135">
        <f t="shared" si="451"/>
        <v>0</v>
      </c>
      <c r="F716" s="135">
        <f t="shared" si="451"/>
        <v>0</v>
      </c>
      <c r="G716" s="135">
        <f t="shared" si="451"/>
        <v>0</v>
      </c>
      <c r="H716" s="135">
        <f t="shared" si="451"/>
        <v>0</v>
      </c>
      <c r="I716" s="135">
        <f t="shared" si="451"/>
        <v>0</v>
      </c>
      <c r="J716" s="135">
        <f t="shared" si="451"/>
        <v>0</v>
      </c>
      <c r="K716" s="135">
        <f t="shared" si="451"/>
        <v>0</v>
      </c>
      <c r="L716" s="135">
        <f t="shared" si="451"/>
        <v>0</v>
      </c>
      <c r="M716" s="135">
        <f t="shared" si="451"/>
        <v>0</v>
      </c>
      <c r="N716" s="135">
        <f t="shared" si="451"/>
        <v>0</v>
      </c>
      <c r="O716" s="135">
        <f t="shared" si="451"/>
        <v>0</v>
      </c>
      <c r="P716" s="135">
        <f t="shared" si="451"/>
        <v>0</v>
      </c>
      <c r="Q716" s="135">
        <f t="shared" si="451"/>
        <v>0</v>
      </c>
      <c r="R716" s="135">
        <f t="shared" si="451"/>
        <v>0</v>
      </c>
      <c r="S716" s="135">
        <f t="shared" si="451"/>
        <v>0</v>
      </c>
      <c r="T716" s="135">
        <f t="shared" si="451"/>
        <v>0</v>
      </c>
      <c r="U716" s="135">
        <f t="shared" si="451"/>
        <v>0</v>
      </c>
      <c r="V716" s="135">
        <f t="shared" si="451"/>
        <v>0</v>
      </c>
      <c r="W716" s="135">
        <f t="shared" si="451"/>
        <v>0</v>
      </c>
      <c r="X716" s="135">
        <f t="shared" si="451"/>
        <v>0</v>
      </c>
      <c r="Y716" s="135">
        <f t="shared" si="451"/>
        <v>0</v>
      </c>
      <c r="Z716" s="135">
        <f t="shared" si="451"/>
        <v>0</v>
      </c>
      <c r="AA716" s="135">
        <f t="shared" si="451"/>
        <v>0</v>
      </c>
      <c r="AB716" s="135">
        <f t="shared" si="451"/>
        <v>0</v>
      </c>
      <c r="AC716" s="135">
        <f t="shared" si="451"/>
        <v>0</v>
      </c>
      <c r="AD716" s="135">
        <f t="shared" si="451"/>
        <v>0</v>
      </c>
      <c r="AE716" s="135">
        <f t="shared" si="451"/>
        <v>0</v>
      </c>
      <c r="AF716" s="135">
        <f t="shared" si="451"/>
        <v>0</v>
      </c>
      <c r="AG716" s="135">
        <f t="shared" si="451"/>
        <v>0</v>
      </c>
      <c r="AH716" s="135">
        <f t="shared" si="451"/>
        <v>0</v>
      </c>
      <c r="AI716" s="135">
        <f t="shared" si="451"/>
        <v>0</v>
      </c>
      <c r="AJ716" s="135">
        <f t="shared" si="451"/>
        <v>0</v>
      </c>
      <c r="AK716" s="135">
        <f t="shared" si="451"/>
        <v>0</v>
      </c>
      <c r="AL716" s="135">
        <f t="shared" si="451"/>
        <v>0</v>
      </c>
      <c r="AM716" s="135">
        <f t="shared" si="451"/>
        <v>0</v>
      </c>
      <c r="AN716" s="135">
        <f t="shared" si="451"/>
        <v>0</v>
      </c>
      <c r="AO716" s="135">
        <f t="shared" si="451"/>
        <v>0</v>
      </c>
      <c r="AP716" s="135">
        <f t="shared" si="451"/>
        <v>0</v>
      </c>
    </row>
    <row r="717" spans="1:42" x14ac:dyDescent="0.2">
      <c r="B717" s="135"/>
      <c r="C717" s="135"/>
      <c r="D717" s="135"/>
      <c r="E717" s="135"/>
      <c r="F717" s="135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</row>
    <row r="718" spans="1:42" x14ac:dyDescent="0.2">
      <c r="A718" s="20" t="s">
        <v>181</v>
      </c>
      <c r="B718" s="135"/>
      <c r="C718" s="135"/>
      <c r="D718" s="135"/>
      <c r="E718" s="135"/>
      <c r="F718" s="135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</row>
    <row r="719" spans="1:42" x14ac:dyDescent="0.2">
      <c r="A719" s="20" t="s">
        <v>182</v>
      </c>
      <c r="B719" s="135"/>
      <c r="C719" s="135"/>
      <c r="D719" s="135"/>
      <c r="E719" s="135"/>
      <c r="F719" s="135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</row>
    <row r="720" spans="1:42" x14ac:dyDescent="0.2">
      <c r="A720" s="20">
        <v>1</v>
      </c>
      <c r="B720" s="233">
        <f t="shared" ref="B720:B729" si="452">SUM(C720:AP720)</f>
        <v>0</v>
      </c>
      <c r="C720" s="169">
        <f t="shared" ref="C720:R729" si="453">IF(C$2&gt;AnalysisPeriod,0,IF(C$2=MMFrequency3*$A720,MMCost3*CapacityDC*1000*(1+Inflation)^B$2,0))</f>
        <v>0</v>
      </c>
      <c r="D720" s="169">
        <f t="shared" si="453"/>
        <v>0</v>
      </c>
      <c r="E720" s="169">
        <f t="shared" si="453"/>
        <v>0</v>
      </c>
      <c r="F720" s="169">
        <f t="shared" si="453"/>
        <v>0</v>
      </c>
      <c r="G720" s="169">
        <f t="shared" si="453"/>
        <v>0</v>
      </c>
      <c r="H720" s="169">
        <f t="shared" si="453"/>
        <v>0</v>
      </c>
      <c r="I720" s="169">
        <f t="shared" si="453"/>
        <v>0</v>
      </c>
      <c r="J720" s="169">
        <f t="shared" si="453"/>
        <v>0</v>
      </c>
      <c r="K720" s="169">
        <f t="shared" si="453"/>
        <v>0</v>
      </c>
      <c r="L720" s="169">
        <f t="shared" si="453"/>
        <v>0</v>
      </c>
      <c r="M720" s="169">
        <f t="shared" si="453"/>
        <v>0</v>
      </c>
      <c r="N720" s="169">
        <f t="shared" si="453"/>
        <v>0</v>
      </c>
      <c r="O720" s="169">
        <f t="shared" si="453"/>
        <v>0</v>
      </c>
      <c r="P720" s="169">
        <f t="shared" si="453"/>
        <v>0</v>
      </c>
      <c r="Q720" s="169">
        <f t="shared" si="453"/>
        <v>0</v>
      </c>
      <c r="R720" s="169">
        <f t="shared" si="453"/>
        <v>0</v>
      </c>
      <c r="S720" s="169">
        <f t="shared" ref="S720:AH729" si="454">IF(S$2&gt;AnalysisPeriod,0,IF(S$2=MMFrequency3*$A720,MMCost3*CapacityDC*1000*(1+Inflation)^R$2,0))</f>
        <v>0</v>
      </c>
      <c r="T720" s="169">
        <f t="shared" si="454"/>
        <v>0</v>
      </c>
      <c r="U720" s="169">
        <f t="shared" si="454"/>
        <v>0</v>
      </c>
      <c r="V720" s="169">
        <f t="shared" si="454"/>
        <v>0</v>
      </c>
      <c r="W720" s="169">
        <f t="shared" si="454"/>
        <v>0</v>
      </c>
      <c r="X720" s="169">
        <f t="shared" si="454"/>
        <v>0</v>
      </c>
      <c r="Y720" s="169">
        <f t="shared" si="454"/>
        <v>0</v>
      </c>
      <c r="Z720" s="169">
        <f t="shared" si="454"/>
        <v>0</v>
      </c>
      <c r="AA720" s="169">
        <f t="shared" si="454"/>
        <v>0</v>
      </c>
      <c r="AB720" s="169">
        <f t="shared" si="454"/>
        <v>0</v>
      </c>
      <c r="AC720" s="169">
        <f t="shared" si="454"/>
        <v>0</v>
      </c>
      <c r="AD720" s="169">
        <f t="shared" si="454"/>
        <v>0</v>
      </c>
      <c r="AE720" s="169">
        <f t="shared" si="454"/>
        <v>0</v>
      </c>
      <c r="AF720" s="169">
        <f t="shared" si="454"/>
        <v>0</v>
      </c>
      <c r="AG720" s="169">
        <f t="shared" si="454"/>
        <v>0</v>
      </c>
      <c r="AH720" s="169">
        <f t="shared" si="454"/>
        <v>0</v>
      </c>
      <c r="AI720" s="169">
        <f t="shared" ref="AI720:AP729" si="455">IF(AI$2&gt;AnalysisPeriod,0,IF(AI$2=MMFrequency3*$A720,MMCost3*CapacityDC*1000*(1+Inflation)^AH$2,0))</f>
        <v>0</v>
      </c>
      <c r="AJ720" s="169">
        <f t="shared" si="455"/>
        <v>0</v>
      </c>
      <c r="AK720" s="169">
        <f t="shared" si="455"/>
        <v>0</v>
      </c>
      <c r="AL720" s="169">
        <f t="shared" si="455"/>
        <v>0</v>
      </c>
      <c r="AM720" s="169">
        <f t="shared" si="455"/>
        <v>0</v>
      </c>
      <c r="AN720" s="169">
        <f t="shared" si="455"/>
        <v>0</v>
      </c>
      <c r="AO720" s="169">
        <f t="shared" si="455"/>
        <v>0</v>
      </c>
      <c r="AP720" s="169">
        <f t="shared" si="455"/>
        <v>0</v>
      </c>
    </row>
    <row r="721" spans="1:42" x14ac:dyDescent="0.2">
      <c r="A721" s="20">
        <f>A720+1</f>
        <v>2</v>
      </c>
      <c r="B721" s="233">
        <f t="shared" si="452"/>
        <v>0</v>
      </c>
      <c r="C721" s="169">
        <f t="shared" si="453"/>
        <v>0</v>
      </c>
      <c r="D721" s="169">
        <f t="shared" si="453"/>
        <v>0</v>
      </c>
      <c r="E721" s="169">
        <f t="shared" si="453"/>
        <v>0</v>
      </c>
      <c r="F721" s="169">
        <f t="shared" si="453"/>
        <v>0</v>
      </c>
      <c r="G721" s="169">
        <f t="shared" si="453"/>
        <v>0</v>
      </c>
      <c r="H721" s="169">
        <f t="shared" si="453"/>
        <v>0</v>
      </c>
      <c r="I721" s="169">
        <f t="shared" si="453"/>
        <v>0</v>
      </c>
      <c r="J721" s="169">
        <f t="shared" si="453"/>
        <v>0</v>
      </c>
      <c r="K721" s="169">
        <f t="shared" si="453"/>
        <v>0</v>
      </c>
      <c r="L721" s="169">
        <f t="shared" si="453"/>
        <v>0</v>
      </c>
      <c r="M721" s="169">
        <f t="shared" si="453"/>
        <v>0</v>
      </c>
      <c r="N721" s="169">
        <f t="shared" si="453"/>
        <v>0</v>
      </c>
      <c r="O721" s="169">
        <f t="shared" si="453"/>
        <v>0</v>
      </c>
      <c r="P721" s="169">
        <f t="shared" si="453"/>
        <v>0</v>
      </c>
      <c r="Q721" s="169">
        <f t="shared" si="453"/>
        <v>0</v>
      </c>
      <c r="R721" s="169">
        <f t="shared" si="453"/>
        <v>0</v>
      </c>
      <c r="S721" s="169">
        <f t="shared" si="454"/>
        <v>0</v>
      </c>
      <c r="T721" s="169">
        <f t="shared" si="454"/>
        <v>0</v>
      </c>
      <c r="U721" s="169">
        <f t="shared" si="454"/>
        <v>0</v>
      </c>
      <c r="V721" s="169">
        <f t="shared" si="454"/>
        <v>0</v>
      </c>
      <c r="W721" s="169">
        <f t="shared" si="454"/>
        <v>0</v>
      </c>
      <c r="X721" s="169">
        <f t="shared" si="454"/>
        <v>0</v>
      </c>
      <c r="Y721" s="169">
        <f t="shared" si="454"/>
        <v>0</v>
      </c>
      <c r="Z721" s="169">
        <f t="shared" si="454"/>
        <v>0</v>
      </c>
      <c r="AA721" s="169">
        <f t="shared" si="454"/>
        <v>0</v>
      </c>
      <c r="AB721" s="169">
        <f t="shared" si="454"/>
        <v>0</v>
      </c>
      <c r="AC721" s="169">
        <f t="shared" si="454"/>
        <v>0</v>
      </c>
      <c r="AD721" s="169">
        <f t="shared" si="454"/>
        <v>0</v>
      </c>
      <c r="AE721" s="169">
        <f t="shared" si="454"/>
        <v>0</v>
      </c>
      <c r="AF721" s="169">
        <f t="shared" si="454"/>
        <v>0</v>
      </c>
      <c r="AG721" s="169">
        <f t="shared" si="454"/>
        <v>0</v>
      </c>
      <c r="AH721" s="169">
        <f t="shared" si="454"/>
        <v>0</v>
      </c>
      <c r="AI721" s="169">
        <f t="shared" si="455"/>
        <v>0</v>
      </c>
      <c r="AJ721" s="169">
        <f t="shared" si="455"/>
        <v>0</v>
      </c>
      <c r="AK721" s="169">
        <f t="shared" si="455"/>
        <v>0</v>
      </c>
      <c r="AL721" s="169">
        <f t="shared" si="455"/>
        <v>0</v>
      </c>
      <c r="AM721" s="169">
        <f t="shared" si="455"/>
        <v>0</v>
      </c>
      <c r="AN721" s="169">
        <f t="shared" si="455"/>
        <v>0</v>
      </c>
      <c r="AO721" s="169">
        <f t="shared" si="455"/>
        <v>0</v>
      </c>
      <c r="AP721" s="169">
        <f t="shared" si="455"/>
        <v>0</v>
      </c>
    </row>
    <row r="722" spans="1:42" x14ac:dyDescent="0.2">
      <c r="A722" s="20">
        <f t="shared" ref="A722:A729" si="456">A721+1</f>
        <v>3</v>
      </c>
      <c r="B722" s="233">
        <f t="shared" si="452"/>
        <v>0</v>
      </c>
      <c r="C722" s="169">
        <f t="shared" si="453"/>
        <v>0</v>
      </c>
      <c r="D722" s="169">
        <f t="shared" si="453"/>
        <v>0</v>
      </c>
      <c r="E722" s="169">
        <f t="shared" si="453"/>
        <v>0</v>
      </c>
      <c r="F722" s="169">
        <f t="shared" si="453"/>
        <v>0</v>
      </c>
      <c r="G722" s="169">
        <f t="shared" si="453"/>
        <v>0</v>
      </c>
      <c r="H722" s="169">
        <f t="shared" si="453"/>
        <v>0</v>
      </c>
      <c r="I722" s="169">
        <f t="shared" si="453"/>
        <v>0</v>
      </c>
      <c r="J722" s="169">
        <f t="shared" si="453"/>
        <v>0</v>
      </c>
      <c r="K722" s="169">
        <f t="shared" si="453"/>
        <v>0</v>
      </c>
      <c r="L722" s="169">
        <f t="shared" si="453"/>
        <v>0</v>
      </c>
      <c r="M722" s="169">
        <f t="shared" si="453"/>
        <v>0</v>
      </c>
      <c r="N722" s="169">
        <f t="shared" si="453"/>
        <v>0</v>
      </c>
      <c r="O722" s="169">
        <f t="shared" si="453"/>
        <v>0</v>
      </c>
      <c r="P722" s="169">
        <f t="shared" si="453"/>
        <v>0</v>
      </c>
      <c r="Q722" s="169">
        <f t="shared" si="453"/>
        <v>0</v>
      </c>
      <c r="R722" s="169">
        <f t="shared" si="453"/>
        <v>0</v>
      </c>
      <c r="S722" s="169">
        <f t="shared" si="454"/>
        <v>0</v>
      </c>
      <c r="T722" s="169">
        <f t="shared" si="454"/>
        <v>0</v>
      </c>
      <c r="U722" s="169">
        <f t="shared" si="454"/>
        <v>0</v>
      </c>
      <c r="V722" s="169">
        <f t="shared" si="454"/>
        <v>0</v>
      </c>
      <c r="W722" s="169">
        <f t="shared" si="454"/>
        <v>0</v>
      </c>
      <c r="X722" s="169">
        <f t="shared" si="454"/>
        <v>0</v>
      </c>
      <c r="Y722" s="169">
        <f t="shared" si="454"/>
        <v>0</v>
      </c>
      <c r="Z722" s="169">
        <f t="shared" si="454"/>
        <v>0</v>
      </c>
      <c r="AA722" s="169">
        <f t="shared" si="454"/>
        <v>0</v>
      </c>
      <c r="AB722" s="169">
        <f t="shared" si="454"/>
        <v>0</v>
      </c>
      <c r="AC722" s="169">
        <f t="shared" si="454"/>
        <v>0</v>
      </c>
      <c r="AD722" s="169">
        <f t="shared" si="454"/>
        <v>0</v>
      </c>
      <c r="AE722" s="169">
        <f t="shared" si="454"/>
        <v>0</v>
      </c>
      <c r="AF722" s="169">
        <f t="shared" si="454"/>
        <v>0</v>
      </c>
      <c r="AG722" s="169">
        <f t="shared" si="454"/>
        <v>0</v>
      </c>
      <c r="AH722" s="169">
        <f t="shared" si="454"/>
        <v>0</v>
      </c>
      <c r="AI722" s="169">
        <f t="shared" si="455"/>
        <v>0</v>
      </c>
      <c r="AJ722" s="169">
        <f t="shared" si="455"/>
        <v>0</v>
      </c>
      <c r="AK722" s="169">
        <f t="shared" si="455"/>
        <v>0</v>
      </c>
      <c r="AL722" s="169">
        <f t="shared" si="455"/>
        <v>0</v>
      </c>
      <c r="AM722" s="169">
        <f t="shared" si="455"/>
        <v>0</v>
      </c>
      <c r="AN722" s="169">
        <f t="shared" si="455"/>
        <v>0</v>
      </c>
      <c r="AO722" s="169">
        <f t="shared" si="455"/>
        <v>0</v>
      </c>
      <c r="AP722" s="169">
        <f t="shared" si="455"/>
        <v>0</v>
      </c>
    </row>
    <row r="723" spans="1:42" x14ac:dyDescent="0.2">
      <c r="A723" s="20">
        <f t="shared" si="456"/>
        <v>4</v>
      </c>
      <c r="B723" s="233">
        <f t="shared" si="452"/>
        <v>0</v>
      </c>
      <c r="C723" s="169">
        <f t="shared" si="453"/>
        <v>0</v>
      </c>
      <c r="D723" s="169">
        <f t="shared" si="453"/>
        <v>0</v>
      </c>
      <c r="E723" s="169">
        <f t="shared" si="453"/>
        <v>0</v>
      </c>
      <c r="F723" s="169">
        <f t="shared" si="453"/>
        <v>0</v>
      </c>
      <c r="G723" s="169">
        <f t="shared" si="453"/>
        <v>0</v>
      </c>
      <c r="H723" s="169">
        <f t="shared" si="453"/>
        <v>0</v>
      </c>
      <c r="I723" s="169">
        <f t="shared" si="453"/>
        <v>0</v>
      </c>
      <c r="J723" s="169">
        <f t="shared" si="453"/>
        <v>0</v>
      </c>
      <c r="K723" s="169">
        <f t="shared" si="453"/>
        <v>0</v>
      </c>
      <c r="L723" s="169">
        <f t="shared" si="453"/>
        <v>0</v>
      </c>
      <c r="M723" s="169">
        <f t="shared" si="453"/>
        <v>0</v>
      </c>
      <c r="N723" s="169">
        <f t="shared" si="453"/>
        <v>0</v>
      </c>
      <c r="O723" s="169">
        <f t="shared" si="453"/>
        <v>0</v>
      </c>
      <c r="P723" s="169">
        <f t="shared" si="453"/>
        <v>0</v>
      </c>
      <c r="Q723" s="169">
        <f t="shared" si="453"/>
        <v>0</v>
      </c>
      <c r="R723" s="169">
        <f t="shared" si="453"/>
        <v>0</v>
      </c>
      <c r="S723" s="169">
        <f t="shared" si="454"/>
        <v>0</v>
      </c>
      <c r="T723" s="169">
        <f t="shared" si="454"/>
        <v>0</v>
      </c>
      <c r="U723" s="169">
        <f t="shared" si="454"/>
        <v>0</v>
      </c>
      <c r="V723" s="169">
        <f t="shared" si="454"/>
        <v>0</v>
      </c>
      <c r="W723" s="169">
        <f t="shared" si="454"/>
        <v>0</v>
      </c>
      <c r="X723" s="169">
        <f t="shared" si="454"/>
        <v>0</v>
      </c>
      <c r="Y723" s="169">
        <f t="shared" si="454"/>
        <v>0</v>
      </c>
      <c r="Z723" s="169">
        <f t="shared" si="454"/>
        <v>0</v>
      </c>
      <c r="AA723" s="169">
        <f t="shared" si="454"/>
        <v>0</v>
      </c>
      <c r="AB723" s="169">
        <f t="shared" si="454"/>
        <v>0</v>
      </c>
      <c r="AC723" s="169">
        <f t="shared" si="454"/>
        <v>0</v>
      </c>
      <c r="AD723" s="169">
        <f t="shared" si="454"/>
        <v>0</v>
      </c>
      <c r="AE723" s="169">
        <f t="shared" si="454"/>
        <v>0</v>
      </c>
      <c r="AF723" s="169">
        <f t="shared" si="454"/>
        <v>0</v>
      </c>
      <c r="AG723" s="169">
        <f t="shared" si="454"/>
        <v>0</v>
      </c>
      <c r="AH723" s="169">
        <f t="shared" si="454"/>
        <v>0</v>
      </c>
      <c r="AI723" s="169">
        <f t="shared" si="455"/>
        <v>0</v>
      </c>
      <c r="AJ723" s="169">
        <f t="shared" si="455"/>
        <v>0</v>
      </c>
      <c r="AK723" s="169">
        <f t="shared" si="455"/>
        <v>0</v>
      </c>
      <c r="AL723" s="169">
        <f t="shared" si="455"/>
        <v>0</v>
      </c>
      <c r="AM723" s="169">
        <f t="shared" si="455"/>
        <v>0</v>
      </c>
      <c r="AN723" s="169">
        <f t="shared" si="455"/>
        <v>0</v>
      </c>
      <c r="AO723" s="169">
        <f t="shared" si="455"/>
        <v>0</v>
      </c>
      <c r="AP723" s="169">
        <f t="shared" si="455"/>
        <v>0</v>
      </c>
    </row>
    <row r="724" spans="1:42" x14ac:dyDescent="0.2">
      <c r="A724" s="20">
        <f t="shared" si="456"/>
        <v>5</v>
      </c>
      <c r="B724" s="233">
        <f t="shared" si="452"/>
        <v>0</v>
      </c>
      <c r="C724" s="169">
        <f t="shared" si="453"/>
        <v>0</v>
      </c>
      <c r="D724" s="169">
        <f t="shared" si="453"/>
        <v>0</v>
      </c>
      <c r="E724" s="169">
        <f t="shared" si="453"/>
        <v>0</v>
      </c>
      <c r="F724" s="169">
        <f t="shared" si="453"/>
        <v>0</v>
      </c>
      <c r="G724" s="169">
        <f t="shared" si="453"/>
        <v>0</v>
      </c>
      <c r="H724" s="169">
        <f t="shared" si="453"/>
        <v>0</v>
      </c>
      <c r="I724" s="169">
        <f t="shared" si="453"/>
        <v>0</v>
      </c>
      <c r="J724" s="169">
        <f t="shared" si="453"/>
        <v>0</v>
      </c>
      <c r="K724" s="169">
        <f t="shared" si="453"/>
        <v>0</v>
      </c>
      <c r="L724" s="169">
        <f t="shared" si="453"/>
        <v>0</v>
      </c>
      <c r="M724" s="169">
        <f t="shared" si="453"/>
        <v>0</v>
      </c>
      <c r="N724" s="169">
        <f t="shared" si="453"/>
        <v>0</v>
      </c>
      <c r="O724" s="169">
        <f t="shared" si="453"/>
        <v>0</v>
      </c>
      <c r="P724" s="169">
        <f t="shared" si="453"/>
        <v>0</v>
      </c>
      <c r="Q724" s="169">
        <f t="shared" si="453"/>
        <v>0</v>
      </c>
      <c r="R724" s="169">
        <f t="shared" si="453"/>
        <v>0</v>
      </c>
      <c r="S724" s="169">
        <f t="shared" si="454"/>
        <v>0</v>
      </c>
      <c r="T724" s="169">
        <f t="shared" si="454"/>
        <v>0</v>
      </c>
      <c r="U724" s="169">
        <f t="shared" si="454"/>
        <v>0</v>
      </c>
      <c r="V724" s="169">
        <f t="shared" si="454"/>
        <v>0</v>
      </c>
      <c r="W724" s="169">
        <f t="shared" si="454"/>
        <v>0</v>
      </c>
      <c r="X724" s="169">
        <f t="shared" si="454"/>
        <v>0</v>
      </c>
      <c r="Y724" s="169">
        <f t="shared" si="454"/>
        <v>0</v>
      </c>
      <c r="Z724" s="169">
        <f t="shared" si="454"/>
        <v>0</v>
      </c>
      <c r="AA724" s="169">
        <f t="shared" si="454"/>
        <v>0</v>
      </c>
      <c r="AB724" s="169">
        <f t="shared" si="454"/>
        <v>0</v>
      </c>
      <c r="AC724" s="169">
        <f t="shared" si="454"/>
        <v>0</v>
      </c>
      <c r="AD724" s="169">
        <f t="shared" si="454"/>
        <v>0</v>
      </c>
      <c r="AE724" s="169">
        <f t="shared" si="454"/>
        <v>0</v>
      </c>
      <c r="AF724" s="169">
        <f t="shared" si="454"/>
        <v>0</v>
      </c>
      <c r="AG724" s="169">
        <f t="shared" si="454"/>
        <v>0</v>
      </c>
      <c r="AH724" s="169">
        <f t="shared" si="454"/>
        <v>0</v>
      </c>
      <c r="AI724" s="169">
        <f t="shared" si="455"/>
        <v>0</v>
      </c>
      <c r="AJ724" s="169">
        <f t="shared" si="455"/>
        <v>0</v>
      </c>
      <c r="AK724" s="169">
        <f t="shared" si="455"/>
        <v>0</v>
      </c>
      <c r="AL724" s="169">
        <f t="shared" si="455"/>
        <v>0</v>
      </c>
      <c r="AM724" s="169">
        <f t="shared" si="455"/>
        <v>0</v>
      </c>
      <c r="AN724" s="169">
        <f t="shared" si="455"/>
        <v>0</v>
      </c>
      <c r="AO724" s="169">
        <f t="shared" si="455"/>
        <v>0</v>
      </c>
      <c r="AP724" s="169">
        <f t="shared" si="455"/>
        <v>0</v>
      </c>
    </row>
    <row r="725" spans="1:42" x14ac:dyDescent="0.2">
      <c r="A725" s="20">
        <f t="shared" si="456"/>
        <v>6</v>
      </c>
      <c r="B725" s="233">
        <f t="shared" si="452"/>
        <v>0</v>
      </c>
      <c r="C725" s="169">
        <f t="shared" si="453"/>
        <v>0</v>
      </c>
      <c r="D725" s="169">
        <f t="shared" si="453"/>
        <v>0</v>
      </c>
      <c r="E725" s="169">
        <f t="shared" si="453"/>
        <v>0</v>
      </c>
      <c r="F725" s="169">
        <f t="shared" si="453"/>
        <v>0</v>
      </c>
      <c r="G725" s="169">
        <f t="shared" si="453"/>
        <v>0</v>
      </c>
      <c r="H725" s="169">
        <f t="shared" si="453"/>
        <v>0</v>
      </c>
      <c r="I725" s="169">
        <f t="shared" si="453"/>
        <v>0</v>
      </c>
      <c r="J725" s="169">
        <f t="shared" si="453"/>
        <v>0</v>
      </c>
      <c r="K725" s="169">
        <f t="shared" si="453"/>
        <v>0</v>
      </c>
      <c r="L725" s="169">
        <f t="shared" si="453"/>
        <v>0</v>
      </c>
      <c r="M725" s="169">
        <f t="shared" si="453"/>
        <v>0</v>
      </c>
      <c r="N725" s="169">
        <f t="shared" si="453"/>
        <v>0</v>
      </c>
      <c r="O725" s="169">
        <f t="shared" si="453"/>
        <v>0</v>
      </c>
      <c r="P725" s="169">
        <f t="shared" si="453"/>
        <v>0</v>
      </c>
      <c r="Q725" s="169">
        <f t="shared" si="453"/>
        <v>0</v>
      </c>
      <c r="R725" s="169">
        <f t="shared" si="453"/>
        <v>0</v>
      </c>
      <c r="S725" s="169">
        <f t="shared" si="454"/>
        <v>0</v>
      </c>
      <c r="T725" s="169">
        <f t="shared" si="454"/>
        <v>0</v>
      </c>
      <c r="U725" s="169">
        <f t="shared" si="454"/>
        <v>0</v>
      </c>
      <c r="V725" s="169">
        <f t="shared" si="454"/>
        <v>0</v>
      </c>
      <c r="W725" s="169">
        <f t="shared" si="454"/>
        <v>0</v>
      </c>
      <c r="X725" s="169">
        <f t="shared" si="454"/>
        <v>0</v>
      </c>
      <c r="Y725" s="169">
        <f t="shared" si="454"/>
        <v>0</v>
      </c>
      <c r="Z725" s="169">
        <f t="shared" si="454"/>
        <v>0</v>
      </c>
      <c r="AA725" s="169">
        <f t="shared" si="454"/>
        <v>0</v>
      </c>
      <c r="AB725" s="169">
        <f t="shared" si="454"/>
        <v>0</v>
      </c>
      <c r="AC725" s="169">
        <f t="shared" si="454"/>
        <v>0</v>
      </c>
      <c r="AD725" s="169">
        <f t="shared" si="454"/>
        <v>0</v>
      </c>
      <c r="AE725" s="169">
        <f t="shared" si="454"/>
        <v>0</v>
      </c>
      <c r="AF725" s="169">
        <f t="shared" si="454"/>
        <v>0</v>
      </c>
      <c r="AG725" s="169">
        <f t="shared" si="454"/>
        <v>0</v>
      </c>
      <c r="AH725" s="169">
        <f t="shared" si="454"/>
        <v>0</v>
      </c>
      <c r="AI725" s="169">
        <f t="shared" si="455"/>
        <v>0</v>
      </c>
      <c r="AJ725" s="169">
        <f t="shared" si="455"/>
        <v>0</v>
      </c>
      <c r="AK725" s="169">
        <f t="shared" si="455"/>
        <v>0</v>
      </c>
      <c r="AL725" s="169">
        <f t="shared" si="455"/>
        <v>0</v>
      </c>
      <c r="AM725" s="169">
        <f t="shared" si="455"/>
        <v>0</v>
      </c>
      <c r="AN725" s="169">
        <f t="shared" si="455"/>
        <v>0</v>
      </c>
      <c r="AO725" s="169">
        <f t="shared" si="455"/>
        <v>0</v>
      </c>
      <c r="AP725" s="169">
        <f t="shared" si="455"/>
        <v>0</v>
      </c>
    </row>
    <row r="726" spans="1:42" x14ac:dyDescent="0.2">
      <c r="A726" s="20">
        <f t="shared" si="456"/>
        <v>7</v>
      </c>
      <c r="B726" s="233">
        <f t="shared" si="452"/>
        <v>0</v>
      </c>
      <c r="C726" s="169">
        <f t="shared" si="453"/>
        <v>0</v>
      </c>
      <c r="D726" s="169">
        <f t="shared" si="453"/>
        <v>0</v>
      </c>
      <c r="E726" s="169">
        <f t="shared" si="453"/>
        <v>0</v>
      </c>
      <c r="F726" s="169">
        <f t="shared" si="453"/>
        <v>0</v>
      </c>
      <c r="G726" s="169">
        <f t="shared" si="453"/>
        <v>0</v>
      </c>
      <c r="H726" s="169">
        <f t="shared" si="453"/>
        <v>0</v>
      </c>
      <c r="I726" s="169">
        <f t="shared" si="453"/>
        <v>0</v>
      </c>
      <c r="J726" s="169">
        <f t="shared" si="453"/>
        <v>0</v>
      </c>
      <c r="K726" s="169">
        <f t="shared" si="453"/>
        <v>0</v>
      </c>
      <c r="L726" s="169">
        <f t="shared" si="453"/>
        <v>0</v>
      </c>
      <c r="M726" s="169">
        <f t="shared" si="453"/>
        <v>0</v>
      </c>
      <c r="N726" s="169">
        <f t="shared" si="453"/>
        <v>0</v>
      </c>
      <c r="O726" s="169">
        <f t="shared" si="453"/>
        <v>0</v>
      </c>
      <c r="P726" s="169">
        <f t="shared" si="453"/>
        <v>0</v>
      </c>
      <c r="Q726" s="169">
        <f t="shared" si="453"/>
        <v>0</v>
      </c>
      <c r="R726" s="169">
        <f t="shared" si="453"/>
        <v>0</v>
      </c>
      <c r="S726" s="169">
        <f t="shared" si="454"/>
        <v>0</v>
      </c>
      <c r="T726" s="169">
        <f t="shared" si="454"/>
        <v>0</v>
      </c>
      <c r="U726" s="169">
        <f t="shared" si="454"/>
        <v>0</v>
      </c>
      <c r="V726" s="169">
        <f t="shared" si="454"/>
        <v>0</v>
      </c>
      <c r="W726" s="169">
        <f t="shared" si="454"/>
        <v>0</v>
      </c>
      <c r="X726" s="169">
        <f t="shared" si="454"/>
        <v>0</v>
      </c>
      <c r="Y726" s="169">
        <f t="shared" si="454"/>
        <v>0</v>
      </c>
      <c r="Z726" s="169">
        <f t="shared" si="454"/>
        <v>0</v>
      </c>
      <c r="AA726" s="169">
        <f t="shared" si="454"/>
        <v>0</v>
      </c>
      <c r="AB726" s="169">
        <f t="shared" si="454"/>
        <v>0</v>
      </c>
      <c r="AC726" s="169">
        <f t="shared" si="454"/>
        <v>0</v>
      </c>
      <c r="AD726" s="169">
        <f t="shared" si="454"/>
        <v>0</v>
      </c>
      <c r="AE726" s="169">
        <f t="shared" si="454"/>
        <v>0</v>
      </c>
      <c r="AF726" s="169">
        <f t="shared" si="454"/>
        <v>0</v>
      </c>
      <c r="AG726" s="169">
        <f t="shared" si="454"/>
        <v>0</v>
      </c>
      <c r="AH726" s="169">
        <f t="shared" si="454"/>
        <v>0</v>
      </c>
      <c r="AI726" s="169">
        <f t="shared" si="455"/>
        <v>0</v>
      </c>
      <c r="AJ726" s="169">
        <f t="shared" si="455"/>
        <v>0</v>
      </c>
      <c r="AK726" s="169">
        <f t="shared" si="455"/>
        <v>0</v>
      </c>
      <c r="AL726" s="169">
        <f t="shared" si="455"/>
        <v>0</v>
      </c>
      <c r="AM726" s="169">
        <f t="shared" si="455"/>
        <v>0</v>
      </c>
      <c r="AN726" s="169">
        <f t="shared" si="455"/>
        <v>0</v>
      </c>
      <c r="AO726" s="169">
        <f t="shared" si="455"/>
        <v>0</v>
      </c>
      <c r="AP726" s="169">
        <f t="shared" si="455"/>
        <v>0</v>
      </c>
    </row>
    <row r="727" spans="1:42" x14ac:dyDescent="0.2">
      <c r="A727" s="20">
        <f t="shared" si="456"/>
        <v>8</v>
      </c>
      <c r="B727" s="233">
        <f t="shared" si="452"/>
        <v>0</v>
      </c>
      <c r="C727" s="169">
        <f t="shared" si="453"/>
        <v>0</v>
      </c>
      <c r="D727" s="169">
        <f t="shared" si="453"/>
        <v>0</v>
      </c>
      <c r="E727" s="169">
        <f t="shared" si="453"/>
        <v>0</v>
      </c>
      <c r="F727" s="169">
        <f t="shared" si="453"/>
        <v>0</v>
      </c>
      <c r="G727" s="169">
        <f t="shared" si="453"/>
        <v>0</v>
      </c>
      <c r="H727" s="169">
        <f t="shared" si="453"/>
        <v>0</v>
      </c>
      <c r="I727" s="169">
        <f t="shared" si="453"/>
        <v>0</v>
      </c>
      <c r="J727" s="169">
        <f t="shared" si="453"/>
        <v>0</v>
      </c>
      <c r="K727" s="169">
        <f t="shared" si="453"/>
        <v>0</v>
      </c>
      <c r="L727" s="169">
        <f t="shared" si="453"/>
        <v>0</v>
      </c>
      <c r="M727" s="169">
        <f t="shared" si="453"/>
        <v>0</v>
      </c>
      <c r="N727" s="169">
        <f t="shared" si="453"/>
        <v>0</v>
      </c>
      <c r="O727" s="169">
        <f t="shared" si="453"/>
        <v>0</v>
      </c>
      <c r="P727" s="169">
        <f t="shared" si="453"/>
        <v>0</v>
      </c>
      <c r="Q727" s="169">
        <f t="shared" si="453"/>
        <v>0</v>
      </c>
      <c r="R727" s="169">
        <f t="shared" si="453"/>
        <v>0</v>
      </c>
      <c r="S727" s="169">
        <f t="shared" si="454"/>
        <v>0</v>
      </c>
      <c r="T727" s="169">
        <f t="shared" si="454"/>
        <v>0</v>
      </c>
      <c r="U727" s="169">
        <f t="shared" si="454"/>
        <v>0</v>
      </c>
      <c r="V727" s="169">
        <f t="shared" si="454"/>
        <v>0</v>
      </c>
      <c r="W727" s="169">
        <f t="shared" si="454"/>
        <v>0</v>
      </c>
      <c r="X727" s="169">
        <f t="shared" si="454"/>
        <v>0</v>
      </c>
      <c r="Y727" s="169">
        <f t="shared" si="454"/>
        <v>0</v>
      </c>
      <c r="Z727" s="169">
        <f t="shared" si="454"/>
        <v>0</v>
      </c>
      <c r="AA727" s="169">
        <f t="shared" si="454"/>
        <v>0</v>
      </c>
      <c r="AB727" s="169">
        <f t="shared" si="454"/>
        <v>0</v>
      </c>
      <c r="AC727" s="169">
        <f t="shared" si="454"/>
        <v>0</v>
      </c>
      <c r="AD727" s="169">
        <f t="shared" si="454"/>
        <v>0</v>
      </c>
      <c r="AE727" s="169">
        <f t="shared" si="454"/>
        <v>0</v>
      </c>
      <c r="AF727" s="169">
        <f t="shared" si="454"/>
        <v>0</v>
      </c>
      <c r="AG727" s="169">
        <f t="shared" si="454"/>
        <v>0</v>
      </c>
      <c r="AH727" s="169">
        <f t="shared" si="454"/>
        <v>0</v>
      </c>
      <c r="AI727" s="169">
        <f t="shared" si="455"/>
        <v>0</v>
      </c>
      <c r="AJ727" s="169">
        <f t="shared" si="455"/>
        <v>0</v>
      </c>
      <c r="AK727" s="169">
        <f t="shared" si="455"/>
        <v>0</v>
      </c>
      <c r="AL727" s="169">
        <f t="shared" si="455"/>
        <v>0</v>
      </c>
      <c r="AM727" s="169">
        <f t="shared" si="455"/>
        <v>0</v>
      </c>
      <c r="AN727" s="169">
        <f t="shared" si="455"/>
        <v>0</v>
      </c>
      <c r="AO727" s="169">
        <f t="shared" si="455"/>
        <v>0</v>
      </c>
      <c r="AP727" s="169">
        <f t="shared" si="455"/>
        <v>0</v>
      </c>
    </row>
    <row r="728" spans="1:42" x14ac:dyDescent="0.2">
      <c r="A728" s="20">
        <f>A727+1</f>
        <v>9</v>
      </c>
      <c r="B728" s="233">
        <f t="shared" si="452"/>
        <v>0</v>
      </c>
      <c r="C728" s="169">
        <f t="shared" si="453"/>
        <v>0</v>
      </c>
      <c r="D728" s="169">
        <f t="shared" si="453"/>
        <v>0</v>
      </c>
      <c r="E728" s="169">
        <f t="shared" si="453"/>
        <v>0</v>
      </c>
      <c r="F728" s="169">
        <f t="shared" si="453"/>
        <v>0</v>
      </c>
      <c r="G728" s="169">
        <f t="shared" si="453"/>
        <v>0</v>
      </c>
      <c r="H728" s="169">
        <f t="shared" si="453"/>
        <v>0</v>
      </c>
      <c r="I728" s="169">
        <f t="shared" si="453"/>
        <v>0</v>
      </c>
      <c r="J728" s="169">
        <f t="shared" si="453"/>
        <v>0</v>
      </c>
      <c r="K728" s="169">
        <f t="shared" si="453"/>
        <v>0</v>
      </c>
      <c r="L728" s="169">
        <f t="shared" si="453"/>
        <v>0</v>
      </c>
      <c r="M728" s="169">
        <f t="shared" si="453"/>
        <v>0</v>
      </c>
      <c r="N728" s="169">
        <f t="shared" si="453"/>
        <v>0</v>
      </c>
      <c r="O728" s="169">
        <f t="shared" si="453"/>
        <v>0</v>
      </c>
      <c r="P728" s="169">
        <f t="shared" si="453"/>
        <v>0</v>
      </c>
      <c r="Q728" s="169">
        <f t="shared" si="453"/>
        <v>0</v>
      </c>
      <c r="R728" s="169">
        <f t="shared" si="453"/>
        <v>0</v>
      </c>
      <c r="S728" s="169">
        <f t="shared" si="454"/>
        <v>0</v>
      </c>
      <c r="T728" s="169">
        <f t="shared" si="454"/>
        <v>0</v>
      </c>
      <c r="U728" s="169">
        <f t="shared" si="454"/>
        <v>0</v>
      </c>
      <c r="V728" s="169">
        <f t="shared" si="454"/>
        <v>0</v>
      </c>
      <c r="W728" s="169">
        <f t="shared" si="454"/>
        <v>0</v>
      </c>
      <c r="X728" s="169">
        <f t="shared" si="454"/>
        <v>0</v>
      </c>
      <c r="Y728" s="169">
        <f t="shared" si="454"/>
        <v>0</v>
      </c>
      <c r="Z728" s="169">
        <f t="shared" si="454"/>
        <v>0</v>
      </c>
      <c r="AA728" s="169">
        <f t="shared" si="454"/>
        <v>0</v>
      </c>
      <c r="AB728" s="169">
        <f t="shared" si="454"/>
        <v>0</v>
      </c>
      <c r="AC728" s="169">
        <f t="shared" si="454"/>
        <v>0</v>
      </c>
      <c r="AD728" s="169">
        <f t="shared" si="454"/>
        <v>0</v>
      </c>
      <c r="AE728" s="169">
        <f t="shared" si="454"/>
        <v>0</v>
      </c>
      <c r="AF728" s="169">
        <f t="shared" si="454"/>
        <v>0</v>
      </c>
      <c r="AG728" s="169">
        <f t="shared" si="454"/>
        <v>0</v>
      </c>
      <c r="AH728" s="169">
        <f t="shared" si="454"/>
        <v>0</v>
      </c>
      <c r="AI728" s="169">
        <f t="shared" si="455"/>
        <v>0</v>
      </c>
      <c r="AJ728" s="169">
        <f t="shared" si="455"/>
        <v>0</v>
      </c>
      <c r="AK728" s="169">
        <f t="shared" si="455"/>
        <v>0</v>
      </c>
      <c r="AL728" s="169">
        <f t="shared" si="455"/>
        <v>0</v>
      </c>
      <c r="AM728" s="169">
        <f t="shared" si="455"/>
        <v>0</v>
      </c>
      <c r="AN728" s="169">
        <f t="shared" si="455"/>
        <v>0</v>
      </c>
      <c r="AO728" s="169">
        <f t="shared" si="455"/>
        <v>0</v>
      </c>
      <c r="AP728" s="169">
        <f t="shared" si="455"/>
        <v>0</v>
      </c>
    </row>
    <row r="729" spans="1:42" x14ac:dyDescent="0.2">
      <c r="A729" s="20">
        <f t="shared" si="456"/>
        <v>10</v>
      </c>
      <c r="B729" s="233">
        <f t="shared" si="452"/>
        <v>0</v>
      </c>
      <c r="C729" s="170">
        <f t="shared" si="453"/>
        <v>0</v>
      </c>
      <c r="D729" s="170">
        <f t="shared" si="453"/>
        <v>0</v>
      </c>
      <c r="E729" s="170">
        <f t="shared" si="453"/>
        <v>0</v>
      </c>
      <c r="F729" s="170">
        <f t="shared" si="453"/>
        <v>0</v>
      </c>
      <c r="G729" s="170">
        <f t="shared" si="453"/>
        <v>0</v>
      </c>
      <c r="H729" s="170">
        <f t="shared" si="453"/>
        <v>0</v>
      </c>
      <c r="I729" s="170">
        <f t="shared" si="453"/>
        <v>0</v>
      </c>
      <c r="J729" s="170">
        <f t="shared" si="453"/>
        <v>0</v>
      </c>
      <c r="K729" s="170">
        <f t="shared" si="453"/>
        <v>0</v>
      </c>
      <c r="L729" s="170">
        <f t="shared" si="453"/>
        <v>0</v>
      </c>
      <c r="M729" s="170">
        <f t="shared" si="453"/>
        <v>0</v>
      </c>
      <c r="N729" s="170">
        <f t="shared" si="453"/>
        <v>0</v>
      </c>
      <c r="O729" s="170">
        <f t="shared" si="453"/>
        <v>0</v>
      </c>
      <c r="P729" s="170">
        <f t="shared" si="453"/>
        <v>0</v>
      </c>
      <c r="Q729" s="170">
        <f t="shared" si="453"/>
        <v>0</v>
      </c>
      <c r="R729" s="170">
        <f t="shared" si="453"/>
        <v>0</v>
      </c>
      <c r="S729" s="170">
        <f t="shared" si="454"/>
        <v>0</v>
      </c>
      <c r="T729" s="170">
        <f t="shared" si="454"/>
        <v>0</v>
      </c>
      <c r="U729" s="170">
        <f t="shared" si="454"/>
        <v>0</v>
      </c>
      <c r="V729" s="170">
        <f t="shared" si="454"/>
        <v>0</v>
      </c>
      <c r="W729" s="170">
        <f t="shared" si="454"/>
        <v>0</v>
      </c>
      <c r="X729" s="170">
        <f t="shared" si="454"/>
        <v>0</v>
      </c>
      <c r="Y729" s="170">
        <f t="shared" si="454"/>
        <v>0</v>
      </c>
      <c r="Z729" s="170">
        <f t="shared" si="454"/>
        <v>0</v>
      </c>
      <c r="AA729" s="170">
        <f t="shared" si="454"/>
        <v>0</v>
      </c>
      <c r="AB729" s="170">
        <f t="shared" si="454"/>
        <v>0</v>
      </c>
      <c r="AC729" s="170">
        <f t="shared" si="454"/>
        <v>0</v>
      </c>
      <c r="AD729" s="170">
        <f t="shared" si="454"/>
        <v>0</v>
      </c>
      <c r="AE729" s="170">
        <f t="shared" si="454"/>
        <v>0</v>
      </c>
      <c r="AF729" s="170">
        <f t="shared" si="454"/>
        <v>0</v>
      </c>
      <c r="AG729" s="170">
        <f t="shared" si="454"/>
        <v>0</v>
      </c>
      <c r="AH729" s="170">
        <f t="shared" si="454"/>
        <v>0</v>
      </c>
      <c r="AI729" s="170">
        <f t="shared" si="455"/>
        <v>0</v>
      </c>
      <c r="AJ729" s="170">
        <f t="shared" si="455"/>
        <v>0</v>
      </c>
      <c r="AK729" s="170">
        <f t="shared" si="455"/>
        <v>0</v>
      </c>
      <c r="AL729" s="170">
        <f t="shared" si="455"/>
        <v>0</v>
      </c>
      <c r="AM729" s="170">
        <f t="shared" si="455"/>
        <v>0</v>
      </c>
      <c r="AN729" s="170">
        <f t="shared" si="455"/>
        <v>0</v>
      </c>
      <c r="AO729" s="170">
        <f t="shared" si="455"/>
        <v>0</v>
      </c>
      <c r="AP729" s="170">
        <f t="shared" si="455"/>
        <v>0</v>
      </c>
    </row>
    <row r="730" spans="1:42" x14ac:dyDescent="0.2">
      <c r="A730" s="202" t="s">
        <v>53</v>
      </c>
      <c r="B730" s="169"/>
      <c r="C730" s="135">
        <f>SUM(C720:C729)</f>
        <v>0</v>
      </c>
      <c r="D730" s="135">
        <f t="shared" ref="D730:AP730" si="457">SUM(D720:D729)</f>
        <v>0</v>
      </c>
      <c r="E730" s="135">
        <f t="shared" si="457"/>
        <v>0</v>
      </c>
      <c r="F730" s="135">
        <f t="shared" si="457"/>
        <v>0</v>
      </c>
      <c r="G730" s="135">
        <f t="shared" si="457"/>
        <v>0</v>
      </c>
      <c r="H730" s="135">
        <f t="shared" si="457"/>
        <v>0</v>
      </c>
      <c r="I730" s="135">
        <f t="shared" si="457"/>
        <v>0</v>
      </c>
      <c r="J730" s="135">
        <f t="shared" si="457"/>
        <v>0</v>
      </c>
      <c r="K730" s="135">
        <f t="shared" si="457"/>
        <v>0</v>
      </c>
      <c r="L730" s="135">
        <f t="shared" si="457"/>
        <v>0</v>
      </c>
      <c r="M730" s="135">
        <f t="shared" si="457"/>
        <v>0</v>
      </c>
      <c r="N730" s="135">
        <f t="shared" si="457"/>
        <v>0</v>
      </c>
      <c r="O730" s="135">
        <f t="shared" si="457"/>
        <v>0</v>
      </c>
      <c r="P730" s="135">
        <f t="shared" si="457"/>
        <v>0</v>
      </c>
      <c r="Q730" s="135">
        <f t="shared" si="457"/>
        <v>0</v>
      </c>
      <c r="R730" s="135">
        <f t="shared" si="457"/>
        <v>0</v>
      </c>
      <c r="S730" s="135">
        <f t="shared" si="457"/>
        <v>0</v>
      </c>
      <c r="T730" s="135">
        <f t="shared" si="457"/>
        <v>0</v>
      </c>
      <c r="U730" s="135">
        <f t="shared" si="457"/>
        <v>0</v>
      </c>
      <c r="V730" s="135">
        <f t="shared" si="457"/>
        <v>0</v>
      </c>
      <c r="W730" s="135">
        <f t="shared" si="457"/>
        <v>0</v>
      </c>
      <c r="X730" s="135">
        <f t="shared" si="457"/>
        <v>0</v>
      </c>
      <c r="Y730" s="135">
        <f t="shared" si="457"/>
        <v>0</v>
      </c>
      <c r="Z730" s="135">
        <f t="shared" si="457"/>
        <v>0</v>
      </c>
      <c r="AA730" s="135">
        <f t="shared" si="457"/>
        <v>0</v>
      </c>
      <c r="AB730" s="135">
        <f t="shared" si="457"/>
        <v>0</v>
      </c>
      <c r="AC730" s="135">
        <f t="shared" si="457"/>
        <v>0</v>
      </c>
      <c r="AD730" s="135">
        <f t="shared" si="457"/>
        <v>0</v>
      </c>
      <c r="AE730" s="135">
        <f t="shared" si="457"/>
        <v>0</v>
      </c>
      <c r="AF730" s="135">
        <f t="shared" si="457"/>
        <v>0</v>
      </c>
      <c r="AG730" s="135">
        <f t="shared" si="457"/>
        <v>0</v>
      </c>
      <c r="AH730" s="135">
        <f t="shared" si="457"/>
        <v>0</v>
      </c>
      <c r="AI730" s="135">
        <f t="shared" si="457"/>
        <v>0</v>
      </c>
      <c r="AJ730" s="135">
        <f t="shared" si="457"/>
        <v>0</v>
      </c>
      <c r="AK730" s="135">
        <f t="shared" si="457"/>
        <v>0</v>
      </c>
      <c r="AL730" s="135">
        <f t="shared" si="457"/>
        <v>0</v>
      </c>
      <c r="AM730" s="135">
        <f t="shared" si="457"/>
        <v>0</v>
      </c>
      <c r="AN730" s="135">
        <f t="shared" si="457"/>
        <v>0</v>
      </c>
      <c r="AO730" s="135">
        <f t="shared" si="457"/>
        <v>0</v>
      </c>
      <c r="AP730" s="135">
        <f t="shared" si="457"/>
        <v>0</v>
      </c>
    </row>
    <row r="731" spans="1:42" x14ac:dyDescent="0.2">
      <c r="A731" s="20" t="s">
        <v>184</v>
      </c>
      <c r="B731" s="135"/>
      <c r="C731" s="135"/>
      <c r="D731" s="135"/>
      <c r="E731" s="135"/>
      <c r="F731" s="135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</row>
    <row r="732" spans="1:42" x14ac:dyDescent="0.2">
      <c r="A732" s="20">
        <v>1</v>
      </c>
      <c r="B732" s="233">
        <f t="shared" ref="B732:B741" si="458">SUM(C732:AP732)</f>
        <v>0</v>
      </c>
      <c r="C732" s="169">
        <f t="shared" ref="C732:AP732" si="459">IF(C$2&lt;=MMFrequency3*$A$720,$B$720/(MMFrequency3),0)</f>
        <v>0</v>
      </c>
      <c r="D732" s="169">
        <f t="shared" si="459"/>
        <v>0</v>
      </c>
      <c r="E732" s="169">
        <f t="shared" si="459"/>
        <v>0</v>
      </c>
      <c r="F732" s="169">
        <f t="shared" si="459"/>
        <v>0</v>
      </c>
      <c r="G732" s="169">
        <f t="shared" si="459"/>
        <v>0</v>
      </c>
      <c r="H732" s="169">
        <f t="shared" si="459"/>
        <v>0</v>
      </c>
      <c r="I732" s="169">
        <f t="shared" si="459"/>
        <v>0</v>
      </c>
      <c r="J732" s="169">
        <f t="shared" si="459"/>
        <v>0</v>
      </c>
      <c r="K732" s="169">
        <f t="shared" si="459"/>
        <v>0</v>
      </c>
      <c r="L732" s="169">
        <f t="shared" si="459"/>
        <v>0</v>
      </c>
      <c r="M732" s="169">
        <f t="shared" si="459"/>
        <v>0</v>
      </c>
      <c r="N732" s="169">
        <f t="shared" si="459"/>
        <v>0</v>
      </c>
      <c r="O732" s="169">
        <f t="shared" si="459"/>
        <v>0</v>
      </c>
      <c r="P732" s="169">
        <f t="shared" si="459"/>
        <v>0</v>
      </c>
      <c r="Q732" s="169">
        <f t="shared" si="459"/>
        <v>0</v>
      </c>
      <c r="R732" s="169">
        <f t="shared" si="459"/>
        <v>0</v>
      </c>
      <c r="S732" s="169">
        <f t="shared" si="459"/>
        <v>0</v>
      </c>
      <c r="T732" s="169">
        <f t="shared" si="459"/>
        <v>0</v>
      </c>
      <c r="U732" s="169">
        <f t="shared" si="459"/>
        <v>0</v>
      </c>
      <c r="V732" s="169">
        <f t="shared" si="459"/>
        <v>0</v>
      </c>
      <c r="W732" s="169">
        <f t="shared" si="459"/>
        <v>0</v>
      </c>
      <c r="X732" s="169">
        <f t="shared" si="459"/>
        <v>0</v>
      </c>
      <c r="Y732" s="169">
        <f t="shared" si="459"/>
        <v>0</v>
      </c>
      <c r="Z732" s="169">
        <f t="shared" si="459"/>
        <v>0</v>
      </c>
      <c r="AA732" s="169">
        <f t="shared" si="459"/>
        <v>0</v>
      </c>
      <c r="AB732" s="169">
        <f t="shared" si="459"/>
        <v>0</v>
      </c>
      <c r="AC732" s="169">
        <f t="shared" si="459"/>
        <v>0</v>
      </c>
      <c r="AD732" s="169">
        <f t="shared" si="459"/>
        <v>0</v>
      </c>
      <c r="AE732" s="169">
        <f t="shared" si="459"/>
        <v>0</v>
      </c>
      <c r="AF732" s="169">
        <f t="shared" si="459"/>
        <v>0</v>
      </c>
      <c r="AG732" s="169">
        <f t="shared" si="459"/>
        <v>0</v>
      </c>
      <c r="AH732" s="169">
        <f t="shared" si="459"/>
        <v>0</v>
      </c>
      <c r="AI732" s="169">
        <f t="shared" si="459"/>
        <v>0</v>
      </c>
      <c r="AJ732" s="169">
        <f t="shared" si="459"/>
        <v>0</v>
      </c>
      <c r="AK732" s="169">
        <f t="shared" si="459"/>
        <v>0</v>
      </c>
      <c r="AL732" s="169">
        <f t="shared" si="459"/>
        <v>0</v>
      </c>
      <c r="AM732" s="169">
        <f t="shared" si="459"/>
        <v>0</v>
      </c>
      <c r="AN732" s="169">
        <f t="shared" si="459"/>
        <v>0</v>
      </c>
      <c r="AO732" s="169">
        <f t="shared" si="459"/>
        <v>0</v>
      </c>
      <c r="AP732" s="169">
        <f t="shared" si="459"/>
        <v>0</v>
      </c>
    </row>
    <row r="733" spans="1:42" x14ac:dyDescent="0.2">
      <c r="A733" s="20">
        <f>A732+1</f>
        <v>2</v>
      </c>
      <c r="B733" s="233">
        <f t="shared" si="458"/>
        <v>0</v>
      </c>
      <c r="C733" s="169">
        <f t="shared" ref="C733:AP739" si="460">IF(AND(C$2&gt;MMFrequency3*$A720,C$2&lt;=MMFrequency3*$A721),$B721/(MMFrequency3),0)</f>
        <v>0</v>
      </c>
      <c r="D733" s="169">
        <f t="shared" si="460"/>
        <v>0</v>
      </c>
      <c r="E733" s="169">
        <f t="shared" si="460"/>
        <v>0</v>
      </c>
      <c r="F733" s="169">
        <f t="shared" si="460"/>
        <v>0</v>
      </c>
      <c r="G733" s="169">
        <f t="shared" si="460"/>
        <v>0</v>
      </c>
      <c r="H733" s="169">
        <f t="shared" si="460"/>
        <v>0</v>
      </c>
      <c r="I733" s="169">
        <f t="shared" si="460"/>
        <v>0</v>
      </c>
      <c r="J733" s="169">
        <f t="shared" si="460"/>
        <v>0</v>
      </c>
      <c r="K733" s="169">
        <f t="shared" si="460"/>
        <v>0</v>
      </c>
      <c r="L733" s="169">
        <f t="shared" si="460"/>
        <v>0</v>
      </c>
      <c r="M733" s="169">
        <f t="shared" si="460"/>
        <v>0</v>
      </c>
      <c r="N733" s="169">
        <f t="shared" si="460"/>
        <v>0</v>
      </c>
      <c r="O733" s="169">
        <f t="shared" si="460"/>
        <v>0</v>
      </c>
      <c r="P733" s="169">
        <f t="shared" si="460"/>
        <v>0</v>
      </c>
      <c r="Q733" s="169">
        <f t="shared" si="460"/>
        <v>0</v>
      </c>
      <c r="R733" s="169">
        <f t="shared" si="460"/>
        <v>0</v>
      </c>
      <c r="S733" s="169">
        <f t="shared" si="460"/>
        <v>0</v>
      </c>
      <c r="T733" s="169">
        <f t="shared" si="460"/>
        <v>0</v>
      </c>
      <c r="U733" s="169">
        <f t="shared" si="460"/>
        <v>0</v>
      </c>
      <c r="V733" s="169">
        <f t="shared" si="460"/>
        <v>0</v>
      </c>
      <c r="W733" s="169">
        <f t="shared" si="460"/>
        <v>0</v>
      </c>
      <c r="X733" s="169">
        <f t="shared" si="460"/>
        <v>0</v>
      </c>
      <c r="Y733" s="169">
        <f t="shared" si="460"/>
        <v>0</v>
      </c>
      <c r="Z733" s="169">
        <f t="shared" si="460"/>
        <v>0</v>
      </c>
      <c r="AA733" s="169">
        <f t="shared" si="460"/>
        <v>0</v>
      </c>
      <c r="AB733" s="169">
        <f t="shared" si="460"/>
        <v>0</v>
      </c>
      <c r="AC733" s="169">
        <f t="shared" si="460"/>
        <v>0</v>
      </c>
      <c r="AD733" s="169">
        <f t="shared" si="460"/>
        <v>0</v>
      </c>
      <c r="AE733" s="169">
        <f t="shared" si="460"/>
        <v>0</v>
      </c>
      <c r="AF733" s="169">
        <f t="shared" si="460"/>
        <v>0</v>
      </c>
      <c r="AG733" s="169">
        <f t="shared" si="460"/>
        <v>0</v>
      </c>
      <c r="AH733" s="169">
        <f t="shared" si="460"/>
        <v>0</v>
      </c>
      <c r="AI733" s="169">
        <f t="shared" si="460"/>
        <v>0</v>
      </c>
      <c r="AJ733" s="169">
        <f t="shared" si="460"/>
        <v>0</v>
      </c>
      <c r="AK733" s="169">
        <f t="shared" si="460"/>
        <v>0</v>
      </c>
      <c r="AL733" s="169">
        <f t="shared" si="460"/>
        <v>0</v>
      </c>
      <c r="AM733" s="169">
        <f t="shared" si="460"/>
        <v>0</v>
      </c>
      <c r="AN733" s="169">
        <f t="shared" si="460"/>
        <v>0</v>
      </c>
      <c r="AO733" s="169">
        <f t="shared" si="460"/>
        <v>0</v>
      </c>
      <c r="AP733" s="169">
        <f t="shared" si="460"/>
        <v>0</v>
      </c>
    </row>
    <row r="734" spans="1:42" x14ac:dyDescent="0.2">
      <c r="A734" s="20">
        <f t="shared" ref="A734:A739" si="461">A733+1</f>
        <v>3</v>
      </c>
      <c r="B734" s="233">
        <f t="shared" si="458"/>
        <v>0</v>
      </c>
      <c r="C734" s="169">
        <f t="shared" si="460"/>
        <v>0</v>
      </c>
      <c r="D734" s="169">
        <f t="shared" si="460"/>
        <v>0</v>
      </c>
      <c r="E734" s="169">
        <f t="shared" si="460"/>
        <v>0</v>
      </c>
      <c r="F734" s="169">
        <f t="shared" si="460"/>
        <v>0</v>
      </c>
      <c r="G734" s="169">
        <f t="shared" si="460"/>
        <v>0</v>
      </c>
      <c r="H734" s="169">
        <f t="shared" si="460"/>
        <v>0</v>
      </c>
      <c r="I734" s="169">
        <f t="shared" si="460"/>
        <v>0</v>
      </c>
      <c r="J734" s="169">
        <f t="shared" si="460"/>
        <v>0</v>
      </c>
      <c r="K734" s="169">
        <f t="shared" si="460"/>
        <v>0</v>
      </c>
      <c r="L734" s="169">
        <f t="shared" si="460"/>
        <v>0</v>
      </c>
      <c r="M734" s="169">
        <f t="shared" si="460"/>
        <v>0</v>
      </c>
      <c r="N734" s="169">
        <f t="shared" si="460"/>
        <v>0</v>
      </c>
      <c r="O734" s="169">
        <f t="shared" si="460"/>
        <v>0</v>
      </c>
      <c r="P734" s="169">
        <f t="shared" si="460"/>
        <v>0</v>
      </c>
      <c r="Q734" s="169">
        <f t="shared" si="460"/>
        <v>0</v>
      </c>
      <c r="R734" s="169">
        <f t="shared" si="460"/>
        <v>0</v>
      </c>
      <c r="S734" s="169">
        <f t="shared" si="460"/>
        <v>0</v>
      </c>
      <c r="T734" s="169">
        <f t="shared" si="460"/>
        <v>0</v>
      </c>
      <c r="U734" s="169">
        <f t="shared" si="460"/>
        <v>0</v>
      </c>
      <c r="V734" s="169">
        <f t="shared" si="460"/>
        <v>0</v>
      </c>
      <c r="W734" s="169">
        <f t="shared" si="460"/>
        <v>0</v>
      </c>
      <c r="X734" s="169">
        <f t="shared" si="460"/>
        <v>0</v>
      </c>
      <c r="Y734" s="169">
        <f t="shared" si="460"/>
        <v>0</v>
      </c>
      <c r="Z734" s="169">
        <f t="shared" si="460"/>
        <v>0</v>
      </c>
      <c r="AA734" s="169">
        <f t="shared" si="460"/>
        <v>0</v>
      </c>
      <c r="AB734" s="169">
        <f t="shared" si="460"/>
        <v>0</v>
      </c>
      <c r="AC734" s="169">
        <f t="shared" si="460"/>
        <v>0</v>
      </c>
      <c r="AD734" s="169">
        <f t="shared" si="460"/>
        <v>0</v>
      </c>
      <c r="AE734" s="169">
        <f t="shared" si="460"/>
        <v>0</v>
      </c>
      <c r="AF734" s="169">
        <f t="shared" si="460"/>
        <v>0</v>
      </c>
      <c r="AG734" s="169">
        <f t="shared" si="460"/>
        <v>0</v>
      </c>
      <c r="AH734" s="169">
        <f t="shared" si="460"/>
        <v>0</v>
      </c>
      <c r="AI734" s="169">
        <f t="shared" si="460"/>
        <v>0</v>
      </c>
      <c r="AJ734" s="169">
        <f t="shared" si="460"/>
        <v>0</v>
      </c>
      <c r="AK734" s="169">
        <f t="shared" si="460"/>
        <v>0</v>
      </c>
      <c r="AL734" s="169">
        <f t="shared" si="460"/>
        <v>0</v>
      </c>
      <c r="AM734" s="169">
        <f t="shared" si="460"/>
        <v>0</v>
      </c>
      <c r="AN734" s="169">
        <f t="shared" si="460"/>
        <v>0</v>
      </c>
      <c r="AO734" s="169">
        <f t="shared" si="460"/>
        <v>0</v>
      </c>
      <c r="AP734" s="169">
        <f t="shared" si="460"/>
        <v>0</v>
      </c>
    </row>
    <row r="735" spans="1:42" x14ac:dyDescent="0.2">
      <c r="A735" s="20">
        <f t="shared" si="461"/>
        <v>4</v>
      </c>
      <c r="B735" s="233">
        <f t="shared" si="458"/>
        <v>0</v>
      </c>
      <c r="C735" s="169">
        <f t="shared" si="460"/>
        <v>0</v>
      </c>
      <c r="D735" s="169">
        <f t="shared" si="460"/>
        <v>0</v>
      </c>
      <c r="E735" s="169">
        <f t="shared" si="460"/>
        <v>0</v>
      </c>
      <c r="F735" s="169">
        <f t="shared" si="460"/>
        <v>0</v>
      </c>
      <c r="G735" s="169">
        <f t="shared" si="460"/>
        <v>0</v>
      </c>
      <c r="H735" s="169">
        <f t="shared" si="460"/>
        <v>0</v>
      </c>
      <c r="I735" s="169">
        <f t="shared" si="460"/>
        <v>0</v>
      </c>
      <c r="J735" s="169">
        <f t="shared" si="460"/>
        <v>0</v>
      </c>
      <c r="K735" s="169">
        <f t="shared" si="460"/>
        <v>0</v>
      </c>
      <c r="L735" s="169">
        <f t="shared" si="460"/>
        <v>0</v>
      </c>
      <c r="M735" s="169">
        <f t="shared" si="460"/>
        <v>0</v>
      </c>
      <c r="N735" s="169">
        <f t="shared" si="460"/>
        <v>0</v>
      </c>
      <c r="O735" s="169">
        <f t="shared" si="460"/>
        <v>0</v>
      </c>
      <c r="P735" s="169">
        <f t="shared" si="460"/>
        <v>0</v>
      </c>
      <c r="Q735" s="169">
        <f t="shared" si="460"/>
        <v>0</v>
      </c>
      <c r="R735" s="169">
        <f t="shared" si="460"/>
        <v>0</v>
      </c>
      <c r="S735" s="169">
        <f t="shared" si="460"/>
        <v>0</v>
      </c>
      <c r="T735" s="169">
        <f t="shared" si="460"/>
        <v>0</v>
      </c>
      <c r="U735" s="169">
        <f t="shared" si="460"/>
        <v>0</v>
      </c>
      <c r="V735" s="169">
        <f t="shared" si="460"/>
        <v>0</v>
      </c>
      <c r="W735" s="169">
        <f t="shared" si="460"/>
        <v>0</v>
      </c>
      <c r="X735" s="169">
        <f t="shared" si="460"/>
        <v>0</v>
      </c>
      <c r="Y735" s="169">
        <f t="shared" si="460"/>
        <v>0</v>
      </c>
      <c r="Z735" s="169">
        <f t="shared" si="460"/>
        <v>0</v>
      </c>
      <c r="AA735" s="169">
        <f t="shared" si="460"/>
        <v>0</v>
      </c>
      <c r="AB735" s="169">
        <f t="shared" si="460"/>
        <v>0</v>
      </c>
      <c r="AC735" s="169">
        <f t="shared" si="460"/>
        <v>0</v>
      </c>
      <c r="AD735" s="169">
        <f t="shared" si="460"/>
        <v>0</v>
      </c>
      <c r="AE735" s="169">
        <f t="shared" si="460"/>
        <v>0</v>
      </c>
      <c r="AF735" s="169">
        <f t="shared" si="460"/>
        <v>0</v>
      </c>
      <c r="AG735" s="169">
        <f t="shared" si="460"/>
        <v>0</v>
      </c>
      <c r="AH735" s="169">
        <f t="shared" si="460"/>
        <v>0</v>
      </c>
      <c r="AI735" s="169">
        <f t="shared" si="460"/>
        <v>0</v>
      </c>
      <c r="AJ735" s="169">
        <f t="shared" si="460"/>
        <v>0</v>
      </c>
      <c r="AK735" s="169">
        <f t="shared" si="460"/>
        <v>0</v>
      </c>
      <c r="AL735" s="169">
        <f t="shared" si="460"/>
        <v>0</v>
      </c>
      <c r="AM735" s="169">
        <f t="shared" si="460"/>
        <v>0</v>
      </c>
      <c r="AN735" s="169">
        <f t="shared" si="460"/>
        <v>0</v>
      </c>
      <c r="AO735" s="169">
        <f t="shared" si="460"/>
        <v>0</v>
      </c>
      <c r="AP735" s="169">
        <f t="shared" si="460"/>
        <v>0</v>
      </c>
    </row>
    <row r="736" spans="1:42" x14ac:dyDescent="0.2">
      <c r="A736" s="20">
        <f t="shared" si="461"/>
        <v>5</v>
      </c>
      <c r="B736" s="233">
        <f t="shared" si="458"/>
        <v>0</v>
      </c>
      <c r="C736" s="169">
        <f t="shared" si="460"/>
        <v>0</v>
      </c>
      <c r="D736" s="169">
        <f t="shared" si="460"/>
        <v>0</v>
      </c>
      <c r="E736" s="169">
        <f t="shared" si="460"/>
        <v>0</v>
      </c>
      <c r="F736" s="169">
        <f t="shared" si="460"/>
        <v>0</v>
      </c>
      <c r="G736" s="169">
        <f t="shared" si="460"/>
        <v>0</v>
      </c>
      <c r="H736" s="169">
        <f t="shared" si="460"/>
        <v>0</v>
      </c>
      <c r="I736" s="169">
        <f t="shared" si="460"/>
        <v>0</v>
      </c>
      <c r="J736" s="169">
        <f t="shared" si="460"/>
        <v>0</v>
      </c>
      <c r="K736" s="169">
        <f t="shared" si="460"/>
        <v>0</v>
      </c>
      <c r="L736" s="169">
        <f t="shared" si="460"/>
        <v>0</v>
      </c>
      <c r="M736" s="169">
        <f t="shared" si="460"/>
        <v>0</v>
      </c>
      <c r="N736" s="169">
        <f t="shared" si="460"/>
        <v>0</v>
      </c>
      <c r="O736" s="169">
        <f t="shared" si="460"/>
        <v>0</v>
      </c>
      <c r="P736" s="169">
        <f t="shared" si="460"/>
        <v>0</v>
      </c>
      <c r="Q736" s="169">
        <f t="shared" si="460"/>
        <v>0</v>
      </c>
      <c r="R736" s="169">
        <f t="shared" si="460"/>
        <v>0</v>
      </c>
      <c r="S736" s="169">
        <f t="shared" si="460"/>
        <v>0</v>
      </c>
      <c r="T736" s="169">
        <f t="shared" si="460"/>
        <v>0</v>
      </c>
      <c r="U736" s="169">
        <f t="shared" si="460"/>
        <v>0</v>
      </c>
      <c r="V736" s="169">
        <f t="shared" si="460"/>
        <v>0</v>
      </c>
      <c r="W736" s="169">
        <f t="shared" si="460"/>
        <v>0</v>
      </c>
      <c r="X736" s="169">
        <f t="shared" si="460"/>
        <v>0</v>
      </c>
      <c r="Y736" s="169">
        <f t="shared" si="460"/>
        <v>0</v>
      </c>
      <c r="Z736" s="169">
        <f t="shared" si="460"/>
        <v>0</v>
      </c>
      <c r="AA736" s="169">
        <f t="shared" si="460"/>
        <v>0</v>
      </c>
      <c r="AB736" s="169">
        <f t="shared" si="460"/>
        <v>0</v>
      </c>
      <c r="AC736" s="169">
        <f t="shared" si="460"/>
        <v>0</v>
      </c>
      <c r="AD736" s="169">
        <f t="shared" si="460"/>
        <v>0</v>
      </c>
      <c r="AE736" s="169">
        <f t="shared" si="460"/>
        <v>0</v>
      </c>
      <c r="AF736" s="169">
        <f t="shared" si="460"/>
        <v>0</v>
      </c>
      <c r="AG736" s="169">
        <f t="shared" si="460"/>
        <v>0</v>
      </c>
      <c r="AH736" s="169">
        <f t="shared" si="460"/>
        <v>0</v>
      </c>
      <c r="AI736" s="169">
        <f t="shared" si="460"/>
        <v>0</v>
      </c>
      <c r="AJ736" s="169">
        <f t="shared" si="460"/>
        <v>0</v>
      </c>
      <c r="AK736" s="169">
        <f t="shared" si="460"/>
        <v>0</v>
      </c>
      <c r="AL736" s="169">
        <f t="shared" si="460"/>
        <v>0</v>
      </c>
      <c r="AM736" s="169">
        <f t="shared" si="460"/>
        <v>0</v>
      </c>
      <c r="AN736" s="169">
        <f t="shared" si="460"/>
        <v>0</v>
      </c>
      <c r="AO736" s="169">
        <f t="shared" si="460"/>
        <v>0</v>
      </c>
      <c r="AP736" s="169">
        <f t="shared" si="460"/>
        <v>0</v>
      </c>
    </row>
    <row r="737" spans="1:42" x14ac:dyDescent="0.2">
      <c r="A737" s="20">
        <f t="shared" si="461"/>
        <v>6</v>
      </c>
      <c r="B737" s="233">
        <f t="shared" si="458"/>
        <v>0</v>
      </c>
      <c r="C737" s="169">
        <f t="shared" si="460"/>
        <v>0</v>
      </c>
      <c r="D737" s="169">
        <f t="shared" si="460"/>
        <v>0</v>
      </c>
      <c r="E737" s="169">
        <f t="shared" si="460"/>
        <v>0</v>
      </c>
      <c r="F737" s="169">
        <f t="shared" si="460"/>
        <v>0</v>
      </c>
      <c r="G737" s="169">
        <f t="shared" si="460"/>
        <v>0</v>
      </c>
      <c r="H737" s="169">
        <f t="shared" si="460"/>
        <v>0</v>
      </c>
      <c r="I737" s="169">
        <f t="shared" si="460"/>
        <v>0</v>
      </c>
      <c r="J737" s="169">
        <f t="shared" si="460"/>
        <v>0</v>
      </c>
      <c r="K737" s="169">
        <f t="shared" si="460"/>
        <v>0</v>
      </c>
      <c r="L737" s="169">
        <f t="shared" si="460"/>
        <v>0</v>
      </c>
      <c r="M737" s="169">
        <f t="shared" si="460"/>
        <v>0</v>
      </c>
      <c r="N737" s="169">
        <f t="shared" si="460"/>
        <v>0</v>
      </c>
      <c r="O737" s="169">
        <f t="shared" si="460"/>
        <v>0</v>
      </c>
      <c r="P737" s="169">
        <f t="shared" si="460"/>
        <v>0</v>
      </c>
      <c r="Q737" s="169">
        <f t="shared" si="460"/>
        <v>0</v>
      </c>
      <c r="R737" s="169">
        <f t="shared" si="460"/>
        <v>0</v>
      </c>
      <c r="S737" s="169">
        <f t="shared" si="460"/>
        <v>0</v>
      </c>
      <c r="T737" s="169">
        <f t="shared" si="460"/>
        <v>0</v>
      </c>
      <c r="U737" s="169">
        <f t="shared" si="460"/>
        <v>0</v>
      </c>
      <c r="V737" s="169">
        <f t="shared" si="460"/>
        <v>0</v>
      </c>
      <c r="W737" s="169">
        <f t="shared" si="460"/>
        <v>0</v>
      </c>
      <c r="X737" s="169">
        <f t="shared" si="460"/>
        <v>0</v>
      </c>
      <c r="Y737" s="169">
        <f t="shared" si="460"/>
        <v>0</v>
      </c>
      <c r="Z737" s="169">
        <f t="shared" si="460"/>
        <v>0</v>
      </c>
      <c r="AA737" s="169">
        <f t="shared" si="460"/>
        <v>0</v>
      </c>
      <c r="AB737" s="169">
        <f t="shared" si="460"/>
        <v>0</v>
      </c>
      <c r="AC737" s="169">
        <f t="shared" si="460"/>
        <v>0</v>
      </c>
      <c r="AD737" s="169">
        <f t="shared" si="460"/>
        <v>0</v>
      </c>
      <c r="AE737" s="169">
        <f t="shared" si="460"/>
        <v>0</v>
      </c>
      <c r="AF737" s="169">
        <f t="shared" si="460"/>
        <v>0</v>
      </c>
      <c r="AG737" s="169">
        <f t="shared" si="460"/>
        <v>0</v>
      </c>
      <c r="AH737" s="169">
        <f t="shared" si="460"/>
        <v>0</v>
      </c>
      <c r="AI737" s="169">
        <f t="shared" si="460"/>
        <v>0</v>
      </c>
      <c r="AJ737" s="169">
        <f t="shared" si="460"/>
        <v>0</v>
      </c>
      <c r="AK737" s="169">
        <f t="shared" si="460"/>
        <v>0</v>
      </c>
      <c r="AL737" s="169">
        <f t="shared" si="460"/>
        <v>0</v>
      </c>
      <c r="AM737" s="169">
        <f t="shared" si="460"/>
        <v>0</v>
      </c>
      <c r="AN737" s="169">
        <f t="shared" si="460"/>
        <v>0</v>
      </c>
      <c r="AO737" s="169">
        <f t="shared" si="460"/>
        <v>0</v>
      </c>
      <c r="AP737" s="169">
        <f t="shared" si="460"/>
        <v>0</v>
      </c>
    </row>
    <row r="738" spans="1:42" x14ac:dyDescent="0.2">
      <c r="A738" s="20">
        <f t="shared" si="461"/>
        <v>7</v>
      </c>
      <c r="B738" s="233">
        <f t="shared" si="458"/>
        <v>0</v>
      </c>
      <c r="C738" s="169">
        <f t="shared" si="460"/>
        <v>0</v>
      </c>
      <c r="D738" s="169">
        <f t="shared" si="460"/>
        <v>0</v>
      </c>
      <c r="E738" s="169">
        <f t="shared" si="460"/>
        <v>0</v>
      </c>
      <c r="F738" s="169">
        <f t="shared" si="460"/>
        <v>0</v>
      </c>
      <c r="G738" s="169">
        <f t="shared" si="460"/>
        <v>0</v>
      </c>
      <c r="H738" s="169">
        <f t="shared" si="460"/>
        <v>0</v>
      </c>
      <c r="I738" s="169">
        <f t="shared" si="460"/>
        <v>0</v>
      </c>
      <c r="J738" s="169">
        <f t="shared" si="460"/>
        <v>0</v>
      </c>
      <c r="K738" s="169">
        <f t="shared" si="460"/>
        <v>0</v>
      </c>
      <c r="L738" s="169">
        <f t="shared" si="460"/>
        <v>0</v>
      </c>
      <c r="M738" s="169">
        <f t="shared" si="460"/>
        <v>0</v>
      </c>
      <c r="N738" s="169">
        <f t="shared" si="460"/>
        <v>0</v>
      </c>
      <c r="O738" s="169">
        <f t="shared" si="460"/>
        <v>0</v>
      </c>
      <c r="P738" s="169">
        <f t="shared" si="460"/>
        <v>0</v>
      </c>
      <c r="Q738" s="169">
        <f t="shared" si="460"/>
        <v>0</v>
      </c>
      <c r="R738" s="169">
        <f t="shared" si="460"/>
        <v>0</v>
      </c>
      <c r="S738" s="169">
        <f t="shared" si="460"/>
        <v>0</v>
      </c>
      <c r="T738" s="169">
        <f t="shared" si="460"/>
        <v>0</v>
      </c>
      <c r="U738" s="169">
        <f t="shared" si="460"/>
        <v>0</v>
      </c>
      <c r="V738" s="169">
        <f t="shared" si="460"/>
        <v>0</v>
      </c>
      <c r="W738" s="169">
        <f t="shared" si="460"/>
        <v>0</v>
      </c>
      <c r="X738" s="169">
        <f t="shared" si="460"/>
        <v>0</v>
      </c>
      <c r="Y738" s="169">
        <f t="shared" si="460"/>
        <v>0</v>
      </c>
      <c r="Z738" s="169">
        <f t="shared" si="460"/>
        <v>0</v>
      </c>
      <c r="AA738" s="169">
        <f t="shared" si="460"/>
        <v>0</v>
      </c>
      <c r="AB738" s="169">
        <f t="shared" si="460"/>
        <v>0</v>
      </c>
      <c r="AC738" s="169">
        <f t="shared" si="460"/>
        <v>0</v>
      </c>
      <c r="AD738" s="169">
        <f t="shared" si="460"/>
        <v>0</v>
      </c>
      <c r="AE738" s="169">
        <f t="shared" si="460"/>
        <v>0</v>
      </c>
      <c r="AF738" s="169">
        <f t="shared" si="460"/>
        <v>0</v>
      </c>
      <c r="AG738" s="169">
        <f t="shared" si="460"/>
        <v>0</v>
      </c>
      <c r="AH738" s="169">
        <f t="shared" si="460"/>
        <v>0</v>
      </c>
      <c r="AI738" s="169">
        <f t="shared" si="460"/>
        <v>0</v>
      </c>
      <c r="AJ738" s="169">
        <f t="shared" si="460"/>
        <v>0</v>
      </c>
      <c r="AK738" s="169">
        <f t="shared" si="460"/>
        <v>0</v>
      </c>
      <c r="AL738" s="169">
        <f t="shared" si="460"/>
        <v>0</v>
      </c>
      <c r="AM738" s="169">
        <f t="shared" si="460"/>
        <v>0</v>
      </c>
      <c r="AN738" s="169">
        <f t="shared" si="460"/>
        <v>0</v>
      </c>
      <c r="AO738" s="169">
        <f t="shared" si="460"/>
        <v>0</v>
      </c>
      <c r="AP738" s="169">
        <f t="shared" si="460"/>
        <v>0</v>
      </c>
    </row>
    <row r="739" spans="1:42" x14ac:dyDescent="0.2">
      <c r="A739" s="20">
        <f t="shared" si="461"/>
        <v>8</v>
      </c>
      <c r="B739" s="233">
        <f t="shared" si="458"/>
        <v>0</v>
      </c>
      <c r="C739" s="169">
        <f t="shared" si="460"/>
        <v>0</v>
      </c>
      <c r="D739" s="169">
        <f t="shared" si="460"/>
        <v>0</v>
      </c>
      <c r="E739" s="169">
        <f t="shared" si="460"/>
        <v>0</v>
      </c>
      <c r="F739" s="169">
        <f t="shared" si="460"/>
        <v>0</v>
      </c>
      <c r="G739" s="169">
        <f t="shared" si="460"/>
        <v>0</v>
      </c>
      <c r="H739" s="169">
        <f t="shared" si="460"/>
        <v>0</v>
      </c>
      <c r="I739" s="169">
        <f t="shared" si="460"/>
        <v>0</v>
      </c>
      <c r="J739" s="169">
        <f t="shared" si="460"/>
        <v>0</v>
      </c>
      <c r="K739" s="169">
        <f t="shared" si="460"/>
        <v>0</v>
      </c>
      <c r="L739" s="169">
        <f t="shared" si="460"/>
        <v>0</v>
      </c>
      <c r="M739" s="169">
        <f t="shared" si="460"/>
        <v>0</v>
      </c>
      <c r="N739" s="169">
        <f t="shared" si="460"/>
        <v>0</v>
      </c>
      <c r="O739" s="169">
        <f t="shared" si="460"/>
        <v>0</v>
      </c>
      <c r="P739" s="169">
        <f t="shared" si="460"/>
        <v>0</v>
      </c>
      <c r="Q739" s="169">
        <f t="shared" si="460"/>
        <v>0</v>
      </c>
      <c r="R739" s="169">
        <f t="shared" ref="R739:AP739" si="462">IF(AND(R$2&gt;MMFrequency3*$A726,R$2&lt;=MMFrequency3*$A727),$B727/(MMFrequency3),0)</f>
        <v>0</v>
      </c>
      <c r="S739" s="169">
        <f t="shared" si="462"/>
        <v>0</v>
      </c>
      <c r="T739" s="169">
        <f t="shared" si="462"/>
        <v>0</v>
      </c>
      <c r="U739" s="169">
        <f t="shared" si="462"/>
        <v>0</v>
      </c>
      <c r="V739" s="169">
        <f t="shared" si="462"/>
        <v>0</v>
      </c>
      <c r="W739" s="169">
        <f t="shared" si="462"/>
        <v>0</v>
      </c>
      <c r="X739" s="169">
        <f t="shared" si="462"/>
        <v>0</v>
      </c>
      <c r="Y739" s="169">
        <f t="shared" si="462"/>
        <v>0</v>
      </c>
      <c r="Z739" s="169">
        <f t="shared" si="462"/>
        <v>0</v>
      </c>
      <c r="AA739" s="169">
        <f t="shared" si="462"/>
        <v>0</v>
      </c>
      <c r="AB739" s="169">
        <f t="shared" si="462"/>
        <v>0</v>
      </c>
      <c r="AC739" s="169">
        <f t="shared" si="462"/>
        <v>0</v>
      </c>
      <c r="AD739" s="169">
        <f t="shared" si="462"/>
        <v>0</v>
      </c>
      <c r="AE739" s="169">
        <f t="shared" si="462"/>
        <v>0</v>
      </c>
      <c r="AF739" s="169">
        <f t="shared" si="462"/>
        <v>0</v>
      </c>
      <c r="AG739" s="169">
        <f t="shared" si="462"/>
        <v>0</v>
      </c>
      <c r="AH739" s="169">
        <f t="shared" si="462"/>
        <v>0</v>
      </c>
      <c r="AI739" s="169">
        <f t="shared" si="462"/>
        <v>0</v>
      </c>
      <c r="AJ739" s="169">
        <f t="shared" si="462"/>
        <v>0</v>
      </c>
      <c r="AK739" s="169">
        <f t="shared" si="462"/>
        <v>0</v>
      </c>
      <c r="AL739" s="169">
        <f t="shared" si="462"/>
        <v>0</v>
      </c>
      <c r="AM739" s="169">
        <f t="shared" si="462"/>
        <v>0</v>
      </c>
      <c r="AN739" s="169">
        <f t="shared" si="462"/>
        <v>0</v>
      </c>
      <c r="AO739" s="169">
        <f t="shared" si="462"/>
        <v>0</v>
      </c>
      <c r="AP739" s="169">
        <f t="shared" si="462"/>
        <v>0</v>
      </c>
    </row>
    <row r="740" spans="1:42" x14ac:dyDescent="0.2">
      <c r="A740" s="20">
        <f>A739+1</f>
        <v>9</v>
      </c>
      <c r="B740" s="233">
        <f t="shared" si="458"/>
        <v>0</v>
      </c>
      <c r="C740" s="169">
        <f t="shared" ref="C740:AP741" si="463">IF(AND(C$2&gt;MMFrequency3*$A727,C$2&lt;=MMFrequency3*$A728),$B728/(MMFrequency3),0)</f>
        <v>0</v>
      </c>
      <c r="D740" s="169">
        <f t="shared" si="463"/>
        <v>0</v>
      </c>
      <c r="E740" s="169">
        <f t="shared" si="463"/>
        <v>0</v>
      </c>
      <c r="F740" s="169">
        <f t="shared" si="463"/>
        <v>0</v>
      </c>
      <c r="G740" s="169">
        <f t="shared" si="463"/>
        <v>0</v>
      </c>
      <c r="H740" s="169">
        <f t="shared" si="463"/>
        <v>0</v>
      </c>
      <c r="I740" s="169">
        <f t="shared" si="463"/>
        <v>0</v>
      </c>
      <c r="J740" s="169">
        <f t="shared" si="463"/>
        <v>0</v>
      </c>
      <c r="K740" s="169">
        <f t="shared" si="463"/>
        <v>0</v>
      </c>
      <c r="L740" s="169">
        <f t="shared" si="463"/>
        <v>0</v>
      </c>
      <c r="M740" s="169">
        <f t="shared" si="463"/>
        <v>0</v>
      </c>
      <c r="N740" s="169">
        <f t="shared" si="463"/>
        <v>0</v>
      </c>
      <c r="O740" s="169">
        <f t="shared" si="463"/>
        <v>0</v>
      </c>
      <c r="P740" s="169">
        <f t="shared" si="463"/>
        <v>0</v>
      </c>
      <c r="Q740" s="169">
        <f t="shared" si="463"/>
        <v>0</v>
      </c>
      <c r="R740" s="169">
        <f t="shared" si="463"/>
        <v>0</v>
      </c>
      <c r="S740" s="169">
        <f t="shared" si="463"/>
        <v>0</v>
      </c>
      <c r="T740" s="169">
        <f t="shared" si="463"/>
        <v>0</v>
      </c>
      <c r="U740" s="169">
        <f t="shared" si="463"/>
        <v>0</v>
      </c>
      <c r="V740" s="169">
        <f t="shared" si="463"/>
        <v>0</v>
      </c>
      <c r="W740" s="169">
        <f t="shared" si="463"/>
        <v>0</v>
      </c>
      <c r="X740" s="169">
        <f t="shared" si="463"/>
        <v>0</v>
      </c>
      <c r="Y740" s="169">
        <f t="shared" si="463"/>
        <v>0</v>
      </c>
      <c r="Z740" s="169">
        <f t="shared" si="463"/>
        <v>0</v>
      </c>
      <c r="AA740" s="169">
        <f t="shared" si="463"/>
        <v>0</v>
      </c>
      <c r="AB740" s="169">
        <f t="shared" si="463"/>
        <v>0</v>
      </c>
      <c r="AC740" s="169">
        <f t="shared" si="463"/>
        <v>0</v>
      </c>
      <c r="AD740" s="169">
        <f t="shared" si="463"/>
        <v>0</v>
      </c>
      <c r="AE740" s="169">
        <f t="shared" si="463"/>
        <v>0</v>
      </c>
      <c r="AF740" s="169">
        <f t="shared" si="463"/>
        <v>0</v>
      </c>
      <c r="AG740" s="169">
        <f t="shared" si="463"/>
        <v>0</v>
      </c>
      <c r="AH740" s="169">
        <f t="shared" si="463"/>
        <v>0</v>
      </c>
      <c r="AI740" s="169">
        <f t="shared" si="463"/>
        <v>0</v>
      </c>
      <c r="AJ740" s="169">
        <f t="shared" si="463"/>
        <v>0</v>
      </c>
      <c r="AK740" s="169">
        <f t="shared" si="463"/>
        <v>0</v>
      </c>
      <c r="AL740" s="169">
        <f t="shared" si="463"/>
        <v>0</v>
      </c>
      <c r="AM740" s="169">
        <f t="shared" si="463"/>
        <v>0</v>
      </c>
      <c r="AN740" s="169">
        <f t="shared" si="463"/>
        <v>0</v>
      </c>
      <c r="AO740" s="169">
        <f t="shared" si="463"/>
        <v>0</v>
      </c>
      <c r="AP740" s="169">
        <f t="shared" si="463"/>
        <v>0</v>
      </c>
    </row>
    <row r="741" spans="1:42" x14ac:dyDescent="0.2">
      <c r="A741" s="20">
        <f t="shared" ref="A741" si="464">A740+1</f>
        <v>10</v>
      </c>
      <c r="B741" s="233">
        <f t="shared" si="458"/>
        <v>0</v>
      </c>
      <c r="C741" s="170">
        <f t="shared" si="463"/>
        <v>0</v>
      </c>
      <c r="D741" s="170">
        <f t="shared" si="463"/>
        <v>0</v>
      </c>
      <c r="E741" s="170">
        <f t="shared" si="463"/>
        <v>0</v>
      </c>
      <c r="F741" s="170">
        <f t="shared" si="463"/>
        <v>0</v>
      </c>
      <c r="G741" s="170">
        <f t="shared" si="463"/>
        <v>0</v>
      </c>
      <c r="H741" s="170">
        <f t="shared" si="463"/>
        <v>0</v>
      </c>
      <c r="I741" s="170">
        <f t="shared" si="463"/>
        <v>0</v>
      </c>
      <c r="J741" s="170">
        <f t="shared" si="463"/>
        <v>0</v>
      </c>
      <c r="K741" s="170">
        <f t="shared" si="463"/>
        <v>0</v>
      </c>
      <c r="L741" s="170">
        <f t="shared" si="463"/>
        <v>0</v>
      </c>
      <c r="M741" s="170">
        <f t="shared" si="463"/>
        <v>0</v>
      </c>
      <c r="N741" s="170">
        <f t="shared" si="463"/>
        <v>0</v>
      </c>
      <c r="O741" s="170">
        <f t="shared" si="463"/>
        <v>0</v>
      </c>
      <c r="P741" s="170">
        <f t="shared" si="463"/>
        <v>0</v>
      </c>
      <c r="Q741" s="170">
        <f t="shared" si="463"/>
        <v>0</v>
      </c>
      <c r="R741" s="170">
        <f t="shared" si="463"/>
        <v>0</v>
      </c>
      <c r="S741" s="170">
        <f t="shared" si="463"/>
        <v>0</v>
      </c>
      <c r="T741" s="170">
        <f t="shared" si="463"/>
        <v>0</v>
      </c>
      <c r="U741" s="170">
        <f t="shared" si="463"/>
        <v>0</v>
      </c>
      <c r="V741" s="170">
        <f t="shared" si="463"/>
        <v>0</v>
      </c>
      <c r="W741" s="170">
        <f t="shared" si="463"/>
        <v>0</v>
      </c>
      <c r="X741" s="170">
        <f t="shared" si="463"/>
        <v>0</v>
      </c>
      <c r="Y741" s="170">
        <f t="shared" si="463"/>
        <v>0</v>
      </c>
      <c r="Z741" s="170">
        <f t="shared" si="463"/>
        <v>0</v>
      </c>
      <c r="AA741" s="170">
        <f t="shared" si="463"/>
        <v>0</v>
      </c>
      <c r="AB741" s="170">
        <f t="shared" si="463"/>
        <v>0</v>
      </c>
      <c r="AC741" s="170">
        <f t="shared" si="463"/>
        <v>0</v>
      </c>
      <c r="AD741" s="170">
        <f t="shared" si="463"/>
        <v>0</v>
      </c>
      <c r="AE741" s="170">
        <f t="shared" si="463"/>
        <v>0</v>
      </c>
      <c r="AF741" s="170">
        <f t="shared" si="463"/>
        <v>0</v>
      </c>
      <c r="AG741" s="170">
        <f t="shared" si="463"/>
        <v>0</v>
      </c>
      <c r="AH741" s="170">
        <f t="shared" si="463"/>
        <v>0</v>
      </c>
      <c r="AI741" s="170">
        <f t="shared" si="463"/>
        <v>0</v>
      </c>
      <c r="AJ741" s="170">
        <f t="shared" si="463"/>
        <v>0</v>
      </c>
      <c r="AK741" s="170">
        <f t="shared" si="463"/>
        <v>0</v>
      </c>
      <c r="AL741" s="170">
        <f t="shared" si="463"/>
        <v>0</v>
      </c>
      <c r="AM741" s="170">
        <f t="shared" si="463"/>
        <v>0</v>
      </c>
      <c r="AN741" s="170">
        <f t="shared" si="463"/>
        <v>0</v>
      </c>
      <c r="AO741" s="170">
        <f t="shared" si="463"/>
        <v>0</v>
      </c>
      <c r="AP741" s="170">
        <f t="shared" si="463"/>
        <v>0</v>
      </c>
    </row>
    <row r="742" spans="1:42" x14ac:dyDescent="0.2">
      <c r="A742" s="202" t="s">
        <v>53</v>
      </c>
      <c r="B742" s="169"/>
      <c r="C742" s="135">
        <f>SUM(C732:C741)</f>
        <v>0</v>
      </c>
      <c r="D742" s="135">
        <f t="shared" ref="D742:AP742" si="465">SUM(D732:D741)</f>
        <v>0</v>
      </c>
      <c r="E742" s="135">
        <f t="shared" si="465"/>
        <v>0</v>
      </c>
      <c r="F742" s="135">
        <f t="shared" si="465"/>
        <v>0</v>
      </c>
      <c r="G742" s="135">
        <f t="shared" si="465"/>
        <v>0</v>
      </c>
      <c r="H742" s="135">
        <f t="shared" si="465"/>
        <v>0</v>
      </c>
      <c r="I742" s="135">
        <f t="shared" si="465"/>
        <v>0</v>
      </c>
      <c r="J742" s="135">
        <f t="shared" si="465"/>
        <v>0</v>
      </c>
      <c r="K742" s="135">
        <f t="shared" si="465"/>
        <v>0</v>
      </c>
      <c r="L742" s="135">
        <f t="shared" si="465"/>
        <v>0</v>
      </c>
      <c r="M742" s="135">
        <f t="shared" si="465"/>
        <v>0</v>
      </c>
      <c r="N742" s="135">
        <f t="shared" si="465"/>
        <v>0</v>
      </c>
      <c r="O742" s="135">
        <f t="shared" si="465"/>
        <v>0</v>
      </c>
      <c r="P742" s="135">
        <f t="shared" si="465"/>
        <v>0</v>
      </c>
      <c r="Q742" s="135">
        <f t="shared" si="465"/>
        <v>0</v>
      </c>
      <c r="R742" s="135">
        <f t="shared" si="465"/>
        <v>0</v>
      </c>
      <c r="S742" s="135">
        <f t="shared" si="465"/>
        <v>0</v>
      </c>
      <c r="T742" s="135">
        <f t="shared" si="465"/>
        <v>0</v>
      </c>
      <c r="U742" s="135">
        <f t="shared" si="465"/>
        <v>0</v>
      </c>
      <c r="V742" s="135">
        <f t="shared" si="465"/>
        <v>0</v>
      </c>
      <c r="W742" s="135">
        <f t="shared" si="465"/>
        <v>0</v>
      </c>
      <c r="X742" s="135">
        <f t="shared" si="465"/>
        <v>0</v>
      </c>
      <c r="Y742" s="135">
        <f t="shared" si="465"/>
        <v>0</v>
      </c>
      <c r="Z742" s="135">
        <f t="shared" si="465"/>
        <v>0</v>
      </c>
      <c r="AA742" s="135">
        <f t="shared" si="465"/>
        <v>0</v>
      </c>
      <c r="AB742" s="135">
        <f t="shared" si="465"/>
        <v>0</v>
      </c>
      <c r="AC742" s="135">
        <f t="shared" si="465"/>
        <v>0</v>
      </c>
      <c r="AD742" s="135">
        <f t="shared" si="465"/>
        <v>0</v>
      </c>
      <c r="AE742" s="135">
        <f t="shared" si="465"/>
        <v>0</v>
      </c>
      <c r="AF742" s="135">
        <f t="shared" si="465"/>
        <v>0</v>
      </c>
      <c r="AG742" s="135">
        <f t="shared" si="465"/>
        <v>0</v>
      </c>
      <c r="AH742" s="135">
        <f t="shared" si="465"/>
        <v>0</v>
      </c>
      <c r="AI742" s="135">
        <f t="shared" si="465"/>
        <v>0</v>
      </c>
      <c r="AJ742" s="135">
        <f t="shared" si="465"/>
        <v>0</v>
      </c>
      <c r="AK742" s="135">
        <f t="shared" si="465"/>
        <v>0</v>
      </c>
      <c r="AL742" s="135">
        <f t="shared" si="465"/>
        <v>0</v>
      </c>
      <c r="AM742" s="135">
        <f t="shared" si="465"/>
        <v>0</v>
      </c>
      <c r="AN742" s="135">
        <f t="shared" si="465"/>
        <v>0</v>
      </c>
      <c r="AO742" s="135">
        <f t="shared" si="465"/>
        <v>0</v>
      </c>
      <c r="AP742" s="135">
        <f t="shared" si="465"/>
        <v>0</v>
      </c>
    </row>
    <row r="743" spans="1:42" x14ac:dyDescent="0.2">
      <c r="B743" s="169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</row>
    <row r="744" spans="1:42" ht="12" customHeight="1" x14ac:dyDescent="0.2">
      <c r="A744" s="20" t="s">
        <v>379</v>
      </c>
      <c r="B744" s="169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</row>
    <row r="745" spans="1:42" s="101" customFormat="1" x14ac:dyDescent="0.2">
      <c r="A745" s="234" t="s">
        <v>186</v>
      </c>
      <c r="B745" s="181">
        <f t="shared" ref="B745:AP745" si="466">B640+B652+B684+B716</f>
        <v>387206.93687500001</v>
      </c>
      <c r="C745" s="181">
        <f t="shared" si="466"/>
        <v>629837.19619335944</v>
      </c>
      <c r="D745" s="181">
        <f t="shared" si="466"/>
        <v>872551.68643218931</v>
      </c>
      <c r="E745" s="181">
        <f t="shared" si="466"/>
        <v>1115352.1057990049</v>
      </c>
      <c r="F745" s="181">
        <f t="shared" si="466"/>
        <v>1358240.1880123869</v>
      </c>
      <c r="G745" s="181">
        <f t="shared" si="466"/>
        <v>1601217.7030642214</v>
      </c>
      <c r="H745" s="181">
        <f t="shared" si="466"/>
        <v>1844286.4579986068</v>
      </c>
      <c r="I745" s="181">
        <f t="shared" si="466"/>
        <v>2087448.2977077933</v>
      </c>
      <c r="J745" s="181">
        <f t="shared" si="466"/>
        <v>2330705.1057455358</v>
      </c>
      <c r="K745" s="181">
        <f t="shared" si="466"/>
        <v>2574058.805158244</v>
      </c>
      <c r="L745" s="181">
        <f t="shared" si="466"/>
        <v>2817511.359334325</v>
      </c>
      <c r="M745" s="181">
        <f t="shared" si="466"/>
        <v>3061064.7728721178</v>
      </c>
      <c r="N745" s="181">
        <f t="shared" si="466"/>
        <v>359848.74896552722</v>
      </c>
      <c r="O745" s="181">
        <f t="shared" si="466"/>
        <v>651615.94290093344</v>
      </c>
      <c r="P745" s="181">
        <f t="shared" si="466"/>
        <v>943490.26621969789</v>
      </c>
      <c r="Q745" s="181">
        <f t="shared" si="466"/>
        <v>1235473.8974257964</v>
      </c>
      <c r="R745" s="181">
        <f t="shared" si="466"/>
        <v>1527569.0608665079</v>
      </c>
      <c r="S745" s="181">
        <f t="shared" si="466"/>
        <v>1819778.0277209112</v>
      </c>
      <c r="T745" s="181">
        <f t="shared" si="466"/>
        <v>2112103.1170100612</v>
      </c>
      <c r="U745" s="181">
        <f t="shared" si="466"/>
        <v>2404546.6966293296</v>
      </c>
      <c r="V745" s="181">
        <f t="shared" si="466"/>
        <v>2697111.1844034018</v>
      </c>
      <c r="W745" s="181">
        <f t="shared" si="466"/>
        <v>2996964.5102581792</v>
      </c>
      <c r="X745" s="181">
        <f t="shared" si="466"/>
        <v>3296943.7340413588</v>
      </c>
      <c r="Y745" s="181">
        <f t="shared" si="466"/>
        <v>3597051.4299297049</v>
      </c>
      <c r="Z745" s="181">
        <f t="shared" si="466"/>
        <v>376347.33996138244</v>
      </c>
      <c r="AA745" s="181">
        <f t="shared" si="466"/>
        <v>734116.62208426546</v>
      </c>
      <c r="AB745" s="181">
        <f t="shared" si="466"/>
        <v>1092022.4298891323</v>
      </c>
      <c r="AC745" s="181">
        <f t="shared" si="466"/>
        <v>1450067.5622573218</v>
      </c>
      <c r="AD745" s="181">
        <f t="shared" si="466"/>
        <v>1808254.8773178405</v>
      </c>
      <c r="AE745" s="181">
        <f t="shared" si="466"/>
        <v>2166587.2937303027</v>
      </c>
      <c r="AF745" s="181">
        <f t="shared" si="466"/>
        <v>2525067.7919960911</v>
      </c>
      <c r="AG745" s="181">
        <f t="shared" si="466"/>
        <v>2883699.4157983749</v>
      </c>
      <c r="AH745" s="181">
        <f t="shared" si="466"/>
        <v>3242485.2733716164</v>
      </c>
      <c r="AI745" s="181">
        <f t="shared" si="466"/>
        <v>3601428.538901234</v>
      </c>
      <c r="AJ745" s="181">
        <f t="shared" si="466"/>
        <v>3960532.4539540838</v>
      </c>
      <c r="AK745" s="181">
        <f t="shared" si="466"/>
        <v>4319800.3289404484</v>
      </c>
      <c r="AL745" s="181">
        <f t="shared" si="466"/>
        <v>469532.24880110752</v>
      </c>
      <c r="AM745" s="181">
        <f t="shared" si="466"/>
        <v>478329.64977906219</v>
      </c>
      <c r="AN745" s="181">
        <f t="shared" si="466"/>
        <v>487301.37008931278</v>
      </c>
      <c r="AO745" s="181">
        <f t="shared" si="466"/>
        <v>496451.01079080044</v>
      </c>
      <c r="AP745" s="181">
        <f t="shared" si="466"/>
        <v>0</v>
      </c>
    </row>
    <row r="746" spans="1:42" s="101" customFormat="1" x14ac:dyDescent="0.2">
      <c r="A746" s="234" t="s">
        <v>185</v>
      </c>
      <c r="B746" s="124"/>
      <c r="C746" s="181">
        <f t="shared" ref="C746:AP746" si="467">IF(C$2&lt;=AnalysisPeriod,B745*InterestOnReserves,0)</f>
        <v>6776.1213953125007</v>
      </c>
      <c r="D746" s="181">
        <f t="shared" si="467"/>
        <v>11022.150933383791</v>
      </c>
      <c r="E746" s="181">
        <f t="shared" si="467"/>
        <v>15269.654512563315</v>
      </c>
      <c r="F746" s="181">
        <f t="shared" si="467"/>
        <v>19518.661851482586</v>
      </c>
      <c r="G746" s="181">
        <f t="shared" si="467"/>
        <v>23769.203290216774</v>
      </c>
      <c r="H746" s="181">
        <f t="shared" si="467"/>
        <v>28021.309803623877</v>
      </c>
      <c r="I746" s="181">
        <f t="shared" si="467"/>
        <v>32275.013014975622</v>
      </c>
      <c r="J746" s="181">
        <f t="shared" si="467"/>
        <v>36530.345209886385</v>
      </c>
      <c r="K746" s="181">
        <f t="shared" si="467"/>
        <v>40787.339350546878</v>
      </c>
      <c r="L746" s="181">
        <f t="shared" si="467"/>
        <v>45046.029090269272</v>
      </c>
      <c r="M746" s="181">
        <f t="shared" si="467"/>
        <v>49306.448788350688</v>
      </c>
      <c r="N746" s="181">
        <f t="shared" si="467"/>
        <v>53568.63352526207</v>
      </c>
      <c r="O746" s="181">
        <f t="shared" si="467"/>
        <v>6297.3531068967268</v>
      </c>
      <c r="P746" s="181">
        <f t="shared" si="467"/>
        <v>11403.279000766337</v>
      </c>
      <c r="Q746" s="181">
        <f t="shared" si="467"/>
        <v>16511.079658844716</v>
      </c>
      <c r="R746" s="181">
        <f t="shared" si="467"/>
        <v>21620.793204951438</v>
      </c>
      <c r="S746" s="181">
        <f t="shared" si="467"/>
        <v>26732.458565163892</v>
      </c>
      <c r="T746" s="181">
        <f t="shared" si="467"/>
        <v>31846.115485115948</v>
      </c>
      <c r="U746" s="181">
        <f t="shared" si="467"/>
        <v>36961.804547676074</v>
      </c>
      <c r="V746" s="181">
        <f t="shared" si="467"/>
        <v>42079.567191013273</v>
      </c>
      <c r="W746" s="181">
        <f t="shared" si="467"/>
        <v>47199.445727059538</v>
      </c>
      <c r="X746" s="181">
        <f t="shared" si="467"/>
        <v>52446.878929518141</v>
      </c>
      <c r="Y746" s="181">
        <f t="shared" si="467"/>
        <v>57696.515345723783</v>
      </c>
      <c r="Z746" s="181">
        <f t="shared" si="467"/>
        <v>62948.400023769842</v>
      </c>
      <c r="AA746" s="181">
        <f t="shared" si="467"/>
        <v>6586.0784493241936</v>
      </c>
      <c r="AB746" s="181">
        <f t="shared" si="467"/>
        <v>12847.040886474646</v>
      </c>
      <c r="AC746" s="181">
        <f t="shared" si="467"/>
        <v>19110.392523059818</v>
      </c>
      <c r="AD746" s="181">
        <f t="shared" si="467"/>
        <v>25376.182339503135</v>
      </c>
      <c r="AE746" s="181">
        <f t="shared" si="467"/>
        <v>31644.460353062212</v>
      </c>
      <c r="AF746" s="181">
        <f t="shared" si="467"/>
        <v>37915.277640280299</v>
      </c>
      <c r="AG746" s="181">
        <f t="shared" si="467"/>
        <v>44188.686359931598</v>
      </c>
      <c r="AH746" s="181">
        <f t="shared" si="467"/>
        <v>50464.739776471564</v>
      </c>
      <c r="AI746" s="181">
        <f t="shared" si="467"/>
        <v>56743.492284003289</v>
      </c>
      <c r="AJ746" s="181">
        <f t="shared" si="467"/>
        <v>63024.999430771604</v>
      </c>
      <c r="AK746" s="181">
        <f t="shared" si="467"/>
        <v>69309.317944196475</v>
      </c>
      <c r="AL746" s="181">
        <f t="shared" si="467"/>
        <v>75596.50575645786</v>
      </c>
      <c r="AM746" s="181">
        <f t="shared" si="467"/>
        <v>8216.8143540193832</v>
      </c>
      <c r="AN746" s="181">
        <f t="shared" si="467"/>
        <v>8370.7688711335886</v>
      </c>
      <c r="AO746" s="181">
        <f t="shared" si="467"/>
        <v>8527.773976562974</v>
      </c>
      <c r="AP746" s="181">
        <f t="shared" si="467"/>
        <v>8687.8926888390088</v>
      </c>
    </row>
    <row r="747" spans="1:42" s="101" customFormat="1" x14ac:dyDescent="0.2"/>
    <row r="748" spans="1:42" s="101" customFormat="1" ht="12" customHeight="1" x14ac:dyDescent="0.2">
      <c r="A748" s="101" t="s">
        <v>380</v>
      </c>
      <c r="B748" s="124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</row>
    <row r="749" spans="1:42" s="101" customFormat="1" x14ac:dyDescent="0.2">
      <c r="A749" s="234" t="s">
        <v>186</v>
      </c>
      <c r="B749" s="181">
        <f>B646</f>
        <v>3113558.5054389434</v>
      </c>
      <c r="C749" s="181">
        <f t="shared" ref="C749:AP749" si="468">C646</f>
        <v>3113558.5054389434</v>
      </c>
      <c r="D749" s="181">
        <f t="shared" si="468"/>
        <v>3113558.5054389434</v>
      </c>
      <c r="E749" s="181">
        <f t="shared" si="468"/>
        <v>3113558.5054389434</v>
      </c>
      <c r="F749" s="181">
        <f t="shared" si="468"/>
        <v>3113558.5054389434</v>
      </c>
      <c r="G749" s="181">
        <f t="shared" si="468"/>
        <v>3113558.5054389434</v>
      </c>
      <c r="H749" s="181">
        <f t="shared" si="468"/>
        <v>3113558.5054389434</v>
      </c>
      <c r="I749" s="181">
        <f t="shared" si="468"/>
        <v>3113558.5054389434</v>
      </c>
      <c r="J749" s="181">
        <f t="shared" si="468"/>
        <v>3113558.5054389434</v>
      </c>
      <c r="K749" s="181">
        <f t="shared" si="468"/>
        <v>3113558.5054389434</v>
      </c>
      <c r="L749" s="181">
        <f t="shared" si="468"/>
        <v>3113558.5054389434</v>
      </c>
      <c r="M749" s="181">
        <f t="shared" si="468"/>
        <v>3113558.5054389434</v>
      </c>
      <c r="N749" s="181">
        <f t="shared" si="468"/>
        <v>3113558.5054389434</v>
      </c>
      <c r="O749" s="181">
        <f t="shared" si="468"/>
        <v>3113558.5054389434</v>
      </c>
      <c r="P749" s="181">
        <f t="shared" si="468"/>
        <v>3113558.5054389434</v>
      </c>
      <c r="Q749" s="181">
        <f t="shared" si="468"/>
        <v>3113558.5054389434</v>
      </c>
      <c r="R749" s="181">
        <f t="shared" si="468"/>
        <v>3113558.5054389434</v>
      </c>
      <c r="S749" s="181">
        <f t="shared" si="468"/>
        <v>3113558.5054389434</v>
      </c>
      <c r="T749" s="181">
        <f t="shared" si="468"/>
        <v>3113558.5054389434</v>
      </c>
      <c r="U749" s="181">
        <f t="shared" si="468"/>
        <v>3113558.5054389434</v>
      </c>
      <c r="V749" s="181">
        <f t="shared" si="468"/>
        <v>3113558.5054389434</v>
      </c>
      <c r="W749" s="181">
        <f t="shared" si="468"/>
        <v>3113558.5054389434</v>
      </c>
      <c r="X749" s="181">
        <f t="shared" si="468"/>
        <v>3113558.5054389434</v>
      </c>
      <c r="Y749" s="181">
        <f t="shared" si="468"/>
        <v>3113558.5054389434</v>
      </c>
      <c r="Z749" s="181">
        <f t="shared" si="468"/>
        <v>3113558.5054389434</v>
      </c>
      <c r="AA749" s="181">
        <f t="shared" si="468"/>
        <v>3113558.5054389434</v>
      </c>
      <c r="AB749" s="181">
        <f t="shared" si="468"/>
        <v>3113558.5054389434</v>
      </c>
      <c r="AC749" s="181">
        <f t="shared" si="468"/>
        <v>3113558.5054389434</v>
      </c>
      <c r="AD749" s="181">
        <f t="shared" si="468"/>
        <v>3113558.5054389434</v>
      </c>
      <c r="AE749" s="181">
        <f t="shared" si="468"/>
        <v>3113558.5054389434</v>
      </c>
      <c r="AF749" s="181">
        <f t="shared" si="468"/>
        <v>3113558.5054389434</v>
      </c>
      <c r="AG749" s="181">
        <f t="shared" si="468"/>
        <v>3113558.5054389434</v>
      </c>
      <c r="AH749" s="181">
        <f t="shared" si="468"/>
        <v>3113558.5054389434</v>
      </c>
      <c r="AI749" s="181">
        <f t="shared" si="468"/>
        <v>3113558.5054389434</v>
      </c>
      <c r="AJ749" s="181">
        <f t="shared" si="468"/>
        <v>3113558.5054389434</v>
      </c>
      <c r="AK749" s="181">
        <f t="shared" si="468"/>
        <v>3113558.5054389434</v>
      </c>
      <c r="AL749" s="181">
        <f t="shared" si="468"/>
        <v>3113558.5054389434</v>
      </c>
      <c r="AM749" s="181">
        <f t="shared" si="468"/>
        <v>3113558.5054389434</v>
      </c>
      <c r="AN749" s="181">
        <f t="shared" si="468"/>
        <v>3113558.5054389434</v>
      </c>
      <c r="AO749" s="181">
        <f t="shared" si="468"/>
        <v>3113558.5054389434</v>
      </c>
      <c r="AP749" s="181">
        <f t="shared" si="468"/>
        <v>0</v>
      </c>
    </row>
    <row r="750" spans="1:42" x14ac:dyDescent="0.2">
      <c r="A750" s="167" t="s">
        <v>185</v>
      </c>
      <c r="B750" s="169"/>
      <c r="C750" s="135">
        <f t="shared" ref="C750" si="469">IF(C$2&lt;=AnalysisPeriod,B749*InterestOnReserves,0)</f>
        <v>54487.273845181517</v>
      </c>
      <c r="D750" s="135">
        <f t="shared" ref="D750" si="470">IF(D$2&lt;=AnalysisPeriod,C749*InterestOnReserves,0)</f>
        <v>54487.273845181517</v>
      </c>
      <c r="E750" s="135">
        <f t="shared" ref="E750" si="471">IF(E$2&lt;=AnalysisPeriod,D749*InterestOnReserves,0)</f>
        <v>54487.273845181517</v>
      </c>
      <c r="F750" s="135">
        <f t="shared" ref="F750" si="472">IF(F$2&lt;=AnalysisPeriod,E749*InterestOnReserves,0)</f>
        <v>54487.273845181517</v>
      </c>
      <c r="G750" s="135">
        <f t="shared" ref="G750" si="473">IF(G$2&lt;=AnalysisPeriod,F749*InterestOnReserves,0)</f>
        <v>54487.273845181517</v>
      </c>
      <c r="H750" s="135">
        <f t="shared" ref="H750" si="474">IF(H$2&lt;=AnalysisPeriod,G749*InterestOnReserves,0)</f>
        <v>54487.273845181517</v>
      </c>
      <c r="I750" s="135">
        <f t="shared" ref="I750" si="475">IF(I$2&lt;=AnalysisPeriod,H749*InterestOnReserves,0)</f>
        <v>54487.273845181517</v>
      </c>
      <c r="J750" s="135">
        <f t="shared" ref="J750" si="476">IF(J$2&lt;=AnalysisPeriod,I749*InterestOnReserves,0)</f>
        <v>54487.273845181517</v>
      </c>
      <c r="K750" s="135">
        <f t="shared" ref="K750" si="477">IF(K$2&lt;=AnalysisPeriod,J749*InterestOnReserves,0)</f>
        <v>54487.273845181517</v>
      </c>
      <c r="L750" s="135">
        <f t="shared" ref="L750" si="478">IF(L$2&lt;=AnalysisPeriod,K749*InterestOnReserves,0)</f>
        <v>54487.273845181517</v>
      </c>
      <c r="M750" s="135">
        <f t="shared" ref="M750" si="479">IF(M$2&lt;=AnalysisPeriod,L749*InterestOnReserves,0)</f>
        <v>54487.273845181517</v>
      </c>
      <c r="N750" s="135">
        <f t="shared" ref="N750" si="480">IF(N$2&lt;=AnalysisPeriod,M749*InterestOnReserves,0)</f>
        <v>54487.273845181517</v>
      </c>
      <c r="O750" s="135">
        <f t="shared" ref="O750" si="481">IF(O$2&lt;=AnalysisPeriod,N749*InterestOnReserves,0)</f>
        <v>54487.273845181517</v>
      </c>
      <c r="P750" s="135">
        <f t="shared" ref="P750" si="482">IF(P$2&lt;=AnalysisPeriod,O749*InterestOnReserves,0)</f>
        <v>54487.273845181517</v>
      </c>
      <c r="Q750" s="135">
        <f t="shared" ref="Q750" si="483">IF(Q$2&lt;=AnalysisPeriod,P749*InterestOnReserves,0)</f>
        <v>54487.273845181517</v>
      </c>
      <c r="R750" s="135">
        <f t="shared" ref="R750" si="484">IF(R$2&lt;=AnalysisPeriod,Q749*InterestOnReserves,0)</f>
        <v>54487.273845181517</v>
      </c>
      <c r="S750" s="135">
        <f t="shared" ref="S750" si="485">IF(S$2&lt;=AnalysisPeriod,R749*InterestOnReserves,0)</f>
        <v>54487.273845181517</v>
      </c>
      <c r="T750" s="135">
        <f t="shared" ref="T750" si="486">IF(T$2&lt;=AnalysisPeriod,S749*InterestOnReserves,0)</f>
        <v>54487.273845181517</v>
      </c>
      <c r="U750" s="135">
        <f t="shared" ref="U750" si="487">IF(U$2&lt;=AnalysisPeriod,T749*InterestOnReserves,0)</f>
        <v>54487.273845181517</v>
      </c>
      <c r="V750" s="135">
        <f t="shared" ref="V750" si="488">IF(V$2&lt;=AnalysisPeriod,U749*InterestOnReserves,0)</f>
        <v>54487.273845181517</v>
      </c>
      <c r="W750" s="135">
        <f t="shared" ref="W750" si="489">IF(W$2&lt;=AnalysisPeriod,V749*InterestOnReserves,0)</f>
        <v>54487.273845181517</v>
      </c>
      <c r="X750" s="135">
        <f t="shared" ref="X750" si="490">IF(X$2&lt;=AnalysisPeriod,W749*InterestOnReserves,0)</f>
        <v>54487.273845181517</v>
      </c>
      <c r="Y750" s="135">
        <f t="shared" ref="Y750" si="491">IF(Y$2&lt;=AnalysisPeriod,X749*InterestOnReserves,0)</f>
        <v>54487.273845181517</v>
      </c>
      <c r="Z750" s="135">
        <f t="shared" ref="Z750" si="492">IF(Z$2&lt;=AnalysisPeriod,Y749*InterestOnReserves,0)</f>
        <v>54487.273845181517</v>
      </c>
      <c r="AA750" s="135">
        <f t="shared" ref="AA750" si="493">IF(AA$2&lt;=AnalysisPeriod,Z749*InterestOnReserves,0)</f>
        <v>54487.273845181517</v>
      </c>
      <c r="AB750" s="135">
        <f t="shared" ref="AB750" si="494">IF(AB$2&lt;=AnalysisPeriod,AA749*InterestOnReserves,0)</f>
        <v>54487.273845181517</v>
      </c>
      <c r="AC750" s="135">
        <f t="shared" ref="AC750" si="495">IF(AC$2&lt;=AnalysisPeriod,AB749*InterestOnReserves,0)</f>
        <v>54487.273845181517</v>
      </c>
      <c r="AD750" s="135">
        <f t="shared" ref="AD750" si="496">IF(AD$2&lt;=AnalysisPeriod,AC749*InterestOnReserves,0)</f>
        <v>54487.273845181517</v>
      </c>
      <c r="AE750" s="135">
        <f t="shared" ref="AE750" si="497">IF(AE$2&lt;=AnalysisPeriod,AD749*InterestOnReserves,0)</f>
        <v>54487.273845181517</v>
      </c>
      <c r="AF750" s="135">
        <f t="shared" ref="AF750" si="498">IF(AF$2&lt;=AnalysisPeriod,AE749*InterestOnReserves,0)</f>
        <v>54487.273845181517</v>
      </c>
      <c r="AG750" s="135">
        <f t="shared" ref="AG750" si="499">IF(AG$2&lt;=AnalysisPeriod,AF749*InterestOnReserves,0)</f>
        <v>54487.273845181517</v>
      </c>
      <c r="AH750" s="135">
        <f t="shared" ref="AH750" si="500">IF(AH$2&lt;=AnalysisPeriod,AG749*InterestOnReserves,0)</f>
        <v>54487.273845181517</v>
      </c>
      <c r="AI750" s="135">
        <f t="shared" ref="AI750" si="501">IF(AI$2&lt;=AnalysisPeriod,AH749*InterestOnReserves,0)</f>
        <v>54487.273845181517</v>
      </c>
      <c r="AJ750" s="135">
        <f t="shared" ref="AJ750" si="502">IF(AJ$2&lt;=AnalysisPeriod,AI749*InterestOnReserves,0)</f>
        <v>54487.273845181517</v>
      </c>
      <c r="AK750" s="135">
        <f t="shared" ref="AK750" si="503">IF(AK$2&lt;=AnalysisPeriod,AJ749*InterestOnReserves,0)</f>
        <v>54487.273845181517</v>
      </c>
      <c r="AL750" s="135">
        <f t="shared" ref="AL750" si="504">IF(AL$2&lt;=AnalysisPeriod,AK749*InterestOnReserves,0)</f>
        <v>54487.273845181517</v>
      </c>
      <c r="AM750" s="135">
        <f t="shared" ref="AM750" si="505">IF(AM$2&lt;=AnalysisPeriod,AL749*InterestOnReserves,0)</f>
        <v>54487.273845181517</v>
      </c>
      <c r="AN750" s="135">
        <f t="shared" ref="AN750" si="506">IF(AN$2&lt;=AnalysisPeriod,AM749*InterestOnReserves,0)</f>
        <v>54487.273845181517</v>
      </c>
      <c r="AO750" s="135">
        <f t="shared" ref="AO750" si="507">IF(AO$2&lt;=AnalysisPeriod,AN749*InterestOnReserves,0)</f>
        <v>54487.273845181517</v>
      </c>
      <c r="AP750" s="135">
        <f t="shared" ref="AP750" si="508">IF(AP$2&lt;=AnalysisPeriod,AO749*InterestOnReserves,0)</f>
        <v>54487.273845181517</v>
      </c>
    </row>
  </sheetData>
  <pageMargins left="0.5" right="0.5" top="0.5" bottom="0.75" header="0.3" footer="0.3"/>
  <pageSetup scale="75" pageOrder="overThenDown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P701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1.28515625" style="20" customWidth="1"/>
    <col min="2" max="2" width="14.85546875" style="20" customWidth="1"/>
    <col min="3" max="3" width="12.5703125" style="20" customWidth="1"/>
    <col min="4" max="9" width="11.5703125" style="20" customWidth="1"/>
    <col min="10" max="10" width="12.7109375" style="20" customWidth="1"/>
    <col min="11" max="31" width="11.5703125" style="20" customWidth="1"/>
    <col min="32" max="32" width="11.42578125" style="20" customWidth="1"/>
    <col min="33" max="42" width="11.5703125" style="20" customWidth="1"/>
    <col min="43" max="16384" width="9.140625" style="20"/>
  </cols>
  <sheetData>
    <row r="1" spans="1:42" ht="21" x14ac:dyDescent="0.35">
      <c r="A1" s="159" t="s">
        <v>28</v>
      </c>
    </row>
    <row r="2" spans="1:42" x14ac:dyDescent="0.2">
      <c r="A2" s="20" t="s">
        <v>31</v>
      </c>
      <c r="B2" s="160">
        <v>0</v>
      </c>
      <c r="C2" s="160">
        <f>B2+1</f>
        <v>1</v>
      </c>
      <c r="D2" s="160">
        <f t="shared" ref="D2:AP2" si="0">C2+1</f>
        <v>2</v>
      </c>
      <c r="E2" s="160">
        <f t="shared" si="0"/>
        <v>3</v>
      </c>
      <c r="F2" s="160">
        <f t="shared" si="0"/>
        <v>4</v>
      </c>
      <c r="G2" s="160">
        <f t="shared" si="0"/>
        <v>5</v>
      </c>
      <c r="H2" s="160">
        <f t="shared" si="0"/>
        <v>6</v>
      </c>
      <c r="I2" s="160">
        <f t="shared" si="0"/>
        <v>7</v>
      </c>
      <c r="J2" s="160">
        <f t="shared" si="0"/>
        <v>8</v>
      </c>
      <c r="K2" s="160">
        <f t="shared" si="0"/>
        <v>9</v>
      </c>
      <c r="L2" s="160">
        <f t="shared" si="0"/>
        <v>10</v>
      </c>
      <c r="M2" s="160">
        <f t="shared" si="0"/>
        <v>11</v>
      </c>
      <c r="N2" s="160">
        <f t="shared" si="0"/>
        <v>12</v>
      </c>
      <c r="O2" s="160">
        <f t="shared" si="0"/>
        <v>13</v>
      </c>
      <c r="P2" s="160">
        <f t="shared" si="0"/>
        <v>14</v>
      </c>
      <c r="Q2" s="160">
        <f t="shared" si="0"/>
        <v>15</v>
      </c>
      <c r="R2" s="160">
        <f t="shared" si="0"/>
        <v>16</v>
      </c>
      <c r="S2" s="160">
        <f t="shared" si="0"/>
        <v>17</v>
      </c>
      <c r="T2" s="160">
        <f t="shared" si="0"/>
        <v>18</v>
      </c>
      <c r="U2" s="160">
        <f t="shared" si="0"/>
        <v>19</v>
      </c>
      <c r="V2" s="160">
        <f t="shared" si="0"/>
        <v>20</v>
      </c>
      <c r="W2" s="160">
        <f t="shared" si="0"/>
        <v>21</v>
      </c>
      <c r="X2" s="160">
        <f t="shared" si="0"/>
        <v>22</v>
      </c>
      <c r="Y2" s="160">
        <f t="shared" si="0"/>
        <v>23</v>
      </c>
      <c r="Z2" s="160">
        <f t="shared" si="0"/>
        <v>24</v>
      </c>
      <c r="AA2" s="160">
        <f t="shared" si="0"/>
        <v>25</v>
      </c>
      <c r="AB2" s="160">
        <f t="shared" si="0"/>
        <v>26</v>
      </c>
      <c r="AC2" s="160">
        <f t="shared" si="0"/>
        <v>27</v>
      </c>
      <c r="AD2" s="160">
        <f t="shared" si="0"/>
        <v>28</v>
      </c>
      <c r="AE2" s="160">
        <f t="shared" si="0"/>
        <v>29</v>
      </c>
      <c r="AF2" s="160">
        <f>AE2+1</f>
        <v>30</v>
      </c>
      <c r="AG2" s="160">
        <f t="shared" si="0"/>
        <v>31</v>
      </c>
      <c r="AH2" s="160">
        <f t="shared" si="0"/>
        <v>32</v>
      </c>
      <c r="AI2" s="160">
        <f t="shared" si="0"/>
        <v>33</v>
      </c>
      <c r="AJ2" s="160">
        <f t="shared" si="0"/>
        <v>34</v>
      </c>
      <c r="AK2" s="160">
        <f t="shared" si="0"/>
        <v>35</v>
      </c>
      <c r="AL2" s="160">
        <f t="shared" si="0"/>
        <v>36</v>
      </c>
      <c r="AM2" s="160">
        <f>AL2+1</f>
        <v>37</v>
      </c>
      <c r="AN2" s="160">
        <f t="shared" si="0"/>
        <v>38</v>
      </c>
      <c r="AO2" s="160">
        <f t="shared" si="0"/>
        <v>39</v>
      </c>
      <c r="AP2" s="160">
        <f t="shared" si="0"/>
        <v>40</v>
      </c>
    </row>
    <row r="3" spans="1:42" x14ac:dyDescent="0.2"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</row>
    <row r="4" spans="1:42" x14ac:dyDescent="0.2">
      <c r="A4" s="162" t="s">
        <v>46</v>
      </c>
    </row>
    <row r="5" spans="1:42" x14ac:dyDescent="0.2">
      <c r="A5" s="163" t="s">
        <v>47</v>
      </c>
      <c r="C5" s="135">
        <f>IF(C$2&lt;=AnalysisPeriod,IF('Inputs &amp; Results'!$M$3="Annual Inputs",LOOKUP(C$2,'Inputs &amp; Results'!$L$9:$L$48,'Inputs &amp; Results'!$M$9:$M$48),'Inputs &amp; Results'!$M$5*CapacityAC*8760*(1-'Inputs &amp; Results'!$M$6)^(C$2-1)),0)</f>
        <v>16188480</v>
      </c>
      <c r="D5" s="135">
        <f>IF(D$2&lt;=AnalysisPeriod,IF('Inputs &amp; Results'!$M$3="Annual Inputs",LOOKUP(D$2,'Inputs &amp; Results'!$L$9:$L$48,'Inputs &amp; Results'!$M$9:$M$48),'Inputs &amp; Results'!$M$5*CapacityAC*8760*(1-'Inputs &amp; Results'!$M$6)^(D$2-1)),0)</f>
        <v>16107537.6</v>
      </c>
      <c r="E5" s="135">
        <f>IF(E$2&lt;=AnalysisPeriod,IF('Inputs &amp; Results'!$M$3="Annual Inputs",LOOKUP(E$2,'Inputs &amp; Results'!$L$9:$L$48,'Inputs &amp; Results'!$M$9:$M$48),'Inputs &amp; Results'!$M$5*CapacityAC*8760*(1-'Inputs &amp; Results'!$M$6)^(E$2-1)),0)</f>
        <v>16026999.912</v>
      </c>
      <c r="F5" s="135">
        <f>IF(F$2&lt;=AnalysisPeriod,IF('Inputs &amp; Results'!$M$3="Annual Inputs",LOOKUP(F$2,'Inputs &amp; Results'!$L$9:$L$48,'Inputs &amp; Results'!$M$9:$M$48),'Inputs &amp; Results'!$M$5*CapacityAC*8760*(1-'Inputs &amp; Results'!$M$6)^(F$2-1)),0)</f>
        <v>15946864.91244</v>
      </c>
      <c r="G5" s="135">
        <f>IF(G$2&lt;=AnalysisPeriod,IF('Inputs &amp; Results'!$M$3="Annual Inputs",LOOKUP(G$2,'Inputs &amp; Results'!$L$9:$L$48,'Inputs &amp; Results'!$M$9:$M$48),'Inputs &amp; Results'!$M$5*CapacityAC*8760*(1-'Inputs &amp; Results'!$M$6)^(G$2-1)),0)</f>
        <v>15867130.587877801</v>
      </c>
      <c r="H5" s="135">
        <f>IF(H$2&lt;=AnalysisPeriod,IF('Inputs &amp; Results'!$M$3="Annual Inputs",LOOKUP(H$2,'Inputs &amp; Results'!$L$9:$L$48,'Inputs &amp; Results'!$M$9:$M$48),'Inputs &amp; Results'!$M$5*CapacityAC*8760*(1-'Inputs &amp; Results'!$M$6)^(H$2-1)),0)</f>
        <v>15787794.934938412</v>
      </c>
      <c r="I5" s="135">
        <f>IF(I$2&lt;=AnalysisPeriod,IF('Inputs &amp; Results'!$M$3="Annual Inputs",LOOKUP(I$2,'Inputs &amp; Results'!$L$9:$L$48,'Inputs &amp; Results'!$M$9:$M$48),'Inputs &amp; Results'!$M$5*CapacityAC*8760*(1-'Inputs &amp; Results'!$M$6)^(I$2-1)),0)</f>
        <v>15708855.96026372</v>
      </c>
      <c r="J5" s="135">
        <f>IF(J$2&lt;=AnalysisPeriod,IF('Inputs &amp; Results'!$M$3="Annual Inputs",LOOKUP(J$2,'Inputs &amp; Results'!$L$9:$L$48,'Inputs &amp; Results'!$M$9:$M$48),'Inputs &amp; Results'!$M$5*CapacityAC*8760*(1-'Inputs &amp; Results'!$M$6)^(J$2-1)),0)</f>
        <v>15630311.680462401</v>
      </c>
      <c r="K5" s="135">
        <f>IF(K$2&lt;=AnalysisPeriod,IF('Inputs &amp; Results'!$M$3="Annual Inputs",LOOKUP(K$2,'Inputs &amp; Results'!$L$9:$L$48,'Inputs &amp; Results'!$M$9:$M$48),'Inputs &amp; Results'!$M$5*CapacityAC*8760*(1-'Inputs &amp; Results'!$M$6)^(K$2-1)),0)</f>
        <v>15552160.12206009</v>
      </c>
      <c r="L5" s="135">
        <f>IF(L$2&lt;=AnalysisPeriod,IF('Inputs &amp; Results'!$M$3="Annual Inputs",LOOKUP(L$2,'Inputs &amp; Results'!$L$9:$L$48,'Inputs &amp; Results'!$M$9:$M$48),'Inputs &amp; Results'!$M$5*CapacityAC*8760*(1-'Inputs &amp; Results'!$M$6)^(L$2-1)),0)</f>
        <v>15474399.321449788</v>
      </c>
      <c r="M5" s="135">
        <f>IF(M$2&lt;=AnalysisPeriod,IF('Inputs &amp; Results'!$M$3="Annual Inputs",LOOKUP(M$2,'Inputs &amp; Results'!$L$9:$L$48,'Inputs &amp; Results'!$M$9:$M$48),'Inputs &amp; Results'!$M$5*CapacityAC*8760*(1-'Inputs &amp; Results'!$M$6)^(M$2-1)),0)</f>
        <v>15397027.324842541</v>
      </c>
      <c r="N5" s="135">
        <f>IF(N$2&lt;=AnalysisPeriod,IF('Inputs &amp; Results'!$M$3="Annual Inputs",LOOKUP(N$2,'Inputs &amp; Results'!$L$9:$L$48,'Inputs &amp; Results'!$M$9:$M$48),'Inputs &amp; Results'!$M$5*CapacityAC*8760*(1-'Inputs &amp; Results'!$M$6)^(N$2-1)),0)</f>
        <v>15320042.188218327</v>
      </c>
      <c r="O5" s="135">
        <f>IF(O$2&lt;=AnalysisPeriod,IF('Inputs &amp; Results'!$M$3="Annual Inputs",LOOKUP(O$2,'Inputs &amp; Results'!$L$9:$L$48,'Inputs &amp; Results'!$M$9:$M$48),'Inputs &amp; Results'!$M$5*CapacityAC*8760*(1-'Inputs &amp; Results'!$M$6)^(O$2-1)),0)</f>
        <v>15243441.977277236</v>
      </c>
      <c r="P5" s="135">
        <f>IF(P$2&lt;=AnalysisPeriod,IF('Inputs &amp; Results'!$M$3="Annual Inputs",LOOKUP(P$2,'Inputs &amp; Results'!$L$9:$L$48,'Inputs &amp; Results'!$M$9:$M$48),'Inputs &amp; Results'!$M$5*CapacityAC*8760*(1-'Inputs &amp; Results'!$M$6)^(P$2-1)),0)</f>
        <v>15167224.767390851</v>
      </c>
      <c r="Q5" s="135">
        <f>IF(Q$2&lt;=AnalysisPeriod,IF('Inputs &amp; Results'!$M$3="Annual Inputs",LOOKUP(Q$2,'Inputs &amp; Results'!$L$9:$L$48,'Inputs &amp; Results'!$M$9:$M$48),'Inputs &amp; Results'!$M$5*CapacityAC*8760*(1-'Inputs &amp; Results'!$M$6)^(Q$2-1)),0)</f>
        <v>15091388.643553898</v>
      </c>
      <c r="R5" s="135">
        <f>IF(R$2&lt;=AnalysisPeriod,IF('Inputs &amp; Results'!$M$3="Annual Inputs",LOOKUP(R$2,'Inputs &amp; Results'!$L$9:$L$48,'Inputs &amp; Results'!$M$9:$M$48),'Inputs &amp; Results'!$M$5*CapacityAC*8760*(1-'Inputs &amp; Results'!$M$6)^(R$2-1)),0)</f>
        <v>15015931.700336127</v>
      </c>
      <c r="S5" s="135">
        <f>IF(S$2&lt;=AnalysisPeriod,IF('Inputs &amp; Results'!$M$3="Annual Inputs",LOOKUP(S$2,'Inputs &amp; Results'!$L$9:$L$48,'Inputs &amp; Results'!$M$9:$M$48),'Inputs &amp; Results'!$M$5*CapacityAC*8760*(1-'Inputs &amp; Results'!$M$6)^(S$2-1)),0)</f>
        <v>14940852.041834446</v>
      </c>
      <c r="T5" s="135">
        <f>IF(T$2&lt;=AnalysisPeriod,IF('Inputs &amp; Results'!$M$3="Annual Inputs",LOOKUP(T$2,'Inputs &amp; Results'!$L$9:$L$48,'Inputs &amp; Results'!$M$9:$M$48),'Inputs &amp; Results'!$M$5*CapacityAC*8760*(1-'Inputs &amp; Results'!$M$6)^(T$2-1)),0)</f>
        <v>14866147.781625275</v>
      </c>
      <c r="U5" s="135">
        <f>IF(U$2&lt;=AnalysisPeriod,IF('Inputs &amp; Results'!$M$3="Annual Inputs",LOOKUP(U$2,'Inputs &amp; Results'!$L$9:$L$48,'Inputs &amp; Results'!$M$9:$M$48),'Inputs &amp; Results'!$M$5*CapacityAC*8760*(1-'Inputs &amp; Results'!$M$6)^(U$2-1)),0)</f>
        <v>14791817.042717148</v>
      </c>
      <c r="V5" s="135">
        <f>IF(V$2&lt;=AnalysisPeriod,IF('Inputs &amp; Results'!$M$3="Annual Inputs",LOOKUP(V$2,'Inputs &amp; Results'!$L$9:$L$48,'Inputs &amp; Results'!$M$9:$M$48),'Inputs &amp; Results'!$M$5*CapacityAC*8760*(1-'Inputs &amp; Results'!$M$6)^(V$2-1)),0)</f>
        <v>14717857.957503561</v>
      </c>
      <c r="W5" s="135">
        <f>IF(W$2&lt;=AnalysisPeriod,IF('Inputs &amp; Results'!$M$3="Annual Inputs",LOOKUP(W$2,'Inputs &amp; Results'!$L$9:$L$48,'Inputs &amp; Results'!$M$9:$M$48),'Inputs &amp; Results'!$M$5*CapacityAC*8760*(1-'Inputs &amp; Results'!$M$6)^(W$2-1)),0)</f>
        <v>14644268.667716045</v>
      </c>
      <c r="X5" s="135">
        <f>IF(X$2&lt;=AnalysisPeriod,IF('Inputs &amp; Results'!$M$3="Annual Inputs",LOOKUP(X$2,'Inputs &amp; Results'!$L$9:$L$48,'Inputs &amp; Results'!$M$9:$M$48),'Inputs &amp; Results'!$M$5*CapacityAC*8760*(1-'Inputs &amp; Results'!$M$6)^(X$2-1)),0)</f>
        <v>14571047.324377464</v>
      </c>
      <c r="Y5" s="135">
        <f>IF(Y$2&lt;=AnalysisPeriod,IF('Inputs &amp; Results'!$M$3="Annual Inputs",LOOKUP(Y$2,'Inputs &amp; Results'!$L$9:$L$48,'Inputs &amp; Results'!$M$9:$M$48),'Inputs &amp; Results'!$M$5*CapacityAC*8760*(1-'Inputs &amp; Results'!$M$6)^(Y$2-1)),0)</f>
        <v>14498192.087755578</v>
      </c>
      <c r="Z5" s="135">
        <f>IF(Z$2&lt;=AnalysisPeriod,IF('Inputs &amp; Results'!$M$3="Annual Inputs",LOOKUP(Z$2,'Inputs &amp; Results'!$L$9:$L$48,'Inputs &amp; Results'!$M$9:$M$48),'Inputs &amp; Results'!$M$5*CapacityAC*8760*(1-'Inputs &amp; Results'!$M$6)^(Z$2-1)),0)</f>
        <v>14425701.127316799</v>
      </c>
      <c r="AA5" s="135">
        <f>IF(AA$2&lt;=AnalysisPeriod,IF('Inputs &amp; Results'!$M$3="Annual Inputs",LOOKUP(AA$2,'Inputs &amp; Results'!$L$9:$L$48,'Inputs &amp; Results'!$M$9:$M$48),'Inputs &amp; Results'!$M$5*CapacityAC*8760*(1-'Inputs &amp; Results'!$M$6)^(AA$2-1)),0)</f>
        <v>14353572.621680215</v>
      </c>
      <c r="AB5" s="135">
        <f>IF(AB$2&lt;=AnalysisPeriod,IF('Inputs &amp; Results'!$M$3="Annual Inputs",LOOKUP(AB$2,'Inputs &amp; Results'!$L$9:$L$48,'Inputs &amp; Results'!$M$9:$M$48),'Inputs &amp; Results'!$M$5*CapacityAC*8760*(1-'Inputs &amp; Results'!$M$6)^(AB$2-1)),0)</f>
        <v>14281804.758571815</v>
      </c>
      <c r="AC5" s="135">
        <f>IF(AC$2&lt;=AnalysisPeriod,IF('Inputs &amp; Results'!$M$3="Annual Inputs",LOOKUP(AC$2,'Inputs &amp; Results'!$L$9:$L$48,'Inputs &amp; Results'!$M$9:$M$48),'Inputs &amp; Results'!$M$5*CapacityAC*8760*(1-'Inputs &amp; Results'!$M$6)^(AC$2-1)),0)</f>
        <v>14210395.734778956</v>
      </c>
      <c r="AD5" s="135">
        <f>IF(AD$2&lt;=AnalysisPeriod,IF('Inputs &amp; Results'!$M$3="Annual Inputs",LOOKUP(AD$2,'Inputs &amp; Results'!$L$9:$L$48,'Inputs &amp; Results'!$M$9:$M$48),'Inputs &amp; Results'!$M$5*CapacityAC*8760*(1-'Inputs &amp; Results'!$M$6)^(AD$2-1)),0)</f>
        <v>14139343.75610506</v>
      </c>
      <c r="AE5" s="135">
        <f>IF(AE$2&lt;=AnalysisPeriod,IF('Inputs &amp; Results'!$M$3="Annual Inputs",LOOKUP(AE$2,'Inputs &amp; Results'!$L$9:$L$48,'Inputs &amp; Results'!$M$9:$M$48),'Inputs &amp; Results'!$M$5*CapacityAC*8760*(1-'Inputs &amp; Results'!$M$6)^(AE$2-1)),0)</f>
        <v>14068647.037324537</v>
      </c>
      <c r="AF5" s="135">
        <f>IF(AF$2&lt;=AnalysisPeriod,IF('Inputs &amp; Results'!$M$3="Annual Inputs",LOOKUP(AF$2,'Inputs &amp; Results'!$L$9:$L$48,'Inputs &amp; Results'!$M$9:$M$48),'Inputs &amp; Results'!$M$5*CapacityAC*8760*(1-'Inputs &amp; Results'!$M$6)^(AF$2-1)),0)</f>
        <v>13998303.802137915</v>
      </c>
      <c r="AG5" s="135">
        <f>IF(AG$2&lt;=AnalysisPeriod,IF('Inputs &amp; Results'!$M$3="Annual Inputs",LOOKUP(AG$2,'Inputs &amp; Results'!$L$9:$L$48,'Inputs &amp; Results'!$M$9:$M$48),'Inputs &amp; Results'!$M$5*CapacityAC*8760*(1-'Inputs &amp; Results'!$M$6)^(AG$2-1)),0)</f>
        <v>13928312.283127224</v>
      </c>
      <c r="AH5" s="135">
        <f>IF(AH$2&lt;=AnalysisPeriod,IF('Inputs &amp; Results'!$M$3="Annual Inputs",LOOKUP(AH$2,'Inputs &amp; Results'!$L$9:$L$48,'Inputs &amp; Results'!$M$9:$M$48),'Inputs &amp; Results'!$M$5*CapacityAC*8760*(1-'Inputs &amp; Results'!$M$6)^(AH$2-1)),0)</f>
        <v>13858670.721711587</v>
      </c>
      <c r="AI5" s="135">
        <f>IF(AI$2&lt;=AnalysisPeriod,IF('Inputs &amp; Results'!$M$3="Annual Inputs",LOOKUP(AI$2,'Inputs &amp; Results'!$L$9:$L$48,'Inputs &amp; Results'!$M$9:$M$48),'Inputs &amp; Results'!$M$5*CapacityAC*8760*(1-'Inputs &amp; Results'!$M$6)^(AI$2-1)),0)</f>
        <v>13789377.368103029</v>
      </c>
      <c r="AJ5" s="135">
        <f>IF(AJ$2&lt;=AnalysisPeriod,IF('Inputs &amp; Results'!$M$3="Annual Inputs",LOOKUP(AJ$2,'Inputs &amp; Results'!$L$9:$L$48,'Inputs &amp; Results'!$M$9:$M$48),'Inputs &amp; Results'!$M$5*CapacityAC*8760*(1-'Inputs &amp; Results'!$M$6)^(AJ$2-1)),0)</f>
        <v>13720430.481262514</v>
      </c>
      <c r="AK5" s="135">
        <f>IF(AK$2&lt;=AnalysisPeriod,IF('Inputs &amp; Results'!$M$3="Annual Inputs",LOOKUP(AK$2,'Inputs &amp; Results'!$L$9:$L$48,'Inputs &amp; Results'!$M$9:$M$48),'Inputs &amp; Results'!$M$5*CapacityAC*8760*(1-'Inputs &amp; Results'!$M$6)^(AK$2-1)),0)</f>
        <v>13651828.328856202</v>
      </c>
      <c r="AL5" s="135">
        <f>IF(AL$2&lt;=AnalysisPeriod,IF('Inputs &amp; Results'!$M$3="Annual Inputs",LOOKUP(AL$2,'Inputs &amp; Results'!$L$9:$L$48,'Inputs &amp; Results'!$M$9:$M$48),'Inputs &amp; Results'!$M$5*CapacityAC*8760*(1-'Inputs &amp; Results'!$M$6)^(AL$2-1)),0)</f>
        <v>13583569.187211921</v>
      </c>
      <c r="AM5" s="135">
        <f>IF(AM$2&lt;=AnalysisPeriod,IF('Inputs &amp; Results'!$M$3="Annual Inputs",LOOKUP(AM$2,'Inputs &amp; Results'!$L$9:$L$48,'Inputs &amp; Results'!$M$9:$M$48),'Inputs &amp; Results'!$M$5*CapacityAC*8760*(1-'Inputs &amp; Results'!$M$6)^(AM$2-1)),0)</f>
        <v>13515651.341275861</v>
      </c>
      <c r="AN5" s="135">
        <f>IF(AN$2&lt;=AnalysisPeriod,IF('Inputs &amp; Results'!$M$3="Annual Inputs",LOOKUP(AN$2,'Inputs &amp; Results'!$L$9:$L$48,'Inputs &amp; Results'!$M$9:$M$48),'Inputs &amp; Results'!$M$5*CapacityAC*8760*(1-'Inputs &amp; Results'!$M$6)^(AN$2-1)),0)</f>
        <v>13448073.084569484</v>
      </c>
      <c r="AO5" s="135">
        <f>IF(AO$2&lt;=AnalysisPeriod,IF('Inputs &amp; Results'!$M$3="Annual Inputs",LOOKUP(AO$2,'Inputs &amp; Results'!$L$9:$L$48,'Inputs &amp; Results'!$M$9:$M$48),'Inputs &amp; Results'!$M$5*CapacityAC*8760*(1-'Inputs &amp; Results'!$M$6)^(AO$2-1)),0)</f>
        <v>13380832.719146635</v>
      </c>
      <c r="AP5" s="135">
        <f>IF(AP$2&lt;=AnalysisPeriod,IF('Inputs &amp; Results'!$M$3="Annual Inputs",LOOKUP(AP$2,'Inputs &amp; Results'!$L$9:$L$48,'Inputs &amp; Results'!$M$9:$M$48),'Inputs &amp; Results'!$M$5*CapacityAC*8760*(1-'Inputs &amp; Results'!$M$6)^(AP$2-1)),0)</f>
        <v>13313928.555550903</v>
      </c>
    </row>
    <row r="6" spans="1:42" x14ac:dyDescent="0.2"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</row>
    <row r="7" spans="1:42" x14ac:dyDescent="0.2">
      <c r="A7" s="162" t="s">
        <v>242</v>
      </c>
      <c r="C7" s="164"/>
      <c r="D7" s="164"/>
      <c r="E7" s="164"/>
      <c r="F7" s="164"/>
      <c r="G7" s="164"/>
      <c r="H7" s="164"/>
      <c r="I7" s="164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</row>
    <row r="8" spans="1:42" x14ac:dyDescent="0.2">
      <c r="A8" s="165" t="s">
        <v>75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</row>
    <row r="9" spans="1:42" x14ac:dyDescent="0.2">
      <c r="A9" s="20" t="s">
        <v>76</v>
      </c>
      <c r="C9" s="135"/>
      <c r="D9" s="166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</row>
    <row r="10" spans="1:42" x14ac:dyDescent="0.2">
      <c r="A10" s="167" t="s">
        <v>47</v>
      </c>
      <c r="C10" s="135">
        <f>C5</f>
        <v>16188480</v>
      </c>
      <c r="D10" s="135">
        <f>D5</f>
        <v>16107537.6</v>
      </c>
      <c r="E10" s="135">
        <f>E5</f>
        <v>16026999.912</v>
      </c>
      <c r="F10" s="135">
        <f t="shared" ref="F10:AP10" si="1">F5</f>
        <v>15946864.91244</v>
      </c>
      <c r="G10" s="135">
        <f t="shared" si="1"/>
        <v>15867130.587877801</v>
      </c>
      <c r="H10" s="135">
        <f t="shared" si="1"/>
        <v>15787794.934938412</v>
      </c>
      <c r="I10" s="135">
        <f t="shared" si="1"/>
        <v>15708855.96026372</v>
      </c>
      <c r="J10" s="135">
        <f t="shared" si="1"/>
        <v>15630311.680462401</v>
      </c>
      <c r="K10" s="135">
        <f t="shared" si="1"/>
        <v>15552160.12206009</v>
      </c>
      <c r="L10" s="135">
        <f t="shared" si="1"/>
        <v>15474399.321449788</v>
      </c>
      <c r="M10" s="135">
        <f t="shared" si="1"/>
        <v>15397027.324842541</v>
      </c>
      <c r="N10" s="135">
        <f t="shared" si="1"/>
        <v>15320042.188218327</v>
      </c>
      <c r="O10" s="135">
        <f t="shared" si="1"/>
        <v>15243441.977277236</v>
      </c>
      <c r="P10" s="135">
        <f t="shared" si="1"/>
        <v>15167224.767390851</v>
      </c>
      <c r="Q10" s="135">
        <f t="shared" si="1"/>
        <v>15091388.643553898</v>
      </c>
      <c r="R10" s="135">
        <f t="shared" si="1"/>
        <v>15015931.700336127</v>
      </c>
      <c r="S10" s="135">
        <f t="shared" si="1"/>
        <v>14940852.041834446</v>
      </c>
      <c r="T10" s="135">
        <f t="shared" si="1"/>
        <v>14866147.781625275</v>
      </c>
      <c r="U10" s="135">
        <f t="shared" si="1"/>
        <v>14791817.042717148</v>
      </c>
      <c r="V10" s="135">
        <f t="shared" si="1"/>
        <v>14717857.957503561</v>
      </c>
      <c r="W10" s="135">
        <f t="shared" si="1"/>
        <v>14644268.667716045</v>
      </c>
      <c r="X10" s="135">
        <f t="shared" si="1"/>
        <v>14571047.324377464</v>
      </c>
      <c r="Y10" s="135">
        <f t="shared" si="1"/>
        <v>14498192.087755578</v>
      </c>
      <c r="Z10" s="135">
        <f t="shared" si="1"/>
        <v>14425701.127316799</v>
      </c>
      <c r="AA10" s="135">
        <f t="shared" si="1"/>
        <v>14353572.621680215</v>
      </c>
      <c r="AB10" s="135">
        <f t="shared" si="1"/>
        <v>14281804.758571815</v>
      </c>
      <c r="AC10" s="135">
        <f t="shared" si="1"/>
        <v>14210395.734778956</v>
      </c>
      <c r="AD10" s="135">
        <f t="shared" si="1"/>
        <v>14139343.75610506</v>
      </c>
      <c r="AE10" s="135">
        <f t="shared" si="1"/>
        <v>14068647.037324537</v>
      </c>
      <c r="AF10" s="135">
        <f t="shared" si="1"/>
        <v>13998303.802137915</v>
      </c>
      <c r="AG10" s="135">
        <f t="shared" si="1"/>
        <v>13928312.283127224</v>
      </c>
      <c r="AH10" s="135">
        <f t="shared" si="1"/>
        <v>13858670.721711587</v>
      </c>
      <c r="AI10" s="135">
        <f t="shared" si="1"/>
        <v>13789377.368103029</v>
      </c>
      <c r="AJ10" s="135">
        <f t="shared" si="1"/>
        <v>13720430.481262514</v>
      </c>
      <c r="AK10" s="135">
        <f t="shared" si="1"/>
        <v>13651828.328856202</v>
      </c>
      <c r="AL10" s="135">
        <f t="shared" si="1"/>
        <v>13583569.187211921</v>
      </c>
      <c r="AM10" s="135">
        <f t="shared" si="1"/>
        <v>13515651.341275861</v>
      </c>
      <c r="AN10" s="135">
        <f t="shared" si="1"/>
        <v>13448073.084569484</v>
      </c>
      <c r="AO10" s="135">
        <f t="shared" si="1"/>
        <v>13380832.719146635</v>
      </c>
      <c r="AP10" s="135">
        <f t="shared" si="1"/>
        <v>13313928.555550903</v>
      </c>
    </row>
    <row r="11" spans="1:42" x14ac:dyDescent="0.2">
      <c r="A11" s="167" t="s">
        <v>48</v>
      </c>
      <c r="C11" s="168">
        <f t="shared" ref="C11:AP11" si="2">SOPPAPrice*(1+SOPPAPriceEsc)^B2</f>
        <v>26.322649530122916</v>
      </c>
      <c r="D11" s="168">
        <f t="shared" si="2"/>
        <v>26.585876025424145</v>
      </c>
      <c r="E11" s="168">
        <f t="shared" si="2"/>
        <v>26.851734785678389</v>
      </c>
      <c r="F11" s="168">
        <f t="shared" si="2"/>
        <v>27.120252133535168</v>
      </c>
      <c r="G11" s="168">
        <f t="shared" si="2"/>
        <v>27.391454654870522</v>
      </c>
      <c r="H11" s="168">
        <f t="shared" si="2"/>
        <v>27.665369201419225</v>
      </c>
      <c r="I11" s="168">
        <f t="shared" si="2"/>
        <v>27.942022893433425</v>
      </c>
      <c r="J11" s="168">
        <f t="shared" si="2"/>
        <v>28.221443122367749</v>
      </c>
      <c r="K11" s="168">
        <f t="shared" si="2"/>
        <v>28.503657553591434</v>
      </c>
      <c r="L11" s="168">
        <f t="shared" si="2"/>
        <v>28.78869412912735</v>
      </c>
      <c r="M11" s="168">
        <f t="shared" si="2"/>
        <v>29.076581070418626</v>
      </c>
      <c r="N11" s="168">
        <f t="shared" si="2"/>
        <v>29.367346881122806</v>
      </c>
      <c r="O11" s="168">
        <f t="shared" si="2"/>
        <v>29.661020349934034</v>
      </c>
      <c r="P11" s="168">
        <f t="shared" si="2"/>
        <v>29.957630553433376</v>
      </c>
      <c r="Q11" s="168">
        <f t="shared" si="2"/>
        <v>30.257206858967713</v>
      </c>
      <c r="R11" s="168">
        <f t="shared" si="2"/>
        <v>30.559778927557382</v>
      </c>
      <c r="S11" s="168">
        <f t="shared" si="2"/>
        <v>30.865376716832966</v>
      </c>
      <c r="T11" s="168">
        <f t="shared" si="2"/>
        <v>31.174030484001296</v>
      </c>
      <c r="U11" s="168">
        <f t="shared" si="2"/>
        <v>31.485770788841311</v>
      </c>
      <c r="V11" s="168">
        <f t="shared" si="2"/>
        <v>31.800628496729718</v>
      </c>
      <c r="W11" s="168">
        <f t="shared" si="2"/>
        <v>32.118634781697018</v>
      </c>
      <c r="X11" s="168">
        <f t="shared" si="2"/>
        <v>32.439821129513987</v>
      </c>
      <c r="Y11" s="168">
        <f t="shared" si="2"/>
        <v>32.764219340809134</v>
      </c>
      <c r="Z11" s="168">
        <f t="shared" si="2"/>
        <v>33.091861534217216</v>
      </c>
      <c r="AA11" s="168">
        <f t="shared" si="2"/>
        <v>33.422780149559401</v>
      </c>
      <c r="AB11" s="168">
        <f t="shared" si="2"/>
        <v>33.757007951054995</v>
      </c>
      <c r="AC11" s="168">
        <f t="shared" si="2"/>
        <v>34.094578030565543</v>
      </c>
      <c r="AD11" s="168">
        <f t="shared" si="2"/>
        <v>34.435523810871189</v>
      </c>
      <c r="AE11" s="168">
        <f t="shared" si="2"/>
        <v>34.7798790489799</v>
      </c>
      <c r="AF11" s="168">
        <f t="shared" si="2"/>
        <v>35.127677839469705</v>
      </c>
      <c r="AG11" s="168">
        <f t="shared" si="2"/>
        <v>35.47895461786441</v>
      </c>
      <c r="AH11" s="168">
        <f t="shared" si="2"/>
        <v>35.83374416404304</v>
      </c>
      <c r="AI11" s="168">
        <f t="shared" si="2"/>
        <v>36.192081605683477</v>
      </c>
      <c r="AJ11" s="168">
        <f t="shared" si="2"/>
        <v>36.554002421740314</v>
      </c>
      <c r="AK11" s="168">
        <f t="shared" si="2"/>
        <v>36.919542445957717</v>
      </c>
      <c r="AL11" s="168">
        <f t="shared" si="2"/>
        <v>37.288737870417286</v>
      </c>
      <c r="AM11" s="168">
        <f t="shared" si="2"/>
        <v>37.661625249121464</v>
      </c>
      <c r="AN11" s="168">
        <f t="shared" si="2"/>
        <v>38.038241501612681</v>
      </c>
      <c r="AO11" s="168">
        <f t="shared" si="2"/>
        <v>38.41862391662881</v>
      </c>
      <c r="AP11" s="168">
        <f t="shared" si="2"/>
        <v>38.802810155795093</v>
      </c>
    </row>
    <row r="12" spans="1:42" x14ac:dyDescent="0.2">
      <c r="A12" s="167" t="s">
        <v>74</v>
      </c>
      <c r="C12" s="135">
        <f t="shared" ref="C12:AP12" si="3">C10*C11/100</f>
        <v>4261236.8546540421</v>
      </c>
      <c r="D12" s="135">
        <f t="shared" si="3"/>
        <v>4282329.9770845799</v>
      </c>
      <c r="E12" s="135">
        <f t="shared" si="3"/>
        <v>4303527.5104711493</v>
      </c>
      <c r="F12" s="135">
        <f t="shared" si="3"/>
        <v>4324829.9716479806</v>
      </c>
      <c r="G12" s="135">
        <f t="shared" si="3"/>
        <v>4346237.8800076386</v>
      </c>
      <c r="H12" s="135">
        <f t="shared" si="3"/>
        <v>4367751.7575136758</v>
      </c>
      <c r="I12" s="135">
        <f t="shared" si="3"/>
        <v>4389372.1287133694</v>
      </c>
      <c r="J12" s="135">
        <f t="shared" si="3"/>
        <v>4411099.5207504993</v>
      </c>
      <c r="K12" s="135">
        <f t="shared" si="3"/>
        <v>4432934.4633782161</v>
      </c>
      <c r="L12" s="135">
        <f t="shared" si="3"/>
        <v>4454877.4889719374</v>
      </c>
      <c r="M12" s="135">
        <f t="shared" si="3"/>
        <v>4476929.1325423494</v>
      </c>
      <c r="N12" s="135">
        <f t="shared" si="3"/>
        <v>4499089.931748433</v>
      </c>
      <c r="O12" s="135">
        <f t="shared" si="3"/>
        <v>4521360.4269105885</v>
      </c>
      <c r="P12" s="135">
        <f t="shared" si="3"/>
        <v>4543741.1610237956</v>
      </c>
      <c r="Q12" s="135">
        <f t="shared" si="3"/>
        <v>4566232.6797708645</v>
      </c>
      <c r="R12" s="135">
        <f t="shared" si="3"/>
        <v>4588835.5315357288</v>
      </c>
      <c r="S12" s="135">
        <f t="shared" si="3"/>
        <v>4611550.267416832</v>
      </c>
      <c r="T12" s="135">
        <f t="shared" si="3"/>
        <v>4634377.4412405454</v>
      </c>
      <c r="U12" s="135">
        <f t="shared" si="3"/>
        <v>4657317.6095746867</v>
      </c>
      <c r="V12" s="135">
        <f t="shared" si="3"/>
        <v>4680371.3317420799</v>
      </c>
      <c r="W12" s="135">
        <f t="shared" si="3"/>
        <v>4703539.169834204</v>
      </c>
      <c r="X12" s="135">
        <f t="shared" si="3"/>
        <v>4726821.6887248829</v>
      </c>
      <c r="Y12" s="135">
        <f t="shared" si="3"/>
        <v>4750219.4560840726</v>
      </c>
      <c r="Z12" s="135">
        <f t="shared" si="3"/>
        <v>4773733.0423916867</v>
      </c>
      <c r="AA12" s="135">
        <f t="shared" si="3"/>
        <v>4797363.0209515281</v>
      </c>
      <c r="AB12" s="135">
        <f t="shared" si="3"/>
        <v>4821109.9679052383</v>
      </c>
      <c r="AC12" s="135">
        <f t="shared" si="3"/>
        <v>4844974.4622463686</v>
      </c>
      <c r="AD12" s="135">
        <f t="shared" si="3"/>
        <v>4868957.0858344864</v>
      </c>
      <c r="AE12" s="135">
        <f t="shared" si="3"/>
        <v>4893058.4234093679</v>
      </c>
      <c r="AF12" s="135">
        <f t="shared" si="3"/>
        <v>4917279.062605246</v>
      </c>
      <c r="AG12" s="135">
        <f t="shared" si="3"/>
        <v>4941619.593965142</v>
      </c>
      <c r="AH12" s="135">
        <f t="shared" si="3"/>
        <v>4966080.6109552672</v>
      </c>
      <c r="AI12" s="135">
        <f t="shared" si="3"/>
        <v>4990662.7099794969</v>
      </c>
      <c r="AJ12" s="135">
        <f t="shared" si="3"/>
        <v>5015366.4903938957</v>
      </c>
      <c r="AK12" s="135">
        <f t="shared" si="3"/>
        <v>5040192.5545213455</v>
      </c>
      <c r="AL12" s="135">
        <f t="shared" si="3"/>
        <v>5065141.5076662255</v>
      </c>
      <c r="AM12" s="135">
        <f t="shared" si="3"/>
        <v>5090213.9581291731</v>
      </c>
      <c r="AN12" s="135">
        <f t="shared" si="3"/>
        <v>5115410.5172219137</v>
      </c>
      <c r="AO12" s="135">
        <f t="shared" si="3"/>
        <v>5140731.7992821625</v>
      </c>
      <c r="AP12" s="135">
        <f t="shared" si="3"/>
        <v>5166178.4216886088</v>
      </c>
    </row>
    <row r="13" spans="1:42" x14ac:dyDescent="0.2">
      <c r="A13" s="20" t="s">
        <v>77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</row>
    <row r="14" spans="1:42" x14ac:dyDescent="0.2">
      <c r="A14" s="167" t="str">
        <f>'Inputs &amp; Results'!A65</f>
        <v>Federal</v>
      </c>
      <c r="C14" s="169">
        <f t="shared" ref="C14:AP14" si="4">IF(PBIFedDebtSwitch="Yes",C513,0)</f>
        <v>0</v>
      </c>
      <c r="D14" s="169">
        <f t="shared" si="4"/>
        <v>0</v>
      </c>
      <c r="E14" s="169">
        <f t="shared" si="4"/>
        <v>0</v>
      </c>
      <c r="F14" s="169">
        <f t="shared" si="4"/>
        <v>0</v>
      </c>
      <c r="G14" s="169">
        <f t="shared" si="4"/>
        <v>0</v>
      </c>
      <c r="H14" s="169">
        <f t="shared" si="4"/>
        <v>0</v>
      </c>
      <c r="I14" s="169">
        <f t="shared" si="4"/>
        <v>0</v>
      </c>
      <c r="J14" s="169">
        <f t="shared" si="4"/>
        <v>0</v>
      </c>
      <c r="K14" s="169">
        <f t="shared" si="4"/>
        <v>0</v>
      </c>
      <c r="L14" s="169">
        <f t="shared" si="4"/>
        <v>0</v>
      </c>
      <c r="M14" s="169">
        <f t="shared" si="4"/>
        <v>0</v>
      </c>
      <c r="N14" s="169">
        <f t="shared" si="4"/>
        <v>0</v>
      </c>
      <c r="O14" s="169">
        <f t="shared" si="4"/>
        <v>0</v>
      </c>
      <c r="P14" s="169">
        <f t="shared" si="4"/>
        <v>0</v>
      </c>
      <c r="Q14" s="169">
        <f t="shared" si="4"/>
        <v>0</v>
      </c>
      <c r="R14" s="169">
        <f t="shared" si="4"/>
        <v>0</v>
      </c>
      <c r="S14" s="169">
        <f t="shared" si="4"/>
        <v>0</v>
      </c>
      <c r="T14" s="169">
        <f t="shared" si="4"/>
        <v>0</v>
      </c>
      <c r="U14" s="169">
        <f t="shared" si="4"/>
        <v>0</v>
      </c>
      <c r="V14" s="169">
        <f t="shared" si="4"/>
        <v>0</v>
      </c>
      <c r="W14" s="169">
        <f t="shared" si="4"/>
        <v>0</v>
      </c>
      <c r="X14" s="169">
        <f t="shared" si="4"/>
        <v>0</v>
      </c>
      <c r="Y14" s="169">
        <f t="shared" si="4"/>
        <v>0</v>
      </c>
      <c r="Z14" s="169">
        <f t="shared" si="4"/>
        <v>0</v>
      </c>
      <c r="AA14" s="169">
        <f t="shared" si="4"/>
        <v>0</v>
      </c>
      <c r="AB14" s="169">
        <f t="shared" si="4"/>
        <v>0</v>
      </c>
      <c r="AC14" s="169">
        <f t="shared" si="4"/>
        <v>0</v>
      </c>
      <c r="AD14" s="169">
        <f t="shared" si="4"/>
        <v>0</v>
      </c>
      <c r="AE14" s="169">
        <f t="shared" si="4"/>
        <v>0</v>
      </c>
      <c r="AF14" s="169">
        <f t="shared" si="4"/>
        <v>0</v>
      </c>
      <c r="AG14" s="169">
        <f t="shared" si="4"/>
        <v>0</v>
      </c>
      <c r="AH14" s="169">
        <f t="shared" si="4"/>
        <v>0</v>
      </c>
      <c r="AI14" s="169">
        <f t="shared" si="4"/>
        <v>0</v>
      </c>
      <c r="AJ14" s="169">
        <f t="shared" si="4"/>
        <v>0</v>
      </c>
      <c r="AK14" s="169">
        <f t="shared" si="4"/>
        <v>0</v>
      </c>
      <c r="AL14" s="169">
        <f t="shared" si="4"/>
        <v>0</v>
      </c>
      <c r="AM14" s="169">
        <f t="shared" si="4"/>
        <v>0</v>
      </c>
      <c r="AN14" s="169">
        <f t="shared" si="4"/>
        <v>0</v>
      </c>
      <c r="AO14" s="169">
        <f t="shared" si="4"/>
        <v>0</v>
      </c>
      <c r="AP14" s="169">
        <f t="shared" si="4"/>
        <v>0</v>
      </c>
    </row>
    <row r="15" spans="1:42" x14ac:dyDescent="0.2">
      <c r="A15" s="167" t="str">
        <f>'Inputs &amp; Results'!A66</f>
        <v>State</v>
      </c>
      <c r="C15" s="169">
        <f t="shared" ref="C15:AP15" si="5">IF(PBIStateDebtSwitch="Yes",C517,0)</f>
        <v>0</v>
      </c>
      <c r="D15" s="169">
        <f t="shared" si="5"/>
        <v>0</v>
      </c>
      <c r="E15" s="169">
        <f t="shared" si="5"/>
        <v>0</v>
      </c>
      <c r="F15" s="169">
        <f t="shared" si="5"/>
        <v>0</v>
      </c>
      <c r="G15" s="169">
        <f t="shared" si="5"/>
        <v>0</v>
      </c>
      <c r="H15" s="169">
        <f t="shared" si="5"/>
        <v>0</v>
      </c>
      <c r="I15" s="169">
        <f t="shared" si="5"/>
        <v>0</v>
      </c>
      <c r="J15" s="169">
        <f t="shared" si="5"/>
        <v>0</v>
      </c>
      <c r="K15" s="169">
        <f t="shared" si="5"/>
        <v>0</v>
      </c>
      <c r="L15" s="169">
        <f t="shared" si="5"/>
        <v>0</v>
      </c>
      <c r="M15" s="169">
        <f t="shared" si="5"/>
        <v>0</v>
      </c>
      <c r="N15" s="169">
        <f t="shared" si="5"/>
        <v>0</v>
      </c>
      <c r="O15" s="169">
        <f t="shared" si="5"/>
        <v>0</v>
      </c>
      <c r="P15" s="169">
        <f t="shared" si="5"/>
        <v>0</v>
      </c>
      <c r="Q15" s="169">
        <f t="shared" si="5"/>
        <v>0</v>
      </c>
      <c r="R15" s="169">
        <f t="shared" si="5"/>
        <v>0</v>
      </c>
      <c r="S15" s="169">
        <f t="shared" si="5"/>
        <v>0</v>
      </c>
      <c r="T15" s="169">
        <f t="shared" si="5"/>
        <v>0</v>
      </c>
      <c r="U15" s="169">
        <f t="shared" si="5"/>
        <v>0</v>
      </c>
      <c r="V15" s="169">
        <f t="shared" si="5"/>
        <v>0</v>
      </c>
      <c r="W15" s="169">
        <f t="shared" si="5"/>
        <v>0</v>
      </c>
      <c r="X15" s="169">
        <f t="shared" si="5"/>
        <v>0</v>
      </c>
      <c r="Y15" s="169">
        <f t="shared" si="5"/>
        <v>0</v>
      </c>
      <c r="Z15" s="169">
        <f t="shared" si="5"/>
        <v>0</v>
      </c>
      <c r="AA15" s="169">
        <f t="shared" si="5"/>
        <v>0</v>
      </c>
      <c r="AB15" s="169">
        <f t="shared" si="5"/>
        <v>0</v>
      </c>
      <c r="AC15" s="169">
        <f t="shared" si="5"/>
        <v>0</v>
      </c>
      <c r="AD15" s="169">
        <f t="shared" si="5"/>
        <v>0</v>
      </c>
      <c r="AE15" s="169">
        <f t="shared" si="5"/>
        <v>0</v>
      </c>
      <c r="AF15" s="169">
        <f t="shared" si="5"/>
        <v>0</v>
      </c>
      <c r="AG15" s="169">
        <f t="shared" si="5"/>
        <v>0</v>
      </c>
      <c r="AH15" s="169">
        <f t="shared" si="5"/>
        <v>0</v>
      </c>
      <c r="AI15" s="169">
        <f t="shared" si="5"/>
        <v>0</v>
      </c>
      <c r="AJ15" s="169">
        <f t="shared" si="5"/>
        <v>0</v>
      </c>
      <c r="AK15" s="169">
        <f t="shared" si="5"/>
        <v>0</v>
      </c>
      <c r="AL15" s="169">
        <f t="shared" si="5"/>
        <v>0</v>
      </c>
      <c r="AM15" s="169">
        <f t="shared" si="5"/>
        <v>0</v>
      </c>
      <c r="AN15" s="169">
        <f t="shared" si="5"/>
        <v>0</v>
      </c>
      <c r="AO15" s="169">
        <f t="shared" si="5"/>
        <v>0</v>
      </c>
      <c r="AP15" s="169">
        <f t="shared" si="5"/>
        <v>0</v>
      </c>
    </row>
    <row r="16" spans="1:42" x14ac:dyDescent="0.2">
      <c r="A16" s="167" t="str">
        <f>'Inputs &amp; Results'!A67</f>
        <v>Utility</v>
      </c>
      <c r="C16" s="169">
        <f t="shared" ref="C16:AP16" si="6">IF(PBIUtilityDebtSwitch="Yes",C521,0)</f>
        <v>0</v>
      </c>
      <c r="D16" s="169">
        <f t="shared" si="6"/>
        <v>0</v>
      </c>
      <c r="E16" s="169">
        <f t="shared" si="6"/>
        <v>0</v>
      </c>
      <c r="F16" s="169">
        <f t="shared" si="6"/>
        <v>0</v>
      </c>
      <c r="G16" s="169">
        <f t="shared" si="6"/>
        <v>0</v>
      </c>
      <c r="H16" s="169">
        <f t="shared" si="6"/>
        <v>0</v>
      </c>
      <c r="I16" s="169">
        <f t="shared" si="6"/>
        <v>0</v>
      </c>
      <c r="J16" s="169">
        <f t="shared" si="6"/>
        <v>0</v>
      </c>
      <c r="K16" s="169">
        <f t="shared" si="6"/>
        <v>0</v>
      </c>
      <c r="L16" s="169">
        <f t="shared" si="6"/>
        <v>0</v>
      </c>
      <c r="M16" s="169">
        <f t="shared" si="6"/>
        <v>0</v>
      </c>
      <c r="N16" s="169">
        <f t="shared" si="6"/>
        <v>0</v>
      </c>
      <c r="O16" s="169">
        <f t="shared" si="6"/>
        <v>0</v>
      </c>
      <c r="P16" s="169">
        <f t="shared" si="6"/>
        <v>0</v>
      </c>
      <c r="Q16" s="169">
        <f t="shared" si="6"/>
        <v>0</v>
      </c>
      <c r="R16" s="169">
        <f t="shared" si="6"/>
        <v>0</v>
      </c>
      <c r="S16" s="169">
        <f t="shared" si="6"/>
        <v>0</v>
      </c>
      <c r="T16" s="169">
        <f t="shared" si="6"/>
        <v>0</v>
      </c>
      <c r="U16" s="169">
        <f t="shared" si="6"/>
        <v>0</v>
      </c>
      <c r="V16" s="169">
        <f t="shared" si="6"/>
        <v>0</v>
      </c>
      <c r="W16" s="169">
        <f t="shared" si="6"/>
        <v>0</v>
      </c>
      <c r="X16" s="169">
        <f t="shared" si="6"/>
        <v>0</v>
      </c>
      <c r="Y16" s="169">
        <f t="shared" si="6"/>
        <v>0</v>
      </c>
      <c r="Z16" s="169">
        <f t="shared" si="6"/>
        <v>0</v>
      </c>
      <c r="AA16" s="169">
        <f t="shared" si="6"/>
        <v>0</v>
      </c>
      <c r="AB16" s="169">
        <f t="shared" si="6"/>
        <v>0</v>
      </c>
      <c r="AC16" s="169">
        <f t="shared" si="6"/>
        <v>0</v>
      </c>
      <c r="AD16" s="169">
        <f t="shared" si="6"/>
        <v>0</v>
      </c>
      <c r="AE16" s="169">
        <f t="shared" si="6"/>
        <v>0</v>
      </c>
      <c r="AF16" s="169">
        <f t="shared" si="6"/>
        <v>0</v>
      </c>
      <c r="AG16" s="169">
        <f t="shared" si="6"/>
        <v>0</v>
      </c>
      <c r="AH16" s="169">
        <f t="shared" si="6"/>
        <v>0</v>
      </c>
      <c r="AI16" s="169">
        <f t="shared" si="6"/>
        <v>0</v>
      </c>
      <c r="AJ16" s="169">
        <f t="shared" si="6"/>
        <v>0</v>
      </c>
      <c r="AK16" s="169">
        <f t="shared" si="6"/>
        <v>0</v>
      </c>
      <c r="AL16" s="169">
        <f t="shared" si="6"/>
        <v>0</v>
      </c>
      <c r="AM16" s="169">
        <f t="shared" si="6"/>
        <v>0</v>
      </c>
      <c r="AN16" s="169">
        <f t="shared" si="6"/>
        <v>0</v>
      </c>
      <c r="AO16" s="169">
        <f t="shared" si="6"/>
        <v>0</v>
      </c>
      <c r="AP16" s="169">
        <f t="shared" si="6"/>
        <v>0</v>
      </c>
    </row>
    <row r="17" spans="1:42" x14ac:dyDescent="0.2">
      <c r="A17" s="167" t="str">
        <f>'Inputs &amp; Results'!A68</f>
        <v>Other</v>
      </c>
      <c r="C17" s="170">
        <f t="shared" ref="C17:AP17" si="7">IF(PBIOtherDebtSwitch="Yes",C525,0)</f>
        <v>0</v>
      </c>
      <c r="D17" s="170">
        <f t="shared" si="7"/>
        <v>0</v>
      </c>
      <c r="E17" s="170">
        <f t="shared" si="7"/>
        <v>0</v>
      </c>
      <c r="F17" s="170">
        <f t="shared" si="7"/>
        <v>0</v>
      </c>
      <c r="G17" s="170">
        <f t="shared" si="7"/>
        <v>0</v>
      </c>
      <c r="H17" s="170">
        <f t="shared" si="7"/>
        <v>0</v>
      </c>
      <c r="I17" s="170">
        <f t="shared" si="7"/>
        <v>0</v>
      </c>
      <c r="J17" s="170">
        <f t="shared" si="7"/>
        <v>0</v>
      </c>
      <c r="K17" s="170">
        <f t="shared" si="7"/>
        <v>0</v>
      </c>
      <c r="L17" s="170">
        <f t="shared" si="7"/>
        <v>0</v>
      </c>
      <c r="M17" s="170">
        <f t="shared" si="7"/>
        <v>0</v>
      </c>
      <c r="N17" s="170">
        <f t="shared" si="7"/>
        <v>0</v>
      </c>
      <c r="O17" s="170">
        <f t="shared" si="7"/>
        <v>0</v>
      </c>
      <c r="P17" s="170">
        <f t="shared" si="7"/>
        <v>0</v>
      </c>
      <c r="Q17" s="170">
        <f t="shared" si="7"/>
        <v>0</v>
      </c>
      <c r="R17" s="170">
        <f t="shared" si="7"/>
        <v>0</v>
      </c>
      <c r="S17" s="170">
        <f t="shared" si="7"/>
        <v>0</v>
      </c>
      <c r="T17" s="170">
        <f t="shared" si="7"/>
        <v>0</v>
      </c>
      <c r="U17" s="170">
        <f t="shared" si="7"/>
        <v>0</v>
      </c>
      <c r="V17" s="170">
        <f t="shared" si="7"/>
        <v>0</v>
      </c>
      <c r="W17" s="170">
        <f t="shared" si="7"/>
        <v>0</v>
      </c>
      <c r="X17" s="170">
        <f t="shared" si="7"/>
        <v>0</v>
      </c>
      <c r="Y17" s="170">
        <f t="shared" si="7"/>
        <v>0</v>
      </c>
      <c r="Z17" s="170">
        <f t="shared" si="7"/>
        <v>0</v>
      </c>
      <c r="AA17" s="170">
        <f t="shared" si="7"/>
        <v>0</v>
      </c>
      <c r="AB17" s="170">
        <f t="shared" si="7"/>
        <v>0</v>
      </c>
      <c r="AC17" s="170">
        <f t="shared" si="7"/>
        <v>0</v>
      </c>
      <c r="AD17" s="170">
        <f t="shared" si="7"/>
        <v>0</v>
      </c>
      <c r="AE17" s="170">
        <f t="shared" si="7"/>
        <v>0</v>
      </c>
      <c r="AF17" s="170">
        <f t="shared" si="7"/>
        <v>0</v>
      </c>
      <c r="AG17" s="170">
        <f t="shared" si="7"/>
        <v>0</v>
      </c>
      <c r="AH17" s="170">
        <f t="shared" si="7"/>
        <v>0</v>
      </c>
      <c r="AI17" s="170">
        <f t="shared" si="7"/>
        <v>0</v>
      </c>
      <c r="AJ17" s="170">
        <f t="shared" si="7"/>
        <v>0</v>
      </c>
      <c r="AK17" s="170">
        <f t="shared" si="7"/>
        <v>0</v>
      </c>
      <c r="AL17" s="170">
        <f t="shared" si="7"/>
        <v>0</v>
      </c>
      <c r="AM17" s="170">
        <f t="shared" si="7"/>
        <v>0</v>
      </c>
      <c r="AN17" s="170">
        <f t="shared" si="7"/>
        <v>0</v>
      </c>
      <c r="AO17" s="170">
        <f t="shared" si="7"/>
        <v>0</v>
      </c>
      <c r="AP17" s="170">
        <f t="shared" si="7"/>
        <v>0</v>
      </c>
    </row>
    <row r="18" spans="1:42" x14ac:dyDescent="0.2">
      <c r="A18" s="167" t="s">
        <v>78</v>
      </c>
      <c r="C18" s="171">
        <f>SUM(C14:C17)</f>
        <v>0</v>
      </c>
      <c r="D18" s="171">
        <f t="shared" ref="D18:AP18" si="8">SUM(D14:D17)</f>
        <v>0</v>
      </c>
      <c r="E18" s="171">
        <f t="shared" si="8"/>
        <v>0</v>
      </c>
      <c r="F18" s="171">
        <f t="shared" si="8"/>
        <v>0</v>
      </c>
      <c r="G18" s="171">
        <f t="shared" si="8"/>
        <v>0</v>
      </c>
      <c r="H18" s="171">
        <f t="shared" si="8"/>
        <v>0</v>
      </c>
      <c r="I18" s="171">
        <f t="shared" si="8"/>
        <v>0</v>
      </c>
      <c r="J18" s="171">
        <f t="shared" si="8"/>
        <v>0</v>
      </c>
      <c r="K18" s="171">
        <f t="shared" si="8"/>
        <v>0</v>
      </c>
      <c r="L18" s="171">
        <f t="shared" si="8"/>
        <v>0</v>
      </c>
      <c r="M18" s="171">
        <f t="shared" si="8"/>
        <v>0</v>
      </c>
      <c r="N18" s="171">
        <f t="shared" si="8"/>
        <v>0</v>
      </c>
      <c r="O18" s="171">
        <f t="shared" si="8"/>
        <v>0</v>
      </c>
      <c r="P18" s="171">
        <f t="shared" si="8"/>
        <v>0</v>
      </c>
      <c r="Q18" s="171">
        <f t="shared" si="8"/>
        <v>0</v>
      </c>
      <c r="R18" s="171">
        <f t="shared" si="8"/>
        <v>0</v>
      </c>
      <c r="S18" s="171">
        <f t="shared" si="8"/>
        <v>0</v>
      </c>
      <c r="T18" s="171">
        <f t="shared" si="8"/>
        <v>0</v>
      </c>
      <c r="U18" s="171">
        <f t="shared" si="8"/>
        <v>0</v>
      </c>
      <c r="V18" s="171">
        <f t="shared" si="8"/>
        <v>0</v>
      </c>
      <c r="W18" s="171">
        <f t="shared" si="8"/>
        <v>0</v>
      </c>
      <c r="X18" s="171">
        <f t="shared" si="8"/>
        <v>0</v>
      </c>
      <c r="Y18" s="171">
        <f t="shared" si="8"/>
        <v>0</v>
      </c>
      <c r="Z18" s="171">
        <f t="shared" si="8"/>
        <v>0</v>
      </c>
      <c r="AA18" s="171">
        <f t="shared" si="8"/>
        <v>0</v>
      </c>
      <c r="AB18" s="171">
        <f t="shared" si="8"/>
        <v>0</v>
      </c>
      <c r="AC18" s="171">
        <f t="shared" si="8"/>
        <v>0</v>
      </c>
      <c r="AD18" s="171">
        <f t="shared" si="8"/>
        <v>0</v>
      </c>
      <c r="AE18" s="171">
        <f t="shared" si="8"/>
        <v>0</v>
      </c>
      <c r="AF18" s="171">
        <f t="shared" si="8"/>
        <v>0</v>
      </c>
      <c r="AG18" s="171">
        <f t="shared" si="8"/>
        <v>0</v>
      </c>
      <c r="AH18" s="171">
        <f t="shared" si="8"/>
        <v>0</v>
      </c>
      <c r="AI18" s="171">
        <f t="shared" si="8"/>
        <v>0</v>
      </c>
      <c r="AJ18" s="171">
        <f t="shared" si="8"/>
        <v>0</v>
      </c>
      <c r="AK18" s="171">
        <f t="shared" si="8"/>
        <v>0</v>
      </c>
      <c r="AL18" s="171">
        <f t="shared" si="8"/>
        <v>0</v>
      </c>
      <c r="AM18" s="171">
        <f t="shared" si="8"/>
        <v>0</v>
      </c>
      <c r="AN18" s="171">
        <f t="shared" si="8"/>
        <v>0</v>
      </c>
      <c r="AO18" s="171">
        <f t="shared" si="8"/>
        <v>0</v>
      </c>
      <c r="AP18" s="171">
        <f t="shared" si="8"/>
        <v>0</v>
      </c>
    </row>
    <row r="19" spans="1:42" x14ac:dyDescent="0.2">
      <c r="A19" s="163" t="s">
        <v>138</v>
      </c>
      <c r="C19" s="170">
        <f t="shared" ref="C19:AP19" si="9">IF(C2=AnalysisPeriod,SalvageValue*PreFinancingInstalledCostTotal,0)</f>
        <v>0</v>
      </c>
      <c r="D19" s="170">
        <f t="shared" si="9"/>
        <v>0</v>
      </c>
      <c r="E19" s="170">
        <f t="shared" si="9"/>
        <v>0</v>
      </c>
      <c r="F19" s="170">
        <f t="shared" si="9"/>
        <v>0</v>
      </c>
      <c r="G19" s="170">
        <f t="shared" si="9"/>
        <v>0</v>
      </c>
      <c r="H19" s="170">
        <f t="shared" si="9"/>
        <v>0</v>
      </c>
      <c r="I19" s="170">
        <f t="shared" si="9"/>
        <v>0</v>
      </c>
      <c r="J19" s="170">
        <f t="shared" si="9"/>
        <v>0</v>
      </c>
      <c r="K19" s="170">
        <f t="shared" si="9"/>
        <v>0</v>
      </c>
      <c r="L19" s="170">
        <f t="shared" si="9"/>
        <v>0</v>
      </c>
      <c r="M19" s="170">
        <f t="shared" si="9"/>
        <v>0</v>
      </c>
      <c r="N19" s="170">
        <f t="shared" si="9"/>
        <v>0</v>
      </c>
      <c r="O19" s="170">
        <f t="shared" si="9"/>
        <v>0</v>
      </c>
      <c r="P19" s="170">
        <f t="shared" si="9"/>
        <v>0</v>
      </c>
      <c r="Q19" s="170">
        <f t="shared" si="9"/>
        <v>0</v>
      </c>
      <c r="R19" s="170">
        <f t="shared" si="9"/>
        <v>0</v>
      </c>
      <c r="S19" s="170">
        <f t="shared" si="9"/>
        <v>0</v>
      </c>
      <c r="T19" s="170">
        <f t="shared" si="9"/>
        <v>0</v>
      </c>
      <c r="U19" s="170">
        <f t="shared" si="9"/>
        <v>0</v>
      </c>
      <c r="V19" s="170">
        <f t="shared" si="9"/>
        <v>0</v>
      </c>
      <c r="W19" s="170">
        <f t="shared" si="9"/>
        <v>0</v>
      </c>
      <c r="X19" s="170">
        <f t="shared" si="9"/>
        <v>0</v>
      </c>
      <c r="Y19" s="170">
        <f t="shared" si="9"/>
        <v>0</v>
      </c>
      <c r="Z19" s="170">
        <f t="shared" si="9"/>
        <v>0</v>
      </c>
      <c r="AA19" s="170">
        <f t="shared" si="9"/>
        <v>0</v>
      </c>
      <c r="AB19" s="170">
        <f t="shared" si="9"/>
        <v>0</v>
      </c>
      <c r="AC19" s="170">
        <f t="shared" si="9"/>
        <v>0</v>
      </c>
      <c r="AD19" s="170">
        <f t="shared" si="9"/>
        <v>0</v>
      </c>
      <c r="AE19" s="170">
        <f t="shared" si="9"/>
        <v>0</v>
      </c>
      <c r="AF19" s="170">
        <f t="shared" si="9"/>
        <v>0</v>
      </c>
      <c r="AG19" s="170">
        <f t="shared" si="9"/>
        <v>0</v>
      </c>
      <c r="AH19" s="170">
        <f t="shared" si="9"/>
        <v>0</v>
      </c>
      <c r="AI19" s="170">
        <f t="shared" si="9"/>
        <v>0</v>
      </c>
      <c r="AJ19" s="170">
        <f t="shared" si="9"/>
        <v>0</v>
      </c>
      <c r="AK19" s="170">
        <f t="shared" si="9"/>
        <v>0</v>
      </c>
      <c r="AL19" s="170">
        <f t="shared" si="9"/>
        <v>0</v>
      </c>
      <c r="AM19" s="170">
        <f t="shared" si="9"/>
        <v>0</v>
      </c>
      <c r="AN19" s="170">
        <f t="shared" si="9"/>
        <v>0</v>
      </c>
      <c r="AO19" s="170">
        <f t="shared" si="9"/>
        <v>0</v>
      </c>
      <c r="AP19" s="170">
        <f t="shared" si="9"/>
        <v>4022715</v>
      </c>
    </row>
    <row r="20" spans="1:42" x14ac:dyDescent="0.2">
      <c r="A20" s="163" t="s">
        <v>238</v>
      </c>
      <c r="C20" s="135">
        <f t="shared" ref="C20:AP20" si="10">C12+C18+C19</f>
        <v>4261236.8546540421</v>
      </c>
      <c r="D20" s="135">
        <f t="shared" si="10"/>
        <v>4282329.9770845799</v>
      </c>
      <c r="E20" s="135">
        <f t="shared" si="10"/>
        <v>4303527.5104711493</v>
      </c>
      <c r="F20" s="135">
        <f t="shared" si="10"/>
        <v>4324829.9716479806</v>
      </c>
      <c r="G20" s="135">
        <f t="shared" si="10"/>
        <v>4346237.8800076386</v>
      </c>
      <c r="H20" s="135">
        <f t="shared" si="10"/>
        <v>4367751.7575136758</v>
      </c>
      <c r="I20" s="135">
        <f t="shared" si="10"/>
        <v>4389372.1287133694</v>
      </c>
      <c r="J20" s="135">
        <f t="shared" si="10"/>
        <v>4411099.5207504993</v>
      </c>
      <c r="K20" s="135">
        <f t="shared" si="10"/>
        <v>4432934.4633782161</v>
      </c>
      <c r="L20" s="135">
        <f t="shared" si="10"/>
        <v>4454877.4889719374</v>
      </c>
      <c r="M20" s="135">
        <f t="shared" si="10"/>
        <v>4476929.1325423494</v>
      </c>
      <c r="N20" s="135">
        <f t="shared" si="10"/>
        <v>4499089.931748433</v>
      </c>
      <c r="O20" s="135">
        <f t="shared" si="10"/>
        <v>4521360.4269105885</v>
      </c>
      <c r="P20" s="135">
        <f t="shared" si="10"/>
        <v>4543741.1610237956</v>
      </c>
      <c r="Q20" s="135">
        <f t="shared" si="10"/>
        <v>4566232.6797708645</v>
      </c>
      <c r="R20" s="135">
        <f t="shared" si="10"/>
        <v>4588835.5315357288</v>
      </c>
      <c r="S20" s="135">
        <f t="shared" si="10"/>
        <v>4611550.267416832</v>
      </c>
      <c r="T20" s="135">
        <f t="shared" si="10"/>
        <v>4634377.4412405454</v>
      </c>
      <c r="U20" s="135">
        <f t="shared" si="10"/>
        <v>4657317.6095746867</v>
      </c>
      <c r="V20" s="135">
        <f t="shared" si="10"/>
        <v>4680371.3317420799</v>
      </c>
      <c r="W20" s="135">
        <f t="shared" si="10"/>
        <v>4703539.169834204</v>
      </c>
      <c r="X20" s="135">
        <f t="shared" si="10"/>
        <v>4726821.6887248829</v>
      </c>
      <c r="Y20" s="135">
        <f t="shared" si="10"/>
        <v>4750219.4560840726</v>
      </c>
      <c r="Z20" s="135">
        <f t="shared" si="10"/>
        <v>4773733.0423916867</v>
      </c>
      <c r="AA20" s="135">
        <f t="shared" si="10"/>
        <v>4797363.0209515281</v>
      </c>
      <c r="AB20" s="135">
        <f t="shared" si="10"/>
        <v>4821109.9679052383</v>
      </c>
      <c r="AC20" s="135">
        <f t="shared" si="10"/>
        <v>4844974.4622463686</v>
      </c>
      <c r="AD20" s="135">
        <f t="shared" si="10"/>
        <v>4868957.0858344864</v>
      </c>
      <c r="AE20" s="135">
        <f t="shared" si="10"/>
        <v>4893058.4234093679</v>
      </c>
      <c r="AF20" s="135">
        <f t="shared" si="10"/>
        <v>4917279.062605246</v>
      </c>
      <c r="AG20" s="135">
        <f t="shared" si="10"/>
        <v>4941619.593965142</v>
      </c>
      <c r="AH20" s="135">
        <f t="shared" si="10"/>
        <v>4966080.6109552672</v>
      </c>
      <c r="AI20" s="135">
        <f t="shared" si="10"/>
        <v>4990662.7099794969</v>
      </c>
      <c r="AJ20" s="135">
        <f t="shared" si="10"/>
        <v>5015366.4903938957</v>
      </c>
      <c r="AK20" s="135">
        <f t="shared" si="10"/>
        <v>5040192.5545213455</v>
      </c>
      <c r="AL20" s="135">
        <f t="shared" si="10"/>
        <v>5065141.5076662255</v>
      </c>
      <c r="AM20" s="135">
        <f t="shared" si="10"/>
        <v>5090213.9581291731</v>
      </c>
      <c r="AN20" s="135">
        <f t="shared" si="10"/>
        <v>5115410.5172219137</v>
      </c>
      <c r="AO20" s="135">
        <f t="shared" si="10"/>
        <v>5140731.7992821625</v>
      </c>
      <c r="AP20" s="135">
        <f t="shared" si="10"/>
        <v>9188893.4216886088</v>
      </c>
    </row>
    <row r="21" spans="1:42" x14ac:dyDescent="0.2">
      <c r="A21" s="167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</row>
    <row r="22" spans="1:42" x14ac:dyDescent="0.2">
      <c r="A22" s="165" t="s">
        <v>49</v>
      </c>
      <c r="C22" s="135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</row>
    <row r="23" spans="1:42" x14ac:dyDescent="0.2">
      <c r="A23" s="20" t="s">
        <v>5</v>
      </c>
      <c r="C23" s="135">
        <f t="shared" ref="C23:AP23" si="11">IF(C$2&lt;=AnalysisPeriod,OMFixedAnnual*(1+Inflation+OMFixedAnnualRealEsc)^B$2,0)</f>
        <v>10000</v>
      </c>
      <c r="D23" s="135">
        <f t="shared" si="11"/>
        <v>10250</v>
      </c>
      <c r="E23" s="135">
        <f t="shared" si="11"/>
        <v>10506.25</v>
      </c>
      <c r="F23" s="135">
        <f t="shared" si="11"/>
        <v>10768.906249999998</v>
      </c>
      <c r="G23" s="135">
        <f t="shared" si="11"/>
        <v>11038.128906249998</v>
      </c>
      <c r="H23" s="135">
        <f t="shared" si="11"/>
        <v>11314.082128906246</v>
      </c>
      <c r="I23" s="135">
        <f t="shared" si="11"/>
        <v>11596.934182128902</v>
      </c>
      <c r="J23" s="135">
        <f t="shared" si="11"/>
        <v>11886.857536682124</v>
      </c>
      <c r="K23" s="135">
        <f t="shared" si="11"/>
        <v>12184.028975099178</v>
      </c>
      <c r="L23" s="135">
        <f t="shared" si="11"/>
        <v>12488.629699476654</v>
      </c>
      <c r="M23" s="135">
        <f t="shared" si="11"/>
        <v>12800.845441963571</v>
      </c>
      <c r="N23" s="135">
        <f t="shared" si="11"/>
        <v>13120.866578012659</v>
      </c>
      <c r="O23" s="135">
        <f t="shared" si="11"/>
        <v>13448.888242462976</v>
      </c>
      <c r="P23" s="135">
        <f t="shared" si="11"/>
        <v>13785.110448524549</v>
      </c>
      <c r="Q23" s="135">
        <f t="shared" si="11"/>
        <v>14129.738209737661</v>
      </c>
      <c r="R23" s="135">
        <f t="shared" si="11"/>
        <v>14482.981664981105</v>
      </c>
      <c r="S23" s="135">
        <f t="shared" si="11"/>
        <v>14845.056206605632</v>
      </c>
      <c r="T23" s="135">
        <f t="shared" si="11"/>
        <v>15216.18261177077</v>
      </c>
      <c r="U23" s="135">
        <f t="shared" si="11"/>
        <v>15596.587177065039</v>
      </c>
      <c r="V23" s="135">
        <f t="shared" si="11"/>
        <v>15986.501856491666</v>
      </c>
      <c r="W23" s="135">
        <f t="shared" si="11"/>
        <v>16386.164402903956</v>
      </c>
      <c r="X23" s="135">
        <f t="shared" si="11"/>
        <v>16795.818512976552</v>
      </c>
      <c r="Y23" s="135">
        <f t="shared" si="11"/>
        <v>17215.713975800965</v>
      </c>
      <c r="Z23" s="135">
        <f t="shared" si="11"/>
        <v>17646.106825195991</v>
      </c>
      <c r="AA23" s="135">
        <f t="shared" si="11"/>
        <v>18087.259495825889</v>
      </c>
      <c r="AB23" s="135">
        <f t="shared" si="11"/>
        <v>18539.440983221535</v>
      </c>
      <c r="AC23" s="135">
        <f t="shared" si="11"/>
        <v>19002.927007802071</v>
      </c>
      <c r="AD23" s="135">
        <f t="shared" si="11"/>
        <v>19478.000182997122</v>
      </c>
      <c r="AE23" s="135">
        <f t="shared" si="11"/>
        <v>19964.950187572049</v>
      </c>
      <c r="AF23" s="135">
        <f t="shared" si="11"/>
        <v>20464.073942261351</v>
      </c>
      <c r="AG23" s="135">
        <f t="shared" si="11"/>
        <v>20975.675790817881</v>
      </c>
      <c r="AH23" s="135">
        <f t="shared" si="11"/>
        <v>21500.067685588332</v>
      </c>
      <c r="AI23" s="135">
        <f t="shared" si="11"/>
        <v>22037.569377728036</v>
      </c>
      <c r="AJ23" s="135">
        <f t="shared" si="11"/>
        <v>22588.508612171237</v>
      </c>
      <c r="AK23" s="135">
        <f t="shared" si="11"/>
        <v>23153.221327475516</v>
      </c>
      <c r="AL23" s="135">
        <f t="shared" si="11"/>
        <v>23732.051860662403</v>
      </c>
      <c r="AM23" s="135">
        <f t="shared" si="11"/>
        <v>24325.353157178964</v>
      </c>
      <c r="AN23" s="135">
        <f t="shared" si="11"/>
        <v>24933.486986108433</v>
      </c>
      <c r="AO23" s="135">
        <f t="shared" si="11"/>
        <v>25556.824160761142</v>
      </c>
      <c r="AP23" s="135">
        <f t="shared" si="11"/>
        <v>26195.744764780171</v>
      </c>
    </row>
    <row r="24" spans="1:42" x14ac:dyDescent="0.2">
      <c r="A24" s="20" t="s">
        <v>7</v>
      </c>
    </row>
    <row r="25" spans="1:42" x14ac:dyDescent="0.2">
      <c r="A25" s="167" t="s">
        <v>51</v>
      </c>
      <c r="C25" s="135">
        <f t="shared" ref="C25:AP25" si="12">IF(C$2&lt;=AnalysisPeriod,CapacityDC,0)</f>
        <v>10000</v>
      </c>
      <c r="D25" s="135">
        <f t="shared" si="12"/>
        <v>10000</v>
      </c>
      <c r="E25" s="135">
        <f t="shared" si="12"/>
        <v>10000</v>
      </c>
      <c r="F25" s="135">
        <f t="shared" si="12"/>
        <v>10000</v>
      </c>
      <c r="G25" s="135">
        <f t="shared" si="12"/>
        <v>10000</v>
      </c>
      <c r="H25" s="135">
        <f t="shared" si="12"/>
        <v>10000</v>
      </c>
      <c r="I25" s="135">
        <f t="shared" si="12"/>
        <v>10000</v>
      </c>
      <c r="J25" s="135">
        <f t="shared" si="12"/>
        <v>10000</v>
      </c>
      <c r="K25" s="135">
        <f t="shared" si="12"/>
        <v>10000</v>
      </c>
      <c r="L25" s="135">
        <f t="shared" si="12"/>
        <v>10000</v>
      </c>
      <c r="M25" s="135">
        <f t="shared" si="12"/>
        <v>10000</v>
      </c>
      <c r="N25" s="135">
        <f t="shared" si="12"/>
        <v>10000</v>
      </c>
      <c r="O25" s="135">
        <f t="shared" si="12"/>
        <v>10000</v>
      </c>
      <c r="P25" s="135">
        <f t="shared" si="12"/>
        <v>10000</v>
      </c>
      <c r="Q25" s="135">
        <f t="shared" si="12"/>
        <v>10000</v>
      </c>
      <c r="R25" s="135">
        <f t="shared" si="12"/>
        <v>10000</v>
      </c>
      <c r="S25" s="135">
        <f t="shared" si="12"/>
        <v>10000</v>
      </c>
      <c r="T25" s="135">
        <f t="shared" si="12"/>
        <v>10000</v>
      </c>
      <c r="U25" s="135">
        <f t="shared" si="12"/>
        <v>10000</v>
      </c>
      <c r="V25" s="135">
        <f t="shared" si="12"/>
        <v>10000</v>
      </c>
      <c r="W25" s="135">
        <f t="shared" si="12"/>
        <v>10000</v>
      </c>
      <c r="X25" s="135">
        <f t="shared" si="12"/>
        <v>10000</v>
      </c>
      <c r="Y25" s="135">
        <f t="shared" si="12"/>
        <v>10000</v>
      </c>
      <c r="Z25" s="135">
        <f t="shared" si="12"/>
        <v>10000</v>
      </c>
      <c r="AA25" s="135">
        <f t="shared" si="12"/>
        <v>10000</v>
      </c>
      <c r="AB25" s="135">
        <f t="shared" si="12"/>
        <v>10000</v>
      </c>
      <c r="AC25" s="135">
        <f t="shared" si="12"/>
        <v>10000</v>
      </c>
      <c r="AD25" s="135">
        <f t="shared" si="12"/>
        <v>10000</v>
      </c>
      <c r="AE25" s="135">
        <f t="shared" si="12"/>
        <v>10000</v>
      </c>
      <c r="AF25" s="135">
        <f t="shared" si="12"/>
        <v>10000</v>
      </c>
      <c r="AG25" s="135">
        <f t="shared" si="12"/>
        <v>10000</v>
      </c>
      <c r="AH25" s="135">
        <f t="shared" si="12"/>
        <v>10000</v>
      </c>
      <c r="AI25" s="135">
        <f t="shared" si="12"/>
        <v>10000</v>
      </c>
      <c r="AJ25" s="135">
        <f t="shared" si="12"/>
        <v>10000</v>
      </c>
      <c r="AK25" s="135">
        <f t="shared" si="12"/>
        <v>10000</v>
      </c>
      <c r="AL25" s="135">
        <f t="shared" si="12"/>
        <v>10000</v>
      </c>
      <c r="AM25" s="135">
        <f t="shared" si="12"/>
        <v>10000</v>
      </c>
      <c r="AN25" s="135">
        <f t="shared" si="12"/>
        <v>10000</v>
      </c>
      <c r="AO25" s="135">
        <f t="shared" si="12"/>
        <v>10000</v>
      </c>
      <c r="AP25" s="135">
        <f t="shared" si="12"/>
        <v>10000</v>
      </c>
    </row>
    <row r="26" spans="1:42" x14ac:dyDescent="0.2">
      <c r="A26" s="167" t="s">
        <v>52</v>
      </c>
      <c r="C26" s="168">
        <f t="shared" ref="C26:AP26" si="13">IF(C$2&lt;=AnalysisPeriod,OMCapacity*(1+Inflation+OMCapacityRealEsc)^B$2,0)</f>
        <v>22</v>
      </c>
      <c r="D26" s="168">
        <f t="shared" si="13"/>
        <v>22.494999999999997</v>
      </c>
      <c r="E26" s="168">
        <f t="shared" si="13"/>
        <v>23.001137499999999</v>
      </c>
      <c r="F26" s="168">
        <f t="shared" si="13"/>
        <v>23.518663093749996</v>
      </c>
      <c r="G26" s="168">
        <f t="shared" si="13"/>
        <v>24.047833013359369</v>
      </c>
      <c r="H26" s="168">
        <f t="shared" si="13"/>
        <v>24.588909256159958</v>
      </c>
      <c r="I26" s="168">
        <f t="shared" si="13"/>
        <v>25.142159714423553</v>
      </c>
      <c r="J26" s="168">
        <f t="shared" si="13"/>
        <v>25.70785830799808</v>
      </c>
      <c r="K26" s="168">
        <f t="shared" si="13"/>
        <v>26.286285119928035</v>
      </c>
      <c r="L26" s="168">
        <f t="shared" si="13"/>
        <v>26.877726535126413</v>
      </c>
      <c r="M26" s="168">
        <f t="shared" si="13"/>
        <v>27.482475382166754</v>
      </c>
      <c r="N26" s="168">
        <f t="shared" si="13"/>
        <v>28.100831078265504</v>
      </c>
      <c r="O26" s="168">
        <f t="shared" si="13"/>
        <v>28.73309977752648</v>
      </c>
      <c r="P26" s="168">
        <f t="shared" si="13"/>
        <v>29.379594522520826</v>
      </c>
      <c r="Q26" s="168">
        <f t="shared" si="13"/>
        <v>30.040635399277544</v>
      </c>
      <c r="R26" s="168">
        <f t="shared" si="13"/>
        <v>30.716549695761287</v>
      </c>
      <c r="S26" s="168">
        <f t="shared" si="13"/>
        <v>31.407672063915907</v>
      </c>
      <c r="T26" s="168">
        <f t="shared" si="13"/>
        <v>32.114344685354013</v>
      </c>
      <c r="U26" s="168">
        <f t="shared" si="13"/>
        <v>32.836917440774478</v>
      </c>
      <c r="V26" s="168">
        <f t="shared" si="13"/>
        <v>33.575748083191904</v>
      </c>
      <c r="W26" s="168">
        <f t="shared" si="13"/>
        <v>34.331202415063721</v>
      </c>
      <c r="X26" s="168">
        <f t="shared" si="13"/>
        <v>35.103654469402656</v>
      </c>
      <c r="Y26" s="168">
        <f t="shared" si="13"/>
        <v>35.89348669496421</v>
      </c>
      <c r="Z26" s="168">
        <f t="shared" si="13"/>
        <v>36.701090145600901</v>
      </c>
      <c r="AA26" s="168">
        <f t="shared" si="13"/>
        <v>37.526864673876915</v>
      </c>
      <c r="AB26" s="168">
        <f t="shared" si="13"/>
        <v>38.37121912903914</v>
      </c>
      <c r="AC26" s="168">
        <f t="shared" si="13"/>
        <v>39.234571559442522</v>
      </c>
      <c r="AD26" s="168">
        <f t="shared" si="13"/>
        <v>40.117349419529972</v>
      </c>
      <c r="AE26" s="168">
        <f t="shared" si="13"/>
        <v>41.019989781469398</v>
      </c>
      <c r="AF26" s="168">
        <f t="shared" si="13"/>
        <v>41.942939551552463</v>
      </c>
      <c r="AG26" s="168">
        <f t="shared" si="13"/>
        <v>42.886655691462394</v>
      </c>
      <c r="AH26" s="168">
        <f t="shared" si="13"/>
        <v>43.851605444520295</v>
      </c>
      <c r="AI26" s="168">
        <f t="shared" si="13"/>
        <v>44.838266567021989</v>
      </c>
      <c r="AJ26" s="168">
        <f t="shared" si="13"/>
        <v>45.847127564779981</v>
      </c>
      <c r="AK26" s="168">
        <f t="shared" si="13"/>
        <v>46.878687934987525</v>
      </c>
      <c r="AL26" s="168">
        <f t="shared" si="13"/>
        <v>47.933458413524747</v>
      </c>
      <c r="AM26" s="168">
        <f t="shared" si="13"/>
        <v>49.011961227829048</v>
      </c>
      <c r="AN26" s="168">
        <f t="shared" si="13"/>
        <v>50.114730355455208</v>
      </c>
      <c r="AO26" s="168">
        <f t="shared" si="13"/>
        <v>51.242311788452945</v>
      </c>
      <c r="AP26" s="168">
        <f t="shared" si="13"/>
        <v>52.395263803693133</v>
      </c>
    </row>
    <row r="27" spans="1:42" x14ac:dyDescent="0.2">
      <c r="A27" s="167" t="s">
        <v>53</v>
      </c>
      <c r="C27" s="135">
        <f>C25*C26</f>
        <v>220000</v>
      </c>
      <c r="D27" s="135">
        <f t="shared" ref="D27:AP27" si="14">D25*D26</f>
        <v>224949.99999999997</v>
      </c>
      <c r="E27" s="135">
        <f t="shared" si="14"/>
        <v>230011.375</v>
      </c>
      <c r="F27" s="135">
        <f t="shared" si="14"/>
        <v>235186.63093749995</v>
      </c>
      <c r="G27" s="135">
        <f t="shared" si="14"/>
        <v>240478.3301335937</v>
      </c>
      <c r="H27" s="135">
        <f t="shared" si="14"/>
        <v>245889.09256159959</v>
      </c>
      <c r="I27" s="135">
        <f t="shared" si="14"/>
        <v>251421.59714423554</v>
      </c>
      <c r="J27" s="135">
        <f t="shared" si="14"/>
        <v>257078.5830799808</v>
      </c>
      <c r="K27" s="135">
        <f t="shared" si="14"/>
        <v>262862.85119928035</v>
      </c>
      <c r="L27" s="135">
        <f t="shared" si="14"/>
        <v>268777.26535126416</v>
      </c>
      <c r="M27" s="135">
        <f t="shared" si="14"/>
        <v>274824.75382166752</v>
      </c>
      <c r="N27" s="135">
        <f t="shared" si="14"/>
        <v>281008.31078265503</v>
      </c>
      <c r="O27" s="135">
        <f t="shared" si="14"/>
        <v>287330.99777526478</v>
      </c>
      <c r="P27" s="135">
        <f t="shared" si="14"/>
        <v>293795.94522520824</v>
      </c>
      <c r="Q27" s="135">
        <f t="shared" si="14"/>
        <v>300406.35399277543</v>
      </c>
      <c r="R27" s="135">
        <f t="shared" si="14"/>
        <v>307165.49695761286</v>
      </c>
      <c r="S27" s="135">
        <f t="shared" si="14"/>
        <v>314076.72063915909</v>
      </c>
      <c r="T27" s="135">
        <f t="shared" si="14"/>
        <v>321143.44685354014</v>
      </c>
      <c r="U27" s="135">
        <f t="shared" si="14"/>
        <v>328369.17440774478</v>
      </c>
      <c r="V27" s="135">
        <f t="shared" si="14"/>
        <v>335757.48083191906</v>
      </c>
      <c r="W27" s="135">
        <f t="shared" si="14"/>
        <v>343312.02415063721</v>
      </c>
      <c r="X27" s="135">
        <f t="shared" si="14"/>
        <v>351036.54469402658</v>
      </c>
      <c r="Y27" s="135">
        <f t="shared" si="14"/>
        <v>358934.86694964208</v>
      </c>
      <c r="Z27" s="135">
        <f t="shared" si="14"/>
        <v>367010.90145600901</v>
      </c>
      <c r="AA27" s="135">
        <f t="shared" si="14"/>
        <v>375268.64673876914</v>
      </c>
      <c r="AB27" s="135">
        <f t="shared" si="14"/>
        <v>383712.19129039138</v>
      </c>
      <c r="AC27" s="135">
        <f t="shared" si="14"/>
        <v>392345.71559442522</v>
      </c>
      <c r="AD27" s="135">
        <f t="shared" si="14"/>
        <v>401173.49419529975</v>
      </c>
      <c r="AE27" s="135">
        <f t="shared" si="14"/>
        <v>410199.89781469398</v>
      </c>
      <c r="AF27" s="135">
        <f t="shared" si="14"/>
        <v>419429.39551552461</v>
      </c>
      <c r="AG27" s="135">
        <f t="shared" si="14"/>
        <v>428866.55691462394</v>
      </c>
      <c r="AH27" s="135">
        <f t="shared" si="14"/>
        <v>438516.05444520293</v>
      </c>
      <c r="AI27" s="135">
        <f t="shared" si="14"/>
        <v>448382.66567021987</v>
      </c>
      <c r="AJ27" s="135">
        <f t="shared" si="14"/>
        <v>458471.27564779983</v>
      </c>
      <c r="AK27" s="135">
        <f t="shared" si="14"/>
        <v>468786.87934987526</v>
      </c>
      <c r="AL27" s="135">
        <f t="shared" si="14"/>
        <v>479334.58413524745</v>
      </c>
      <c r="AM27" s="135">
        <f t="shared" si="14"/>
        <v>490119.6122782905</v>
      </c>
      <c r="AN27" s="135">
        <f t="shared" si="14"/>
        <v>501147.30355455208</v>
      </c>
      <c r="AO27" s="135">
        <f t="shared" si="14"/>
        <v>512423.11788452946</v>
      </c>
      <c r="AP27" s="135">
        <f t="shared" si="14"/>
        <v>523952.63803693134</v>
      </c>
    </row>
    <row r="28" spans="1:42" x14ac:dyDescent="0.2">
      <c r="A28" s="20" t="s">
        <v>9</v>
      </c>
    </row>
    <row r="29" spans="1:42" x14ac:dyDescent="0.2">
      <c r="A29" s="167" t="s">
        <v>55</v>
      </c>
      <c r="C29" s="135">
        <f>C5/1000</f>
        <v>16188.48</v>
      </c>
      <c r="D29" s="135">
        <f t="shared" ref="D29:AP29" si="15">D5/1000</f>
        <v>16107.5376</v>
      </c>
      <c r="E29" s="135">
        <f t="shared" si="15"/>
        <v>16026.999912000001</v>
      </c>
      <c r="F29" s="135">
        <f t="shared" si="15"/>
        <v>15946.86491244</v>
      </c>
      <c r="G29" s="135">
        <f t="shared" si="15"/>
        <v>15867.1305878778</v>
      </c>
      <c r="H29" s="135">
        <f t="shared" si="15"/>
        <v>15787.794934938413</v>
      </c>
      <c r="I29" s="135">
        <f t="shared" si="15"/>
        <v>15708.85596026372</v>
      </c>
      <c r="J29" s="135">
        <f t="shared" si="15"/>
        <v>15630.311680462401</v>
      </c>
      <c r="K29" s="135">
        <f t="shared" si="15"/>
        <v>15552.16012206009</v>
      </c>
      <c r="L29" s="135">
        <f t="shared" si="15"/>
        <v>15474.399321449788</v>
      </c>
      <c r="M29" s="135">
        <f t="shared" si="15"/>
        <v>15397.02732484254</v>
      </c>
      <c r="N29" s="135">
        <f t="shared" si="15"/>
        <v>15320.042188218327</v>
      </c>
      <c r="O29" s="135">
        <f t="shared" si="15"/>
        <v>15243.441977277236</v>
      </c>
      <c r="P29" s="135">
        <f t="shared" si="15"/>
        <v>15167.224767390851</v>
      </c>
      <c r="Q29" s="135">
        <f t="shared" si="15"/>
        <v>15091.388643553897</v>
      </c>
      <c r="R29" s="135">
        <f t="shared" si="15"/>
        <v>15015.931700336127</v>
      </c>
      <c r="S29" s="135">
        <f t="shared" si="15"/>
        <v>14940.852041834445</v>
      </c>
      <c r="T29" s="135">
        <f t="shared" si="15"/>
        <v>14866.147781625275</v>
      </c>
      <c r="U29" s="135">
        <f t="shared" si="15"/>
        <v>14791.817042717148</v>
      </c>
      <c r="V29" s="135">
        <f t="shared" si="15"/>
        <v>14717.85795750356</v>
      </c>
      <c r="W29" s="135">
        <f t="shared" si="15"/>
        <v>14644.268667716045</v>
      </c>
      <c r="X29" s="135">
        <f t="shared" si="15"/>
        <v>14571.047324377465</v>
      </c>
      <c r="Y29" s="135">
        <f t="shared" si="15"/>
        <v>14498.192087755579</v>
      </c>
      <c r="Z29" s="135">
        <f t="shared" si="15"/>
        <v>14425.701127316799</v>
      </c>
      <c r="AA29" s="135">
        <f t="shared" si="15"/>
        <v>14353.572621680216</v>
      </c>
      <c r="AB29" s="135">
        <f t="shared" si="15"/>
        <v>14281.804758571814</v>
      </c>
      <c r="AC29" s="135">
        <f t="shared" si="15"/>
        <v>14210.395734778956</v>
      </c>
      <c r="AD29" s="135">
        <f t="shared" si="15"/>
        <v>14139.34375610506</v>
      </c>
      <c r="AE29" s="135">
        <f t="shared" si="15"/>
        <v>14068.647037324537</v>
      </c>
      <c r="AF29" s="135">
        <f t="shared" si="15"/>
        <v>13998.303802137914</v>
      </c>
      <c r="AG29" s="135">
        <f t="shared" si="15"/>
        <v>13928.312283127225</v>
      </c>
      <c r="AH29" s="135">
        <f t="shared" si="15"/>
        <v>13858.670721711587</v>
      </c>
      <c r="AI29" s="135">
        <f t="shared" si="15"/>
        <v>13789.377368103029</v>
      </c>
      <c r="AJ29" s="135">
        <f t="shared" si="15"/>
        <v>13720.430481262514</v>
      </c>
      <c r="AK29" s="135">
        <f t="shared" si="15"/>
        <v>13651.828328856202</v>
      </c>
      <c r="AL29" s="135">
        <f t="shared" si="15"/>
        <v>13583.569187211922</v>
      </c>
      <c r="AM29" s="135">
        <f t="shared" si="15"/>
        <v>13515.651341275861</v>
      </c>
      <c r="AN29" s="135">
        <f t="shared" si="15"/>
        <v>13448.073084569483</v>
      </c>
      <c r="AO29" s="135">
        <f t="shared" si="15"/>
        <v>13380.832719146636</v>
      </c>
      <c r="AP29" s="135">
        <f t="shared" si="15"/>
        <v>13313.928555550903</v>
      </c>
    </row>
    <row r="30" spans="1:42" x14ac:dyDescent="0.2">
      <c r="A30" s="167" t="s">
        <v>56</v>
      </c>
      <c r="C30" s="168">
        <f t="shared" ref="C30:AP30" si="16">IF(C$2&lt;=AnalysisPeriod,OMVariable*(1+Inflation+OMVariableRealEsc)^B$2,0)</f>
        <v>3.5</v>
      </c>
      <c r="D30" s="168">
        <f t="shared" si="16"/>
        <v>3.5524999999999998</v>
      </c>
      <c r="E30" s="168">
        <f t="shared" si="16"/>
        <v>3.605787499999999</v>
      </c>
      <c r="F30" s="168">
        <f t="shared" si="16"/>
        <v>3.6598743124999986</v>
      </c>
      <c r="G30" s="168">
        <f t="shared" si="16"/>
        <v>3.7147724271874978</v>
      </c>
      <c r="H30" s="168">
        <f t="shared" si="16"/>
        <v>3.77049401359531</v>
      </c>
      <c r="I30" s="168">
        <f t="shared" si="16"/>
        <v>3.8270514237992388</v>
      </c>
      <c r="J30" s="168">
        <f t="shared" si="16"/>
        <v>3.884457195156227</v>
      </c>
      <c r="K30" s="168">
        <f t="shared" si="16"/>
        <v>3.9427240530835701</v>
      </c>
      <c r="L30" s="168">
        <f t="shared" si="16"/>
        <v>4.0018649138798228</v>
      </c>
      <c r="M30" s="168">
        <f t="shared" si="16"/>
        <v>4.0618928875880203</v>
      </c>
      <c r="N30" s="168">
        <f t="shared" si="16"/>
        <v>4.1228212809018396</v>
      </c>
      <c r="O30" s="168">
        <f t="shared" si="16"/>
        <v>4.1846636001153668</v>
      </c>
      <c r="P30" s="168">
        <f t="shared" si="16"/>
        <v>4.2474335541170962</v>
      </c>
      <c r="Q30" s="168">
        <f t="shared" si="16"/>
        <v>4.3111450574288517</v>
      </c>
      <c r="R30" s="168">
        <f t="shared" si="16"/>
        <v>4.3758122332902847</v>
      </c>
      <c r="S30" s="168">
        <f t="shared" si="16"/>
        <v>4.4414494167896379</v>
      </c>
      <c r="T30" s="168">
        <f t="shared" si="16"/>
        <v>4.5080711580414814</v>
      </c>
      <c r="U30" s="168">
        <f t="shared" si="16"/>
        <v>4.5756922254121033</v>
      </c>
      <c r="V30" s="168">
        <f t="shared" si="16"/>
        <v>4.6443276087932848</v>
      </c>
      <c r="W30" s="168">
        <f t="shared" si="16"/>
        <v>4.7139925229251824</v>
      </c>
      <c r="X30" s="168">
        <f t="shared" si="16"/>
        <v>4.7847024107690599</v>
      </c>
      <c r="Y30" s="168">
        <f t="shared" si="16"/>
        <v>4.8564729469305945</v>
      </c>
      <c r="Z30" s="168">
        <f t="shared" si="16"/>
        <v>4.9293200411345532</v>
      </c>
      <c r="AA30" s="168">
        <f t="shared" si="16"/>
        <v>5.0032598417515715</v>
      </c>
      <c r="AB30" s="168">
        <f t="shared" si="16"/>
        <v>5.0783087393778441</v>
      </c>
      <c r="AC30" s="168">
        <f t="shared" si="16"/>
        <v>5.1544833704685109</v>
      </c>
      <c r="AD30" s="168">
        <f t="shared" si="16"/>
        <v>5.2318006210255383</v>
      </c>
      <c r="AE30" s="168">
        <f t="shared" si="16"/>
        <v>5.31027763034092</v>
      </c>
      <c r="AF30" s="168">
        <f t="shared" si="16"/>
        <v>5.3899317947960341</v>
      </c>
      <c r="AG30" s="168">
        <f t="shared" si="16"/>
        <v>5.4707807717179726</v>
      </c>
      <c r="AH30" s="168">
        <f t="shared" si="16"/>
        <v>5.552842483293742</v>
      </c>
      <c r="AI30" s="168">
        <f t="shared" si="16"/>
        <v>5.6361351205431474</v>
      </c>
      <c r="AJ30" s="168">
        <f t="shared" si="16"/>
        <v>5.7206771473512932</v>
      </c>
      <c r="AK30" s="168">
        <f t="shared" si="16"/>
        <v>5.8064873045615624</v>
      </c>
      <c r="AL30" s="168">
        <f t="shared" si="16"/>
        <v>5.8935846141299848</v>
      </c>
      <c r="AM30" s="168">
        <f t="shared" si="16"/>
        <v>5.9819883833419345</v>
      </c>
      <c r="AN30" s="168">
        <f t="shared" si="16"/>
        <v>6.0717182090920616</v>
      </c>
      <c r="AO30" s="168">
        <f t="shared" si="16"/>
        <v>6.1627939822284423</v>
      </c>
      <c r="AP30" s="168">
        <f t="shared" si="16"/>
        <v>6.2552358919618678</v>
      </c>
    </row>
    <row r="31" spans="1:42" x14ac:dyDescent="0.2">
      <c r="A31" s="167" t="s">
        <v>53</v>
      </c>
      <c r="C31" s="171">
        <f>C29*C30</f>
        <v>56659.68</v>
      </c>
      <c r="D31" s="171">
        <f t="shared" ref="D31:AP31" si="17">D29*D30</f>
        <v>57222.027323999995</v>
      </c>
      <c r="E31" s="171">
        <f t="shared" si="17"/>
        <v>57789.95594519069</v>
      </c>
      <c r="F31" s="171">
        <f t="shared" si="17"/>
        <v>58363.521257946697</v>
      </c>
      <c r="G31" s="171">
        <f t="shared" si="17"/>
        <v>58942.779206431806</v>
      </c>
      <c r="H31" s="171">
        <f t="shared" si="17"/>
        <v>59527.786290055643</v>
      </c>
      <c r="I31" s="171">
        <f t="shared" si="17"/>
        <v>60118.599568984428</v>
      </c>
      <c r="J31" s="171">
        <f t="shared" si="17"/>
        <v>60715.276669706589</v>
      </c>
      <c r="K31" s="171">
        <f t="shared" si="17"/>
        <v>61317.87579065343</v>
      </c>
      <c r="L31" s="171">
        <f t="shared" si="17"/>
        <v>61926.455707875641</v>
      </c>
      <c r="M31" s="171">
        <f t="shared" si="17"/>
        <v>62541.075780776315</v>
      </c>
      <c r="N31" s="171">
        <f t="shared" si="17"/>
        <v>63161.795957900504</v>
      </c>
      <c r="O31" s="171">
        <f t="shared" si="17"/>
        <v>63788.676782782662</v>
      </c>
      <c r="P31" s="171">
        <f t="shared" si="17"/>
        <v>64421.779399851774</v>
      </c>
      <c r="Q31" s="171">
        <f t="shared" si="17"/>
        <v>65061.165560395282</v>
      </c>
      <c r="R31" s="171">
        <f t="shared" si="17"/>
        <v>65706.897628582214</v>
      </c>
      <c r="S31" s="171">
        <f t="shared" si="17"/>
        <v>66359.03858754586</v>
      </c>
      <c r="T31" s="171">
        <f t="shared" si="17"/>
        <v>67017.652045527255</v>
      </c>
      <c r="U31" s="171">
        <f t="shared" si="17"/>
        <v>67682.802242079109</v>
      </c>
      <c r="V31" s="171">
        <f t="shared" si="17"/>
        <v>68354.554054331733</v>
      </c>
      <c r="W31" s="171">
        <f t="shared" si="17"/>
        <v>69032.973003320963</v>
      </c>
      <c r="X31" s="171">
        <f t="shared" si="17"/>
        <v>69718.125260378918</v>
      </c>
      <c r="Y31" s="171">
        <f t="shared" si="17"/>
        <v>70410.07765358816</v>
      </c>
      <c r="Z31" s="171">
        <f t="shared" si="17"/>
        <v>71108.897674300009</v>
      </c>
      <c r="AA31" s="171">
        <f t="shared" si="17"/>
        <v>71814.65348371744</v>
      </c>
      <c r="AB31" s="171">
        <f t="shared" si="17"/>
        <v>72527.413919543324</v>
      </c>
      <c r="AC31" s="171">
        <f t="shared" si="17"/>
        <v>73247.248502694783</v>
      </c>
      <c r="AD31" s="171">
        <f t="shared" si="17"/>
        <v>73974.227444084012</v>
      </c>
      <c r="AE31" s="171">
        <f t="shared" si="17"/>
        <v>74708.421651466546</v>
      </c>
      <c r="AF31" s="171">
        <f t="shared" si="17"/>
        <v>75449.902736357355</v>
      </c>
      <c r="AG31" s="171">
        <f t="shared" si="17"/>
        <v>76198.743021015674</v>
      </c>
      <c r="AH31" s="171">
        <f t="shared" si="17"/>
        <v>76955.015545499249</v>
      </c>
      <c r="AI31" s="171">
        <f t="shared" si="17"/>
        <v>77718.794074788311</v>
      </c>
      <c r="AJ31" s="171">
        <f t="shared" si="17"/>
        <v>78490.153105980571</v>
      </c>
      <c r="AK31" s="171">
        <f t="shared" si="17"/>
        <v>79269.167875557425</v>
      </c>
      <c r="AL31" s="171">
        <f t="shared" si="17"/>
        <v>80055.914366722325</v>
      </c>
      <c r="AM31" s="171">
        <f t="shared" si="17"/>
        <v>80850.469316812043</v>
      </c>
      <c r="AN31" s="171">
        <f t="shared" si="17"/>
        <v>81652.910224781386</v>
      </c>
      <c r="AO31" s="171">
        <f t="shared" si="17"/>
        <v>82463.315358762338</v>
      </c>
      <c r="AP31" s="171">
        <f t="shared" si="17"/>
        <v>83281.763763698036</v>
      </c>
    </row>
    <row r="32" spans="1:42" x14ac:dyDescent="0.2">
      <c r="A32" s="163" t="s">
        <v>22</v>
      </c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</row>
    <row r="33" spans="1:42" x14ac:dyDescent="0.2">
      <c r="A33" s="172" t="s">
        <v>257</v>
      </c>
      <c r="C33" s="169">
        <f>IF(C$2&lt;=AnalysisPeriod,'Inputs &amp; Results'!$J$6,0)</f>
        <v>40227150</v>
      </c>
      <c r="D33" s="169">
        <f>IF(D$2&lt;=AnalysisPeriod,'Inputs &amp; Results'!$J$6,0)</f>
        <v>40227150</v>
      </c>
      <c r="E33" s="169">
        <f>IF(E$2&lt;=AnalysisPeriod,'Inputs &amp; Results'!$J$6,0)</f>
        <v>40227150</v>
      </c>
      <c r="F33" s="169">
        <f>IF(F$2&lt;=AnalysisPeriod,'Inputs &amp; Results'!$J$6,0)</f>
        <v>40227150</v>
      </c>
      <c r="G33" s="169">
        <f>IF(G$2&lt;=AnalysisPeriod,'Inputs &amp; Results'!$J$6,0)</f>
        <v>40227150</v>
      </c>
      <c r="H33" s="169">
        <f>IF(H$2&lt;=AnalysisPeriod,'Inputs &amp; Results'!$J$6,0)</f>
        <v>40227150</v>
      </c>
      <c r="I33" s="169">
        <f>IF(I$2&lt;=AnalysisPeriod,'Inputs &amp; Results'!$J$6,0)</f>
        <v>40227150</v>
      </c>
      <c r="J33" s="169">
        <f>IF(J$2&lt;=AnalysisPeriod,'Inputs &amp; Results'!$J$6,0)</f>
        <v>40227150</v>
      </c>
      <c r="K33" s="169">
        <f>IF(K$2&lt;=AnalysisPeriod,'Inputs &amp; Results'!$J$6,0)</f>
        <v>40227150</v>
      </c>
      <c r="L33" s="169">
        <f>IF(L$2&lt;=AnalysisPeriod,'Inputs &amp; Results'!$J$6,0)</f>
        <v>40227150</v>
      </c>
      <c r="M33" s="169">
        <f>IF(M$2&lt;=AnalysisPeriod,'Inputs &amp; Results'!$J$6,0)</f>
        <v>40227150</v>
      </c>
      <c r="N33" s="169">
        <f>IF(N$2&lt;=AnalysisPeriod,'Inputs &amp; Results'!$J$6,0)</f>
        <v>40227150</v>
      </c>
      <c r="O33" s="169">
        <f>IF(O$2&lt;=AnalysisPeriod,'Inputs &amp; Results'!$J$6,0)</f>
        <v>40227150</v>
      </c>
      <c r="P33" s="169">
        <f>IF(P$2&lt;=AnalysisPeriod,'Inputs &amp; Results'!$J$6,0)</f>
        <v>40227150</v>
      </c>
      <c r="Q33" s="169">
        <f>IF(Q$2&lt;=AnalysisPeriod,'Inputs &amp; Results'!$J$6,0)</f>
        <v>40227150</v>
      </c>
      <c r="R33" s="169">
        <f>IF(R$2&lt;=AnalysisPeriod,'Inputs &amp; Results'!$J$6,0)</f>
        <v>40227150</v>
      </c>
      <c r="S33" s="169">
        <f>IF(S$2&lt;=AnalysisPeriod,'Inputs &amp; Results'!$J$6,0)</f>
        <v>40227150</v>
      </c>
      <c r="T33" s="169">
        <f>IF(T$2&lt;=AnalysisPeriod,'Inputs &amp; Results'!$J$6,0)</f>
        <v>40227150</v>
      </c>
      <c r="U33" s="169">
        <f>IF(U$2&lt;=AnalysisPeriod,'Inputs &amp; Results'!$J$6,0)</f>
        <v>40227150</v>
      </c>
      <c r="V33" s="169">
        <f>IF(V$2&lt;=AnalysisPeriod,'Inputs &amp; Results'!$J$6,0)</f>
        <v>40227150</v>
      </c>
      <c r="W33" s="169">
        <f>IF(W$2&lt;=AnalysisPeriod,'Inputs &amp; Results'!$J$6,0)</f>
        <v>40227150</v>
      </c>
      <c r="X33" s="169">
        <f>IF(X$2&lt;=AnalysisPeriod,'Inputs &amp; Results'!$J$6,0)</f>
        <v>40227150</v>
      </c>
      <c r="Y33" s="169">
        <f>IF(Y$2&lt;=AnalysisPeriod,'Inputs &amp; Results'!$J$6,0)</f>
        <v>40227150</v>
      </c>
      <c r="Z33" s="169">
        <f>IF(Z$2&lt;=AnalysisPeriod,'Inputs &amp; Results'!$J$6,0)</f>
        <v>40227150</v>
      </c>
      <c r="AA33" s="169">
        <f>IF(AA$2&lt;=AnalysisPeriod,'Inputs &amp; Results'!$J$6,0)</f>
        <v>40227150</v>
      </c>
      <c r="AB33" s="169">
        <f>IF(AB$2&lt;=AnalysisPeriod,'Inputs &amp; Results'!$J$6,0)</f>
        <v>40227150</v>
      </c>
      <c r="AC33" s="169">
        <f>IF(AC$2&lt;=AnalysisPeriod,'Inputs &amp; Results'!$J$6,0)</f>
        <v>40227150</v>
      </c>
      <c r="AD33" s="169">
        <f>IF(AD$2&lt;=AnalysisPeriod,'Inputs &amp; Results'!$J$6,0)</f>
        <v>40227150</v>
      </c>
      <c r="AE33" s="169">
        <f>IF(AE$2&lt;=AnalysisPeriod,'Inputs &amp; Results'!$J$6,0)</f>
        <v>40227150</v>
      </c>
      <c r="AF33" s="169">
        <f>IF(AF$2&lt;=AnalysisPeriod,'Inputs &amp; Results'!$J$6,0)</f>
        <v>40227150</v>
      </c>
      <c r="AG33" s="169">
        <f>IF(AG$2&lt;=AnalysisPeriod,'Inputs &amp; Results'!$J$6,0)</f>
        <v>40227150</v>
      </c>
      <c r="AH33" s="169">
        <f>IF(AH$2&lt;=AnalysisPeriod,'Inputs &amp; Results'!$J$6,0)</f>
        <v>40227150</v>
      </c>
      <c r="AI33" s="169">
        <f>IF(AI$2&lt;=AnalysisPeriod,'Inputs &amp; Results'!$J$6,0)</f>
        <v>40227150</v>
      </c>
      <c r="AJ33" s="169">
        <f>IF(AJ$2&lt;=AnalysisPeriod,'Inputs &amp; Results'!$J$6,0)</f>
        <v>40227150</v>
      </c>
      <c r="AK33" s="169">
        <f>IF(AK$2&lt;=AnalysisPeriod,'Inputs &amp; Results'!$J$6,0)</f>
        <v>40227150</v>
      </c>
      <c r="AL33" s="169">
        <f>IF(AL$2&lt;=AnalysisPeriod,'Inputs &amp; Results'!$J$6,0)</f>
        <v>40227150</v>
      </c>
      <c r="AM33" s="169">
        <f>IF(AM$2&lt;=AnalysisPeriod,'Inputs &amp; Results'!$J$6,0)</f>
        <v>40227150</v>
      </c>
      <c r="AN33" s="169">
        <f>IF(AN$2&lt;=AnalysisPeriod,'Inputs &amp; Results'!$J$6,0)</f>
        <v>40227150</v>
      </c>
      <c r="AO33" s="169">
        <f>IF(AO$2&lt;=AnalysisPeriod,'Inputs &amp; Results'!$J$6,0)</f>
        <v>40227150</v>
      </c>
      <c r="AP33" s="169">
        <f>IF(AP$2&lt;=AnalysisPeriod,'Inputs &amp; Results'!$J$6,0)</f>
        <v>40227150</v>
      </c>
    </row>
    <row r="34" spans="1:42" x14ac:dyDescent="0.2">
      <c r="A34" s="172" t="s">
        <v>258</v>
      </c>
      <c r="C34" s="173">
        <f>IF(D$2&lt;=AnalysisPeriod,'Inputs &amp; Results'!$J$7,0)</f>
        <v>0.95</v>
      </c>
      <c r="D34" s="173">
        <f>'Inputs &amp; Results'!$J$7</f>
        <v>0.95</v>
      </c>
      <c r="E34" s="173">
        <f>'Inputs &amp; Results'!$J$7</f>
        <v>0.95</v>
      </c>
      <c r="F34" s="173">
        <f>'Inputs &amp; Results'!$J$7</f>
        <v>0.95</v>
      </c>
      <c r="G34" s="173">
        <f>'Inputs &amp; Results'!$J$7</f>
        <v>0.95</v>
      </c>
      <c r="H34" s="173">
        <f>'Inputs &amp; Results'!$J$7</f>
        <v>0.95</v>
      </c>
      <c r="I34" s="173">
        <f>'Inputs &amp; Results'!$J$7</f>
        <v>0.95</v>
      </c>
      <c r="J34" s="173">
        <f>'Inputs &amp; Results'!$J$7</f>
        <v>0.95</v>
      </c>
      <c r="K34" s="173">
        <f>'Inputs &amp; Results'!$J$7</f>
        <v>0.95</v>
      </c>
      <c r="L34" s="173">
        <f>'Inputs &amp; Results'!$J$7</f>
        <v>0.95</v>
      </c>
      <c r="M34" s="173">
        <f>'Inputs &amp; Results'!$J$7</f>
        <v>0.95</v>
      </c>
      <c r="N34" s="173">
        <f>'Inputs &amp; Results'!$J$7</f>
        <v>0.95</v>
      </c>
      <c r="O34" s="173">
        <f>'Inputs &amp; Results'!$J$7</f>
        <v>0.95</v>
      </c>
      <c r="P34" s="173">
        <f>'Inputs &amp; Results'!$J$7</f>
        <v>0.95</v>
      </c>
      <c r="Q34" s="173">
        <f>'Inputs &amp; Results'!$J$7</f>
        <v>0.95</v>
      </c>
      <c r="R34" s="173">
        <f>'Inputs &amp; Results'!$J$7</f>
        <v>0.95</v>
      </c>
      <c r="S34" s="173">
        <f>'Inputs &amp; Results'!$J$7</f>
        <v>0.95</v>
      </c>
      <c r="T34" s="173">
        <f>'Inputs &amp; Results'!$J$7</f>
        <v>0.95</v>
      </c>
      <c r="U34" s="173">
        <f>'Inputs &amp; Results'!$J$7</f>
        <v>0.95</v>
      </c>
      <c r="V34" s="173">
        <f>'Inputs &amp; Results'!$J$7</f>
        <v>0.95</v>
      </c>
      <c r="W34" s="173">
        <f>'Inputs &amp; Results'!$J$7</f>
        <v>0.95</v>
      </c>
      <c r="X34" s="173">
        <f>'Inputs &amp; Results'!$J$7</f>
        <v>0.95</v>
      </c>
      <c r="Y34" s="173">
        <f>'Inputs &amp; Results'!$J$7</f>
        <v>0.95</v>
      </c>
      <c r="Z34" s="173">
        <f>'Inputs &amp; Results'!$J$7</f>
        <v>0.95</v>
      </c>
      <c r="AA34" s="173">
        <f>'Inputs &amp; Results'!$J$7</f>
        <v>0.95</v>
      </c>
      <c r="AB34" s="173">
        <f>'Inputs &amp; Results'!$J$7</f>
        <v>0.95</v>
      </c>
      <c r="AC34" s="173">
        <f>'Inputs &amp; Results'!$J$7</f>
        <v>0.95</v>
      </c>
      <c r="AD34" s="173">
        <f>'Inputs &amp; Results'!$J$7</f>
        <v>0.95</v>
      </c>
      <c r="AE34" s="173">
        <f>'Inputs &amp; Results'!$J$7</f>
        <v>0.95</v>
      </c>
      <c r="AF34" s="173">
        <f>'Inputs &amp; Results'!$J$7</f>
        <v>0.95</v>
      </c>
      <c r="AG34" s="173">
        <f>'Inputs &amp; Results'!$J$7</f>
        <v>0.95</v>
      </c>
      <c r="AH34" s="173">
        <f>'Inputs &amp; Results'!$J$7</f>
        <v>0.95</v>
      </c>
      <c r="AI34" s="173">
        <f>'Inputs &amp; Results'!$J$7</f>
        <v>0.95</v>
      </c>
      <c r="AJ34" s="173">
        <f>'Inputs &amp; Results'!$J$7</f>
        <v>0.95</v>
      </c>
      <c r="AK34" s="173">
        <f>'Inputs &amp; Results'!$J$7</f>
        <v>0.95</v>
      </c>
      <c r="AL34" s="173">
        <f>'Inputs &amp; Results'!$J$7</f>
        <v>0.95</v>
      </c>
      <c r="AM34" s="173">
        <f>'Inputs &amp; Results'!$J$7</f>
        <v>0.95</v>
      </c>
      <c r="AN34" s="173">
        <f>'Inputs &amp; Results'!$J$7</f>
        <v>0.95</v>
      </c>
      <c r="AO34" s="173">
        <f>'Inputs &amp; Results'!$J$7</f>
        <v>0.95</v>
      </c>
      <c r="AP34" s="173">
        <f>'Inputs &amp; Results'!$J$7</f>
        <v>0.95</v>
      </c>
    </row>
    <row r="35" spans="1:42" x14ac:dyDescent="0.2">
      <c r="A35" s="172" t="s">
        <v>308</v>
      </c>
      <c r="C35" s="169">
        <f>C33*C34</f>
        <v>38215792.5</v>
      </c>
      <c r="D35" s="169">
        <f>D33*D34</f>
        <v>38215792.5</v>
      </c>
      <c r="E35" s="169">
        <f t="shared" ref="E35:K35" si="18">E33*E34</f>
        <v>38215792.5</v>
      </c>
      <c r="F35" s="169">
        <f t="shared" si="18"/>
        <v>38215792.5</v>
      </c>
      <c r="G35" s="169">
        <f t="shared" si="18"/>
        <v>38215792.5</v>
      </c>
      <c r="H35" s="169">
        <f t="shared" si="18"/>
        <v>38215792.5</v>
      </c>
      <c r="I35" s="169">
        <f t="shared" si="18"/>
        <v>38215792.5</v>
      </c>
      <c r="J35" s="169">
        <f t="shared" si="18"/>
        <v>38215792.5</v>
      </c>
      <c r="K35" s="169">
        <f t="shared" si="18"/>
        <v>38215792.5</v>
      </c>
      <c r="L35" s="169">
        <f>L33*L34</f>
        <v>38215792.5</v>
      </c>
      <c r="M35" s="169">
        <f t="shared" ref="M35:R35" si="19">M33*M34</f>
        <v>38215792.5</v>
      </c>
      <c r="N35" s="169">
        <f t="shared" si="19"/>
        <v>38215792.5</v>
      </c>
      <c r="O35" s="169">
        <f t="shared" si="19"/>
        <v>38215792.5</v>
      </c>
      <c r="P35" s="169">
        <f t="shared" si="19"/>
        <v>38215792.5</v>
      </c>
      <c r="Q35" s="169">
        <f t="shared" si="19"/>
        <v>38215792.5</v>
      </c>
      <c r="R35" s="169">
        <f t="shared" si="19"/>
        <v>38215792.5</v>
      </c>
      <c r="S35" s="169">
        <f>S33*S34</f>
        <v>38215792.5</v>
      </c>
      <c r="T35" s="169">
        <f t="shared" ref="T35:X35" si="20">T33*T34</f>
        <v>38215792.5</v>
      </c>
      <c r="U35" s="169">
        <f t="shared" si="20"/>
        <v>38215792.5</v>
      </c>
      <c r="V35" s="169">
        <f t="shared" si="20"/>
        <v>38215792.5</v>
      </c>
      <c r="W35" s="169">
        <f t="shared" si="20"/>
        <v>38215792.5</v>
      </c>
      <c r="X35" s="169">
        <f t="shared" si="20"/>
        <v>38215792.5</v>
      </c>
      <c r="Y35" s="169">
        <f>Y33*Y34</f>
        <v>38215792.5</v>
      </c>
      <c r="Z35" s="169">
        <f t="shared" ref="Z35:AF35" si="21">Z33*Z34</f>
        <v>38215792.5</v>
      </c>
      <c r="AA35" s="169">
        <f t="shared" si="21"/>
        <v>38215792.5</v>
      </c>
      <c r="AB35" s="169">
        <f t="shared" si="21"/>
        <v>38215792.5</v>
      </c>
      <c r="AC35" s="169">
        <f t="shared" si="21"/>
        <v>38215792.5</v>
      </c>
      <c r="AD35" s="169">
        <f t="shared" si="21"/>
        <v>38215792.5</v>
      </c>
      <c r="AE35" s="169">
        <f t="shared" si="21"/>
        <v>38215792.5</v>
      </c>
      <c r="AF35" s="169">
        <f t="shared" si="21"/>
        <v>38215792.5</v>
      </c>
      <c r="AG35" s="169">
        <f>AG33*AG34</f>
        <v>38215792.5</v>
      </c>
      <c r="AH35" s="169">
        <f t="shared" ref="AH35:AM35" si="22">AH33*AH34</f>
        <v>38215792.5</v>
      </c>
      <c r="AI35" s="169">
        <f t="shared" si="22"/>
        <v>38215792.5</v>
      </c>
      <c r="AJ35" s="169">
        <f t="shared" si="22"/>
        <v>38215792.5</v>
      </c>
      <c r="AK35" s="169">
        <f t="shared" si="22"/>
        <v>38215792.5</v>
      </c>
      <c r="AL35" s="169">
        <f t="shared" si="22"/>
        <v>38215792.5</v>
      </c>
      <c r="AM35" s="169">
        <f t="shared" si="22"/>
        <v>38215792.5</v>
      </c>
      <c r="AN35" s="169">
        <f>AN33*AN34</f>
        <v>38215792.5</v>
      </c>
      <c r="AO35" s="169">
        <f t="shared" ref="AO35:AP35" si="23">AO33*AO34</f>
        <v>38215792.5</v>
      </c>
      <c r="AP35" s="169">
        <f t="shared" si="23"/>
        <v>38215792.5</v>
      </c>
    </row>
    <row r="36" spans="1:42" x14ac:dyDescent="0.2">
      <c r="A36" s="172" t="s">
        <v>260</v>
      </c>
      <c r="C36" s="174">
        <v>1</v>
      </c>
      <c r="D36" s="175">
        <f>MAX(C36-'Inputs &amp; Results'!$J$9,0)</f>
        <v>0.95</v>
      </c>
      <c r="E36" s="175">
        <f>MAX(D36-'Inputs &amp; Results'!$J$9,0)</f>
        <v>0.89999999999999991</v>
      </c>
      <c r="F36" s="175">
        <f>MAX(E36-'Inputs &amp; Results'!$J$9,0)</f>
        <v>0.84999999999999987</v>
      </c>
      <c r="G36" s="175">
        <f>MAX(F36-'Inputs &amp; Results'!$J$9,0)</f>
        <v>0.79999999999999982</v>
      </c>
      <c r="H36" s="175">
        <f>MAX(G36-'Inputs &amp; Results'!$J$9,0)</f>
        <v>0.74999999999999978</v>
      </c>
      <c r="I36" s="175">
        <f>MAX(H36-'Inputs &amp; Results'!$J$9,0)</f>
        <v>0.69999999999999973</v>
      </c>
      <c r="J36" s="175">
        <f>MAX(I36-'Inputs &amp; Results'!$J$9,0)</f>
        <v>0.64999999999999969</v>
      </c>
      <c r="K36" s="175">
        <f>MAX(J36-'Inputs &amp; Results'!$J$9,0)</f>
        <v>0.59999999999999964</v>
      </c>
      <c r="L36" s="175">
        <f>MAX(K36-'Inputs &amp; Results'!$J$9,0)</f>
        <v>0.5499999999999996</v>
      </c>
      <c r="M36" s="175">
        <f>MAX(L36-'Inputs &amp; Results'!$J$9,0)</f>
        <v>0.49999999999999961</v>
      </c>
      <c r="N36" s="175">
        <f>MAX(M36-'Inputs &amp; Results'!$J$9,0)</f>
        <v>0.44999999999999962</v>
      </c>
      <c r="O36" s="175">
        <f>MAX(N36-'Inputs &amp; Results'!$J$9,0)</f>
        <v>0.39999999999999963</v>
      </c>
      <c r="P36" s="175">
        <f>MAX(O36-'Inputs &amp; Results'!$J$9,0)</f>
        <v>0.34999999999999964</v>
      </c>
      <c r="Q36" s="175">
        <f>MAX(P36-'Inputs &amp; Results'!$J$9,0)</f>
        <v>0.29999999999999966</v>
      </c>
      <c r="R36" s="175">
        <f>MAX(Q36-'Inputs &amp; Results'!$J$9,0)</f>
        <v>0.24999999999999967</v>
      </c>
      <c r="S36" s="175">
        <f>MAX(R36-'Inputs &amp; Results'!$J$9,0)</f>
        <v>0.19999999999999968</v>
      </c>
      <c r="T36" s="175">
        <f>MAX(S36-'Inputs &amp; Results'!$J$9,0)</f>
        <v>0.14999999999999969</v>
      </c>
      <c r="U36" s="175">
        <f>MAX(T36-'Inputs &amp; Results'!$J$9,0)</f>
        <v>9.9999999999999686E-2</v>
      </c>
      <c r="V36" s="175">
        <f>MAX(U36-'Inputs &amp; Results'!$J$9,0)</f>
        <v>4.9999999999999684E-2</v>
      </c>
      <c r="W36" s="175">
        <f>MAX(V36-'Inputs &amp; Results'!$J$9,0)</f>
        <v>0</v>
      </c>
      <c r="X36" s="175">
        <f>MAX(W36-'Inputs &amp; Results'!$J$9,0)</f>
        <v>0</v>
      </c>
      <c r="Y36" s="175">
        <f>MAX(X36-'Inputs &amp; Results'!$J$9,0)</f>
        <v>0</v>
      </c>
      <c r="Z36" s="175">
        <f>MAX(Y36-'Inputs &amp; Results'!$J$9,0)</f>
        <v>0</v>
      </c>
      <c r="AA36" s="175">
        <f>MAX(Z36-'Inputs &amp; Results'!$J$9,0)</f>
        <v>0</v>
      </c>
      <c r="AB36" s="175">
        <f>MAX(AA36-'Inputs &amp; Results'!$J$9,0)</f>
        <v>0</v>
      </c>
      <c r="AC36" s="175">
        <f>MAX(AB36-'Inputs &amp; Results'!$J$9,0)</f>
        <v>0</v>
      </c>
      <c r="AD36" s="175">
        <f>MAX(AC36-'Inputs &amp; Results'!$J$9,0)</f>
        <v>0</v>
      </c>
      <c r="AE36" s="175">
        <f>MAX(AD36-'Inputs &amp; Results'!$J$9,0)</f>
        <v>0</v>
      </c>
      <c r="AF36" s="175">
        <f>MAX(AE36-'Inputs &amp; Results'!$J$9,0)</f>
        <v>0</v>
      </c>
      <c r="AG36" s="175">
        <f>MAX(AF36-'Inputs &amp; Results'!$J$9,0)</f>
        <v>0</v>
      </c>
      <c r="AH36" s="175">
        <f>MAX(AG36-'Inputs &amp; Results'!$J$9,0)</f>
        <v>0</v>
      </c>
      <c r="AI36" s="175">
        <f>MAX(AH36-'Inputs &amp; Results'!$J$9,0)</f>
        <v>0</v>
      </c>
      <c r="AJ36" s="175">
        <f>MAX(AI36-'Inputs &amp; Results'!$J$9,0)</f>
        <v>0</v>
      </c>
      <c r="AK36" s="175">
        <f>MAX(AJ36-'Inputs &amp; Results'!$J$9,0)</f>
        <v>0</v>
      </c>
      <c r="AL36" s="175">
        <f>MAX(AK36-'Inputs &amp; Results'!$J$9,0)</f>
        <v>0</v>
      </c>
      <c r="AM36" s="175">
        <f>MAX(AL36-'Inputs &amp; Results'!$J$9,0)</f>
        <v>0</v>
      </c>
      <c r="AN36" s="175">
        <f>MAX(AM36-'Inputs &amp; Results'!$J$9,0)</f>
        <v>0</v>
      </c>
      <c r="AO36" s="175">
        <f>MAX(AN36-'Inputs &amp; Results'!$J$9,0)</f>
        <v>0</v>
      </c>
      <c r="AP36" s="175">
        <f>MAX(AO36-'Inputs &amp; Results'!$J$9,0)</f>
        <v>0</v>
      </c>
    </row>
    <row r="37" spans="1:42" x14ac:dyDescent="0.2">
      <c r="A37" s="172" t="s">
        <v>262</v>
      </c>
      <c r="C37" s="169">
        <f>C35*C36</f>
        <v>38215792.5</v>
      </c>
      <c r="D37" s="169">
        <f>D35*D36</f>
        <v>36305002.875</v>
      </c>
      <c r="E37" s="169">
        <f t="shared" ref="E37:K37" si="24">E35*E36</f>
        <v>34394213.25</v>
      </c>
      <c r="F37" s="169">
        <f t="shared" si="24"/>
        <v>32483423.624999996</v>
      </c>
      <c r="G37" s="169">
        <f t="shared" si="24"/>
        <v>30572633.999999993</v>
      </c>
      <c r="H37" s="169">
        <f t="shared" si="24"/>
        <v>28661844.374999993</v>
      </c>
      <c r="I37" s="169">
        <f t="shared" si="24"/>
        <v>26751054.749999989</v>
      </c>
      <c r="J37" s="169">
        <f t="shared" si="24"/>
        <v>24840265.124999989</v>
      </c>
      <c r="K37" s="169">
        <f t="shared" si="24"/>
        <v>22929475.499999985</v>
      </c>
      <c r="L37" s="169">
        <f>L35*L36</f>
        <v>21018685.874999985</v>
      </c>
      <c r="M37" s="169">
        <f t="shared" ref="M37:R37" si="25">M35*M36</f>
        <v>19107896.249999985</v>
      </c>
      <c r="N37" s="169">
        <f t="shared" si="25"/>
        <v>17197106.624999985</v>
      </c>
      <c r="O37" s="169">
        <f t="shared" si="25"/>
        <v>15286316.999999985</v>
      </c>
      <c r="P37" s="169">
        <f t="shared" si="25"/>
        <v>13375527.374999987</v>
      </c>
      <c r="Q37" s="169">
        <f t="shared" si="25"/>
        <v>11464737.749999987</v>
      </c>
      <c r="R37" s="169">
        <f t="shared" si="25"/>
        <v>9553948.124999987</v>
      </c>
      <c r="S37" s="169">
        <f>S35*S36</f>
        <v>7643158.4999999879</v>
      </c>
      <c r="T37" s="169">
        <f t="shared" ref="T37:X37" si="26">T35*T36</f>
        <v>5732368.8749999879</v>
      </c>
      <c r="U37" s="169">
        <f t="shared" si="26"/>
        <v>3821579.2499999879</v>
      </c>
      <c r="V37" s="169">
        <f t="shared" si="26"/>
        <v>1910789.6249999879</v>
      </c>
      <c r="W37" s="169">
        <f t="shared" si="26"/>
        <v>0</v>
      </c>
      <c r="X37" s="169">
        <f t="shared" si="26"/>
        <v>0</v>
      </c>
      <c r="Y37" s="169">
        <f>Y35*Y36</f>
        <v>0</v>
      </c>
      <c r="Z37" s="169">
        <f t="shared" ref="Z37:AF37" si="27">Z35*Z36</f>
        <v>0</v>
      </c>
      <c r="AA37" s="169">
        <f t="shared" si="27"/>
        <v>0</v>
      </c>
      <c r="AB37" s="169">
        <f t="shared" si="27"/>
        <v>0</v>
      </c>
      <c r="AC37" s="169">
        <f t="shared" si="27"/>
        <v>0</v>
      </c>
      <c r="AD37" s="169">
        <f t="shared" si="27"/>
        <v>0</v>
      </c>
      <c r="AE37" s="169">
        <f t="shared" si="27"/>
        <v>0</v>
      </c>
      <c r="AF37" s="169">
        <f t="shared" si="27"/>
        <v>0</v>
      </c>
      <c r="AG37" s="169">
        <f>AG35*AG36</f>
        <v>0</v>
      </c>
      <c r="AH37" s="169">
        <f t="shared" ref="AH37:AM37" si="28">AH35*AH36</f>
        <v>0</v>
      </c>
      <c r="AI37" s="169">
        <f t="shared" si="28"/>
        <v>0</v>
      </c>
      <c r="AJ37" s="169">
        <f t="shared" si="28"/>
        <v>0</v>
      </c>
      <c r="AK37" s="169">
        <f t="shared" si="28"/>
        <v>0</v>
      </c>
      <c r="AL37" s="169">
        <f t="shared" si="28"/>
        <v>0</v>
      </c>
      <c r="AM37" s="169">
        <f t="shared" si="28"/>
        <v>0</v>
      </c>
      <c r="AN37" s="169">
        <f>AN35*AN36</f>
        <v>0</v>
      </c>
      <c r="AO37" s="169">
        <f t="shared" ref="AO37:AP37" si="29">AO35*AO36</f>
        <v>0</v>
      </c>
      <c r="AP37" s="169">
        <f t="shared" si="29"/>
        <v>0</v>
      </c>
    </row>
    <row r="38" spans="1:42" x14ac:dyDescent="0.2">
      <c r="A38" s="172" t="s">
        <v>261</v>
      </c>
      <c r="C38" s="173">
        <f t="shared" ref="C38:AP38" si="30">PropertyTaxRate</f>
        <v>7.4999999999999997E-3</v>
      </c>
      <c r="D38" s="173">
        <f t="shared" si="30"/>
        <v>7.4999999999999997E-3</v>
      </c>
      <c r="E38" s="173">
        <f t="shared" si="30"/>
        <v>7.4999999999999997E-3</v>
      </c>
      <c r="F38" s="173">
        <f t="shared" si="30"/>
        <v>7.4999999999999997E-3</v>
      </c>
      <c r="G38" s="173">
        <f t="shared" si="30"/>
        <v>7.4999999999999997E-3</v>
      </c>
      <c r="H38" s="173">
        <f t="shared" si="30"/>
        <v>7.4999999999999997E-3</v>
      </c>
      <c r="I38" s="173">
        <f t="shared" si="30"/>
        <v>7.4999999999999997E-3</v>
      </c>
      <c r="J38" s="173">
        <f t="shared" si="30"/>
        <v>7.4999999999999997E-3</v>
      </c>
      <c r="K38" s="173">
        <f t="shared" si="30"/>
        <v>7.4999999999999997E-3</v>
      </c>
      <c r="L38" s="173">
        <f t="shared" si="30"/>
        <v>7.4999999999999997E-3</v>
      </c>
      <c r="M38" s="173">
        <f t="shared" si="30"/>
        <v>7.4999999999999997E-3</v>
      </c>
      <c r="N38" s="173">
        <f t="shared" si="30"/>
        <v>7.4999999999999997E-3</v>
      </c>
      <c r="O38" s="173">
        <f t="shared" si="30"/>
        <v>7.4999999999999997E-3</v>
      </c>
      <c r="P38" s="173">
        <f t="shared" si="30"/>
        <v>7.4999999999999997E-3</v>
      </c>
      <c r="Q38" s="173">
        <f t="shared" si="30"/>
        <v>7.4999999999999997E-3</v>
      </c>
      <c r="R38" s="173">
        <f t="shared" si="30"/>
        <v>7.4999999999999997E-3</v>
      </c>
      <c r="S38" s="173">
        <f t="shared" si="30"/>
        <v>7.4999999999999997E-3</v>
      </c>
      <c r="T38" s="173">
        <f t="shared" si="30"/>
        <v>7.4999999999999997E-3</v>
      </c>
      <c r="U38" s="173">
        <f t="shared" si="30"/>
        <v>7.4999999999999997E-3</v>
      </c>
      <c r="V38" s="173">
        <f t="shared" si="30"/>
        <v>7.4999999999999997E-3</v>
      </c>
      <c r="W38" s="173">
        <f t="shared" si="30"/>
        <v>7.4999999999999997E-3</v>
      </c>
      <c r="X38" s="173">
        <f t="shared" si="30"/>
        <v>7.4999999999999997E-3</v>
      </c>
      <c r="Y38" s="173">
        <f t="shared" si="30"/>
        <v>7.4999999999999997E-3</v>
      </c>
      <c r="Z38" s="173">
        <f t="shared" si="30"/>
        <v>7.4999999999999997E-3</v>
      </c>
      <c r="AA38" s="173">
        <f t="shared" si="30"/>
        <v>7.4999999999999997E-3</v>
      </c>
      <c r="AB38" s="173">
        <f t="shared" si="30"/>
        <v>7.4999999999999997E-3</v>
      </c>
      <c r="AC38" s="173">
        <f t="shared" si="30"/>
        <v>7.4999999999999997E-3</v>
      </c>
      <c r="AD38" s="173">
        <f t="shared" si="30"/>
        <v>7.4999999999999997E-3</v>
      </c>
      <c r="AE38" s="173">
        <f t="shared" si="30"/>
        <v>7.4999999999999997E-3</v>
      </c>
      <c r="AF38" s="173">
        <f t="shared" si="30"/>
        <v>7.4999999999999997E-3</v>
      </c>
      <c r="AG38" s="173">
        <f t="shared" si="30"/>
        <v>7.4999999999999997E-3</v>
      </c>
      <c r="AH38" s="173">
        <f t="shared" si="30"/>
        <v>7.4999999999999997E-3</v>
      </c>
      <c r="AI38" s="173">
        <f t="shared" si="30"/>
        <v>7.4999999999999997E-3</v>
      </c>
      <c r="AJ38" s="173">
        <f t="shared" si="30"/>
        <v>7.4999999999999997E-3</v>
      </c>
      <c r="AK38" s="173">
        <f t="shared" si="30"/>
        <v>7.4999999999999997E-3</v>
      </c>
      <c r="AL38" s="173">
        <f t="shared" si="30"/>
        <v>7.4999999999999997E-3</v>
      </c>
      <c r="AM38" s="173">
        <f t="shared" si="30"/>
        <v>7.4999999999999997E-3</v>
      </c>
      <c r="AN38" s="173">
        <f t="shared" si="30"/>
        <v>7.4999999999999997E-3</v>
      </c>
      <c r="AO38" s="173">
        <f t="shared" si="30"/>
        <v>7.4999999999999997E-3</v>
      </c>
      <c r="AP38" s="173">
        <f t="shared" si="30"/>
        <v>7.4999999999999997E-3</v>
      </c>
    </row>
    <row r="39" spans="1:42" x14ac:dyDescent="0.2">
      <c r="A39" s="172" t="s">
        <v>22</v>
      </c>
      <c r="C39" s="135">
        <f>C37*C38</f>
        <v>286618.44374999998</v>
      </c>
      <c r="D39" s="135">
        <f>D37*D38</f>
        <v>272287.52156249998</v>
      </c>
      <c r="E39" s="135">
        <f t="shared" ref="E39:K39" si="31">E37*E38</f>
        <v>257956.59937499999</v>
      </c>
      <c r="F39" s="135">
        <f t="shared" si="31"/>
        <v>243625.67718749997</v>
      </c>
      <c r="G39" s="135">
        <f t="shared" si="31"/>
        <v>229294.75499999995</v>
      </c>
      <c r="H39" s="135">
        <f t="shared" si="31"/>
        <v>214963.83281249992</v>
      </c>
      <c r="I39" s="135">
        <f t="shared" si="31"/>
        <v>200632.9106249999</v>
      </c>
      <c r="J39" s="135">
        <f t="shared" si="31"/>
        <v>186301.98843749991</v>
      </c>
      <c r="K39" s="135">
        <f t="shared" si="31"/>
        <v>171971.06624999989</v>
      </c>
      <c r="L39" s="135">
        <f>L37*L38</f>
        <v>157640.14406249989</v>
      </c>
      <c r="M39" s="135">
        <f t="shared" ref="M39:R39" si="32">M37*M38</f>
        <v>143309.22187499987</v>
      </c>
      <c r="N39" s="135">
        <f t="shared" si="32"/>
        <v>128978.29968749988</v>
      </c>
      <c r="O39" s="135">
        <f t="shared" si="32"/>
        <v>114647.37749999989</v>
      </c>
      <c r="P39" s="135">
        <f t="shared" si="32"/>
        <v>100316.45531249989</v>
      </c>
      <c r="Q39" s="135">
        <f t="shared" si="32"/>
        <v>85985.5331249999</v>
      </c>
      <c r="R39" s="135">
        <f t="shared" si="32"/>
        <v>71654.610937499892</v>
      </c>
      <c r="S39" s="135">
        <f>S37*S38</f>
        <v>57323.688749999907</v>
      </c>
      <c r="T39" s="135">
        <f t="shared" ref="T39:X39" si="33">T37*T38</f>
        <v>42992.766562499906</v>
      </c>
      <c r="U39" s="135">
        <f t="shared" si="33"/>
        <v>28661.84437499991</v>
      </c>
      <c r="V39" s="135">
        <f t="shared" si="33"/>
        <v>14330.922187499909</v>
      </c>
      <c r="W39" s="135">
        <f t="shared" si="33"/>
        <v>0</v>
      </c>
      <c r="X39" s="135">
        <f t="shared" si="33"/>
        <v>0</v>
      </c>
      <c r="Y39" s="135">
        <f>Y37*Y38</f>
        <v>0</v>
      </c>
      <c r="Z39" s="135">
        <f t="shared" ref="Z39:AF39" si="34">Z37*Z38</f>
        <v>0</v>
      </c>
      <c r="AA39" s="135">
        <f t="shared" si="34"/>
        <v>0</v>
      </c>
      <c r="AB39" s="135">
        <f t="shared" si="34"/>
        <v>0</v>
      </c>
      <c r="AC39" s="135">
        <f t="shared" si="34"/>
        <v>0</v>
      </c>
      <c r="AD39" s="135">
        <f t="shared" si="34"/>
        <v>0</v>
      </c>
      <c r="AE39" s="135">
        <f t="shared" si="34"/>
        <v>0</v>
      </c>
      <c r="AF39" s="135">
        <f t="shared" si="34"/>
        <v>0</v>
      </c>
      <c r="AG39" s="135">
        <f>AG37*AG38</f>
        <v>0</v>
      </c>
      <c r="AH39" s="135">
        <f t="shared" ref="AH39:AM39" si="35">AH37*AH38</f>
        <v>0</v>
      </c>
      <c r="AI39" s="135">
        <f t="shared" si="35"/>
        <v>0</v>
      </c>
      <c r="AJ39" s="135">
        <f t="shared" si="35"/>
        <v>0</v>
      </c>
      <c r="AK39" s="135">
        <f t="shared" si="35"/>
        <v>0</v>
      </c>
      <c r="AL39" s="135">
        <f t="shared" si="35"/>
        <v>0</v>
      </c>
      <c r="AM39" s="135">
        <f t="shared" si="35"/>
        <v>0</v>
      </c>
      <c r="AN39" s="135">
        <f>AN37*AN38</f>
        <v>0</v>
      </c>
      <c r="AO39" s="135">
        <f t="shared" ref="AO39:AP39" si="36">AO37*AO38</f>
        <v>0</v>
      </c>
      <c r="AP39" s="135">
        <f t="shared" si="36"/>
        <v>0</v>
      </c>
    </row>
    <row r="40" spans="1:42" x14ac:dyDescent="0.2">
      <c r="A40" s="163" t="s">
        <v>126</v>
      </c>
      <c r="C40" s="170">
        <f>IF(C$2&lt;=AnalysisPeriod,PreFinancingInstalledCostTotal*'Inputs &amp; Results'!$J$12*(1+Inflation)^B$2,0)</f>
        <v>201135.75</v>
      </c>
      <c r="D40" s="170">
        <f>IF(D$2&lt;=AnalysisPeriod,PreFinancingInstalledCostTotal*'Inputs &amp; Results'!$J$12*(1+Inflation)^C$2,0)</f>
        <v>204152.78624999998</v>
      </c>
      <c r="E40" s="170">
        <f>IF(E$2&lt;=AnalysisPeriod,PreFinancingInstalledCostTotal*'Inputs &amp; Results'!$J$12*(1+Inflation)^D$2,0)</f>
        <v>207215.07804374993</v>
      </c>
      <c r="F40" s="170">
        <f>IF(F$2&lt;=AnalysisPeriod,PreFinancingInstalledCostTotal*'Inputs &amp; Results'!$J$12*(1+Inflation)^E$2,0)</f>
        <v>210323.30421440618</v>
      </c>
      <c r="G40" s="170">
        <f>IF(G$2&lt;=AnalysisPeriod,PreFinancingInstalledCostTotal*'Inputs &amp; Results'!$J$12*(1+Inflation)^F$2,0)</f>
        <v>213478.15377762224</v>
      </c>
      <c r="H40" s="170">
        <f>IF(H$2&lt;=AnalysisPeriod,PreFinancingInstalledCostTotal*'Inputs &amp; Results'!$J$12*(1+Inflation)^G$2,0)</f>
        <v>216680.32608428653</v>
      </c>
      <c r="I40" s="170">
        <f>IF(I$2&lt;=AnalysisPeriod,PreFinancingInstalledCostTotal*'Inputs &amp; Results'!$J$12*(1+Inflation)^H$2,0)</f>
        <v>219930.53097555079</v>
      </c>
      <c r="J40" s="170">
        <f>IF(J$2&lt;=AnalysisPeriod,PreFinancingInstalledCostTotal*'Inputs &amp; Results'!$J$12*(1+Inflation)^I$2,0)</f>
        <v>223229.488940184</v>
      </c>
      <c r="K40" s="170">
        <f>IF(K$2&lt;=AnalysisPeriod,PreFinancingInstalledCostTotal*'Inputs &amp; Results'!$J$12*(1+Inflation)^J$2,0)</f>
        <v>226577.93127428676</v>
      </c>
      <c r="L40" s="170">
        <f>IF(L$2&lt;=AnalysisPeriod,PreFinancingInstalledCostTotal*'Inputs &amp; Results'!$J$12*(1+Inflation)^K$2,0)</f>
        <v>229976.60024340104</v>
      </c>
      <c r="M40" s="170">
        <f>IF(M$2&lt;=AnalysisPeriod,PreFinancingInstalledCostTotal*'Inputs &amp; Results'!$J$12*(1+Inflation)^L$2,0)</f>
        <v>233426.24924705201</v>
      </c>
      <c r="N40" s="170">
        <f>IF(N$2&lt;=AnalysisPeriod,PreFinancingInstalledCostTotal*'Inputs &amp; Results'!$J$12*(1+Inflation)^M$2,0)</f>
        <v>236927.64298575779</v>
      </c>
      <c r="O40" s="170">
        <f>IF(O$2&lt;=AnalysisPeriod,PreFinancingInstalledCostTotal*'Inputs &amp; Results'!$J$12*(1+Inflation)^N$2,0)</f>
        <v>240481.55763054409</v>
      </c>
      <c r="P40" s="170">
        <f>IF(P$2&lt;=AnalysisPeriod,PreFinancingInstalledCostTotal*'Inputs &amp; Results'!$J$12*(1+Inflation)^O$2,0)</f>
        <v>244088.78099500225</v>
      </c>
      <c r="Q40" s="170">
        <f>IF(Q$2&lt;=AnalysisPeriod,PreFinancingInstalledCostTotal*'Inputs &amp; Results'!$J$12*(1+Inflation)^P$2,0)</f>
        <v>247750.1127099272</v>
      </c>
      <c r="R40" s="170">
        <f>IF(R$2&lt;=AnalysisPeriod,PreFinancingInstalledCostTotal*'Inputs &amp; Results'!$J$12*(1+Inflation)^Q$2,0)</f>
        <v>251466.36440057607</v>
      </c>
      <c r="S40" s="170">
        <f>IF(S$2&lt;=AnalysisPeriod,PreFinancingInstalledCostTotal*'Inputs &amp; Results'!$J$12*(1+Inflation)^R$2,0)</f>
        <v>255238.35986658468</v>
      </c>
      <c r="T40" s="170">
        <f>IF(T$2&lt;=AnalysisPeriod,PreFinancingInstalledCostTotal*'Inputs &amp; Results'!$J$12*(1+Inflation)^S$2,0)</f>
        <v>259066.93526458342</v>
      </c>
      <c r="U40" s="170">
        <f>IF(U$2&lt;=AnalysisPeriod,PreFinancingInstalledCostTotal*'Inputs &amp; Results'!$J$12*(1+Inflation)^T$2,0)</f>
        <v>262952.93929355213</v>
      </c>
      <c r="V40" s="170">
        <f>IF(V$2&lt;=AnalysisPeriod,PreFinancingInstalledCostTotal*'Inputs &amp; Results'!$J$12*(1+Inflation)^U$2,0)</f>
        <v>266897.23338295543</v>
      </c>
      <c r="W40" s="170">
        <f>IF(W$2&lt;=AnalysisPeriod,PreFinancingInstalledCostTotal*'Inputs &amp; Results'!$J$12*(1+Inflation)^V$2,0)</f>
        <v>270900.69188369968</v>
      </c>
      <c r="X40" s="170">
        <f>IF(X$2&lt;=AnalysisPeriod,PreFinancingInstalledCostTotal*'Inputs &amp; Results'!$J$12*(1+Inflation)^W$2,0)</f>
        <v>274964.20226195513</v>
      </c>
      <c r="Y40" s="170">
        <f>IF(Y$2&lt;=AnalysisPeriod,PreFinancingInstalledCostTotal*'Inputs &amp; Results'!$J$12*(1+Inflation)^X$2,0)</f>
        <v>279088.66529588442</v>
      </c>
      <c r="Z40" s="170">
        <f>IF(Z$2&lt;=AnalysisPeriod,PreFinancingInstalledCostTotal*'Inputs &amp; Results'!$J$12*(1+Inflation)^Y$2,0)</f>
        <v>283274.99527532264</v>
      </c>
      <c r="AA40" s="170">
        <f>IF(AA$2&lt;=AnalysisPeriod,PreFinancingInstalledCostTotal*'Inputs &amp; Results'!$J$12*(1+Inflation)^Z$2,0)</f>
        <v>287524.12020445243</v>
      </c>
      <c r="AB40" s="170">
        <f>IF(AB$2&lt;=AnalysisPeriod,PreFinancingInstalledCostTotal*'Inputs &amp; Results'!$J$12*(1+Inflation)^AA$2,0)</f>
        <v>291836.98200751923</v>
      </c>
      <c r="AC40" s="170">
        <f>IF(AC$2&lt;=AnalysisPeriod,PreFinancingInstalledCostTotal*'Inputs &amp; Results'!$J$12*(1+Inflation)^AB$2,0)</f>
        <v>296214.53673763195</v>
      </c>
      <c r="AD40" s="170">
        <f>IF(AD$2&lt;=AnalysisPeriod,PreFinancingInstalledCostTotal*'Inputs &amp; Results'!$J$12*(1+Inflation)^AC$2,0)</f>
        <v>300657.75478869642</v>
      </c>
      <c r="AE40" s="170">
        <f>IF(AE$2&lt;=AnalysisPeriod,PreFinancingInstalledCostTotal*'Inputs &amp; Results'!$J$12*(1+Inflation)^AD$2,0)</f>
        <v>305167.62111052679</v>
      </c>
      <c r="AF40" s="170">
        <f>IF(AF$2&lt;=AnalysisPeriod,PreFinancingInstalledCostTotal*'Inputs &amp; Results'!$J$12*(1+Inflation)^AE$2,0)</f>
        <v>309745.13542718469</v>
      </c>
      <c r="AG40" s="170">
        <f>IF(AG$2&lt;=AnalysisPeriod,PreFinancingInstalledCostTotal*'Inputs &amp; Results'!$J$12*(1+Inflation)^AF$2,0)</f>
        <v>314391.31245859235</v>
      </c>
      <c r="AH40" s="170">
        <f>IF(AH$2&lt;=AnalysisPeriod,PreFinancingInstalledCostTotal*'Inputs &amp; Results'!$J$12*(1+Inflation)^AG$2,0)</f>
        <v>319107.18214547122</v>
      </c>
      <c r="AI40" s="170">
        <f>IF(AI$2&lt;=AnalysisPeriod,PreFinancingInstalledCostTotal*'Inputs &amp; Results'!$J$12*(1+Inflation)^AH$2,0)</f>
        <v>323893.78987765324</v>
      </c>
      <c r="AJ40" s="170">
        <f>IF(AJ$2&lt;=AnalysisPeriod,PreFinancingInstalledCostTotal*'Inputs &amp; Results'!$J$12*(1+Inflation)^AI$2,0)</f>
        <v>328752.19672581798</v>
      </c>
      <c r="AK40" s="170">
        <f>IF(AK$2&lt;=AnalysisPeriod,PreFinancingInstalledCostTotal*'Inputs &amp; Results'!$J$12*(1+Inflation)^AJ$2,0)</f>
        <v>333683.4796767052</v>
      </c>
      <c r="AL40" s="170">
        <f>IF(AL$2&lt;=AnalysisPeriod,PreFinancingInstalledCostTotal*'Inputs &amp; Results'!$J$12*(1+Inflation)^AK$2,0)</f>
        <v>338688.73187185579</v>
      </c>
      <c r="AM40" s="170">
        <f>IF(AM$2&lt;=AnalysisPeriod,PreFinancingInstalledCostTotal*'Inputs &amp; Results'!$J$12*(1+Inflation)^AL$2,0)</f>
        <v>343769.06284993357</v>
      </c>
      <c r="AN40" s="170">
        <f>IF(AN$2&lt;=AnalysisPeriod,PreFinancingInstalledCostTotal*'Inputs &amp; Results'!$J$12*(1+Inflation)^AM$2,0)</f>
        <v>348925.59879268252</v>
      </c>
      <c r="AO40" s="170">
        <f>IF(AO$2&lt;=AnalysisPeriod,PreFinancingInstalledCostTotal*'Inputs &amp; Results'!$J$12*(1+Inflation)^AN$2,0)</f>
        <v>354159.48277457268</v>
      </c>
      <c r="AP40" s="170">
        <f>IF(AP$2&lt;=AnalysisPeriod,PreFinancingInstalledCostTotal*'Inputs &amp; Results'!$J$12*(1+Inflation)^AO$2,0)</f>
        <v>359471.87501619122</v>
      </c>
    </row>
    <row r="41" spans="1:42" x14ac:dyDescent="0.2">
      <c r="A41" s="20" t="s">
        <v>73</v>
      </c>
      <c r="C41" s="135">
        <f t="shared" ref="C41:AP41" si="37">C23+C27+C31+C39+C40</f>
        <v>774413.87375000003</v>
      </c>
      <c r="D41" s="135">
        <f t="shared" si="37"/>
        <v>768862.33513649995</v>
      </c>
      <c r="E41" s="135">
        <f t="shared" si="37"/>
        <v>763479.25836394064</v>
      </c>
      <c r="F41" s="135">
        <f t="shared" si="37"/>
        <v>758268.03984735277</v>
      </c>
      <c r="G41" s="135">
        <f t="shared" si="37"/>
        <v>753232.14702389773</v>
      </c>
      <c r="H41" s="135">
        <f t="shared" si="37"/>
        <v>748375.11987734796</v>
      </c>
      <c r="I41" s="135">
        <f t="shared" si="37"/>
        <v>743700.57249589951</v>
      </c>
      <c r="J41" s="135">
        <f t="shared" si="37"/>
        <v>739212.19466405339</v>
      </c>
      <c r="K41" s="135">
        <f t="shared" si="37"/>
        <v>734913.7534893197</v>
      </c>
      <c r="L41" s="135">
        <f t="shared" si="37"/>
        <v>730809.09506451734</v>
      </c>
      <c r="M41" s="135">
        <f t="shared" si="37"/>
        <v>726902.14616645931</v>
      </c>
      <c r="N41" s="135">
        <f t="shared" si="37"/>
        <v>723196.91599182587</v>
      </c>
      <c r="O41" s="135">
        <f t="shared" si="37"/>
        <v>719697.49793105444</v>
      </c>
      <c r="P41" s="135">
        <f t="shared" si="37"/>
        <v>716408.07138108672</v>
      </c>
      <c r="Q41" s="135">
        <f t="shared" si="37"/>
        <v>713332.90359783545</v>
      </c>
      <c r="R41" s="135">
        <f t="shared" si="37"/>
        <v>710476.35158925212</v>
      </c>
      <c r="S41" s="135">
        <f t="shared" si="37"/>
        <v>707842.8640498952</v>
      </c>
      <c r="T41" s="135">
        <f t="shared" si="37"/>
        <v>705436.98333792144</v>
      </c>
      <c r="U41" s="135">
        <f t="shared" si="37"/>
        <v>703263.34749544098</v>
      </c>
      <c r="V41" s="135">
        <f t="shared" si="37"/>
        <v>701326.69231319777</v>
      </c>
      <c r="W41" s="135">
        <f t="shared" si="37"/>
        <v>699631.8534405618</v>
      </c>
      <c r="X41" s="135">
        <f t="shared" si="37"/>
        <v>712514.69072933728</v>
      </c>
      <c r="Y41" s="135">
        <f t="shared" si="37"/>
        <v>725649.3238749156</v>
      </c>
      <c r="Z41" s="135">
        <f t="shared" si="37"/>
        <v>739040.90123082767</v>
      </c>
      <c r="AA41" s="135">
        <f t="shared" si="37"/>
        <v>752694.67992276489</v>
      </c>
      <c r="AB41" s="135">
        <f t="shared" si="37"/>
        <v>766616.0282006755</v>
      </c>
      <c r="AC41" s="135">
        <f t="shared" si="37"/>
        <v>780810.42784255394</v>
      </c>
      <c r="AD41" s="135">
        <f t="shared" si="37"/>
        <v>795283.47661107732</v>
      </c>
      <c r="AE41" s="135">
        <f t="shared" si="37"/>
        <v>810040.89076425927</v>
      </c>
      <c r="AF41" s="135">
        <f t="shared" si="37"/>
        <v>825088.507621328</v>
      </c>
      <c r="AG41" s="135">
        <f t="shared" si="37"/>
        <v>840432.2881850499</v>
      </c>
      <c r="AH41" s="135">
        <f t="shared" si="37"/>
        <v>856078.31982176169</v>
      </c>
      <c r="AI41" s="135">
        <f t="shared" si="37"/>
        <v>872032.81900038943</v>
      </c>
      <c r="AJ41" s="135">
        <f t="shared" si="37"/>
        <v>888302.13409176958</v>
      </c>
      <c r="AK41" s="135">
        <f t="shared" si="37"/>
        <v>904892.74822961341</v>
      </c>
      <c r="AL41" s="135">
        <f t="shared" si="37"/>
        <v>921811.28223448794</v>
      </c>
      <c r="AM41" s="135">
        <f t="shared" si="37"/>
        <v>939064.49760221504</v>
      </c>
      <c r="AN41" s="135">
        <f t="shared" si="37"/>
        <v>956659.29955812439</v>
      </c>
      <c r="AO41" s="135">
        <f t="shared" si="37"/>
        <v>974602.74017862557</v>
      </c>
      <c r="AP41" s="135">
        <f t="shared" si="37"/>
        <v>992902.02158160089</v>
      </c>
    </row>
    <row r="43" spans="1:42" ht="13.5" thickBot="1" x14ac:dyDescent="0.25">
      <c r="A43" s="165" t="s">
        <v>79</v>
      </c>
      <c r="C43" s="176">
        <f t="shared" ref="C43:AP43" si="38">C20-C41</f>
        <v>3486822.9809040418</v>
      </c>
      <c r="D43" s="176">
        <f t="shared" si="38"/>
        <v>3513467.6419480797</v>
      </c>
      <c r="E43" s="176">
        <f t="shared" si="38"/>
        <v>3540048.2521072086</v>
      </c>
      <c r="F43" s="176">
        <f t="shared" si="38"/>
        <v>3566561.9318006281</v>
      </c>
      <c r="G43" s="176">
        <f t="shared" si="38"/>
        <v>3593005.732983741</v>
      </c>
      <c r="H43" s="176">
        <f t="shared" si="38"/>
        <v>3619376.6376363281</v>
      </c>
      <c r="I43" s="176">
        <f t="shared" si="38"/>
        <v>3645671.5562174697</v>
      </c>
      <c r="J43" s="176">
        <f t="shared" si="38"/>
        <v>3671887.3260864457</v>
      </c>
      <c r="K43" s="176">
        <f t="shared" si="38"/>
        <v>3698020.7098888964</v>
      </c>
      <c r="L43" s="176">
        <f t="shared" si="38"/>
        <v>3724068.3939074203</v>
      </c>
      <c r="M43" s="176">
        <f t="shared" si="38"/>
        <v>3750026.9863758902</v>
      </c>
      <c r="N43" s="176">
        <f t="shared" si="38"/>
        <v>3775893.0157566071</v>
      </c>
      <c r="O43" s="176">
        <f t="shared" si="38"/>
        <v>3801662.9289795342</v>
      </c>
      <c r="P43" s="176">
        <f t="shared" si="38"/>
        <v>3827333.0896427091</v>
      </c>
      <c r="Q43" s="176">
        <f t="shared" si="38"/>
        <v>3852899.7761730291</v>
      </c>
      <c r="R43" s="176">
        <f t="shared" si="38"/>
        <v>3878359.1799464766</v>
      </c>
      <c r="S43" s="176">
        <f t="shared" si="38"/>
        <v>3903707.4033669368</v>
      </c>
      <c r="T43" s="176">
        <f t="shared" si="38"/>
        <v>3928940.4579026238</v>
      </c>
      <c r="U43" s="176">
        <f t="shared" si="38"/>
        <v>3954054.2620792459</v>
      </c>
      <c r="V43" s="176">
        <f t="shared" si="38"/>
        <v>3979044.6394288819</v>
      </c>
      <c r="W43" s="176">
        <f t="shared" si="38"/>
        <v>4003907.3163936422</v>
      </c>
      <c r="X43" s="176">
        <f t="shared" si="38"/>
        <v>4014306.9979955456</v>
      </c>
      <c r="Y43" s="176">
        <f t="shared" si="38"/>
        <v>4024570.1322091571</v>
      </c>
      <c r="Z43" s="176">
        <f t="shared" si="38"/>
        <v>4034692.1411608588</v>
      </c>
      <c r="AA43" s="176">
        <f t="shared" si="38"/>
        <v>4044668.341028763</v>
      </c>
      <c r="AB43" s="176">
        <f t="shared" si="38"/>
        <v>4054493.9397045625</v>
      </c>
      <c r="AC43" s="176">
        <f t="shared" si="38"/>
        <v>4064164.0344038149</v>
      </c>
      <c r="AD43" s="176">
        <f t="shared" si="38"/>
        <v>4073673.6092234091</v>
      </c>
      <c r="AE43" s="176">
        <f t="shared" si="38"/>
        <v>4083017.5326451086</v>
      </c>
      <c r="AF43" s="176">
        <f t="shared" si="38"/>
        <v>4092190.5549839181</v>
      </c>
      <c r="AG43" s="176">
        <f t="shared" si="38"/>
        <v>4101187.3057800923</v>
      </c>
      <c r="AH43" s="176">
        <f t="shared" si="38"/>
        <v>4110002.2911335053</v>
      </c>
      <c r="AI43" s="176">
        <f t="shared" si="38"/>
        <v>4118629.8909791075</v>
      </c>
      <c r="AJ43" s="176">
        <f t="shared" si="38"/>
        <v>4127064.3563021263</v>
      </c>
      <c r="AK43" s="176">
        <f t="shared" si="38"/>
        <v>4135299.806291732</v>
      </c>
      <c r="AL43" s="176">
        <f t="shared" si="38"/>
        <v>4143330.2254317375</v>
      </c>
      <c r="AM43" s="176">
        <f t="shared" si="38"/>
        <v>4151149.4605269581</v>
      </c>
      <c r="AN43" s="176">
        <f t="shared" si="38"/>
        <v>4158751.2176637892</v>
      </c>
      <c r="AO43" s="176">
        <f t="shared" si="38"/>
        <v>4166129.0591035369</v>
      </c>
      <c r="AP43" s="176">
        <f t="shared" si="38"/>
        <v>8195991.4001070075</v>
      </c>
    </row>
    <row r="44" spans="1:42" ht="13.5" thickTop="1" x14ac:dyDescent="0.2"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</row>
    <row r="45" spans="1:42" x14ac:dyDescent="0.2">
      <c r="A45" s="162" t="s">
        <v>243</v>
      </c>
      <c r="B45" s="101"/>
      <c r="C45" s="124"/>
      <c r="D45" s="124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</row>
    <row r="46" spans="1:42" x14ac:dyDescent="0.2">
      <c r="A46" s="165" t="s">
        <v>175</v>
      </c>
      <c r="B46" s="135"/>
      <c r="C46" s="135"/>
      <c r="D46" s="135"/>
      <c r="E46" s="135"/>
      <c r="F46" s="135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</row>
    <row r="47" spans="1:42" x14ac:dyDescent="0.2">
      <c r="A47" s="163" t="s">
        <v>112</v>
      </c>
      <c r="B47" s="135">
        <v>0</v>
      </c>
      <c r="C47" s="135">
        <f>C43</f>
        <v>3486822.9809040418</v>
      </c>
      <c r="D47" s="135">
        <f t="shared" ref="D47:AP47" si="39">D43</f>
        <v>3513467.6419480797</v>
      </c>
      <c r="E47" s="135">
        <f t="shared" si="39"/>
        <v>3540048.2521072086</v>
      </c>
      <c r="F47" s="135">
        <f t="shared" si="39"/>
        <v>3566561.9318006281</v>
      </c>
      <c r="G47" s="135">
        <f t="shared" si="39"/>
        <v>3593005.732983741</v>
      </c>
      <c r="H47" s="135">
        <f t="shared" si="39"/>
        <v>3619376.6376363281</v>
      </c>
      <c r="I47" s="135">
        <f t="shared" si="39"/>
        <v>3645671.5562174697</v>
      </c>
      <c r="J47" s="135">
        <f t="shared" si="39"/>
        <v>3671887.3260864457</v>
      </c>
      <c r="K47" s="135">
        <f t="shared" si="39"/>
        <v>3698020.7098888964</v>
      </c>
      <c r="L47" s="135">
        <f t="shared" si="39"/>
        <v>3724068.3939074203</v>
      </c>
      <c r="M47" s="135">
        <f t="shared" si="39"/>
        <v>3750026.9863758902</v>
      </c>
      <c r="N47" s="135">
        <f t="shared" si="39"/>
        <v>3775893.0157566071</v>
      </c>
      <c r="O47" s="135">
        <f t="shared" si="39"/>
        <v>3801662.9289795342</v>
      </c>
      <c r="P47" s="135">
        <f t="shared" si="39"/>
        <v>3827333.0896427091</v>
      </c>
      <c r="Q47" s="135">
        <f t="shared" si="39"/>
        <v>3852899.7761730291</v>
      </c>
      <c r="R47" s="135">
        <f t="shared" si="39"/>
        <v>3878359.1799464766</v>
      </c>
      <c r="S47" s="135">
        <f t="shared" si="39"/>
        <v>3903707.4033669368</v>
      </c>
      <c r="T47" s="135">
        <f t="shared" si="39"/>
        <v>3928940.4579026238</v>
      </c>
      <c r="U47" s="135">
        <f t="shared" si="39"/>
        <v>3954054.2620792459</v>
      </c>
      <c r="V47" s="135">
        <f t="shared" si="39"/>
        <v>3979044.6394288819</v>
      </c>
      <c r="W47" s="135">
        <f t="shared" si="39"/>
        <v>4003907.3163936422</v>
      </c>
      <c r="X47" s="135">
        <f t="shared" si="39"/>
        <v>4014306.9979955456</v>
      </c>
      <c r="Y47" s="135">
        <f t="shared" si="39"/>
        <v>4024570.1322091571</v>
      </c>
      <c r="Z47" s="135">
        <f t="shared" si="39"/>
        <v>4034692.1411608588</v>
      </c>
      <c r="AA47" s="135">
        <f t="shared" si="39"/>
        <v>4044668.341028763</v>
      </c>
      <c r="AB47" s="135">
        <f t="shared" si="39"/>
        <v>4054493.9397045625</v>
      </c>
      <c r="AC47" s="135">
        <f t="shared" si="39"/>
        <v>4064164.0344038149</v>
      </c>
      <c r="AD47" s="135">
        <f t="shared" si="39"/>
        <v>4073673.6092234091</v>
      </c>
      <c r="AE47" s="135">
        <f t="shared" si="39"/>
        <v>4083017.5326451086</v>
      </c>
      <c r="AF47" s="135">
        <f t="shared" si="39"/>
        <v>4092190.5549839181</v>
      </c>
      <c r="AG47" s="135">
        <f t="shared" si="39"/>
        <v>4101187.3057800923</v>
      </c>
      <c r="AH47" s="135">
        <f t="shared" si="39"/>
        <v>4110002.2911335053</v>
      </c>
      <c r="AI47" s="135">
        <f t="shared" si="39"/>
        <v>4118629.8909791075</v>
      </c>
      <c r="AJ47" s="135">
        <f t="shared" si="39"/>
        <v>4127064.3563021263</v>
      </c>
      <c r="AK47" s="135">
        <f t="shared" si="39"/>
        <v>4135299.806291732</v>
      </c>
      <c r="AL47" s="135">
        <f t="shared" si="39"/>
        <v>4143330.2254317375</v>
      </c>
      <c r="AM47" s="135">
        <f t="shared" si="39"/>
        <v>4151149.4605269581</v>
      </c>
      <c r="AN47" s="135">
        <f t="shared" si="39"/>
        <v>4158751.2176637892</v>
      </c>
      <c r="AO47" s="135">
        <f t="shared" si="39"/>
        <v>4166129.0591035369</v>
      </c>
      <c r="AP47" s="135">
        <f t="shared" si="39"/>
        <v>8195991.4001070075</v>
      </c>
    </row>
    <row r="48" spans="1:42" x14ac:dyDescent="0.2">
      <c r="A48" s="163" t="s">
        <v>197</v>
      </c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</row>
    <row r="49" spans="1:42" x14ac:dyDescent="0.2">
      <c r="A49" s="167" t="str">
        <f>A14</f>
        <v>Federal</v>
      </c>
      <c r="B49" s="135">
        <v>0</v>
      </c>
      <c r="C49" s="169">
        <f t="shared" ref="C49:AP49" si="40">IF(PBIFedDebtSwitch="Yes",0,C513)</f>
        <v>0</v>
      </c>
      <c r="D49" s="169">
        <f t="shared" si="40"/>
        <v>0</v>
      </c>
      <c r="E49" s="169">
        <f t="shared" si="40"/>
        <v>0</v>
      </c>
      <c r="F49" s="169">
        <f t="shared" si="40"/>
        <v>0</v>
      </c>
      <c r="G49" s="169">
        <f t="shared" si="40"/>
        <v>0</v>
      </c>
      <c r="H49" s="169">
        <f t="shared" si="40"/>
        <v>0</v>
      </c>
      <c r="I49" s="169">
        <f t="shared" si="40"/>
        <v>0</v>
      </c>
      <c r="J49" s="169">
        <f t="shared" si="40"/>
        <v>0</v>
      </c>
      <c r="K49" s="169">
        <f t="shared" si="40"/>
        <v>0</v>
      </c>
      <c r="L49" s="169">
        <f t="shared" si="40"/>
        <v>0</v>
      </c>
      <c r="M49" s="169">
        <f t="shared" si="40"/>
        <v>0</v>
      </c>
      <c r="N49" s="169">
        <f t="shared" si="40"/>
        <v>0</v>
      </c>
      <c r="O49" s="169">
        <f t="shared" si="40"/>
        <v>0</v>
      </c>
      <c r="P49" s="169">
        <f t="shared" si="40"/>
        <v>0</v>
      </c>
      <c r="Q49" s="169">
        <f t="shared" si="40"/>
        <v>0</v>
      </c>
      <c r="R49" s="169">
        <f t="shared" si="40"/>
        <v>0</v>
      </c>
      <c r="S49" s="169">
        <f t="shared" si="40"/>
        <v>0</v>
      </c>
      <c r="T49" s="169">
        <f t="shared" si="40"/>
        <v>0</v>
      </c>
      <c r="U49" s="169">
        <f t="shared" si="40"/>
        <v>0</v>
      </c>
      <c r="V49" s="169">
        <f t="shared" si="40"/>
        <v>0</v>
      </c>
      <c r="W49" s="169">
        <f t="shared" si="40"/>
        <v>0</v>
      </c>
      <c r="X49" s="169">
        <f t="shared" si="40"/>
        <v>0</v>
      </c>
      <c r="Y49" s="169">
        <f t="shared" si="40"/>
        <v>0</v>
      </c>
      <c r="Z49" s="169">
        <f t="shared" si="40"/>
        <v>0</v>
      </c>
      <c r="AA49" s="169">
        <f t="shared" si="40"/>
        <v>0</v>
      </c>
      <c r="AB49" s="169">
        <f t="shared" si="40"/>
        <v>0</v>
      </c>
      <c r="AC49" s="169">
        <f t="shared" si="40"/>
        <v>0</v>
      </c>
      <c r="AD49" s="169">
        <f t="shared" si="40"/>
        <v>0</v>
      </c>
      <c r="AE49" s="169">
        <f t="shared" si="40"/>
        <v>0</v>
      </c>
      <c r="AF49" s="169">
        <f t="shared" si="40"/>
        <v>0</v>
      </c>
      <c r="AG49" s="169">
        <f t="shared" si="40"/>
        <v>0</v>
      </c>
      <c r="AH49" s="169">
        <f t="shared" si="40"/>
        <v>0</v>
      </c>
      <c r="AI49" s="169">
        <f t="shared" si="40"/>
        <v>0</v>
      </c>
      <c r="AJ49" s="169">
        <f t="shared" si="40"/>
        <v>0</v>
      </c>
      <c r="AK49" s="169">
        <f t="shared" si="40"/>
        <v>0</v>
      </c>
      <c r="AL49" s="169">
        <f t="shared" si="40"/>
        <v>0</v>
      </c>
      <c r="AM49" s="169">
        <f t="shared" si="40"/>
        <v>0</v>
      </c>
      <c r="AN49" s="169">
        <f t="shared" si="40"/>
        <v>0</v>
      </c>
      <c r="AO49" s="169">
        <f t="shared" si="40"/>
        <v>0</v>
      </c>
      <c r="AP49" s="169">
        <f t="shared" si="40"/>
        <v>0</v>
      </c>
    </row>
    <row r="50" spans="1:42" x14ac:dyDescent="0.2">
      <c r="A50" s="167" t="str">
        <f t="shared" ref="A50:A52" si="41">A15</f>
        <v>State</v>
      </c>
      <c r="B50" s="135">
        <v>0</v>
      </c>
      <c r="C50" s="169">
        <f t="shared" ref="C50:AP50" si="42">IF(PBIStateDebtSwitch="Yes",0,C517)</f>
        <v>0</v>
      </c>
      <c r="D50" s="169">
        <f t="shared" si="42"/>
        <v>0</v>
      </c>
      <c r="E50" s="169">
        <f t="shared" si="42"/>
        <v>0</v>
      </c>
      <c r="F50" s="169">
        <f t="shared" si="42"/>
        <v>0</v>
      </c>
      <c r="G50" s="169">
        <f t="shared" si="42"/>
        <v>0</v>
      </c>
      <c r="H50" s="169">
        <f t="shared" si="42"/>
        <v>0</v>
      </c>
      <c r="I50" s="169">
        <f t="shared" si="42"/>
        <v>0</v>
      </c>
      <c r="J50" s="169">
        <f t="shared" si="42"/>
        <v>0</v>
      </c>
      <c r="K50" s="169">
        <f t="shared" si="42"/>
        <v>0</v>
      </c>
      <c r="L50" s="169">
        <f t="shared" si="42"/>
        <v>0</v>
      </c>
      <c r="M50" s="169">
        <f t="shared" si="42"/>
        <v>0</v>
      </c>
      <c r="N50" s="169">
        <f t="shared" si="42"/>
        <v>0</v>
      </c>
      <c r="O50" s="169">
        <f t="shared" si="42"/>
        <v>0</v>
      </c>
      <c r="P50" s="169">
        <f t="shared" si="42"/>
        <v>0</v>
      </c>
      <c r="Q50" s="169">
        <f t="shared" si="42"/>
        <v>0</v>
      </c>
      <c r="R50" s="169">
        <f t="shared" si="42"/>
        <v>0</v>
      </c>
      <c r="S50" s="169">
        <f t="shared" si="42"/>
        <v>0</v>
      </c>
      <c r="T50" s="169">
        <f t="shared" si="42"/>
        <v>0</v>
      </c>
      <c r="U50" s="169">
        <f t="shared" si="42"/>
        <v>0</v>
      </c>
      <c r="V50" s="169">
        <f t="shared" si="42"/>
        <v>0</v>
      </c>
      <c r="W50" s="169">
        <f t="shared" si="42"/>
        <v>0</v>
      </c>
      <c r="X50" s="169">
        <f t="shared" si="42"/>
        <v>0</v>
      </c>
      <c r="Y50" s="169">
        <f t="shared" si="42"/>
        <v>0</v>
      </c>
      <c r="Z50" s="169">
        <f t="shared" si="42"/>
        <v>0</v>
      </c>
      <c r="AA50" s="169">
        <f t="shared" si="42"/>
        <v>0</v>
      </c>
      <c r="AB50" s="169">
        <f t="shared" si="42"/>
        <v>0</v>
      </c>
      <c r="AC50" s="169">
        <f t="shared" si="42"/>
        <v>0</v>
      </c>
      <c r="AD50" s="169">
        <f t="shared" si="42"/>
        <v>0</v>
      </c>
      <c r="AE50" s="169">
        <f t="shared" si="42"/>
        <v>0</v>
      </c>
      <c r="AF50" s="169">
        <f t="shared" si="42"/>
        <v>0</v>
      </c>
      <c r="AG50" s="169">
        <f t="shared" si="42"/>
        <v>0</v>
      </c>
      <c r="AH50" s="169">
        <f t="shared" si="42"/>
        <v>0</v>
      </c>
      <c r="AI50" s="169">
        <f t="shared" si="42"/>
        <v>0</v>
      </c>
      <c r="AJ50" s="169">
        <f t="shared" si="42"/>
        <v>0</v>
      </c>
      <c r="AK50" s="169">
        <f t="shared" si="42"/>
        <v>0</v>
      </c>
      <c r="AL50" s="169">
        <f t="shared" si="42"/>
        <v>0</v>
      </c>
      <c r="AM50" s="169">
        <f t="shared" si="42"/>
        <v>0</v>
      </c>
      <c r="AN50" s="169">
        <f t="shared" si="42"/>
        <v>0</v>
      </c>
      <c r="AO50" s="169">
        <f t="shared" si="42"/>
        <v>0</v>
      </c>
      <c r="AP50" s="169">
        <f t="shared" si="42"/>
        <v>0</v>
      </c>
    </row>
    <row r="51" spans="1:42" x14ac:dyDescent="0.2">
      <c r="A51" s="167" t="str">
        <f t="shared" si="41"/>
        <v>Utility</v>
      </c>
      <c r="B51" s="135">
        <v>0</v>
      </c>
      <c r="C51" s="169">
        <f t="shared" ref="C51:AP51" si="43">IF(PBIUtilityDebtSwitch="Yes",0,C521)</f>
        <v>0</v>
      </c>
      <c r="D51" s="169">
        <f t="shared" si="43"/>
        <v>0</v>
      </c>
      <c r="E51" s="169">
        <f t="shared" si="43"/>
        <v>0</v>
      </c>
      <c r="F51" s="169">
        <f t="shared" si="43"/>
        <v>0</v>
      </c>
      <c r="G51" s="169">
        <f t="shared" si="43"/>
        <v>0</v>
      </c>
      <c r="H51" s="169">
        <f t="shared" si="43"/>
        <v>0</v>
      </c>
      <c r="I51" s="169">
        <f t="shared" si="43"/>
        <v>0</v>
      </c>
      <c r="J51" s="169">
        <f t="shared" si="43"/>
        <v>0</v>
      </c>
      <c r="K51" s="169">
        <f t="shared" si="43"/>
        <v>0</v>
      </c>
      <c r="L51" s="169">
        <f t="shared" si="43"/>
        <v>0</v>
      </c>
      <c r="M51" s="169">
        <f t="shared" si="43"/>
        <v>0</v>
      </c>
      <c r="N51" s="169">
        <f t="shared" si="43"/>
        <v>0</v>
      </c>
      <c r="O51" s="169">
        <f t="shared" si="43"/>
        <v>0</v>
      </c>
      <c r="P51" s="169">
        <f t="shared" si="43"/>
        <v>0</v>
      </c>
      <c r="Q51" s="169">
        <f t="shared" si="43"/>
        <v>0</v>
      </c>
      <c r="R51" s="169">
        <f t="shared" si="43"/>
        <v>0</v>
      </c>
      <c r="S51" s="169">
        <f t="shared" si="43"/>
        <v>0</v>
      </c>
      <c r="T51" s="169">
        <f t="shared" si="43"/>
        <v>0</v>
      </c>
      <c r="U51" s="169">
        <f t="shared" si="43"/>
        <v>0</v>
      </c>
      <c r="V51" s="169">
        <f t="shared" si="43"/>
        <v>0</v>
      </c>
      <c r="W51" s="169">
        <f t="shared" si="43"/>
        <v>0</v>
      </c>
      <c r="X51" s="169">
        <f t="shared" si="43"/>
        <v>0</v>
      </c>
      <c r="Y51" s="169">
        <f t="shared" si="43"/>
        <v>0</v>
      </c>
      <c r="Z51" s="169">
        <f t="shared" si="43"/>
        <v>0</v>
      </c>
      <c r="AA51" s="169">
        <f t="shared" si="43"/>
        <v>0</v>
      </c>
      <c r="AB51" s="169">
        <f t="shared" si="43"/>
        <v>0</v>
      </c>
      <c r="AC51" s="169">
        <f t="shared" si="43"/>
        <v>0</v>
      </c>
      <c r="AD51" s="169">
        <f t="shared" si="43"/>
        <v>0</v>
      </c>
      <c r="AE51" s="169">
        <f t="shared" si="43"/>
        <v>0</v>
      </c>
      <c r="AF51" s="169">
        <f t="shared" si="43"/>
        <v>0</v>
      </c>
      <c r="AG51" s="169">
        <f t="shared" si="43"/>
        <v>0</v>
      </c>
      <c r="AH51" s="169">
        <f t="shared" si="43"/>
        <v>0</v>
      </c>
      <c r="AI51" s="169">
        <f t="shared" si="43"/>
        <v>0</v>
      </c>
      <c r="AJ51" s="169">
        <f t="shared" si="43"/>
        <v>0</v>
      </c>
      <c r="AK51" s="169">
        <f t="shared" si="43"/>
        <v>0</v>
      </c>
      <c r="AL51" s="169">
        <f t="shared" si="43"/>
        <v>0</v>
      </c>
      <c r="AM51" s="169">
        <f t="shared" si="43"/>
        <v>0</v>
      </c>
      <c r="AN51" s="169">
        <f t="shared" si="43"/>
        <v>0</v>
      </c>
      <c r="AO51" s="169">
        <f t="shared" si="43"/>
        <v>0</v>
      </c>
      <c r="AP51" s="169">
        <f t="shared" si="43"/>
        <v>0</v>
      </c>
    </row>
    <row r="52" spans="1:42" x14ac:dyDescent="0.2">
      <c r="A52" s="167" t="str">
        <f t="shared" si="41"/>
        <v>Other</v>
      </c>
      <c r="B52" s="170">
        <v>0</v>
      </c>
      <c r="C52" s="170">
        <f t="shared" ref="C52:AP52" si="44">IF(PBIOtherDebtSwitch="Yes",0,C525)</f>
        <v>0</v>
      </c>
      <c r="D52" s="170">
        <f t="shared" si="44"/>
        <v>0</v>
      </c>
      <c r="E52" s="170">
        <f t="shared" si="44"/>
        <v>0</v>
      </c>
      <c r="F52" s="170">
        <f t="shared" si="44"/>
        <v>0</v>
      </c>
      <c r="G52" s="170">
        <f t="shared" si="44"/>
        <v>0</v>
      </c>
      <c r="H52" s="170">
        <f t="shared" si="44"/>
        <v>0</v>
      </c>
      <c r="I52" s="170">
        <f t="shared" si="44"/>
        <v>0</v>
      </c>
      <c r="J52" s="170">
        <f t="shared" si="44"/>
        <v>0</v>
      </c>
      <c r="K52" s="170">
        <f t="shared" si="44"/>
        <v>0</v>
      </c>
      <c r="L52" s="170">
        <f t="shared" si="44"/>
        <v>0</v>
      </c>
      <c r="M52" s="170">
        <f t="shared" si="44"/>
        <v>0</v>
      </c>
      <c r="N52" s="170">
        <f t="shared" si="44"/>
        <v>0</v>
      </c>
      <c r="O52" s="170">
        <f t="shared" si="44"/>
        <v>0</v>
      </c>
      <c r="P52" s="170">
        <f t="shared" si="44"/>
        <v>0</v>
      </c>
      <c r="Q52" s="170">
        <f t="shared" si="44"/>
        <v>0</v>
      </c>
      <c r="R52" s="170">
        <f t="shared" si="44"/>
        <v>0</v>
      </c>
      <c r="S52" s="170">
        <f t="shared" si="44"/>
        <v>0</v>
      </c>
      <c r="T52" s="170">
        <f t="shared" si="44"/>
        <v>0</v>
      </c>
      <c r="U52" s="170">
        <f t="shared" si="44"/>
        <v>0</v>
      </c>
      <c r="V52" s="170">
        <f t="shared" si="44"/>
        <v>0</v>
      </c>
      <c r="W52" s="170">
        <f t="shared" si="44"/>
        <v>0</v>
      </c>
      <c r="X52" s="170">
        <f t="shared" si="44"/>
        <v>0</v>
      </c>
      <c r="Y52" s="170">
        <f t="shared" si="44"/>
        <v>0</v>
      </c>
      <c r="Z52" s="170">
        <f t="shared" si="44"/>
        <v>0</v>
      </c>
      <c r="AA52" s="170">
        <f t="shared" si="44"/>
        <v>0</v>
      </c>
      <c r="AB52" s="170">
        <f t="shared" si="44"/>
        <v>0</v>
      </c>
      <c r="AC52" s="170">
        <f t="shared" si="44"/>
        <v>0</v>
      </c>
      <c r="AD52" s="170">
        <f t="shared" si="44"/>
        <v>0</v>
      </c>
      <c r="AE52" s="170">
        <f t="shared" si="44"/>
        <v>0</v>
      </c>
      <c r="AF52" s="170">
        <f t="shared" si="44"/>
        <v>0</v>
      </c>
      <c r="AG52" s="170">
        <f t="shared" si="44"/>
        <v>0</v>
      </c>
      <c r="AH52" s="170">
        <f t="shared" si="44"/>
        <v>0</v>
      </c>
      <c r="AI52" s="170">
        <f t="shared" si="44"/>
        <v>0</v>
      </c>
      <c r="AJ52" s="170">
        <f t="shared" si="44"/>
        <v>0</v>
      </c>
      <c r="AK52" s="170">
        <f t="shared" si="44"/>
        <v>0</v>
      </c>
      <c r="AL52" s="170">
        <f t="shared" si="44"/>
        <v>0</v>
      </c>
      <c r="AM52" s="170">
        <f t="shared" si="44"/>
        <v>0</v>
      </c>
      <c r="AN52" s="170">
        <f t="shared" si="44"/>
        <v>0</v>
      </c>
      <c r="AO52" s="170">
        <f t="shared" si="44"/>
        <v>0</v>
      </c>
      <c r="AP52" s="170">
        <f t="shared" si="44"/>
        <v>0</v>
      </c>
    </row>
    <row r="53" spans="1:42" x14ac:dyDescent="0.2">
      <c r="A53" s="167" t="s">
        <v>53</v>
      </c>
      <c r="B53" s="135">
        <f>SUM(B49:B52)</f>
        <v>0</v>
      </c>
      <c r="C53" s="135">
        <f>SUM(C49:C52)</f>
        <v>0</v>
      </c>
      <c r="D53" s="135">
        <f t="shared" ref="D53:AP53" si="45">SUM(D49:D52)</f>
        <v>0</v>
      </c>
      <c r="E53" s="135">
        <f t="shared" si="45"/>
        <v>0</v>
      </c>
      <c r="F53" s="135">
        <f t="shared" si="45"/>
        <v>0</v>
      </c>
      <c r="G53" s="135">
        <f t="shared" si="45"/>
        <v>0</v>
      </c>
      <c r="H53" s="135">
        <f t="shared" si="45"/>
        <v>0</v>
      </c>
      <c r="I53" s="135">
        <f t="shared" si="45"/>
        <v>0</v>
      </c>
      <c r="J53" s="135">
        <f t="shared" si="45"/>
        <v>0</v>
      </c>
      <c r="K53" s="135">
        <f t="shared" si="45"/>
        <v>0</v>
      </c>
      <c r="L53" s="135">
        <f t="shared" si="45"/>
        <v>0</v>
      </c>
      <c r="M53" s="135">
        <f t="shared" si="45"/>
        <v>0</v>
      </c>
      <c r="N53" s="135">
        <f t="shared" si="45"/>
        <v>0</v>
      </c>
      <c r="O53" s="135">
        <f t="shared" si="45"/>
        <v>0</v>
      </c>
      <c r="P53" s="135">
        <f t="shared" si="45"/>
        <v>0</v>
      </c>
      <c r="Q53" s="135">
        <f t="shared" si="45"/>
        <v>0</v>
      </c>
      <c r="R53" s="135">
        <f t="shared" si="45"/>
        <v>0</v>
      </c>
      <c r="S53" s="135">
        <f t="shared" si="45"/>
        <v>0</v>
      </c>
      <c r="T53" s="135">
        <f t="shared" si="45"/>
        <v>0</v>
      </c>
      <c r="U53" s="135">
        <f t="shared" si="45"/>
        <v>0</v>
      </c>
      <c r="V53" s="135">
        <f t="shared" si="45"/>
        <v>0</v>
      </c>
      <c r="W53" s="135">
        <f t="shared" si="45"/>
        <v>0</v>
      </c>
      <c r="X53" s="135">
        <f t="shared" si="45"/>
        <v>0</v>
      </c>
      <c r="Y53" s="135">
        <f t="shared" si="45"/>
        <v>0</v>
      </c>
      <c r="Z53" s="135">
        <f t="shared" si="45"/>
        <v>0</v>
      </c>
      <c r="AA53" s="135">
        <f t="shared" si="45"/>
        <v>0</v>
      </c>
      <c r="AB53" s="135">
        <f t="shared" si="45"/>
        <v>0</v>
      </c>
      <c r="AC53" s="135">
        <f t="shared" si="45"/>
        <v>0</v>
      </c>
      <c r="AD53" s="135">
        <f t="shared" si="45"/>
        <v>0</v>
      </c>
      <c r="AE53" s="135">
        <f t="shared" si="45"/>
        <v>0</v>
      </c>
      <c r="AF53" s="135">
        <f t="shared" si="45"/>
        <v>0</v>
      </c>
      <c r="AG53" s="135">
        <f t="shared" si="45"/>
        <v>0</v>
      </c>
      <c r="AH53" s="135">
        <f t="shared" si="45"/>
        <v>0</v>
      </c>
      <c r="AI53" s="135">
        <f t="shared" si="45"/>
        <v>0</v>
      </c>
      <c r="AJ53" s="135">
        <f t="shared" si="45"/>
        <v>0</v>
      </c>
      <c r="AK53" s="135">
        <f t="shared" si="45"/>
        <v>0</v>
      </c>
      <c r="AL53" s="135">
        <f t="shared" si="45"/>
        <v>0</v>
      </c>
      <c r="AM53" s="135">
        <f t="shared" si="45"/>
        <v>0</v>
      </c>
      <c r="AN53" s="135">
        <f t="shared" si="45"/>
        <v>0</v>
      </c>
      <c r="AO53" s="135">
        <f t="shared" si="45"/>
        <v>0</v>
      </c>
      <c r="AP53" s="135">
        <f t="shared" si="45"/>
        <v>0</v>
      </c>
    </row>
    <row r="54" spans="1:42" x14ac:dyDescent="0.2">
      <c r="A54" s="163" t="s">
        <v>121</v>
      </c>
      <c r="B54" s="135">
        <v>0</v>
      </c>
      <c r="C54" s="135">
        <f t="shared" ref="C54:AP54" si="46">C701</f>
        <v>27785.305345268542</v>
      </c>
      <c r="D54" s="135">
        <f t="shared" si="46"/>
        <v>32204.031760477119</v>
      </c>
      <c r="E54" s="135">
        <f t="shared" si="46"/>
        <v>36623.817072169513</v>
      </c>
      <c r="F54" s="135">
        <f t="shared" si="46"/>
        <v>41044.672335027615</v>
      </c>
      <c r="G54" s="135">
        <f t="shared" si="46"/>
        <v>45466.608781430121</v>
      </c>
      <c r="H54" s="135">
        <f t="shared" si="46"/>
        <v>49889.637824992889</v>
      </c>
      <c r="I54" s="135">
        <f t="shared" si="46"/>
        <v>54313.771064185363</v>
      </c>
      <c r="J54" s="135">
        <f t="shared" si="46"/>
        <v>58739.020286024672</v>
      </c>
      <c r="K54" s="135">
        <f t="shared" si="46"/>
        <v>63165.397469849202</v>
      </c>
      <c r="L54" s="135">
        <f t="shared" si="46"/>
        <v>67592.914791173142</v>
      </c>
      <c r="M54" s="135">
        <f t="shared" si="46"/>
        <v>72021.584625624266</v>
      </c>
      <c r="N54" s="135">
        <f t="shared" si="46"/>
        <v>76451.41955296621</v>
      </c>
      <c r="O54" s="135">
        <f t="shared" si="46"/>
        <v>29036.017136881917</v>
      </c>
      <c r="P54" s="135">
        <f t="shared" si="46"/>
        <v>11403.279000766337</v>
      </c>
      <c r="Q54" s="135">
        <f t="shared" si="46"/>
        <v>16511.079658844716</v>
      </c>
      <c r="R54" s="135">
        <f t="shared" si="46"/>
        <v>21620.793204951438</v>
      </c>
      <c r="S54" s="135">
        <f t="shared" si="46"/>
        <v>26732.458565163892</v>
      </c>
      <c r="T54" s="135">
        <f t="shared" si="46"/>
        <v>31846.115485115948</v>
      </c>
      <c r="U54" s="135">
        <f t="shared" si="46"/>
        <v>36961.804547676074</v>
      </c>
      <c r="V54" s="135">
        <f t="shared" si="46"/>
        <v>42079.567191013273</v>
      </c>
      <c r="W54" s="135">
        <f t="shared" si="46"/>
        <v>47199.445727059538</v>
      </c>
      <c r="X54" s="135">
        <f t="shared" si="46"/>
        <v>52446.878929518141</v>
      </c>
      <c r="Y54" s="135">
        <f t="shared" si="46"/>
        <v>57696.515345723783</v>
      </c>
      <c r="Z54" s="135">
        <f t="shared" si="46"/>
        <v>62948.400023769842</v>
      </c>
      <c r="AA54" s="135">
        <f t="shared" si="46"/>
        <v>6586.0784493241936</v>
      </c>
      <c r="AB54" s="135">
        <f t="shared" si="46"/>
        <v>12847.040886474646</v>
      </c>
      <c r="AC54" s="135">
        <f t="shared" si="46"/>
        <v>19110.392523059818</v>
      </c>
      <c r="AD54" s="135">
        <f t="shared" si="46"/>
        <v>25376.182339503135</v>
      </c>
      <c r="AE54" s="135">
        <f t="shared" si="46"/>
        <v>31644.460353062212</v>
      </c>
      <c r="AF54" s="135">
        <f t="shared" si="46"/>
        <v>37915.277640280299</v>
      </c>
      <c r="AG54" s="135">
        <f t="shared" si="46"/>
        <v>44188.686359931598</v>
      </c>
      <c r="AH54" s="135">
        <f t="shared" si="46"/>
        <v>50464.739776471564</v>
      </c>
      <c r="AI54" s="135">
        <f t="shared" si="46"/>
        <v>56743.492284003289</v>
      </c>
      <c r="AJ54" s="135">
        <f t="shared" si="46"/>
        <v>63024.999430771604</v>
      </c>
      <c r="AK54" s="135">
        <f t="shared" si="46"/>
        <v>69309.317944196475</v>
      </c>
      <c r="AL54" s="135">
        <f t="shared" si="46"/>
        <v>75596.50575645786</v>
      </c>
      <c r="AM54" s="135">
        <f t="shared" si="46"/>
        <v>8216.8143540193832</v>
      </c>
      <c r="AN54" s="135">
        <f t="shared" si="46"/>
        <v>8370.7688711335886</v>
      </c>
      <c r="AO54" s="135">
        <f t="shared" si="46"/>
        <v>8527.773976562974</v>
      </c>
      <c r="AP54" s="135">
        <f t="shared" si="46"/>
        <v>8687.8926888390088</v>
      </c>
    </row>
    <row r="55" spans="1:42" x14ac:dyDescent="0.2">
      <c r="A55" s="163" t="s">
        <v>176</v>
      </c>
      <c r="B55" s="170">
        <v>0</v>
      </c>
      <c r="C55" s="170">
        <f>-C538</f>
        <v>-1630990.3450276775</v>
      </c>
      <c r="D55" s="170">
        <f t="shared" ref="D55:AP55" si="47">-D538</f>
        <v>-1565535.3088411714</v>
      </c>
      <c r="E55" s="170">
        <f t="shared" si="47"/>
        <v>-1492838.967772336</v>
      </c>
      <c r="F55" s="170">
        <f t="shared" si="47"/>
        <v>-1412289.8437396672</v>
      </c>
      <c r="G55" s="170">
        <f t="shared" si="47"/>
        <v>-1323224.6643316729</v>
      </c>
      <c r="H55" s="170">
        <f t="shared" si="47"/>
        <v>-1224923.9645995069</v>
      </c>
      <c r="I55" s="170">
        <f t="shared" si="47"/>
        <v>-1116607.315097166</v>
      </c>
      <c r="J55" s="170">
        <f t="shared" si="47"/>
        <v>-997428.14440238755</v>
      </c>
      <c r="K55" s="170">
        <f t="shared" si="47"/>
        <v>-866468.12165124703</v>
      </c>
      <c r="L55" s="170">
        <f t="shared" si="47"/>
        <v>-722731.06168980908</v>
      </c>
      <c r="M55" s="170">
        <f t="shared" si="47"/>
        <v>-565136.31226751953</v>
      </c>
      <c r="N55" s="170">
        <f t="shared" si="47"/>
        <v>-392511.57924817252</v>
      </c>
      <c r="O55" s="170">
        <f t="shared" si="47"/>
        <v>-203585.14207228407</v>
      </c>
      <c r="P55" s="170">
        <f t="shared" si="47"/>
        <v>0</v>
      </c>
      <c r="Q55" s="170">
        <f t="shared" si="47"/>
        <v>0</v>
      </c>
      <c r="R55" s="170">
        <f t="shared" si="47"/>
        <v>0</v>
      </c>
      <c r="S55" s="170">
        <f t="shared" si="47"/>
        <v>0</v>
      </c>
      <c r="T55" s="170">
        <f t="shared" si="47"/>
        <v>0</v>
      </c>
      <c r="U55" s="170">
        <f t="shared" si="47"/>
        <v>0</v>
      </c>
      <c r="V55" s="170">
        <f t="shared" si="47"/>
        <v>0</v>
      </c>
      <c r="W55" s="170">
        <f t="shared" si="47"/>
        <v>0</v>
      </c>
      <c r="X55" s="170">
        <f t="shared" si="47"/>
        <v>0</v>
      </c>
      <c r="Y55" s="170">
        <f t="shared" si="47"/>
        <v>0</v>
      </c>
      <c r="Z55" s="170">
        <f t="shared" si="47"/>
        <v>0</v>
      </c>
      <c r="AA55" s="170">
        <f t="shared" si="47"/>
        <v>0</v>
      </c>
      <c r="AB55" s="170">
        <f t="shared" si="47"/>
        <v>0</v>
      </c>
      <c r="AC55" s="170">
        <f t="shared" si="47"/>
        <v>0</v>
      </c>
      <c r="AD55" s="170">
        <f t="shared" si="47"/>
        <v>0</v>
      </c>
      <c r="AE55" s="170">
        <f t="shared" si="47"/>
        <v>0</v>
      </c>
      <c r="AF55" s="170">
        <f t="shared" si="47"/>
        <v>0</v>
      </c>
      <c r="AG55" s="170">
        <f t="shared" si="47"/>
        <v>0</v>
      </c>
      <c r="AH55" s="170">
        <f t="shared" si="47"/>
        <v>0</v>
      </c>
      <c r="AI55" s="170">
        <f t="shared" si="47"/>
        <v>0</v>
      </c>
      <c r="AJ55" s="170">
        <f t="shared" si="47"/>
        <v>0</v>
      </c>
      <c r="AK55" s="170">
        <f t="shared" si="47"/>
        <v>0</v>
      </c>
      <c r="AL55" s="170">
        <f t="shared" si="47"/>
        <v>0</v>
      </c>
      <c r="AM55" s="170">
        <f t="shared" si="47"/>
        <v>0</v>
      </c>
      <c r="AN55" s="170">
        <f t="shared" si="47"/>
        <v>0</v>
      </c>
      <c r="AO55" s="170">
        <f t="shared" si="47"/>
        <v>0</v>
      </c>
      <c r="AP55" s="170">
        <f t="shared" si="47"/>
        <v>0</v>
      </c>
    </row>
    <row r="56" spans="1:42" x14ac:dyDescent="0.2">
      <c r="A56" s="163" t="s">
        <v>53</v>
      </c>
      <c r="B56" s="135">
        <f>B47+B53+B54+B55</f>
        <v>0</v>
      </c>
      <c r="C56" s="135">
        <f t="shared" ref="C56:AP56" si="48">C47+C53+C54+C55</f>
        <v>1883617.9412216328</v>
      </c>
      <c r="D56" s="135">
        <f t="shared" si="48"/>
        <v>1980136.3648673852</v>
      </c>
      <c r="E56" s="135">
        <f t="shared" si="48"/>
        <v>2083833.101407042</v>
      </c>
      <c r="F56" s="135">
        <f t="shared" si="48"/>
        <v>2195316.7603959888</v>
      </c>
      <c r="G56" s="135">
        <f t="shared" si="48"/>
        <v>2315247.6774334982</v>
      </c>
      <c r="H56" s="135">
        <f t="shared" si="48"/>
        <v>2444342.3108618143</v>
      </c>
      <c r="I56" s="135">
        <f t="shared" si="48"/>
        <v>2583378.0121844895</v>
      </c>
      <c r="J56" s="135">
        <f t="shared" si="48"/>
        <v>2733198.2019700827</v>
      </c>
      <c r="K56" s="135">
        <f t="shared" si="48"/>
        <v>2894717.9857074986</v>
      </c>
      <c r="L56" s="135">
        <f t="shared" si="48"/>
        <v>3068930.2470087847</v>
      </c>
      <c r="M56" s="135">
        <f t="shared" si="48"/>
        <v>3256912.2587339948</v>
      </c>
      <c r="N56" s="135">
        <f t="shared" si="48"/>
        <v>3459832.8560614004</v>
      </c>
      <c r="O56" s="135">
        <f t="shared" si="48"/>
        <v>3627113.8040441321</v>
      </c>
      <c r="P56" s="135">
        <f t="shared" si="48"/>
        <v>3838736.3686434752</v>
      </c>
      <c r="Q56" s="135">
        <f t="shared" si="48"/>
        <v>3869410.8558318736</v>
      </c>
      <c r="R56" s="135">
        <f t="shared" si="48"/>
        <v>3899979.9731514282</v>
      </c>
      <c r="S56" s="135">
        <f t="shared" si="48"/>
        <v>3930439.8619321007</v>
      </c>
      <c r="T56" s="135">
        <f t="shared" si="48"/>
        <v>3960786.5733877397</v>
      </c>
      <c r="U56" s="135">
        <f t="shared" si="48"/>
        <v>3991016.0666269218</v>
      </c>
      <c r="V56" s="135">
        <f t="shared" si="48"/>
        <v>4021124.2066198951</v>
      </c>
      <c r="W56" s="135">
        <f t="shared" si="48"/>
        <v>4051106.7621207018</v>
      </c>
      <c r="X56" s="135">
        <f t="shared" si="48"/>
        <v>4066753.8769250638</v>
      </c>
      <c r="Y56" s="135">
        <f t="shared" si="48"/>
        <v>4082266.6475548809</v>
      </c>
      <c r="Z56" s="135">
        <f t="shared" si="48"/>
        <v>4097640.5411846288</v>
      </c>
      <c r="AA56" s="135">
        <f t="shared" si="48"/>
        <v>4051254.4194780872</v>
      </c>
      <c r="AB56" s="135">
        <f t="shared" si="48"/>
        <v>4067340.9805910373</v>
      </c>
      <c r="AC56" s="135">
        <f t="shared" si="48"/>
        <v>4083274.4269268746</v>
      </c>
      <c r="AD56" s="135">
        <f t="shared" si="48"/>
        <v>4099049.7915629121</v>
      </c>
      <c r="AE56" s="135">
        <f t="shared" si="48"/>
        <v>4114661.9929981707</v>
      </c>
      <c r="AF56" s="135">
        <f t="shared" si="48"/>
        <v>4130105.8326241984</v>
      </c>
      <c r="AG56" s="135">
        <f t="shared" si="48"/>
        <v>4145375.992140024</v>
      </c>
      <c r="AH56" s="135">
        <f t="shared" si="48"/>
        <v>4160467.0309099769</v>
      </c>
      <c r="AI56" s="135">
        <f t="shared" si="48"/>
        <v>4175373.3832631106</v>
      </c>
      <c r="AJ56" s="135">
        <f t="shared" si="48"/>
        <v>4190089.3557328978</v>
      </c>
      <c r="AK56" s="135">
        <f t="shared" si="48"/>
        <v>4204609.1242359281</v>
      </c>
      <c r="AL56" s="135">
        <f t="shared" si="48"/>
        <v>4218926.7311881958</v>
      </c>
      <c r="AM56" s="135">
        <f t="shared" si="48"/>
        <v>4159366.2748809773</v>
      </c>
      <c r="AN56" s="135">
        <f t="shared" si="48"/>
        <v>4167121.9865349228</v>
      </c>
      <c r="AO56" s="135">
        <f t="shared" si="48"/>
        <v>4174656.8330800999</v>
      </c>
      <c r="AP56" s="135">
        <f t="shared" si="48"/>
        <v>8204679.2927958462</v>
      </c>
    </row>
    <row r="57" spans="1:42" x14ac:dyDescent="0.2">
      <c r="A57" s="163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</row>
    <row r="58" spans="1:42" x14ac:dyDescent="0.2">
      <c r="A58" s="165" t="s">
        <v>168</v>
      </c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</row>
    <row r="59" spans="1:42" x14ac:dyDescent="0.2">
      <c r="A59" s="163" t="s">
        <v>169</v>
      </c>
      <c r="B59" s="135">
        <f>-SOInstalledCostTotal+'Inputs &amp; Results'!$E$177+'Inputs &amp; Results'!$E$180</f>
        <v>-42291103.075593121</v>
      </c>
      <c r="C59" s="135">
        <v>0</v>
      </c>
      <c r="D59" s="135">
        <v>0</v>
      </c>
      <c r="E59" s="135">
        <v>0</v>
      </c>
      <c r="F59" s="135">
        <v>0</v>
      </c>
      <c r="G59" s="135">
        <v>0</v>
      </c>
      <c r="H59" s="135">
        <v>0</v>
      </c>
      <c r="I59" s="135">
        <v>0</v>
      </c>
      <c r="J59" s="135">
        <v>0</v>
      </c>
      <c r="K59" s="135">
        <v>0</v>
      </c>
      <c r="L59" s="135">
        <v>0</v>
      </c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</row>
    <row r="60" spans="1:42" x14ac:dyDescent="0.2">
      <c r="A60" s="163" t="s">
        <v>170</v>
      </c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</row>
    <row r="61" spans="1:42" x14ac:dyDescent="0.2">
      <c r="A61" s="167" t="s">
        <v>171</v>
      </c>
      <c r="B61" s="135">
        <f t="shared" ref="B61:AP61" si="49">-B593-B594</f>
        <v>-1200524.7971403452</v>
      </c>
      <c r="C61" s="135">
        <f t="shared" si="49"/>
        <v>-9868.3929792733397</v>
      </c>
      <c r="D61" s="135">
        <f t="shared" si="49"/>
        <v>-9844.6704293068033</v>
      </c>
      <c r="E61" s="135">
        <f t="shared" si="49"/>
        <v>-9819.8813679332379</v>
      </c>
      <c r="F61" s="135">
        <f t="shared" si="49"/>
        <v>-9794.0004381900653</v>
      </c>
      <c r="G61" s="135">
        <f t="shared" si="49"/>
        <v>-9767.0017231802922</v>
      </c>
      <c r="H61" s="135">
        <f t="shared" si="49"/>
        <v>-9738.8587337562349</v>
      </c>
      <c r="I61" s="135">
        <f t="shared" si="49"/>
        <v>-9709.5443959168624</v>
      </c>
      <c r="J61" s="135">
        <f t="shared" si="49"/>
        <v>-9679.0310379448347</v>
      </c>
      <c r="K61" s="135">
        <f t="shared" si="49"/>
        <v>-9647.2903772310819</v>
      </c>
      <c r="L61" s="135">
        <f t="shared" si="49"/>
        <v>-9614.2935068407096</v>
      </c>
      <c r="M61" s="135">
        <f t="shared" si="49"/>
        <v>-9580.0108817468863</v>
      </c>
      <c r="N61" s="135">
        <f t="shared" si="49"/>
        <v>8235.5427267975174</v>
      </c>
      <c r="O61" s="135">
        <f t="shared" si="49"/>
        <v>1299352.230284868</v>
      </c>
      <c r="P61" s="135">
        <f t="shared" si="49"/>
        <v>0</v>
      </c>
      <c r="Q61" s="135">
        <f t="shared" si="49"/>
        <v>0</v>
      </c>
      <c r="R61" s="135">
        <f t="shared" si="49"/>
        <v>0</v>
      </c>
      <c r="S61" s="135">
        <f t="shared" si="49"/>
        <v>0</v>
      </c>
      <c r="T61" s="135">
        <f t="shared" si="49"/>
        <v>0</v>
      </c>
      <c r="U61" s="135">
        <f t="shared" si="49"/>
        <v>0</v>
      </c>
      <c r="V61" s="135">
        <f t="shared" si="49"/>
        <v>0</v>
      </c>
      <c r="W61" s="135">
        <f t="shared" si="49"/>
        <v>0</v>
      </c>
      <c r="X61" s="135">
        <f t="shared" si="49"/>
        <v>0</v>
      </c>
      <c r="Y61" s="135">
        <f t="shared" si="49"/>
        <v>0</v>
      </c>
      <c r="Z61" s="135">
        <f t="shared" si="49"/>
        <v>0</v>
      </c>
      <c r="AA61" s="135">
        <f t="shared" si="49"/>
        <v>0</v>
      </c>
      <c r="AB61" s="135">
        <f t="shared" si="49"/>
        <v>0</v>
      </c>
      <c r="AC61" s="135">
        <f t="shared" si="49"/>
        <v>0</v>
      </c>
      <c r="AD61" s="135">
        <f t="shared" si="49"/>
        <v>0</v>
      </c>
      <c r="AE61" s="135">
        <f t="shared" si="49"/>
        <v>0</v>
      </c>
      <c r="AF61" s="135">
        <f t="shared" si="49"/>
        <v>0</v>
      </c>
      <c r="AG61" s="135">
        <f t="shared" si="49"/>
        <v>0</v>
      </c>
      <c r="AH61" s="135">
        <f t="shared" si="49"/>
        <v>0</v>
      </c>
      <c r="AI61" s="135">
        <f t="shared" si="49"/>
        <v>0</v>
      </c>
      <c r="AJ61" s="135">
        <f t="shared" si="49"/>
        <v>0</v>
      </c>
      <c r="AK61" s="135">
        <f t="shared" si="49"/>
        <v>0</v>
      </c>
      <c r="AL61" s="135">
        <f t="shared" si="49"/>
        <v>0</v>
      </c>
      <c r="AM61" s="135">
        <f t="shared" si="49"/>
        <v>0</v>
      </c>
      <c r="AN61" s="135">
        <f t="shared" si="49"/>
        <v>0</v>
      </c>
      <c r="AO61" s="135">
        <f t="shared" si="49"/>
        <v>0</v>
      </c>
      <c r="AP61" s="135">
        <f t="shared" si="49"/>
        <v>0</v>
      </c>
    </row>
    <row r="62" spans="1:42" x14ac:dyDescent="0.2">
      <c r="A62" s="167" t="s">
        <v>177</v>
      </c>
      <c r="B62" s="135">
        <f t="shared" ref="B62:AP62" si="50">-B599-B600</f>
        <v>-387206.93687500001</v>
      </c>
      <c r="C62" s="135">
        <f t="shared" si="50"/>
        <v>2775.7693067500368</v>
      </c>
      <c r="D62" s="135">
        <f t="shared" si="50"/>
        <v>2691.5383862796589</v>
      </c>
      <c r="E62" s="135">
        <f t="shared" si="50"/>
        <v>2605.6092582939309</v>
      </c>
      <c r="F62" s="135">
        <f t="shared" si="50"/>
        <v>2517.9464117275202</v>
      </c>
      <c r="G62" s="135">
        <f t="shared" si="50"/>
        <v>2428.5135732748895</v>
      </c>
      <c r="H62" s="135">
        <f t="shared" si="50"/>
        <v>2337.2736907242215</v>
      </c>
      <c r="I62" s="135">
        <f t="shared" si="50"/>
        <v>2244.1889159230632</v>
      </c>
      <c r="J62" s="135">
        <f t="shared" si="50"/>
        <v>2149.2205873668427</v>
      </c>
      <c r="K62" s="135">
        <f t="shared" si="50"/>
        <v>2052.3292124011787</v>
      </c>
      <c r="L62" s="135">
        <f t="shared" si="50"/>
        <v>1953.4744490290177</v>
      </c>
      <c r="M62" s="135">
        <f t="shared" si="50"/>
        <v>1852.6150873167207</v>
      </c>
      <c r="N62" s="135">
        <f t="shared" si="50"/>
        <v>1749.7090303857112</v>
      </c>
      <c r="O62" s="135">
        <f t="shared" si="50"/>
        <v>1644.7132749838638</v>
      </c>
      <c r="P62" s="135">
        <f t="shared" si="50"/>
        <v>1537.5838916256325</v>
      </c>
      <c r="Q62" s="135">
        <f t="shared" si="50"/>
        <v>1428.2760042916634</v>
      </c>
      <c r="R62" s="135">
        <f t="shared" si="50"/>
        <v>1316.7437696784618</v>
      </c>
      <c r="S62" s="135">
        <f t="shared" si="50"/>
        <v>1202.9403559868806</v>
      </c>
      <c r="T62" s="135">
        <f t="shared" si="50"/>
        <v>1086.817921240232</v>
      </c>
      <c r="U62" s="135">
        <f t="shared" si="50"/>
        <v>968.3275911216042</v>
      </c>
      <c r="V62" s="135">
        <f t="shared" si="50"/>
        <v>847.41943631798495</v>
      </c>
      <c r="W62" s="135">
        <f t="shared" si="50"/>
        <v>-6441.4186443877406</v>
      </c>
      <c r="X62" s="135">
        <f t="shared" si="50"/>
        <v>-6567.316572789161</v>
      </c>
      <c r="Y62" s="135">
        <f t="shared" si="50"/>
        <v>-6695.7886779560358</v>
      </c>
      <c r="Z62" s="135">
        <f t="shared" si="50"/>
        <v>-6826.8893459686078</v>
      </c>
      <c r="AA62" s="135">
        <f t="shared" si="50"/>
        <v>-6960.6741389553063</v>
      </c>
      <c r="AB62" s="135">
        <f t="shared" si="50"/>
        <v>-7097.1998209392186</v>
      </c>
      <c r="AC62" s="135">
        <f t="shared" si="50"/>
        <v>-7236.524384261691</v>
      </c>
      <c r="AD62" s="135">
        <f t="shared" si="50"/>
        <v>-7378.7070765909739</v>
      </c>
      <c r="AE62" s="135">
        <f t="shared" si="50"/>
        <v>-7523.8084285343648</v>
      </c>
      <c r="AF62" s="135">
        <f t="shared" si="50"/>
        <v>-7671.8902818609495</v>
      </c>
      <c r="AG62" s="135">
        <f t="shared" si="50"/>
        <v>-7823.015818355896</v>
      </c>
      <c r="AH62" s="135">
        <f t="shared" si="50"/>
        <v>-7977.2495893138694</v>
      </c>
      <c r="AI62" s="135">
        <f t="shared" si="50"/>
        <v>-8134.6575456900755</v>
      </c>
      <c r="AJ62" s="135">
        <f t="shared" si="50"/>
        <v>-8295.3070689219167</v>
      </c>
      <c r="AK62" s="135">
        <f t="shared" si="50"/>
        <v>-8459.2670024372637</v>
      </c>
      <c r="AL62" s="135">
        <f t="shared" si="50"/>
        <v>-8626.607683863549</v>
      </c>
      <c r="AM62" s="135">
        <f t="shared" si="50"/>
        <v>-8797.4009779546759</v>
      </c>
      <c r="AN62" s="135">
        <f t="shared" si="50"/>
        <v>-8971.7203102505882</v>
      </c>
      <c r="AO62" s="135">
        <f t="shared" si="50"/>
        <v>-9149.6407014876604</v>
      </c>
      <c r="AP62" s="135">
        <f t="shared" si="50"/>
        <v>496451.01079080044</v>
      </c>
    </row>
    <row r="63" spans="1:42" x14ac:dyDescent="0.2">
      <c r="A63" s="167" t="s">
        <v>293</v>
      </c>
      <c r="B63" s="169">
        <f>-B605-B606</f>
        <v>0</v>
      </c>
      <c r="C63" s="169">
        <f t="shared" ref="C63:AP63" si="51">-C605-C606</f>
        <v>-245406.02862510949</v>
      </c>
      <c r="D63" s="169">
        <f t="shared" si="51"/>
        <v>-245406.02862510949</v>
      </c>
      <c r="E63" s="169">
        <f t="shared" si="51"/>
        <v>-245406.02862510949</v>
      </c>
      <c r="F63" s="169">
        <f t="shared" si="51"/>
        <v>-245406.02862510949</v>
      </c>
      <c r="G63" s="169">
        <f t="shared" si="51"/>
        <v>-245406.02862510949</v>
      </c>
      <c r="H63" s="169">
        <f t="shared" si="51"/>
        <v>-245406.02862510949</v>
      </c>
      <c r="I63" s="169">
        <f t="shared" si="51"/>
        <v>-245406.02862510949</v>
      </c>
      <c r="J63" s="169">
        <f t="shared" si="51"/>
        <v>-245406.02862510949</v>
      </c>
      <c r="K63" s="169">
        <f t="shared" si="51"/>
        <v>-245406.02862510949</v>
      </c>
      <c r="L63" s="169">
        <f t="shared" si="51"/>
        <v>-245406.02862510949</v>
      </c>
      <c r="M63" s="169">
        <f t="shared" si="51"/>
        <v>-245406.02862510949</v>
      </c>
      <c r="N63" s="169">
        <f t="shared" si="51"/>
        <v>2699466.3148762044</v>
      </c>
      <c r="O63" s="169">
        <f t="shared" si="51"/>
        <v>-293411.90721039008</v>
      </c>
      <c r="P63" s="169">
        <f t="shared" si="51"/>
        <v>-293411.90721039008</v>
      </c>
      <c r="Q63" s="169">
        <f t="shared" si="51"/>
        <v>-293411.90721039008</v>
      </c>
      <c r="R63" s="169">
        <f t="shared" si="51"/>
        <v>-293411.90721039008</v>
      </c>
      <c r="S63" s="169">
        <f t="shared" si="51"/>
        <v>-293411.90721039008</v>
      </c>
      <c r="T63" s="169">
        <f t="shared" si="51"/>
        <v>-293411.90721039008</v>
      </c>
      <c r="U63" s="169">
        <f t="shared" si="51"/>
        <v>-293411.90721039008</v>
      </c>
      <c r="V63" s="169">
        <f t="shared" si="51"/>
        <v>-293411.90721039008</v>
      </c>
      <c r="W63" s="169">
        <f t="shared" si="51"/>
        <v>-293411.90721039008</v>
      </c>
      <c r="X63" s="169">
        <f t="shared" si="51"/>
        <v>-293411.90721039008</v>
      </c>
      <c r="Y63" s="169">
        <f t="shared" si="51"/>
        <v>-293411.90721039008</v>
      </c>
      <c r="Z63" s="169">
        <f t="shared" si="51"/>
        <v>3227530.9793142909</v>
      </c>
      <c r="AA63" s="169">
        <f t="shared" si="51"/>
        <v>-350808.60798392771</v>
      </c>
      <c r="AB63" s="169">
        <f t="shared" si="51"/>
        <v>-350808.60798392771</v>
      </c>
      <c r="AC63" s="169">
        <f t="shared" si="51"/>
        <v>-350808.60798392771</v>
      </c>
      <c r="AD63" s="169">
        <f t="shared" si="51"/>
        <v>-350808.60798392771</v>
      </c>
      <c r="AE63" s="169">
        <f t="shared" si="51"/>
        <v>-350808.60798392771</v>
      </c>
      <c r="AF63" s="169">
        <f t="shared" si="51"/>
        <v>-350808.60798392771</v>
      </c>
      <c r="AG63" s="169">
        <f t="shared" si="51"/>
        <v>-350808.60798392771</v>
      </c>
      <c r="AH63" s="169">
        <f t="shared" si="51"/>
        <v>-350808.60798392771</v>
      </c>
      <c r="AI63" s="169">
        <f t="shared" si="51"/>
        <v>-350808.60798392771</v>
      </c>
      <c r="AJ63" s="169">
        <f t="shared" si="51"/>
        <v>-350808.60798392771</v>
      </c>
      <c r="AK63" s="169">
        <f t="shared" si="51"/>
        <v>-350808.60798392771</v>
      </c>
      <c r="AL63" s="169">
        <f t="shared" si="51"/>
        <v>3858894.6878232048</v>
      </c>
      <c r="AM63" s="169">
        <f t="shared" si="51"/>
        <v>0</v>
      </c>
      <c r="AN63" s="169">
        <f t="shared" si="51"/>
        <v>0</v>
      </c>
      <c r="AO63" s="169">
        <f t="shared" si="51"/>
        <v>0</v>
      </c>
      <c r="AP63" s="169">
        <f t="shared" si="51"/>
        <v>0</v>
      </c>
    </row>
    <row r="64" spans="1:42" x14ac:dyDescent="0.2">
      <c r="A64" s="167" t="s">
        <v>294</v>
      </c>
      <c r="B64" s="169">
        <f>-B637-B638</f>
        <v>0</v>
      </c>
      <c r="C64" s="169">
        <f t="shared" ref="C64:AP64" si="52">-C637-C638</f>
        <v>0</v>
      </c>
      <c r="D64" s="169">
        <f t="shared" si="52"/>
        <v>0</v>
      </c>
      <c r="E64" s="169">
        <f t="shared" si="52"/>
        <v>0</v>
      </c>
      <c r="F64" s="169">
        <f t="shared" si="52"/>
        <v>0</v>
      </c>
      <c r="G64" s="169">
        <f t="shared" si="52"/>
        <v>0</v>
      </c>
      <c r="H64" s="169">
        <f t="shared" si="52"/>
        <v>0</v>
      </c>
      <c r="I64" s="169">
        <f t="shared" si="52"/>
        <v>0</v>
      </c>
      <c r="J64" s="169">
        <f t="shared" si="52"/>
        <v>0</v>
      </c>
      <c r="K64" s="169">
        <f t="shared" si="52"/>
        <v>0</v>
      </c>
      <c r="L64" s="169">
        <f t="shared" si="52"/>
        <v>0</v>
      </c>
      <c r="M64" s="169">
        <f t="shared" si="52"/>
        <v>0</v>
      </c>
      <c r="N64" s="169">
        <f t="shared" si="52"/>
        <v>0</v>
      </c>
      <c r="O64" s="169">
        <f t="shared" si="52"/>
        <v>0</v>
      </c>
      <c r="P64" s="169">
        <f t="shared" si="52"/>
        <v>0</v>
      </c>
      <c r="Q64" s="169">
        <f t="shared" si="52"/>
        <v>0</v>
      </c>
      <c r="R64" s="169">
        <f t="shared" si="52"/>
        <v>0</v>
      </c>
      <c r="S64" s="169">
        <f t="shared" si="52"/>
        <v>0</v>
      </c>
      <c r="T64" s="169">
        <f t="shared" si="52"/>
        <v>0</v>
      </c>
      <c r="U64" s="169">
        <f t="shared" si="52"/>
        <v>0</v>
      </c>
      <c r="V64" s="169">
        <f t="shared" si="52"/>
        <v>0</v>
      </c>
      <c r="W64" s="169">
        <f t="shared" si="52"/>
        <v>0</v>
      </c>
      <c r="X64" s="169">
        <f t="shared" si="52"/>
        <v>0</v>
      </c>
      <c r="Y64" s="169">
        <f t="shared" si="52"/>
        <v>0</v>
      </c>
      <c r="Z64" s="169">
        <f t="shared" si="52"/>
        <v>0</v>
      </c>
      <c r="AA64" s="169">
        <f t="shared" si="52"/>
        <v>0</v>
      </c>
      <c r="AB64" s="169">
        <f t="shared" si="52"/>
        <v>0</v>
      </c>
      <c r="AC64" s="169">
        <f t="shared" si="52"/>
        <v>0</v>
      </c>
      <c r="AD64" s="169">
        <f t="shared" si="52"/>
        <v>0</v>
      </c>
      <c r="AE64" s="169">
        <f t="shared" si="52"/>
        <v>0</v>
      </c>
      <c r="AF64" s="169">
        <f t="shared" si="52"/>
        <v>0</v>
      </c>
      <c r="AG64" s="169">
        <f t="shared" si="52"/>
        <v>0</v>
      </c>
      <c r="AH64" s="169">
        <f t="shared" si="52"/>
        <v>0</v>
      </c>
      <c r="AI64" s="169">
        <f t="shared" si="52"/>
        <v>0</v>
      </c>
      <c r="AJ64" s="169">
        <f t="shared" si="52"/>
        <v>0</v>
      </c>
      <c r="AK64" s="169">
        <f t="shared" si="52"/>
        <v>0</v>
      </c>
      <c r="AL64" s="169">
        <f t="shared" si="52"/>
        <v>0</v>
      </c>
      <c r="AM64" s="169">
        <f t="shared" si="52"/>
        <v>0</v>
      </c>
      <c r="AN64" s="169">
        <f t="shared" si="52"/>
        <v>0</v>
      </c>
      <c r="AO64" s="169">
        <f t="shared" si="52"/>
        <v>0</v>
      </c>
      <c r="AP64" s="169">
        <f t="shared" si="52"/>
        <v>0</v>
      </c>
    </row>
    <row r="65" spans="1:42" x14ac:dyDescent="0.2">
      <c r="A65" s="167" t="s">
        <v>295</v>
      </c>
      <c r="B65" s="170">
        <f>-B669-B670</f>
        <v>0</v>
      </c>
      <c r="C65" s="170">
        <f t="shared" ref="C65:AP65" si="53">-C669-C670</f>
        <v>0</v>
      </c>
      <c r="D65" s="170">
        <f t="shared" si="53"/>
        <v>0</v>
      </c>
      <c r="E65" s="170">
        <f t="shared" si="53"/>
        <v>0</v>
      </c>
      <c r="F65" s="170">
        <f t="shared" si="53"/>
        <v>0</v>
      </c>
      <c r="G65" s="170">
        <f t="shared" si="53"/>
        <v>0</v>
      </c>
      <c r="H65" s="170">
        <f t="shared" si="53"/>
        <v>0</v>
      </c>
      <c r="I65" s="170">
        <f t="shared" si="53"/>
        <v>0</v>
      </c>
      <c r="J65" s="170">
        <f t="shared" si="53"/>
        <v>0</v>
      </c>
      <c r="K65" s="170">
        <f t="shared" si="53"/>
        <v>0</v>
      </c>
      <c r="L65" s="170">
        <f t="shared" si="53"/>
        <v>0</v>
      </c>
      <c r="M65" s="170">
        <f t="shared" si="53"/>
        <v>0</v>
      </c>
      <c r="N65" s="170">
        <f t="shared" si="53"/>
        <v>0</v>
      </c>
      <c r="O65" s="170">
        <f t="shared" si="53"/>
        <v>0</v>
      </c>
      <c r="P65" s="170">
        <f t="shared" si="53"/>
        <v>0</v>
      </c>
      <c r="Q65" s="170">
        <f t="shared" si="53"/>
        <v>0</v>
      </c>
      <c r="R65" s="170">
        <f t="shared" si="53"/>
        <v>0</v>
      </c>
      <c r="S65" s="170">
        <f t="shared" si="53"/>
        <v>0</v>
      </c>
      <c r="T65" s="170">
        <f t="shared" si="53"/>
        <v>0</v>
      </c>
      <c r="U65" s="170">
        <f t="shared" si="53"/>
        <v>0</v>
      </c>
      <c r="V65" s="170">
        <f t="shared" si="53"/>
        <v>0</v>
      </c>
      <c r="W65" s="170">
        <f t="shared" si="53"/>
        <v>0</v>
      </c>
      <c r="X65" s="170">
        <f t="shared" si="53"/>
        <v>0</v>
      </c>
      <c r="Y65" s="170">
        <f t="shared" si="53"/>
        <v>0</v>
      </c>
      <c r="Z65" s="170">
        <f t="shared" si="53"/>
        <v>0</v>
      </c>
      <c r="AA65" s="170">
        <f t="shared" si="53"/>
        <v>0</v>
      </c>
      <c r="AB65" s="170">
        <f t="shared" si="53"/>
        <v>0</v>
      </c>
      <c r="AC65" s="170">
        <f t="shared" si="53"/>
        <v>0</v>
      </c>
      <c r="AD65" s="170">
        <f t="shared" si="53"/>
        <v>0</v>
      </c>
      <c r="AE65" s="170">
        <f t="shared" si="53"/>
        <v>0</v>
      </c>
      <c r="AF65" s="170">
        <f t="shared" si="53"/>
        <v>0</v>
      </c>
      <c r="AG65" s="170">
        <f t="shared" si="53"/>
        <v>0</v>
      </c>
      <c r="AH65" s="170">
        <f t="shared" si="53"/>
        <v>0</v>
      </c>
      <c r="AI65" s="170">
        <f t="shared" si="53"/>
        <v>0</v>
      </c>
      <c r="AJ65" s="170">
        <f t="shared" si="53"/>
        <v>0</v>
      </c>
      <c r="AK65" s="170">
        <f t="shared" si="53"/>
        <v>0</v>
      </c>
      <c r="AL65" s="170">
        <f t="shared" si="53"/>
        <v>0</v>
      </c>
      <c r="AM65" s="170">
        <f t="shared" si="53"/>
        <v>0</v>
      </c>
      <c r="AN65" s="170">
        <f t="shared" si="53"/>
        <v>0</v>
      </c>
      <c r="AO65" s="170">
        <f t="shared" si="53"/>
        <v>0</v>
      </c>
      <c r="AP65" s="170">
        <f t="shared" si="53"/>
        <v>0</v>
      </c>
    </row>
    <row r="66" spans="1:42" x14ac:dyDescent="0.2">
      <c r="A66" s="167" t="s">
        <v>53</v>
      </c>
      <c r="B66" s="135">
        <f>SUM(B61:B65)</f>
        <v>-1587731.7340153451</v>
      </c>
      <c r="C66" s="135">
        <f t="shared" ref="C66:AP66" si="54">SUM(C61:C65)</f>
        <v>-252498.6522976328</v>
      </c>
      <c r="D66" s="135">
        <f t="shared" si="54"/>
        <v>-252559.16066813664</v>
      </c>
      <c r="E66" s="135">
        <f t="shared" si="54"/>
        <v>-252620.3007347488</v>
      </c>
      <c r="F66" s="135">
        <f t="shared" si="54"/>
        <v>-252682.08265157204</v>
      </c>
      <c r="G66" s="135">
        <f t="shared" si="54"/>
        <v>-252744.5167750149</v>
      </c>
      <c r="H66" s="135">
        <f t="shared" si="54"/>
        <v>-252807.61366814151</v>
      </c>
      <c r="I66" s="135">
        <f t="shared" si="54"/>
        <v>-252871.38410510329</v>
      </c>
      <c r="J66" s="135">
        <f t="shared" si="54"/>
        <v>-252935.83907568749</v>
      </c>
      <c r="K66" s="135">
        <f t="shared" si="54"/>
        <v>-253000.9897899394</v>
      </c>
      <c r="L66" s="135">
        <f t="shared" si="54"/>
        <v>-253066.84768292119</v>
      </c>
      <c r="M66" s="135">
        <f t="shared" si="54"/>
        <v>-253133.42441953966</v>
      </c>
      <c r="N66" s="135">
        <f t="shared" si="54"/>
        <v>2709451.5666333875</v>
      </c>
      <c r="O66" s="135">
        <f t="shared" si="54"/>
        <v>1007585.0363494619</v>
      </c>
      <c r="P66" s="135">
        <f t="shared" si="54"/>
        <v>-291874.32331876445</v>
      </c>
      <c r="Q66" s="135">
        <f t="shared" si="54"/>
        <v>-291983.63120609842</v>
      </c>
      <c r="R66" s="135">
        <f t="shared" si="54"/>
        <v>-292095.16344071162</v>
      </c>
      <c r="S66" s="135">
        <f t="shared" si="54"/>
        <v>-292208.9668544032</v>
      </c>
      <c r="T66" s="135">
        <f t="shared" si="54"/>
        <v>-292325.08928914985</v>
      </c>
      <c r="U66" s="135">
        <f t="shared" si="54"/>
        <v>-292443.57961926848</v>
      </c>
      <c r="V66" s="135">
        <f t="shared" si="54"/>
        <v>-292564.4877740721</v>
      </c>
      <c r="W66" s="135">
        <f t="shared" si="54"/>
        <v>-299853.32585477782</v>
      </c>
      <c r="X66" s="135">
        <f t="shared" si="54"/>
        <v>-299979.22378317924</v>
      </c>
      <c r="Y66" s="135">
        <f t="shared" si="54"/>
        <v>-300107.69588834612</v>
      </c>
      <c r="Z66" s="135">
        <f t="shared" si="54"/>
        <v>3220704.0899683223</v>
      </c>
      <c r="AA66" s="135">
        <f t="shared" si="54"/>
        <v>-357769.28212288301</v>
      </c>
      <c r="AB66" s="135">
        <f t="shared" si="54"/>
        <v>-357905.80780486693</v>
      </c>
      <c r="AC66" s="135">
        <f t="shared" si="54"/>
        <v>-358045.1323681894</v>
      </c>
      <c r="AD66" s="135">
        <f t="shared" si="54"/>
        <v>-358187.31506051868</v>
      </c>
      <c r="AE66" s="135">
        <f t="shared" si="54"/>
        <v>-358332.41641246207</v>
      </c>
      <c r="AF66" s="135">
        <f t="shared" si="54"/>
        <v>-358480.49826578866</v>
      </c>
      <c r="AG66" s="135">
        <f t="shared" si="54"/>
        <v>-358631.6238022836</v>
      </c>
      <c r="AH66" s="135">
        <f t="shared" si="54"/>
        <v>-358785.85757324158</v>
      </c>
      <c r="AI66" s="135">
        <f t="shared" si="54"/>
        <v>-358943.26552961778</v>
      </c>
      <c r="AJ66" s="135">
        <f t="shared" si="54"/>
        <v>-359103.91505284962</v>
      </c>
      <c r="AK66" s="135">
        <f t="shared" si="54"/>
        <v>-359267.87498636497</v>
      </c>
      <c r="AL66" s="135">
        <f t="shared" si="54"/>
        <v>3850268.0801393413</v>
      </c>
      <c r="AM66" s="135">
        <f t="shared" si="54"/>
        <v>-8797.4009779546759</v>
      </c>
      <c r="AN66" s="135">
        <f t="shared" si="54"/>
        <v>-8971.7203102505882</v>
      </c>
      <c r="AO66" s="135">
        <f t="shared" si="54"/>
        <v>-9149.6407014876604</v>
      </c>
      <c r="AP66" s="135">
        <f t="shared" si="54"/>
        <v>496451.01079080044</v>
      </c>
    </row>
    <row r="67" spans="1:42" x14ac:dyDescent="0.2">
      <c r="A67" s="163" t="s">
        <v>187</v>
      </c>
    </row>
    <row r="68" spans="1:42" x14ac:dyDescent="0.2">
      <c r="A68" s="167" t="s">
        <v>300</v>
      </c>
      <c r="B68" s="169">
        <f>B606</f>
        <v>0</v>
      </c>
      <c r="C68" s="169">
        <f t="shared" ref="C68:AP68" si="55">C606</f>
        <v>0</v>
      </c>
      <c r="D68" s="169">
        <f t="shared" si="55"/>
        <v>0</v>
      </c>
      <c r="E68" s="169">
        <f t="shared" si="55"/>
        <v>0</v>
      </c>
      <c r="F68" s="169">
        <f t="shared" si="55"/>
        <v>0</v>
      </c>
      <c r="G68" s="169">
        <f t="shared" si="55"/>
        <v>0</v>
      </c>
      <c r="H68" s="169">
        <f t="shared" si="55"/>
        <v>0</v>
      </c>
      <c r="I68" s="169">
        <f t="shared" si="55"/>
        <v>0</v>
      </c>
      <c r="J68" s="169">
        <f t="shared" si="55"/>
        <v>0</v>
      </c>
      <c r="K68" s="169">
        <f t="shared" si="55"/>
        <v>0</v>
      </c>
      <c r="L68" s="169">
        <f t="shared" si="55"/>
        <v>0</v>
      </c>
      <c r="M68" s="169">
        <f t="shared" si="55"/>
        <v>0</v>
      </c>
      <c r="N68" s="169">
        <f t="shared" si="55"/>
        <v>-2944872.3435013141</v>
      </c>
      <c r="O68" s="169">
        <f t="shared" si="55"/>
        <v>0</v>
      </c>
      <c r="P68" s="169">
        <f t="shared" si="55"/>
        <v>0</v>
      </c>
      <c r="Q68" s="169">
        <f t="shared" si="55"/>
        <v>0</v>
      </c>
      <c r="R68" s="169">
        <f t="shared" si="55"/>
        <v>0</v>
      </c>
      <c r="S68" s="169">
        <f t="shared" si="55"/>
        <v>0</v>
      </c>
      <c r="T68" s="169">
        <f t="shared" si="55"/>
        <v>0</v>
      </c>
      <c r="U68" s="169">
        <f t="shared" si="55"/>
        <v>0</v>
      </c>
      <c r="V68" s="169">
        <f t="shared" si="55"/>
        <v>0</v>
      </c>
      <c r="W68" s="169">
        <f t="shared" si="55"/>
        <v>0</v>
      </c>
      <c r="X68" s="169">
        <f t="shared" si="55"/>
        <v>0</v>
      </c>
      <c r="Y68" s="169">
        <f t="shared" si="55"/>
        <v>0</v>
      </c>
      <c r="Z68" s="169">
        <f t="shared" si="55"/>
        <v>-3520942.886524681</v>
      </c>
      <c r="AA68" s="169">
        <f t="shared" si="55"/>
        <v>0</v>
      </c>
      <c r="AB68" s="169">
        <f t="shared" si="55"/>
        <v>0</v>
      </c>
      <c r="AC68" s="169">
        <f t="shared" si="55"/>
        <v>0</v>
      </c>
      <c r="AD68" s="169">
        <f t="shared" si="55"/>
        <v>0</v>
      </c>
      <c r="AE68" s="169">
        <f t="shared" si="55"/>
        <v>0</v>
      </c>
      <c r="AF68" s="169">
        <f t="shared" si="55"/>
        <v>0</v>
      </c>
      <c r="AG68" s="169">
        <f t="shared" si="55"/>
        <v>0</v>
      </c>
      <c r="AH68" s="169">
        <f t="shared" si="55"/>
        <v>0</v>
      </c>
      <c r="AI68" s="169">
        <f t="shared" si="55"/>
        <v>0</v>
      </c>
      <c r="AJ68" s="169">
        <f t="shared" si="55"/>
        <v>0</v>
      </c>
      <c r="AK68" s="169">
        <f t="shared" si="55"/>
        <v>0</v>
      </c>
      <c r="AL68" s="169">
        <f t="shared" si="55"/>
        <v>-4209703.2958071325</v>
      </c>
      <c r="AM68" s="169">
        <f t="shared" si="55"/>
        <v>0</v>
      </c>
      <c r="AN68" s="169">
        <f t="shared" si="55"/>
        <v>0</v>
      </c>
      <c r="AO68" s="169">
        <f t="shared" si="55"/>
        <v>0</v>
      </c>
      <c r="AP68" s="169">
        <f t="shared" si="55"/>
        <v>0</v>
      </c>
    </row>
    <row r="69" spans="1:42" x14ac:dyDescent="0.2">
      <c r="A69" s="167" t="s">
        <v>301</v>
      </c>
      <c r="B69" s="169">
        <f>B638</f>
        <v>0</v>
      </c>
      <c r="C69" s="169">
        <f t="shared" ref="C69:AP69" si="56">C638</f>
        <v>0</v>
      </c>
      <c r="D69" s="169">
        <f t="shared" si="56"/>
        <v>0</v>
      </c>
      <c r="E69" s="169">
        <f t="shared" si="56"/>
        <v>0</v>
      </c>
      <c r="F69" s="169">
        <f t="shared" si="56"/>
        <v>0</v>
      </c>
      <c r="G69" s="169">
        <f t="shared" si="56"/>
        <v>0</v>
      </c>
      <c r="H69" s="169">
        <f t="shared" si="56"/>
        <v>0</v>
      </c>
      <c r="I69" s="169">
        <f t="shared" si="56"/>
        <v>0</v>
      </c>
      <c r="J69" s="169">
        <f t="shared" si="56"/>
        <v>0</v>
      </c>
      <c r="K69" s="169">
        <f t="shared" si="56"/>
        <v>0</v>
      </c>
      <c r="L69" s="169">
        <f t="shared" si="56"/>
        <v>0</v>
      </c>
      <c r="M69" s="169">
        <f t="shared" si="56"/>
        <v>0</v>
      </c>
      <c r="N69" s="169">
        <f t="shared" si="56"/>
        <v>0</v>
      </c>
      <c r="O69" s="169">
        <f t="shared" si="56"/>
        <v>0</v>
      </c>
      <c r="P69" s="169">
        <f t="shared" si="56"/>
        <v>0</v>
      </c>
      <c r="Q69" s="169">
        <f t="shared" si="56"/>
        <v>0</v>
      </c>
      <c r="R69" s="169">
        <f t="shared" si="56"/>
        <v>0</v>
      </c>
      <c r="S69" s="169">
        <f t="shared" si="56"/>
        <v>0</v>
      </c>
      <c r="T69" s="169">
        <f t="shared" si="56"/>
        <v>0</v>
      </c>
      <c r="U69" s="169">
        <f t="shared" si="56"/>
        <v>0</v>
      </c>
      <c r="V69" s="169">
        <f t="shared" si="56"/>
        <v>0</v>
      </c>
      <c r="W69" s="169">
        <f t="shared" si="56"/>
        <v>0</v>
      </c>
      <c r="X69" s="169">
        <f t="shared" si="56"/>
        <v>0</v>
      </c>
      <c r="Y69" s="169">
        <f t="shared" si="56"/>
        <v>0</v>
      </c>
      <c r="Z69" s="169">
        <f t="shared" si="56"/>
        <v>0</v>
      </c>
      <c r="AA69" s="169">
        <f t="shared" si="56"/>
        <v>0</v>
      </c>
      <c r="AB69" s="169">
        <f t="shared" si="56"/>
        <v>0</v>
      </c>
      <c r="AC69" s="169">
        <f t="shared" si="56"/>
        <v>0</v>
      </c>
      <c r="AD69" s="169">
        <f t="shared" si="56"/>
        <v>0</v>
      </c>
      <c r="AE69" s="169">
        <f t="shared" si="56"/>
        <v>0</v>
      </c>
      <c r="AF69" s="169">
        <f t="shared" si="56"/>
        <v>0</v>
      </c>
      <c r="AG69" s="169">
        <f t="shared" si="56"/>
        <v>0</v>
      </c>
      <c r="AH69" s="169">
        <f t="shared" si="56"/>
        <v>0</v>
      </c>
      <c r="AI69" s="169">
        <f t="shared" si="56"/>
        <v>0</v>
      </c>
      <c r="AJ69" s="169">
        <f t="shared" si="56"/>
        <v>0</v>
      </c>
      <c r="AK69" s="169">
        <f t="shared" si="56"/>
        <v>0</v>
      </c>
      <c r="AL69" s="169">
        <f t="shared" si="56"/>
        <v>0</v>
      </c>
      <c r="AM69" s="169">
        <f t="shared" si="56"/>
        <v>0</v>
      </c>
      <c r="AN69" s="169">
        <f t="shared" si="56"/>
        <v>0</v>
      </c>
      <c r="AO69" s="169">
        <f t="shared" si="56"/>
        <v>0</v>
      </c>
      <c r="AP69" s="169">
        <f t="shared" si="56"/>
        <v>0</v>
      </c>
    </row>
    <row r="70" spans="1:42" x14ac:dyDescent="0.2">
      <c r="A70" s="167" t="s">
        <v>302</v>
      </c>
      <c r="B70" s="170">
        <f>B670</f>
        <v>0</v>
      </c>
      <c r="C70" s="170">
        <f t="shared" ref="C70:AP70" si="57">C670</f>
        <v>0</v>
      </c>
      <c r="D70" s="170">
        <f t="shared" si="57"/>
        <v>0</v>
      </c>
      <c r="E70" s="170">
        <f t="shared" si="57"/>
        <v>0</v>
      </c>
      <c r="F70" s="170">
        <f t="shared" si="57"/>
        <v>0</v>
      </c>
      <c r="G70" s="170">
        <f t="shared" si="57"/>
        <v>0</v>
      </c>
      <c r="H70" s="170">
        <f t="shared" si="57"/>
        <v>0</v>
      </c>
      <c r="I70" s="170">
        <f t="shared" si="57"/>
        <v>0</v>
      </c>
      <c r="J70" s="170">
        <f t="shared" si="57"/>
        <v>0</v>
      </c>
      <c r="K70" s="170">
        <f t="shared" si="57"/>
        <v>0</v>
      </c>
      <c r="L70" s="170">
        <f t="shared" si="57"/>
        <v>0</v>
      </c>
      <c r="M70" s="170">
        <f t="shared" si="57"/>
        <v>0</v>
      </c>
      <c r="N70" s="170">
        <f t="shared" si="57"/>
        <v>0</v>
      </c>
      <c r="O70" s="170">
        <f t="shared" si="57"/>
        <v>0</v>
      </c>
      <c r="P70" s="170">
        <f t="shared" si="57"/>
        <v>0</v>
      </c>
      <c r="Q70" s="170">
        <f t="shared" si="57"/>
        <v>0</v>
      </c>
      <c r="R70" s="170">
        <f t="shared" si="57"/>
        <v>0</v>
      </c>
      <c r="S70" s="170">
        <f t="shared" si="57"/>
        <v>0</v>
      </c>
      <c r="T70" s="170">
        <f t="shared" si="57"/>
        <v>0</v>
      </c>
      <c r="U70" s="170">
        <f t="shared" si="57"/>
        <v>0</v>
      </c>
      <c r="V70" s="170">
        <f t="shared" si="57"/>
        <v>0</v>
      </c>
      <c r="W70" s="170">
        <f t="shared" si="57"/>
        <v>0</v>
      </c>
      <c r="X70" s="170">
        <f t="shared" si="57"/>
        <v>0</v>
      </c>
      <c r="Y70" s="170">
        <f t="shared" si="57"/>
        <v>0</v>
      </c>
      <c r="Z70" s="170">
        <f t="shared" si="57"/>
        <v>0</v>
      </c>
      <c r="AA70" s="170">
        <f t="shared" si="57"/>
        <v>0</v>
      </c>
      <c r="AB70" s="170">
        <f t="shared" si="57"/>
        <v>0</v>
      </c>
      <c r="AC70" s="170">
        <f t="shared" si="57"/>
        <v>0</v>
      </c>
      <c r="AD70" s="170">
        <f t="shared" si="57"/>
        <v>0</v>
      </c>
      <c r="AE70" s="170">
        <f t="shared" si="57"/>
        <v>0</v>
      </c>
      <c r="AF70" s="170">
        <f t="shared" si="57"/>
        <v>0</v>
      </c>
      <c r="AG70" s="170">
        <f t="shared" si="57"/>
        <v>0</v>
      </c>
      <c r="AH70" s="170">
        <f t="shared" si="57"/>
        <v>0</v>
      </c>
      <c r="AI70" s="170">
        <f t="shared" si="57"/>
        <v>0</v>
      </c>
      <c r="AJ70" s="170">
        <f t="shared" si="57"/>
        <v>0</v>
      </c>
      <c r="AK70" s="170">
        <f t="shared" si="57"/>
        <v>0</v>
      </c>
      <c r="AL70" s="170">
        <f t="shared" si="57"/>
        <v>0</v>
      </c>
      <c r="AM70" s="170">
        <f t="shared" si="57"/>
        <v>0</v>
      </c>
      <c r="AN70" s="170">
        <f t="shared" si="57"/>
        <v>0</v>
      </c>
      <c r="AO70" s="170">
        <f t="shared" si="57"/>
        <v>0</v>
      </c>
      <c r="AP70" s="170">
        <f t="shared" si="57"/>
        <v>0</v>
      </c>
    </row>
    <row r="71" spans="1:42" x14ac:dyDescent="0.2">
      <c r="A71" s="167" t="s">
        <v>53</v>
      </c>
      <c r="B71" s="230">
        <f>SUM(B68:B70)</f>
        <v>0</v>
      </c>
      <c r="C71" s="230">
        <f t="shared" ref="C71:AP71" si="58">SUM(C68:C70)</f>
        <v>0</v>
      </c>
      <c r="D71" s="230">
        <f t="shared" si="58"/>
        <v>0</v>
      </c>
      <c r="E71" s="230">
        <f t="shared" si="58"/>
        <v>0</v>
      </c>
      <c r="F71" s="230">
        <f t="shared" si="58"/>
        <v>0</v>
      </c>
      <c r="G71" s="230">
        <f t="shared" si="58"/>
        <v>0</v>
      </c>
      <c r="H71" s="230">
        <f t="shared" si="58"/>
        <v>0</v>
      </c>
      <c r="I71" s="230">
        <f t="shared" si="58"/>
        <v>0</v>
      </c>
      <c r="J71" s="230">
        <f t="shared" si="58"/>
        <v>0</v>
      </c>
      <c r="K71" s="230">
        <f t="shared" si="58"/>
        <v>0</v>
      </c>
      <c r="L71" s="230">
        <f t="shared" si="58"/>
        <v>0</v>
      </c>
      <c r="M71" s="230">
        <f t="shared" si="58"/>
        <v>0</v>
      </c>
      <c r="N71" s="230">
        <f t="shared" si="58"/>
        <v>-2944872.3435013141</v>
      </c>
      <c r="O71" s="230">
        <f t="shared" si="58"/>
        <v>0</v>
      </c>
      <c r="P71" s="230">
        <f t="shared" si="58"/>
        <v>0</v>
      </c>
      <c r="Q71" s="230">
        <f t="shared" si="58"/>
        <v>0</v>
      </c>
      <c r="R71" s="230">
        <f t="shared" si="58"/>
        <v>0</v>
      </c>
      <c r="S71" s="230">
        <f t="shared" si="58"/>
        <v>0</v>
      </c>
      <c r="T71" s="230">
        <f t="shared" si="58"/>
        <v>0</v>
      </c>
      <c r="U71" s="230">
        <f t="shared" si="58"/>
        <v>0</v>
      </c>
      <c r="V71" s="230">
        <f t="shared" si="58"/>
        <v>0</v>
      </c>
      <c r="W71" s="230">
        <f t="shared" si="58"/>
        <v>0</v>
      </c>
      <c r="X71" s="230">
        <f t="shared" si="58"/>
        <v>0</v>
      </c>
      <c r="Y71" s="230">
        <f t="shared" si="58"/>
        <v>0</v>
      </c>
      <c r="Z71" s="230">
        <f t="shared" si="58"/>
        <v>-3520942.886524681</v>
      </c>
      <c r="AA71" s="230">
        <f t="shared" si="58"/>
        <v>0</v>
      </c>
      <c r="AB71" s="230">
        <f t="shared" si="58"/>
        <v>0</v>
      </c>
      <c r="AC71" s="230">
        <f t="shared" si="58"/>
        <v>0</v>
      </c>
      <c r="AD71" s="230">
        <f t="shared" si="58"/>
        <v>0</v>
      </c>
      <c r="AE71" s="230">
        <f t="shared" si="58"/>
        <v>0</v>
      </c>
      <c r="AF71" s="230">
        <f t="shared" si="58"/>
        <v>0</v>
      </c>
      <c r="AG71" s="230">
        <f t="shared" si="58"/>
        <v>0</v>
      </c>
      <c r="AH71" s="230">
        <f t="shared" si="58"/>
        <v>0</v>
      </c>
      <c r="AI71" s="230">
        <f t="shared" si="58"/>
        <v>0</v>
      </c>
      <c r="AJ71" s="230">
        <f t="shared" si="58"/>
        <v>0</v>
      </c>
      <c r="AK71" s="230">
        <f t="shared" si="58"/>
        <v>0</v>
      </c>
      <c r="AL71" s="230">
        <f t="shared" si="58"/>
        <v>-4209703.2958071325</v>
      </c>
      <c r="AM71" s="230">
        <f t="shared" si="58"/>
        <v>0</v>
      </c>
      <c r="AN71" s="230">
        <f t="shared" si="58"/>
        <v>0</v>
      </c>
      <c r="AO71" s="230">
        <f t="shared" si="58"/>
        <v>0</v>
      </c>
      <c r="AP71" s="230">
        <f t="shared" si="58"/>
        <v>0</v>
      </c>
    </row>
    <row r="72" spans="1:42" x14ac:dyDescent="0.2">
      <c r="A72" s="163" t="s">
        <v>53</v>
      </c>
      <c r="B72" s="135">
        <f>B59+B66+B71</f>
        <v>-43878834.809608467</v>
      </c>
      <c r="C72" s="135">
        <f t="shared" ref="C72:AP72" si="59">C59+C66+C71</f>
        <v>-252498.6522976328</v>
      </c>
      <c r="D72" s="135">
        <f t="shared" si="59"/>
        <v>-252559.16066813664</v>
      </c>
      <c r="E72" s="135">
        <f t="shared" si="59"/>
        <v>-252620.3007347488</v>
      </c>
      <c r="F72" s="135">
        <f t="shared" si="59"/>
        <v>-252682.08265157204</v>
      </c>
      <c r="G72" s="135">
        <f t="shared" si="59"/>
        <v>-252744.5167750149</v>
      </c>
      <c r="H72" s="135">
        <f t="shared" si="59"/>
        <v>-252807.61366814151</v>
      </c>
      <c r="I72" s="135">
        <f t="shared" si="59"/>
        <v>-252871.38410510329</v>
      </c>
      <c r="J72" s="135">
        <f t="shared" si="59"/>
        <v>-252935.83907568749</v>
      </c>
      <c r="K72" s="135">
        <f t="shared" si="59"/>
        <v>-253000.9897899394</v>
      </c>
      <c r="L72" s="135">
        <f t="shared" si="59"/>
        <v>-253066.84768292119</v>
      </c>
      <c r="M72" s="135">
        <f t="shared" si="59"/>
        <v>-253133.42441953966</v>
      </c>
      <c r="N72" s="135">
        <f t="shared" si="59"/>
        <v>-235420.77686792659</v>
      </c>
      <c r="O72" s="135">
        <f t="shared" si="59"/>
        <v>1007585.0363494619</v>
      </c>
      <c r="P72" s="135">
        <f t="shared" si="59"/>
        <v>-291874.32331876445</v>
      </c>
      <c r="Q72" s="135">
        <f t="shared" si="59"/>
        <v>-291983.63120609842</v>
      </c>
      <c r="R72" s="135">
        <f t="shared" si="59"/>
        <v>-292095.16344071162</v>
      </c>
      <c r="S72" s="135">
        <f t="shared" si="59"/>
        <v>-292208.9668544032</v>
      </c>
      <c r="T72" s="135">
        <f t="shared" si="59"/>
        <v>-292325.08928914985</v>
      </c>
      <c r="U72" s="135">
        <f t="shared" si="59"/>
        <v>-292443.57961926848</v>
      </c>
      <c r="V72" s="135">
        <f t="shared" si="59"/>
        <v>-292564.4877740721</v>
      </c>
      <c r="W72" s="135">
        <f t="shared" si="59"/>
        <v>-299853.32585477782</v>
      </c>
      <c r="X72" s="135">
        <f t="shared" si="59"/>
        <v>-299979.22378317924</v>
      </c>
      <c r="Y72" s="135">
        <f t="shared" si="59"/>
        <v>-300107.69588834612</v>
      </c>
      <c r="Z72" s="135">
        <f t="shared" si="59"/>
        <v>-300238.79655635869</v>
      </c>
      <c r="AA72" s="135">
        <f t="shared" si="59"/>
        <v>-357769.28212288301</v>
      </c>
      <c r="AB72" s="135">
        <f t="shared" si="59"/>
        <v>-357905.80780486693</v>
      </c>
      <c r="AC72" s="135">
        <f t="shared" si="59"/>
        <v>-358045.1323681894</v>
      </c>
      <c r="AD72" s="135">
        <f t="shared" si="59"/>
        <v>-358187.31506051868</v>
      </c>
      <c r="AE72" s="135">
        <f t="shared" si="59"/>
        <v>-358332.41641246207</v>
      </c>
      <c r="AF72" s="135">
        <f t="shared" si="59"/>
        <v>-358480.49826578866</v>
      </c>
      <c r="AG72" s="135">
        <f t="shared" si="59"/>
        <v>-358631.6238022836</v>
      </c>
      <c r="AH72" s="135">
        <f t="shared" si="59"/>
        <v>-358785.85757324158</v>
      </c>
      <c r="AI72" s="135">
        <f t="shared" si="59"/>
        <v>-358943.26552961778</v>
      </c>
      <c r="AJ72" s="135">
        <f t="shared" si="59"/>
        <v>-359103.91505284962</v>
      </c>
      <c r="AK72" s="135">
        <f t="shared" si="59"/>
        <v>-359267.87498636497</v>
      </c>
      <c r="AL72" s="135">
        <f t="shared" si="59"/>
        <v>-359435.2156677912</v>
      </c>
      <c r="AM72" s="135">
        <f t="shared" si="59"/>
        <v>-8797.4009779546759</v>
      </c>
      <c r="AN72" s="135">
        <f t="shared" si="59"/>
        <v>-8971.7203102505882</v>
      </c>
      <c r="AO72" s="135">
        <f t="shared" si="59"/>
        <v>-9149.6407014876604</v>
      </c>
      <c r="AP72" s="135">
        <f t="shared" si="59"/>
        <v>496451.01079080044</v>
      </c>
    </row>
    <row r="73" spans="1:42" x14ac:dyDescent="0.2">
      <c r="A73" s="163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</row>
    <row r="74" spans="1:42" x14ac:dyDescent="0.2">
      <c r="A74" s="165" t="s">
        <v>172</v>
      </c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</row>
    <row r="75" spans="1:42" x14ac:dyDescent="0.2">
      <c r="A75" s="163" t="s">
        <v>189</v>
      </c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</row>
    <row r="76" spans="1:42" x14ac:dyDescent="0.2">
      <c r="A76" s="167" t="s">
        <v>190</v>
      </c>
      <c r="B76" s="135">
        <f>'Inputs &amp; Results'!$E$194+'Inputs &amp; Results'!$E$195</f>
        <v>0</v>
      </c>
      <c r="C76" s="135">
        <v>0</v>
      </c>
      <c r="D76" s="135">
        <v>0</v>
      </c>
      <c r="E76" s="135">
        <v>0</v>
      </c>
      <c r="F76" s="135">
        <v>0</v>
      </c>
      <c r="G76" s="135">
        <v>0</v>
      </c>
      <c r="H76" s="135">
        <v>0</v>
      </c>
      <c r="I76" s="135">
        <v>0</v>
      </c>
      <c r="J76" s="135">
        <v>0</v>
      </c>
      <c r="K76" s="135">
        <v>0</v>
      </c>
      <c r="L76" s="135">
        <v>0</v>
      </c>
      <c r="M76" s="135">
        <v>0</v>
      </c>
      <c r="N76" s="135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35">
        <v>0</v>
      </c>
      <c r="V76" s="135">
        <v>0</v>
      </c>
      <c r="W76" s="135">
        <v>0</v>
      </c>
      <c r="X76" s="135">
        <v>0</v>
      </c>
      <c r="Y76" s="135">
        <v>0</v>
      </c>
      <c r="Z76" s="135">
        <v>0</v>
      </c>
      <c r="AA76" s="135">
        <v>0</v>
      </c>
      <c r="AB76" s="135">
        <v>0</v>
      </c>
      <c r="AC76" s="135">
        <v>0</v>
      </c>
      <c r="AD76" s="135">
        <v>0</v>
      </c>
      <c r="AE76" s="135">
        <v>0</v>
      </c>
      <c r="AF76" s="135">
        <v>0</v>
      </c>
      <c r="AG76" s="135">
        <v>0</v>
      </c>
      <c r="AH76" s="135">
        <v>0</v>
      </c>
      <c r="AI76" s="135">
        <v>0</v>
      </c>
      <c r="AJ76" s="135">
        <v>0</v>
      </c>
      <c r="AK76" s="135">
        <v>0</v>
      </c>
      <c r="AL76" s="135">
        <v>0</v>
      </c>
      <c r="AM76" s="135">
        <v>0</v>
      </c>
      <c r="AN76" s="135">
        <v>0</v>
      </c>
      <c r="AO76" s="135">
        <v>0</v>
      </c>
      <c r="AP76" s="135">
        <v>0</v>
      </c>
    </row>
    <row r="77" spans="1:42" x14ac:dyDescent="0.2">
      <c r="A77" s="167" t="s">
        <v>166</v>
      </c>
      <c r="B77" s="170">
        <f>'Inputs &amp; Results'!$E$196</f>
        <v>0</v>
      </c>
      <c r="C77" s="170">
        <v>0</v>
      </c>
      <c r="D77" s="170">
        <v>0</v>
      </c>
      <c r="E77" s="170">
        <v>0</v>
      </c>
      <c r="F77" s="170">
        <v>0</v>
      </c>
      <c r="G77" s="170">
        <v>0</v>
      </c>
      <c r="H77" s="170">
        <v>0</v>
      </c>
      <c r="I77" s="170">
        <v>0</v>
      </c>
      <c r="J77" s="170">
        <v>0</v>
      </c>
      <c r="K77" s="170">
        <v>0</v>
      </c>
      <c r="L77" s="170">
        <v>0</v>
      </c>
      <c r="M77" s="170">
        <v>0</v>
      </c>
      <c r="N77" s="170">
        <v>0</v>
      </c>
      <c r="O77" s="170">
        <v>0</v>
      </c>
      <c r="P77" s="170">
        <v>0</v>
      </c>
      <c r="Q77" s="170">
        <v>0</v>
      </c>
      <c r="R77" s="170">
        <v>0</v>
      </c>
      <c r="S77" s="170">
        <v>0</v>
      </c>
      <c r="T77" s="170">
        <v>0</v>
      </c>
      <c r="U77" s="170">
        <v>0</v>
      </c>
      <c r="V77" s="170">
        <v>0</v>
      </c>
      <c r="W77" s="170">
        <v>0</v>
      </c>
      <c r="X77" s="170">
        <v>0</v>
      </c>
      <c r="Y77" s="170">
        <v>0</v>
      </c>
      <c r="Z77" s="170">
        <v>0</v>
      </c>
      <c r="AA77" s="170">
        <v>0</v>
      </c>
      <c r="AB77" s="170">
        <v>0</v>
      </c>
      <c r="AC77" s="170">
        <v>0</v>
      </c>
      <c r="AD77" s="170">
        <v>0</v>
      </c>
      <c r="AE77" s="170">
        <v>0</v>
      </c>
      <c r="AF77" s="170">
        <v>0</v>
      </c>
      <c r="AG77" s="170">
        <v>0</v>
      </c>
      <c r="AH77" s="170">
        <v>0</v>
      </c>
      <c r="AI77" s="170">
        <v>0</v>
      </c>
      <c r="AJ77" s="170">
        <v>0</v>
      </c>
      <c r="AK77" s="170">
        <v>0</v>
      </c>
      <c r="AL77" s="170">
        <v>0</v>
      </c>
      <c r="AM77" s="170">
        <v>0</v>
      </c>
      <c r="AN77" s="170">
        <v>0</v>
      </c>
      <c r="AO77" s="170">
        <v>0</v>
      </c>
      <c r="AP77" s="170">
        <v>0</v>
      </c>
    </row>
    <row r="78" spans="1:42" x14ac:dyDescent="0.2">
      <c r="A78" s="167" t="s">
        <v>53</v>
      </c>
      <c r="B78" s="135">
        <f>SUM(B76:B77)</f>
        <v>0</v>
      </c>
      <c r="C78" s="135">
        <f t="shared" ref="C78:AP78" si="60">SUM(C76:C77)</f>
        <v>0</v>
      </c>
      <c r="D78" s="135">
        <f t="shared" si="60"/>
        <v>0</v>
      </c>
      <c r="E78" s="135">
        <f t="shared" si="60"/>
        <v>0</v>
      </c>
      <c r="F78" s="135">
        <f t="shared" si="60"/>
        <v>0</v>
      </c>
      <c r="G78" s="135">
        <f t="shared" si="60"/>
        <v>0</v>
      </c>
      <c r="H78" s="135">
        <f t="shared" si="60"/>
        <v>0</v>
      </c>
      <c r="I78" s="135">
        <f t="shared" si="60"/>
        <v>0</v>
      </c>
      <c r="J78" s="135">
        <f t="shared" si="60"/>
        <v>0</v>
      </c>
      <c r="K78" s="135">
        <f t="shared" si="60"/>
        <v>0</v>
      </c>
      <c r="L78" s="135">
        <f t="shared" si="60"/>
        <v>0</v>
      </c>
      <c r="M78" s="135">
        <f t="shared" si="60"/>
        <v>0</v>
      </c>
      <c r="N78" s="135">
        <f t="shared" si="60"/>
        <v>0</v>
      </c>
      <c r="O78" s="135">
        <f t="shared" si="60"/>
        <v>0</v>
      </c>
      <c r="P78" s="135">
        <f t="shared" si="60"/>
        <v>0</v>
      </c>
      <c r="Q78" s="135">
        <f t="shared" si="60"/>
        <v>0</v>
      </c>
      <c r="R78" s="135">
        <f t="shared" si="60"/>
        <v>0</v>
      </c>
      <c r="S78" s="135">
        <f t="shared" si="60"/>
        <v>0</v>
      </c>
      <c r="T78" s="135">
        <f t="shared" si="60"/>
        <v>0</v>
      </c>
      <c r="U78" s="135">
        <f t="shared" si="60"/>
        <v>0</v>
      </c>
      <c r="V78" s="135">
        <f t="shared" si="60"/>
        <v>0</v>
      </c>
      <c r="W78" s="135">
        <f t="shared" si="60"/>
        <v>0</v>
      </c>
      <c r="X78" s="135">
        <f t="shared" si="60"/>
        <v>0</v>
      </c>
      <c r="Y78" s="135">
        <f t="shared" si="60"/>
        <v>0</v>
      </c>
      <c r="Z78" s="135">
        <f t="shared" si="60"/>
        <v>0</v>
      </c>
      <c r="AA78" s="135">
        <f t="shared" si="60"/>
        <v>0</v>
      </c>
      <c r="AB78" s="135">
        <f t="shared" si="60"/>
        <v>0</v>
      </c>
      <c r="AC78" s="135">
        <f t="shared" si="60"/>
        <v>0</v>
      </c>
      <c r="AD78" s="135">
        <f t="shared" si="60"/>
        <v>0</v>
      </c>
      <c r="AE78" s="135">
        <f t="shared" si="60"/>
        <v>0</v>
      </c>
      <c r="AF78" s="135">
        <f t="shared" si="60"/>
        <v>0</v>
      </c>
      <c r="AG78" s="135">
        <f t="shared" si="60"/>
        <v>0</v>
      </c>
      <c r="AH78" s="135">
        <f t="shared" si="60"/>
        <v>0</v>
      </c>
      <c r="AI78" s="135">
        <f t="shared" si="60"/>
        <v>0</v>
      </c>
      <c r="AJ78" s="135">
        <f t="shared" si="60"/>
        <v>0</v>
      </c>
      <c r="AK78" s="135">
        <f t="shared" si="60"/>
        <v>0</v>
      </c>
      <c r="AL78" s="135">
        <f t="shared" si="60"/>
        <v>0</v>
      </c>
      <c r="AM78" s="135">
        <f t="shared" si="60"/>
        <v>0</v>
      </c>
      <c r="AN78" s="135">
        <f t="shared" si="60"/>
        <v>0</v>
      </c>
      <c r="AO78" s="135">
        <f t="shared" si="60"/>
        <v>0</v>
      </c>
      <c r="AP78" s="135">
        <f t="shared" si="60"/>
        <v>0</v>
      </c>
    </row>
    <row r="79" spans="1:42" x14ac:dyDescent="0.2">
      <c r="A79" s="163" t="s">
        <v>310</v>
      </c>
      <c r="B79" s="135">
        <f>'Inputs &amp; Results'!$E$192</f>
        <v>24690713.103400499</v>
      </c>
      <c r="C79" s="135">
        <v>0</v>
      </c>
      <c r="D79" s="135">
        <v>0</v>
      </c>
      <c r="E79" s="135">
        <v>0</v>
      </c>
      <c r="F79" s="135">
        <v>0</v>
      </c>
      <c r="G79" s="135">
        <v>0</v>
      </c>
      <c r="H79" s="135">
        <v>0</v>
      </c>
      <c r="I79" s="135">
        <v>0</v>
      </c>
      <c r="J79" s="135">
        <v>0</v>
      </c>
      <c r="K79" s="135">
        <v>0</v>
      </c>
      <c r="L79" s="135">
        <v>0</v>
      </c>
      <c r="M79" s="135">
        <v>0</v>
      </c>
      <c r="N79" s="135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35">
        <v>0</v>
      </c>
      <c r="V79" s="135">
        <v>0</v>
      </c>
      <c r="W79" s="135">
        <v>0</v>
      </c>
      <c r="X79" s="135">
        <v>0</v>
      </c>
      <c r="Y79" s="135">
        <v>0</v>
      </c>
      <c r="Z79" s="135">
        <v>0</v>
      </c>
      <c r="AA79" s="135">
        <v>0</v>
      </c>
      <c r="AB79" s="135">
        <v>0</v>
      </c>
      <c r="AC79" s="135">
        <v>0</v>
      </c>
      <c r="AD79" s="135">
        <v>0</v>
      </c>
      <c r="AE79" s="135">
        <v>0</v>
      </c>
      <c r="AF79" s="135">
        <v>0</v>
      </c>
      <c r="AG79" s="135">
        <v>0</v>
      </c>
      <c r="AH79" s="135">
        <v>0</v>
      </c>
      <c r="AI79" s="135">
        <v>0</v>
      </c>
      <c r="AJ79" s="135">
        <v>0</v>
      </c>
      <c r="AK79" s="135">
        <v>0</v>
      </c>
      <c r="AL79" s="135">
        <v>0</v>
      </c>
      <c r="AM79" s="135">
        <v>0</v>
      </c>
      <c r="AN79" s="135">
        <v>0</v>
      </c>
      <c r="AO79" s="135">
        <v>0</v>
      </c>
      <c r="AP79" s="135">
        <v>0</v>
      </c>
    </row>
    <row r="80" spans="1:42" x14ac:dyDescent="0.2">
      <c r="A80" s="163" t="s">
        <v>173</v>
      </c>
      <c r="B80" s="170">
        <f>'Inputs &amp; Results'!E193</f>
        <v>19188121.706207968</v>
      </c>
      <c r="C80" s="170">
        <f>-C537</f>
        <v>-770059.24925301294</v>
      </c>
      <c r="D80" s="170">
        <f t="shared" ref="D80:AP80" si="61">-D537</f>
        <v>-855251.07139806566</v>
      </c>
      <c r="E80" s="170">
        <f t="shared" si="61"/>
        <v>-947636.75332551473</v>
      </c>
      <c r="F80" s="170">
        <f t="shared" si="61"/>
        <v>-1047825.64009405</v>
      </c>
      <c r="G80" s="170">
        <f t="shared" si="61"/>
        <v>-1156478.8203784244</v>
      </c>
      <c r="H80" s="170">
        <f t="shared" si="61"/>
        <v>-1274313.523556951</v>
      </c>
      <c r="I80" s="170">
        <f t="shared" si="61"/>
        <v>-1402107.8905268044</v>
      </c>
      <c r="J80" s="170">
        <f t="shared" si="61"/>
        <v>-1540706.1500134165</v>
      </c>
      <c r="K80" s="170">
        <f t="shared" si="61"/>
        <v>-1691024.2348404466</v>
      </c>
      <c r="L80" s="170">
        <f t="shared" si="61"/>
        <v>-1854055.875556347</v>
      </c>
      <c r="M80" s="170">
        <f t="shared" si="61"/>
        <v>-2030879.2119923178</v>
      </c>
      <c r="N80" s="170">
        <f t="shared" si="61"/>
        <v>-2222663.9667751584</v>
      </c>
      <c r="O80" s="170">
        <f t="shared" si="61"/>
        <v>-2395119.318497452</v>
      </c>
      <c r="P80" s="170">
        <f t="shared" si="61"/>
        <v>0</v>
      </c>
      <c r="Q80" s="170">
        <f t="shared" si="61"/>
        <v>0</v>
      </c>
      <c r="R80" s="170">
        <f t="shared" si="61"/>
        <v>0</v>
      </c>
      <c r="S80" s="170">
        <f t="shared" si="61"/>
        <v>0</v>
      </c>
      <c r="T80" s="170">
        <f t="shared" si="61"/>
        <v>0</v>
      </c>
      <c r="U80" s="170">
        <f t="shared" si="61"/>
        <v>0</v>
      </c>
      <c r="V80" s="170">
        <f t="shared" si="61"/>
        <v>0</v>
      </c>
      <c r="W80" s="170">
        <f t="shared" si="61"/>
        <v>0</v>
      </c>
      <c r="X80" s="170">
        <f t="shared" si="61"/>
        <v>0</v>
      </c>
      <c r="Y80" s="170">
        <f t="shared" si="61"/>
        <v>0</v>
      </c>
      <c r="Z80" s="170">
        <f t="shared" si="61"/>
        <v>0</v>
      </c>
      <c r="AA80" s="170">
        <f t="shared" si="61"/>
        <v>0</v>
      </c>
      <c r="AB80" s="170">
        <f t="shared" si="61"/>
        <v>0</v>
      </c>
      <c r="AC80" s="170">
        <f t="shared" si="61"/>
        <v>0</v>
      </c>
      <c r="AD80" s="170">
        <f t="shared" si="61"/>
        <v>0</v>
      </c>
      <c r="AE80" s="170">
        <f t="shared" si="61"/>
        <v>0</v>
      </c>
      <c r="AF80" s="170">
        <f t="shared" si="61"/>
        <v>0</v>
      </c>
      <c r="AG80" s="170">
        <f t="shared" si="61"/>
        <v>0</v>
      </c>
      <c r="AH80" s="170">
        <f t="shared" si="61"/>
        <v>0</v>
      </c>
      <c r="AI80" s="170">
        <f t="shared" si="61"/>
        <v>0</v>
      </c>
      <c r="AJ80" s="170">
        <f t="shared" si="61"/>
        <v>0</v>
      </c>
      <c r="AK80" s="170">
        <f t="shared" si="61"/>
        <v>0</v>
      </c>
      <c r="AL80" s="170">
        <f t="shared" si="61"/>
        <v>0</v>
      </c>
      <c r="AM80" s="170">
        <f t="shared" si="61"/>
        <v>0</v>
      </c>
      <c r="AN80" s="170">
        <f t="shared" si="61"/>
        <v>0</v>
      </c>
      <c r="AO80" s="170">
        <f t="shared" si="61"/>
        <v>0</v>
      </c>
      <c r="AP80" s="170">
        <f t="shared" si="61"/>
        <v>0</v>
      </c>
    </row>
    <row r="81" spans="1:42" x14ac:dyDescent="0.2">
      <c r="A81" s="163" t="s">
        <v>53</v>
      </c>
      <c r="B81" s="170">
        <f>SUM(B78:B80)</f>
        <v>43878834.809608467</v>
      </c>
      <c r="C81" s="177">
        <f>SUM(C78:C80)</f>
        <v>-770059.24925301294</v>
      </c>
      <c r="D81" s="177">
        <f t="shared" ref="D81:AP81" si="62">SUM(D78:D80)</f>
        <v>-855251.07139806566</v>
      </c>
      <c r="E81" s="177">
        <f t="shared" si="62"/>
        <v>-947636.75332551473</v>
      </c>
      <c r="F81" s="177">
        <f t="shared" si="62"/>
        <v>-1047825.64009405</v>
      </c>
      <c r="G81" s="177">
        <f t="shared" si="62"/>
        <v>-1156478.8203784244</v>
      </c>
      <c r="H81" s="177">
        <f t="shared" si="62"/>
        <v>-1274313.523556951</v>
      </c>
      <c r="I81" s="177">
        <f t="shared" si="62"/>
        <v>-1402107.8905268044</v>
      </c>
      <c r="J81" s="177">
        <f t="shared" si="62"/>
        <v>-1540706.1500134165</v>
      </c>
      <c r="K81" s="177">
        <f t="shared" si="62"/>
        <v>-1691024.2348404466</v>
      </c>
      <c r="L81" s="177">
        <f t="shared" si="62"/>
        <v>-1854055.875556347</v>
      </c>
      <c r="M81" s="177">
        <f t="shared" si="62"/>
        <v>-2030879.2119923178</v>
      </c>
      <c r="N81" s="177">
        <f t="shared" si="62"/>
        <v>-2222663.9667751584</v>
      </c>
      <c r="O81" s="177">
        <f t="shared" si="62"/>
        <v>-2395119.318497452</v>
      </c>
      <c r="P81" s="177">
        <f t="shared" si="62"/>
        <v>0</v>
      </c>
      <c r="Q81" s="177">
        <f t="shared" si="62"/>
        <v>0</v>
      </c>
      <c r="R81" s="177">
        <f t="shared" si="62"/>
        <v>0</v>
      </c>
      <c r="S81" s="177">
        <f t="shared" si="62"/>
        <v>0</v>
      </c>
      <c r="T81" s="177">
        <f t="shared" si="62"/>
        <v>0</v>
      </c>
      <c r="U81" s="177">
        <f t="shared" si="62"/>
        <v>0</v>
      </c>
      <c r="V81" s="177">
        <f t="shared" si="62"/>
        <v>0</v>
      </c>
      <c r="W81" s="177">
        <f t="shared" si="62"/>
        <v>0</v>
      </c>
      <c r="X81" s="177">
        <f t="shared" si="62"/>
        <v>0</v>
      </c>
      <c r="Y81" s="177">
        <f t="shared" si="62"/>
        <v>0</v>
      </c>
      <c r="Z81" s="177">
        <f t="shared" si="62"/>
        <v>0</v>
      </c>
      <c r="AA81" s="177">
        <f t="shared" si="62"/>
        <v>0</v>
      </c>
      <c r="AB81" s="177">
        <f t="shared" si="62"/>
        <v>0</v>
      </c>
      <c r="AC81" s="177">
        <f t="shared" si="62"/>
        <v>0</v>
      </c>
      <c r="AD81" s="177">
        <f t="shared" si="62"/>
        <v>0</v>
      </c>
      <c r="AE81" s="177">
        <f t="shared" si="62"/>
        <v>0</v>
      </c>
      <c r="AF81" s="177">
        <f t="shared" si="62"/>
        <v>0</v>
      </c>
      <c r="AG81" s="177">
        <f t="shared" si="62"/>
        <v>0</v>
      </c>
      <c r="AH81" s="177">
        <f t="shared" si="62"/>
        <v>0</v>
      </c>
      <c r="AI81" s="177">
        <f t="shared" si="62"/>
        <v>0</v>
      </c>
      <c r="AJ81" s="177">
        <f t="shared" si="62"/>
        <v>0</v>
      </c>
      <c r="AK81" s="177">
        <f t="shared" si="62"/>
        <v>0</v>
      </c>
      <c r="AL81" s="177">
        <f t="shared" si="62"/>
        <v>0</v>
      </c>
      <c r="AM81" s="177">
        <f t="shared" si="62"/>
        <v>0</v>
      </c>
      <c r="AN81" s="177">
        <f t="shared" si="62"/>
        <v>0</v>
      </c>
      <c r="AO81" s="177">
        <f t="shared" si="62"/>
        <v>0</v>
      </c>
      <c r="AP81" s="177">
        <f t="shared" si="62"/>
        <v>0</v>
      </c>
    </row>
    <row r="82" spans="1:42" ht="13.5" thickBot="1" x14ac:dyDescent="0.25">
      <c r="A82" s="165" t="s">
        <v>174</v>
      </c>
      <c r="B82" s="176">
        <f t="shared" ref="B82:AP82" si="63">B56+B72+B81</f>
        <v>0</v>
      </c>
      <c r="C82" s="176">
        <f t="shared" si="63"/>
        <v>861060.03967098705</v>
      </c>
      <c r="D82" s="176">
        <f t="shared" si="63"/>
        <v>872326.13280118303</v>
      </c>
      <c r="E82" s="176">
        <f t="shared" si="63"/>
        <v>883576.04734677845</v>
      </c>
      <c r="F82" s="176">
        <f t="shared" si="63"/>
        <v>894809.03765036678</v>
      </c>
      <c r="G82" s="176">
        <f t="shared" si="63"/>
        <v>906024.34028005903</v>
      </c>
      <c r="H82" s="176">
        <f t="shared" si="63"/>
        <v>917221.17363672191</v>
      </c>
      <c r="I82" s="176">
        <f t="shared" si="63"/>
        <v>928398.73755258205</v>
      </c>
      <c r="J82" s="176">
        <f t="shared" si="63"/>
        <v>939556.21288097883</v>
      </c>
      <c r="K82" s="176">
        <f t="shared" si="63"/>
        <v>950692.76107711252</v>
      </c>
      <c r="L82" s="176">
        <f t="shared" si="63"/>
        <v>961807.5237695165</v>
      </c>
      <c r="M82" s="176">
        <f t="shared" si="63"/>
        <v>972899.62232213747</v>
      </c>
      <c r="N82" s="176">
        <f t="shared" si="63"/>
        <v>1001748.1124183154</v>
      </c>
      <c r="O82" s="176">
        <f t="shared" si="63"/>
        <v>2239579.5218961416</v>
      </c>
      <c r="P82" s="176">
        <f t="shared" si="63"/>
        <v>3546862.0453247107</v>
      </c>
      <c r="Q82" s="176">
        <f t="shared" si="63"/>
        <v>3577427.2246257751</v>
      </c>
      <c r="R82" s="176">
        <f t="shared" si="63"/>
        <v>3607884.8097107164</v>
      </c>
      <c r="S82" s="176">
        <f t="shared" si="63"/>
        <v>3638230.8950776975</v>
      </c>
      <c r="T82" s="176">
        <f t="shared" si="63"/>
        <v>3668461.48409859</v>
      </c>
      <c r="U82" s="176">
        <f t="shared" si="63"/>
        <v>3698572.4870076533</v>
      </c>
      <c r="V82" s="176">
        <f t="shared" si="63"/>
        <v>3728559.7188458228</v>
      </c>
      <c r="W82" s="176">
        <f t="shared" si="63"/>
        <v>3751253.436265924</v>
      </c>
      <c r="X82" s="176">
        <f t="shared" si="63"/>
        <v>3766774.6531418846</v>
      </c>
      <c r="Y82" s="176">
        <f t="shared" si="63"/>
        <v>3782158.9516665349</v>
      </c>
      <c r="Z82" s="176">
        <f t="shared" si="63"/>
        <v>3797401.7446282702</v>
      </c>
      <c r="AA82" s="176">
        <f t="shared" si="63"/>
        <v>3693485.1373552042</v>
      </c>
      <c r="AB82" s="176">
        <f t="shared" si="63"/>
        <v>3709435.1727861706</v>
      </c>
      <c r="AC82" s="176">
        <f t="shared" si="63"/>
        <v>3725229.2945586853</v>
      </c>
      <c r="AD82" s="176">
        <f t="shared" si="63"/>
        <v>3740862.4765023934</v>
      </c>
      <c r="AE82" s="176">
        <f t="shared" si="63"/>
        <v>3756329.5765857087</v>
      </c>
      <c r="AF82" s="176">
        <f t="shared" si="63"/>
        <v>3771625.33435841</v>
      </c>
      <c r="AG82" s="176">
        <f t="shared" si="63"/>
        <v>3786744.3683377402</v>
      </c>
      <c r="AH82" s="176">
        <f t="shared" si="63"/>
        <v>3801681.1733367355</v>
      </c>
      <c r="AI82" s="176">
        <f t="shared" si="63"/>
        <v>3816430.117733493</v>
      </c>
      <c r="AJ82" s="176">
        <f t="shared" si="63"/>
        <v>3830985.440680048</v>
      </c>
      <c r="AK82" s="176">
        <f t="shared" si="63"/>
        <v>3845341.2492495631</v>
      </c>
      <c r="AL82" s="176">
        <f t="shared" si="63"/>
        <v>3859491.5155204046</v>
      </c>
      <c r="AM82" s="176">
        <f t="shared" si="63"/>
        <v>4150568.8739030226</v>
      </c>
      <c r="AN82" s="176">
        <f t="shared" si="63"/>
        <v>4158150.2662246721</v>
      </c>
      <c r="AO82" s="176">
        <f t="shared" si="63"/>
        <v>4165507.1923786122</v>
      </c>
      <c r="AP82" s="176">
        <f t="shared" si="63"/>
        <v>8701130.3035866469</v>
      </c>
    </row>
    <row r="83" spans="1:42" ht="13.5" thickTop="1" x14ac:dyDescent="0.2">
      <c r="B83" s="135"/>
      <c r="C83" s="135"/>
      <c r="D83" s="135"/>
      <c r="E83" s="135"/>
      <c r="F83" s="135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</row>
    <row r="84" spans="1:42" x14ac:dyDescent="0.2">
      <c r="A84" s="162" t="s">
        <v>229</v>
      </c>
      <c r="B84" s="135"/>
      <c r="C84" s="135"/>
      <c r="D84" s="135"/>
      <c r="E84" s="135"/>
      <c r="F84" s="135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</row>
    <row r="85" spans="1:42" x14ac:dyDescent="0.2">
      <c r="A85" s="178" t="s">
        <v>198</v>
      </c>
      <c r="B85" s="135"/>
      <c r="C85" s="135"/>
      <c r="D85" s="135"/>
      <c r="E85" s="135"/>
      <c r="F85" s="135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</row>
    <row r="86" spans="1:42" x14ac:dyDescent="0.2">
      <c r="A86" s="163" t="s">
        <v>199</v>
      </c>
      <c r="B86" s="169">
        <f>-B79</f>
        <v>-24690713.103400499</v>
      </c>
      <c r="C86" s="169">
        <f t="shared" ref="C86:AP86" si="64">-C79</f>
        <v>0</v>
      </c>
      <c r="D86" s="169">
        <f t="shared" si="64"/>
        <v>0</v>
      </c>
      <c r="E86" s="169">
        <f t="shared" si="64"/>
        <v>0</v>
      </c>
      <c r="F86" s="169">
        <f t="shared" si="64"/>
        <v>0</v>
      </c>
      <c r="G86" s="169">
        <f t="shared" si="64"/>
        <v>0</v>
      </c>
      <c r="H86" s="169">
        <f t="shared" si="64"/>
        <v>0</v>
      </c>
      <c r="I86" s="169">
        <f t="shared" si="64"/>
        <v>0</v>
      </c>
      <c r="J86" s="169">
        <f t="shared" si="64"/>
        <v>0</v>
      </c>
      <c r="K86" s="169">
        <f t="shared" si="64"/>
        <v>0</v>
      </c>
      <c r="L86" s="169">
        <f t="shared" si="64"/>
        <v>0</v>
      </c>
      <c r="M86" s="169">
        <f t="shared" si="64"/>
        <v>0</v>
      </c>
      <c r="N86" s="169">
        <f t="shared" si="64"/>
        <v>0</v>
      </c>
      <c r="O86" s="169">
        <f t="shared" si="64"/>
        <v>0</v>
      </c>
      <c r="P86" s="169">
        <f t="shared" si="64"/>
        <v>0</v>
      </c>
      <c r="Q86" s="169">
        <f t="shared" si="64"/>
        <v>0</v>
      </c>
      <c r="R86" s="169">
        <f t="shared" si="64"/>
        <v>0</v>
      </c>
      <c r="S86" s="169">
        <f t="shared" si="64"/>
        <v>0</v>
      </c>
      <c r="T86" s="169">
        <f t="shared" si="64"/>
        <v>0</v>
      </c>
      <c r="U86" s="169">
        <f t="shared" si="64"/>
        <v>0</v>
      </c>
      <c r="V86" s="169">
        <f t="shared" si="64"/>
        <v>0</v>
      </c>
      <c r="W86" s="169">
        <f t="shared" si="64"/>
        <v>0</v>
      </c>
      <c r="X86" s="169">
        <f t="shared" si="64"/>
        <v>0</v>
      </c>
      <c r="Y86" s="169">
        <f t="shared" si="64"/>
        <v>0</v>
      </c>
      <c r="Z86" s="169">
        <f t="shared" si="64"/>
        <v>0</v>
      </c>
      <c r="AA86" s="169">
        <f t="shared" si="64"/>
        <v>0</v>
      </c>
      <c r="AB86" s="169">
        <f t="shared" si="64"/>
        <v>0</v>
      </c>
      <c r="AC86" s="169">
        <f t="shared" si="64"/>
        <v>0</v>
      </c>
      <c r="AD86" s="169">
        <f t="shared" si="64"/>
        <v>0</v>
      </c>
      <c r="AE86" s="169">
        <f t="shared" si="64"/>
        <v>0</v>
      </c>
      <c r="AF86" s="169">
        <f t="shared" si="64"/>
        <v>0</v>
      </c>
      <c r="AG86" s="169">
        <f t="shared" si="64"/>
        <v>0</v>
      </c>
      <c r="AH86" s="169">
        <f t="shared" si="64"/>
        <v>0</v>
      </c>
      <c r="AI86" s="169">
        <f t="shared" si="64"/>
        <v>0</v>
      </c>
      <c r="AJ86" s="169">
        <f t="shared" si="64"/>
        <v>0</v>
      </c>
      <c r="AK86" s="169">
        <f t="shared" si="64"/>
        <v>0</v>
      </c>
      <c r="AL86" s="169">
        <f t="shared" si="64"/>
        <v>0</v>
      </c>
      <c r="AM86" s="169">
        <f t="shared" si="64"/>
        <v>0</v>
      </c>
      <c r="AN86" s="169">
        <f t="shared" si="64"/>
        <v>0</v>
      </c>
      <c r="AO86" s="169">
        <f t="shared" si="64"/>
        <v>0</v>
      </c>
      <c r="AP86" s="169">
        <f t="shared" si="64"/>
        <v>0</v>
      </c>
    </row>
    <row r="87" spans="1:42" x14ac:dyDescent="0.2">
      <c r="A87" s="163" t="s">
        <v>200</v>
      </c>
      <c r="B87" s="170">
        <f>B82</f>
        <v>0</v>
      </c>
      <c r="C87" s="170">
        <f t="shared" ref="C87:AP87" si="65">C82</f>
        <v>861060.03967098705</v>
      </c>
      <c r="D87" s="170">
        <f t="shared" si="65"/>
        <v>872326.13280118303</v>
      </c>
      <c r="E87" s="170">
        <f t="shared" si="65"/>
        <v>883576.04734677845</v>
      </c>
      <c r="F87" s="170">
        <f t="shared" si="65"/>
        <v>894809.03765036678</v>
      </c>
      <c r="G87" s="170">
        <f t="shared" si="65"/>
        <v>906024.34028005903</v>
      </c>
      <c r="H87" s="170">
        <f t="shared" si="65"/>
        <v>917221.17363672191</v>
      </c>
      <c r="I87" s="170">
        <f t="shared" si="65"/>
        <v>928398.73755258205</v>
      </c>
      <c r="J87" s="170">
        <f t="shared" si="65"/>
        <v>939556.21288097883</v>
      </c>
      <c r="K87" s="170">
        <f t="shared" si="65"/>
        <v>950692.76107711252</v>
      </c>
      <c r="L87" s="170">
        <f t="shared" si="65"/>
        <v>961807.5237695165</v>
      </c>
      <c r="M87" s="170">
        <f t="shared" si="65"/>
        <v>972899.62232213747</v>
      </c>
      <c r="N87" s="170">
        <f t="shared" si="65"/>
        <v>1001748.1124183154</v>
      </c>
      <c r="O87" s="170">
        <f t="shared" si="65"/>
        <v>2239579.5218961416</v>
      </c>
      <c r="P87" s="170">
        <f t="shared" si="65"/>
        <v>3546862.0453247107</v>
      </c>
      <c r="Q87" s="170">
        <f t="shared" si="65"/>
        <v>3577427.2246257751</v>
      </c>
      <c r="R87" s="170">
        <f t="shared" si="65"/>
        <v>3607884.8097107164</v>
      </c>
      <c r="S87" s="170">
        <f t="shared" si="65"/>
        <v>3638230.8950776975</v>
      </c>
      <c r="T87" s="170">
        <f t="shared" si="65"/>
        <v>3668461.48409859</v>
      </c>
      <c r="U87" s="170">
        <f t="shared" si="65"/>
        <v>3698572.4870076533</v>
      </c>
      <c r="V87" s="170">
        <f t="shared" si="65"/>
        <v>3728559.7188458228</v>
      </c>
      <c r="W87" s="170">
        <f t="shared" si="65"/>
        <v>3751253.436265924</v>
      </c>
      <c r="X87" s="170">
        <f t="shared" si="65"/>
        <v>3766774.6531418846</v>
      </c>
      <c r="Y87" s="170">
        <f t="shared" si="65"/>
        <v>3782158.9516665349</v>
      </c>
      <c r="Z87" s="170">
        <f t="shared" si="65"/>
        <v>3797401.7446282702</v>
      </c>
      <c r="AA87" s="170">
        <f t="shared" si="65"/>
        <v>3693485.1373552042</v>
      </c>
      <c r="AB87" s="170">
        <f t="shared" si="65"/>
        <v>3709435.1727861706</v>
      </c>
      <c r="AC87" s="170">
        <f t="shared" si="65"/>
        <v>3725229.2945586853</v>
      </c>
      <c r="AD87" s="170">
        <f t="shared" si="65"/>
        <v>3740862.4765023934</v>
      </c>
      <c r="AE87" s="170">
        <f t="shared" si="65"/>
        <v>3756329.5765857087</v>
      </c>
      <c r="AF87" s="170">
        <f t="shared" si="65"/>
        <v>3771625.33435841</v>
      </c>
      <c r="AG87" s="170">
        <f t="shared" si="65"/>
        <v>3786744.3683377402</v>
      </c>
      <c r="AH87" s="170">
        <f t="shared" si="65"/>
        <v>3801681.1733367355</v>
      </c>
      <c r="AI87" s="170">
        <f t="shared" si="65"/>
        <v>3816430.117733493</v>
      </c>
      <c r="AJ87" s="170">
        <f t="shared" si="65"/>
        <v>3830985.440680048</v>
      </c>
      <c r="AK87" s="170">
        <f t="shared" si="65"/>
        <v>3845341.2492495631</v>
      </c>
      <c r="AL87" s="170">
        <f t="shared" si="65"/>
        <v>3859491.5155204046</v>
      </c>
      <c r="AM87" s="170">
        <f t="shared" si="65"/>
        <v>4150568.8739030226</v>
      </c>
      <c r="AN87" s="170">
        <f t="shared" si="65"/>
        <v>4158150.2662246721</v>
      </c>
      <c r="AO87" s="170">
        <f t="shared" si="65"/>
        <v>4165507.1923786122</v>
      </c>
      <c r="AP87" s="170">
        <f t="shared" si="65"/>
        <v>8701130.3035866469</v>
      </c>
    </row>
    <row r="88" spans="1:42" x14ac:dyDescent="0.2">
      <c r="A88" s="163" t="s">
        <v>53</v>
      </c>
      <c r="B88" s="135">
        <f>SUM(B86:B87)</f>
        <v>-24690713.103400499</v>
      </c>
      <c r="C88" s="135">
        <f t="shared" ref="C88:AP88" si="66">SUM(C86:C87)</f>
        <v>861060.03967098705</v>
      </c>
      <c r="D88" s="135">
        <f t="shared" si="66"/>
        <v>872326.13280118303</v>
      </c>
      <c r="E88" s="135">
        <f t="shared" si="66"/>
        <v>883576.04734677845</v>
      </c>
      <c r="F88" s="135">
        <f t="shared" si="66"/>
        <v>894809.03765036678</v>
      </c>
      <c r="G88" s="135">
        <f t="shared" si="66"/>
        <v>906024.34028005903</v>
      </c>
      <c r="H88" s="135">
        <f t="shared" si="66"/>
        <v>917221.17363672191</v>
      </c>
      <c r="I88" s="135">
        <f t="shared" si="66"/>
        <v>928398.73755258205</v>
      </c>
      <c r="J88" s="135">
        <f t="shared" si="66"/>
        <v>939556.21288097883</v>
      </c>
      <c r="K88" s="135">
        <f t="shared" si="66"/>
        <v>950692.76107711252</v>
      </c>
      <c r="L88" s="135">
        <f t="shared" si="66"/>
        <v>961807.5237695165</v>
      </c>
      <c r="M88" s="135">
        <f t="shared" si="66"/>
        <v>972899.62232213747</v>
      </c>
      <c r="N88" s="135">
        <f t="shared" si="66"/>
        <v>1001748.1124183154</v>
      </c>
      <c r="O88" s="135">
        <f t="shared" si="66"/>
        <v>2239579.5218961416</v>
      </c>
      <c r="P88" s="135">
        <f t="shared" si="66"/>
        <v>3546862.0453247107</v>
      </c>
      <c r="Q88" s="135">
        <f t="shared" si="66"/>
        <v>3577427.2246257751</v>
      </c>
      <c r="R88" s="135">
        <f t="shared" si="66"/>
        <v>3607884.8097107164</v>
      </c>
      <c r="S88" s="135">
        <f t="shared" si="66"/>
        <v>3638230.8950776975</v>
      </c>
      <c r="T88" s="135">
        <f t="shared" si="66"/>
        <v>3668461.48409859</v>
      </c>
      <c r="U88" s="135">
        <f t="shared" si="66"/>
        <v>3698572.4870076533</v>
      </c>
      <c r="V88" s="135">
        <f t="shared" si="66"/>
        <v>3728559.7188458228</v>
      </c>
      <c r="W88" s="135">
        <f t="shared" si="66"/>
        <v>3751253.436265924</v>
      </c>
      <c r="X88" s="135">
        <f t="shared" si="66"/>
        <v>3766774.6531418846</v>
      </c>
      <c r="Y88" s="135">
        <f t="shared" si="66"/>
        <v>3782158.9516665349</v>
      </c>
      <c r="Z88" s="135">
        <f t="shared" si="66"/>
        <v>3797401.7446282702</v>
      </c>
      <c r="AA88" s="135">
        <f t="shared" si="66"/>
        <v>3693485.1373552042</v>
      </c>
      <c r="AB88" s="135">
        <f t="shared" si="66"/>
        <v>3709435.1727861706</v>
      </c>
      <c r="AC88" s="135">
        <f t="shared" si="66"/>
        <v>3725229.2945586853</v>
      </c>
      <c r="AD88" s="135">
        <f t="shared" si="66"/>
        <v>3740862.4765023934</v>
      </c>
      <c r="AE88" s="135">
        <f t="shared" si="66"/>
        <v>3756329.5765857087</v>
      </c>
      <c r="AF88" s="135">
        <f t="shared" si="66"/>
        <v>3771625.33435841</v>
      </c>
      <c r="AG88" s="135">
        <f t="shared" si="66"/>
        <v>3786744.3683377402</v>
      </c>
      <c r="AH88" s="135">
        <f t="shared" si="66"/>
        <v>3801681.1733367355</v>
      </c>
      <c r="AI88" s="135">
        <f t="shared" si="66"/>
        <v>3816430.117733493</v>
      </c>
      <c r="AJ88" s="135">
        <f t="shared" si="66"/>
        <v>3830985.440680048</v>
      </c>
      <c r="AK88" s="135">
        <f t="shared" si="66"/>
        <v>3845341.2492495631</v>
      </c>
      <c r="AL88" s="135">
        <f t="shared" si="66"/>
        <v>3859491.5155204046</v>
      </c>
      <c r="AM88" s="135">
        <f t="shared" si="66"/>
        <v>4150568.8739030226</v>
      </c>
      <c r="AN88" s="135">
        <f t="shared" si="66"/>
        <v>4158150.2662246721</v>
      </c>
      <c r="AO88" s="135">
        <f t="shared" si="66"/>
        <v>4165507.1923786122</v>
      </c>
      <c r="AP88" s="135">
        <f t="shared" si="66"/>
        <v>8701130.3035866469</v>
      </c>
    </row>
    <row r="89" spans="1:42" x14ac:dyDescent="0.2">
      <c r="A89" s="163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</row>
    <row r="90" spans="1:42" x14ac:dyDescent="0.2">
      <c r="A90" s="163" t="s">
        <v>323</v>
      </c>
      <c r="B90" s="184">
        <f>ROUND(IF(ISERROR(IRR($B88:B$88)),0,IRR($B88:B$88)),4)</f>
        <v>0</v>
      </c>
      <c r="C90" s="184">
        <f>ROUND(IF(ISERROR(IRR($B88:C$88)),0,IRR($B88:C$88)),4)</f>
        <v>-0.96509999999999996</v>
      </c>
      <c r="D90" s="184">
        <f>ROUND(IF(ISERROR(IRR($B88:D$88)),0,IRR($B88:D$88)),4)</f>
        <v>-0.79379999999999995</v>
      </c>
      <c r="E90" s="184">
        <f>ROUND(IF(ISERROR(IRR($B88:E$88)),0,IRR($B88:E$88)),4)</f>
        <v>-0.62170000000000003</v>
      </c>
      <c r="F90" s="184">
        <f>ROUND(IF(ISERROR(IRR($B88:F$88)),0,IRR($B88:F$88)),4)</f>
        <v>-0.48849999999999999</v>
      </c>
      <c r="G90" s="184">
        <f>ROUND(IF(ISERROR(IRR($B88:G$88)),0,IRR($B88:G$88)),4)</f>
        <v>-0.3891</v>
      </c>
      <c r="H90" s="184">
        <f>ROUND(IF(ISERROR(IRR($B88:H$88)),0,IRR($B88:H$88)),4)</f>
        <v>-0.31419999999999998</v>
      </c>
      <c r="I90" s="184">
        <f>ROUND(IF(ISERROR(IRR($B88:I$88)),0,IRR($B88:I$88)),4)</f>
        <v>-0.25690000000000002</v>
      </c>
      <c r="J90" s="184">
        <f>ROUND(IF(ISERROR(IRR($B88:J$88)),0,IRR($B88:J$88)),4)</f>
        <v>-0.21210000000000001</v>
      </c>
      <c r="K90" s="184">
        <f>ROUND(IF(ISERROR(IRR($B88:K$88)),0,IRR($B88:K$88)),4)</f>
        <v>-0.1764</v>
      </c>
      <c r="L90" s="184">
        <f>ROUND(IF(ISERROR(IRR($B88:L$88)),0,IRR($B88:L$88)),4)</f>
        <v>-0.14760000000000001</v>
      </c>
      <c r="M90" s="184">
        <f>ROUND(IF(ISERROR(IRR($B88:M$88)),0,IRR($B88:M$88)),4)</f>
        <v>-0.1239</v>
      </c>
      <c r="N90" s="184">
        <f>ROUND(IF(ISERROR(IRR($B88:N$88)),0,IRR($B88:N$88)),4)</f>
        <v>-0.10390000000000001</v>
      </c>
      <c r="O90" s="184">
        <f>ROUND(IF(ISERROR(IRR($B88:O$88)),0,IRR($B88:O$88)),4)</f>
        <v>-7.17E-2</v>
      </c>
      <c r="P90" s="184">
        <f>ROUND(IF(ISERROR(IRR($B88:P$88)),0,IRR($B88:P$88)),4)</f>
        <v>-3.9600000000000003E-2</v>
      </c>
      <c r="Q90" s="184">
        <f>ROUND(IF(ISERROR(IRR($B88:Q$88)),0,IRR($B88:Q$88)),4)</f>
        <v>-1.8200000000000001E-2</v>
      </c>
      <c r="R90" s="184">
        <f>ROUND(IF(ISERROR(IRR($B88:R$88)),0,IRR($B88:R$88)),4)</f>
        <v>-2.3E-3</v>
      </c>
      <c r="S90" s="184">
        <f>ROUND(IF(ISERROR(IRR($B88:S$88)),0,IRR($B88:S$88)),4)</f>
        <v>9.9000000000000008E-3</v>
      </c>
      <c r="T90" s="184">
        <f>ROUND(IF(ISERROR(IRR($B88:T$88)),0,IRR($B88:T$88)),4)</f>
        <v>1.9699999999999999E-2</v>
      </c>
      <c r="U90" s="184">
        <f>ROUND(IF(ISERROR(IRR($B88:U$88)),0,IRR($B88:U$88)),4)</f>
        <v>2.7799999999999998E-2</v>
      </c>
      <c r="V90" s="184">
        <f>ROUND(IF(ISERROR(IRR($B88:V$88)),0,IRR($B88:V$88)),4)</f>
        <v>3.44E-2</v>
      </c>
      <c r="W90" s="184">
        <f>ROUND(IF(ISERROR(IRR($B88:W$88)),0,IRR($B88:W$88)),4)</f>
        <v>4.0099999999999997E-2</v>
      </c>
      <c r="X90" s="184">
        <f>ROUND(IF(ISERROR(IRR($B88:X$88)),0,IRR($B88:X$88)),4)</f>
        <v>4.48E-2</v>
      </c>
      <c r="Y90" s="184">
        <f>ROUND(IF(ISERROR(IRR($B88:Y$88)),0,IRR($B88:Y$88)),4)</f>
        <v>4.8899999999999999E-2</v>
      </c>
      <c r="Z90" s="184">
        <f>ROUND(IF(ISERROR(IRR($B88:Z$88)),0,IRR($B88:Z$88)),4)</f>
        <v>5.2400000000000002E-2</v>
      </c>
      <c r="AA90" s="184">
        <f>ROUND(IF(ISERROR(IRR($B88:AA$88)),0,IRR($B88:AA$88)),4)</f>
        <v>5.5300000000000002E-2</v>
      </c>
      <c r="AB90" s="184">
        <f>ROUND(IF(ISERROR(IRR($B88:AB$88)),0,IRR($B88:AB$88)),4)</f>
        <v>5.79E-2</v>
      </c>
      <c r="AC90" s="184">
        <f>ROUND(IF(ISERROR(IRR($B88:AC$88)),0,IRR($B88:AC$88)),4)</f>
        <v>6.0199999999999997E-2</v>
      </c>
      <c r="AD90" s="184">
        <f>ROUND(IF(ISERROR(IRR($B88:AD$88)),0,IRR($B88:AD$88)),4)</f>
        <v>6.2199999999999998E-2</v>
      </c>
      <c r="AE90" s="184">
        <f>ROUND(IF(ISERROR(IRR($B88:AE$88)),0,IRR($B88:AE$88)),4)</f>
        <v>6.4000000000000001E-2</v>
      </c>
      <c r="AF90" s="184">
        <f>ROUND(IF(ISERROR(IRR($B88:AF$88)),0,IRR($B88:AF$88)),4)</f>
        <v>6.5500000000000003E-2</v>
      </c>
      <c r="AG90" s="184">
        <f>ROUND(IF(ISERROR(IRR($B88:AG$88)),0,IRR($B88:AG$88)),4)</f>
        <v>6.6900000000000001E-2</v>
      </c>
      <c r="AH90" s="184">
        <f>ROUND(IF(ISERROR(IRR($B88:AH$88)),0,IRR($B88:AH$88)),4)</f>
        <v>6.8199999999999997E-2</v>
      </c>
      <c r="AI90" s="184">
        <f>ROUND(IF(ISERROR(IRR($B88:AI$88)),0,IRR($B88:AI$88)),4)</f>
        <v>6.93E-2</v>
      </c>
      <c r="AJ90" s="184">
        <f>ROUND(IF(ISERROR(IRR($B88:AJ$88)),0,IRR($B88:AJ$88)),4)</f>
        <v>7.0300000000000001E-2</v>
      </c>
      <c r="AK90" s="184">
        <f>ROUND(IF(ISERROR(IRR($B88:AK$88)),0,IRR($B88:AK$88)),4)</f>
        <v>7.1199999999999999E-2</v>
      </c>
      <c r="AL90" s="184">
        <f>ROUND(IF(ISERROR(IRR($B88:AL$88)),0,IRR($B88:AL$88)),4)</f>
        <v>7.1999999999999995E-2</v>
      </c>
      <c r="AM90" s="184">
        <f>ROUND(IF(ISERROR(IRR($B88:AM$88)),0,IRR($B88:AM$88)),4)</f>
        <v>7.2800000000000004E-2</v>
      </c>
      <c r="AN90" s="184">
        <f>ROUND(IF(ISERROR(IRR($B88:AN$88)),0,IRR($B88:AN$88)),4)</f>
        <v>7.3499999999999996E-2</v>
      </c>
      <c r="AO90" s="184">
        <f>ROUND(IF(ISERROR(IRR($B88:AO$88)),0,IRR($B88:AO$88)),4)</f>
        <v>7.4200000000000002E-2</v>
      </c>
      <c r="AP90" s="184">
        <f>ROUND(IF(ISERROR(IRR($B88:AP$88)),0,IRR($B88:AP$88)),4)</f>
        <v>7.5399999999999995E-2</v>
      </c>
    </row>
    <row r="91" spans="1:42" x14ac:dyDescent="0.2">
      <c r="A91" s="163" t="s">
        <v>324</v>
      </c>
      <c r="B91" s="230">
        <f>B88</f>
        <v>-24690713.103400499</v>
      </c>
      <c r="C91" s="230">
        <f>NPV(DiscountRate,$C88:C88)+$B$88</f>
        <v>-23893435.288890325</v>
      </c>
      <c r="D91" s="230">
        <f>NPV(DiscountRate,$C88:D88)+$B$88</f>
        <v>-23145556.231276143</v>
      </c>
      <c r="E91" s="230">
        <f>NPV(DiscountRate,$C88:E88)+$B$88</f>
        <v>-22444145.077499107</v>
      </c>
      <c r="F91" s="230">
        <f>NPV(DiscountRate,$C88:F88)+$B$88</f>
        <v>-21786433.72227402</v>
      </c>
      <c r="G91" s="230">
        <f>NPV(DiscountRate,$C88:G88)+$B$88</f>
        <v>-21169808.78017582</v>
      </c>
      <c r="H91" s="230">
        <f>NPV(DiscountRate,$C88:H88)+$B$88</f>
        <v>-20591803.855415884</v>
      </c>
      <c r="I91" s="230">
        <f>NPV(DiscountRate,$C88:I88)+$B$88</f>
        <v>-20050092.109080464</v>
      </c>
      <c r="J91" s="230">
        <f>NPV(DiscountRate,$C88:J88)+$B$88</f>
        <v>-19542479.122020356</v>
      </c>
      <c r="K91" s="230">
        <f>NPV(DiscountRate,$C88:K88)+$B$88</f>
        <v>-19066896.050232176</v>
      </c>
      <c r="L91" s="230">
        <f>NPV(DiscountRate,$C88:L88)+$B$88</f>
        <v>-18621393.068431281</v>
      </c>
      <c r="M91" s="230">
        <f>NPV(DiscountRate,$C88:M88)+$B$88</f>
        <v>-18204133.096561223</v>
      </c>
      <c r="N91" s="230">
        <f>NPV(DiscountRate,$C88:N88)+$B$88</f>
        <v>-17806325.138422258</v>
      </c>
      <c r="O91" s="230">
        <f>NPV(DiscountRate,$C88:O88)+$B$88</f>
        <v>-16982836.396082655</v>
      </c>
      <c r="P91" s="230">
        <f>NPV(DiscountRate,$C88:P88)+$B$88</f>
        <v>-15775268.050559934</v>
      </c>
      <c r="Q91" s="230">
        <f>NPV(DiscountRate,$C88:Q88)+$B$88</f>
        <v>-14647513.792877514</v>
      </c>
      <c r="R91" s="230">
        <f>NPV(DiscountRate,$C88:R88)+$B$88</f>
        <v>-13594406.60886479</v>
      </c>
      <c r="S91" s="230">
        <f>NPV(DiscountRate,$C88:S88)+$B$88</f>
        <v>-12611105.759735959</v>
      </c>
      <c r="T91" s="230">
        <f>NPV(DiscountRate,$C88:T88)+$B$88</f>
        <v>-11693076.834990509</v>
      </c>
      <c r="U91" s="230">
        <f>NPV(DiscountRate,$C88:U88)+$B$88</f>
        <v>-10836072.970185738</v>
      </c>
      <c r="V91" s="230">
        <f>NPV(DiscountRate,$C88:V88)+$B$88</f>
        <v>-10036117.166308394</v>
      </c>
      <c r="W91" s="230">
        <f>NPV(DiscountRate,$C88:W88)+$B$88</f>
        <v>-9290909.1105036158</v>
      </c>
      <c r="X91" s="230">
        <f>NPV(DiscountRate,$C88:X88)+$B$88</f>
        <v>-8598046.6709231734</v>
      </c>
      <c r="Y91" s="230">
        <f>NPV(DiscountRate,$C88:Y88)+$B$88</f>
        <v>-7953887.1938385218</v>
      </c>
      <c r="Z91" s="230">
        <f>NPV(DiscountRate,$C88:Z88)+$B$88</f>
        <v>-7355039.4552261978</v>
      </c>
      <c r="AA91" s="230">
        <f>NPV(DiscountRate,$C88:AA88)+$B$88</f>
        <v>-6815724.4936426096</v>
      </c>
      <c r="AB91" s="230">
        <f>NPV(DiscountRate,$C88:AB88)+$B$88</f>
        <v>-6314202.3155495487</v>
      </c>
      <c r="AC91" s="230">
        <f>NPV(DiscountRate,$C88:AC88)+$B$88</f>
        <v>-5847852.712573152</v>
      </c>
      <c r="AD91" s="230">
        <f>NPV(DiscountRate,$C88:AD88)+$B$88</f>
        <v>-5414235.424346786</v>
      </c>
      <c r="AE91" s="230">
        <f>NPV(DiscountRate,$C88:AE88)+$B$88</f>
        <v>-5011077.8897678517</v>
      </c>
      <c r="AF91" s="230">
        <f>NPV(DiscountRate,$C88:AF88)+$B$88</f>
        <v>-4636263.8246620595</v>
      </c>
      <c r="AG91" s="230">
        <f>NPV(DiscountRate,$C88:AG88)+$B$88</f>
        <v>-4287822.570612628</v>
      </c>
      <c r="AH91" s="230">
        <f>NPV(DiscountRate,$C88:AH88)+$B$88</f>
        <v>-3963919.1633672528</v>
      </c>
      <c r="AI91" s="230">
        <f>NPV(DiscountRate,$C88:AI88)+$B$88</f>
        <v>-3662845.0726520121</v>
      </c>
      <c r="AJ91" s="230">
        <f>NPV(DiscountRate,$C88:AJ88)+$B$88</f>
        <v>-3383009.5684139542</v>
      </c>
      <c r="AK91" s="230">
        <f>NPV(DiscountRate,$C88:AK88)+$B$88</f>
        <v>-3122931.6714977063</v>
      </c>
      <c r="AL91" s="230">
        <f>NPV(DiscountRate,$C88:AL88)+$B$88</f>
        <v>-2881232.6495490484</v>
      </c>
      <c r="AM91" s="230">
        <f>NPV(DiscountRate,$C88:AM88)+$B$88</f>
        <v>-2640558.9289309755</v>
      </c>
      <c r="AN91" s="230">
        <f>NPV(DiscountRate,$C88:AN88)+$B$88</f>
        <v>-2417305.8427242711</v>
      </c>
      <c r="AO91" s="230">
        <f>NPV(DiscountRate,$C88:AO88)+$B$88</f>
        <v>-2210224.2842912562</v>
      </c>
      <c r="AP91" s="230">
        <f>NPV(DiscountRate,$C88:AP88)+$B$88</f>
        <v>-1809703.1356496923</v>
      </c>
    </row>
    <row r="92" spans="1:42" x14ac:dyDescent="0.2">
      <c r="A92" s="163"/>
      <c r="B92" s="135"/>
      <c r="C92" s="135"/>
      <c r="D92" s="135"/>
      <c r="E92" s="135"/>
      <c r="F92" s="135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</row>
    <row r="93" spans="1:42" x14ac:dyDescent="0.2">
      <c r="A93" s="178" t="s">
        <v>203</v>
      </c>
      <c r="B93" s="135"/>
      <c r="C93" s="135"/>
      <c r="D93" s="135"/>
      <c r="E93" s="135"/>
      <c r="F93" s="135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</row>
    <row r="94" spans="1:42" s="101" customFormat="1" x14ac:dyDescent="0.2">
      <c r="A94" s="180" t="s">
        <v>204</v>
      </c>
      <c r="B94" s="181"/>
      <c r="C94" s="181"/>
      <c r="D94" s="181"/>
      <c r="E94" s="181"/>
      <c r="F94" s="181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</row>
    <row r="95" spans="1:42" x14ac:dyDescent="0.2">
      <c r="A95" s="167" t="s">
        <v>199</v>
      </c>
      <c r="B95" s="169">
        <f>B86</f>
        <v>-24690713.103400499</v>
      </c>
      <c r="C95" s="169">
        <f t="shared" ref="C95:AP96" si="67">C86</f>
        <v>0</v>
      </c>
      <c r="D95" s="169">
        <f t="shared" si="67"/>
        <v>0</v>
      </c>
      <c r="E95" s="169">
        <f t="shared" si="67"/>
        <v>0</v>
      </c>
      <c r="F95" s="169">
        <f t="shared" si="67"/>
        <v>0</v>
      </c>
      <c r="G95" s="169">
        <f t="shared" si="67"/>
        <v>0</v>
      </c>
      <c r="H95" s="169">
        <f t="shared" si="67"/>
        <v>0</v>
      </c>
      <c r="I95" s="169">
        <f t="shared" si="67"/>
        <v>0</v>
      </c>
      <c r="J95" s="169">
        <f t="shared" si="67"/>
        <v>0</v>
      </c>
      <c r="K95" s="169">
        <f t="shared" si="67"/>
        <v>0</v>
      </c>
      <c r="L95" s="169">
        <f t="shared" si="67"/>
        <v>0</v>
      </c>
      <c r="M95" s="169">
        <f t="shared" si="67"/>
        <v>0</v>
      </c>
      <c r="N95" s="169">
        <f t="shared" si="67"/>
        <v>0</v>
      </c>
      <c r="O95" s="169">
        <f t="shared" si="67"/>
        <v>0</v>
      </c>
      <c r="P95" s="169">
        <f t="shared" si="67"/>
        <v>0</v>
      </c>
      <c r="Q95" s="169">
        <f t="shared" si="67"/>
        <v>0</v>
      </c>
      <c r="R95" s="169">
        <f t="shared" si="67"/>
        <v>0</v>
      </c>
      <c r="S95" s="169">
        <f t="shared" si="67"/>
        <v>0</v>
      </c>
      <c r="T95" s="169">
        <f t="shared" si="67"/>
        <v>0</v>
      </c>
      <c r="U95" s="169">
        <f t="shared" si="67"/>
        <v>0</v>
      </c>
      <c r="V95" s="169">
        <f t="shared" si="67"/>
        <v>0</v>
      </c>
      <c r="W95" s="169">
        <f t="shared" si="67"/>
        <v>0</v>
      </c>
      <c r="X95" s="169">
        <f t="shared" si="67"/>
        <v>0</v>
      </c>
      <c r="Y95" s="169">
        <f t="shared" si="67"/>
        <v>0</v>
      </c>
      <c r="Z95" s="169">
        <f t="shared" si="67"/>
        <v>0</v>
      </c>
      <c r="AA95" s="169">
        <f t="shared" si="67"/>
        <v>0</v>
      </c>
      <c r="AB95" s="169">
        <f t="shared" si="67"/>
        <v>0</v>
      </c>
      <c r="AC95" s="169">
        <f t="shared" si="67"/>
        <v>0</v>
      </c>
      <c r="AD95" s="169">
        <f t="shared" si="67"/>
        <v>0</v>
      </c>
      <c r="AE95" s="169">
        <f t="shared" si="67"/>
        <v>0</v>
      </c>
      <c r="AF95" s="169">
        <f t="shared" si="67"/>
        <v>0</v>
      </c>
      <c r="AG95" s="169">
        <f t="shared" si="67"/>
        <v>0</v>
      </c>
      <c r="AH95" s="169">
        <f t="shared" si="67"/>
        <v>0</v>
      </c>
      <c r="AI95" s="169">
        <f t="shared" si="67"/>
        <v>0</v>
      </c>
      <c r="AJ95" s="169">
        <f t="shared" si="67"/>
        <v>0</v>
      </c>
      <c r="AK95" s="169">
        <f t="shared" si="67"/>
        <v>0</v>
      </c>
      <c r="AL95" s="169">
        <f t="shared" si="67"/>
        <v>0</v>
      </c>
      <c r="AM95" s="169">
        <f t="shared" si="67"/>
        <v>0</v>
      </c>
      <c r="AN95" s="169">
        <f t="shared" si="67"/>
        <v>0</v>
      </c>
      <c r="AO95" s="169">
        <f t="shared" si="67"/>
        <v>0</v>
      </c>
      <c r="AP95" s="169">
        <f t="shared" si="67"/>
        <v>0</v>
      </c>
    </row>
    <row r="96" spans="1:42" x14ac:dyDescent="0.2">
      <c r="A96" s="167" t="s">
        <v>200</v>
      </c>
      <c r="B96" s="170">
        <f>B87</f>
        <v>0</v>
      </c>
      <c r="C96" s="170">
        <f t="shared" si="67"/>
        <v>861060.03967098705</v>
      </c>
      <c r="D96" s="170">
        <f t="shared" si="67"/>
        <v>872326.13280118303</v>
      </c>
      <c r="E96" s="170">
        <f t="shared" si="67"/>
        <v>883576.04734677845</v>
      </c>
      <c r="F96" s="170">
        <f t="shared" si="67"/>
        <v>894809.03765036678</v>
      </c>
      <c r="G96" s="170">
        <f t="shared" si="67"/>
        <v>906024.34028005903</v>
      </c>
      <c r="H96" s="170">
        <f t="shared" si="67"/>
        <v>917221.17363672191</v>
      </c>
      <c r="I96" s="170">
        <f t="shared" si="67"/>
        <v>928398.73755258205</v>
      </c>
      <c r="J96" s="170">
        <f t="shared" si="67"/>
        <v>939556.21288097883</v>
      </c>
      <c r="K96" s="170">
        <f t="shared" si="67"/>
        <v>950692.76107711252</v>
      </c>
      <c r="L96" s="170">
        <f t="shared" si="67"/>
        <v>961807.5237695165</v>
      </c>
      <c r="M96" s="170">
        <f t="shared" si="67"/>
        <v>972899.62232213747</v>
      </c>
      <c r="N96" s="170">
        <f t="shared" si="67"/>
        <v>1001748.1124183154</v>
      </c>
      <c r="O96" s="170">
        <f t="shared" si="67"/>
        <v>2239579.5218961416</v>
      </c>
      <c r="P96" s="170">
        <f t="shared" si="67"/>
        <v>3546862.0453247107</v>
      </c>
      <c r="Q96" s="170">
        <f t="shared" si="67"/>
        <v>3577427.2246257751</v>
      </c>
      <c r="R96" s="170">
        <f t="shared" si="67"/>
        <v>3607884.8097107164</v>
      </c>
      <c r="S96" s="170">
        <f t="shared" si="67"/>
        <v>3638230.8950776975</v>
      </c>
      <c r="T96" s="170">
        <f t="shared" si="67"/>
        <v>3668461.48409859</v>
      </c>
      <c r="U96" s="170">
        <f t="shared" si="67"/>
        <v>3698572.4870076533</v>
      </c>
      <c r="V96" s="170">
        <f t="shared" si="67"/>
        <v>3728559.7188458228</v>
      </c>
      <c r="W96" s="170">
        <f t="shared" si="67"/>
        <v>3751253.436265924</v>
      </c>
      <c r="X96" s="170">
        <f t="shared" si="67"/>
        <v>3766774.6531418846</v>
      </c>
      <c r="Y96" s="170">
        <f t="shared" si="67"/>
        <v>3782158.9516665349</v>
      </c>
      <c r="Z96" s="170">
        <f t="shared" si="67"/>
        <v>3797401.7446282702</v>
      </c>
      <c r="AA96" s="170">
        <f t="shared" si="67"/>
        <v>3693485.1373552042</v>
      </c>
      <c r="AB96" s="170">
        <f t="shared" si="67"/>
        <v>3709435.1727861706</v>
      </c>
      <c r="AC96" s="170">
        <f t="shared" si="67"/>
        <v>3725229.2945586853</v>
      </c>
      <c r="AD96" s="170">
        <f t="shared" si="67"/>
        <v>3740862.4765023934</v>
      </c>
      <c r="AE96" s="170">
        <f t="shared" si="67"/>
        <v>3756329.5765857087</v>
      </c>
      <c r="AF96" s="170">
        <f t="shared" si="67"/>
        <v>3771625.33435841</v>
      </c>
      <c r="AG96" s="170">
        <f t="shared" si="67"/>
        <v>3786744.3683377402</v>
      </c>
      <c r="AH96" s="170">
        <f t="shared" si="67"/>
        <v>3801681.1733367355</v>
      </c>
      <c r="AI96" s="170">
        <f t="shared" si="67"/>
        <v>3816430.117733493</v>
      </c>
      <c r="AJ96" s="170">
        <f t="shared" si="67"/>
        <v>3830985.440680048</v>
      </c>
      <c r="AK96" s="170">
        <f t="shared" si="67"/>
        <v>3845341.2492495631</v>
      </c>
      <c r="AL96" s="170">
        <f t="shared" si="67"/>
        <v>3859491.5155204046</v>
      </c>
      <c r="AM96" s="170">
        <f t="shared" si="67"/>
        <v>4150568.8739030226</v>
      </c>
      <c r="AN96" s="170">
        <f t="shared" si="67"/>
        <v>4158150.2662246721</v>
      </c>
      <c r="AO96" s="170">
        <f t="shared" si="67"/>
        <v>4165507.1923786122</v>
      </c>
      <c r="AP96" s="170">
        <f t="shared" si="67"/>
        <v>8701130.3035866469</v>
      </c>
    </row>
    <row r="97" spans="1:42" x14ac:dyDescent="0.2">
      <c r="A97" s="167" t="s">
        <v>205</v>
      </c>
      <c r="B97" s="135">
        <f>SUM(B95:B96)</f>
        <v>-24690713.103400499</v>
      </c>
      <c r="C97" s="135">
        <f t="shared" ref="C97:AP97" si="68">SUM(C95:C96)</f>
        <v>861060.03967098705</v>
      </c>
      <c r="D97" s="135">
        <f t="shared" si="68"/>
        <v>872326.13280118303</v>
      </c>
      <c r="E97" s="135">
        <f t="shared" si="68"/>
        <v>883576.04734677845</v>
      </c>
      <c r="F97" s="135">
        <f t="shared" si="68"/>
        <v>894809.03765036678</v>
      </c>
      <c r="G97" s="135">
        <f t="shared" si="68"/>
        <v>906024.34028005903</v>
      </c>
      <c r="H97" s="135">
        <f t="shared" si="68"/>
        <v>917221.17363672191</v>
      </c>
      <c r="I97" s="135">
        <f t="shared" si="68"/>
        <v>928398.73755258205</v>
      </c>
      <c r="J97" s="135">
        <f t="shared" si="68"/>
        <v>939556.21288097883</v>
      </c>
      <c r="K97" s="135">
        <f t="shared" si="68"/>
        <v>950692.76107711252</v>
      </c>
      <c r="L97" s="135">
        <f t="shared" si="68"/>
        <v>961807.5237695165</v>
      </c>
      <c r="M97" s="135">
        <f t="shared" si="68"/>
        <v>972899.62232213747</v>
      </c>
      <c r="N97" s="135">
        <f t="shared" si="68"/>
        <v>1001748.1124183154</v>
      </c>
      <c r="O97" s="135">
        <f t="shared" si="68"/>
        <v>2239579.5218961416</v>
      </c>
      <c r="P97" s="135">
        <f t="shared" si="68"/>
        <v>3546862.0453247107</v>
      </c>
      <c r="Q97" s="135">
        <f t="shared" si="68"/>
        <v>3577427.2246257751</v>
      </c>
      <c r="R97" s="135">
        <f t="shared" si="68"/>
        <v>3607884.8097107164</v>
      </c>
      <c r="S97" s="135">
        <f t="shared" si="68"/>
        <v>3638230.8950776975</v>
      </c>
      <c r="T97" s="135">
        <f t="shared" si="68"/>
        <v>3668461.48409859</v>
      </c>
      <c r="U97" s="135">
        <f t="shared" si="68"/>
        <v>3698572.4870076533</v>
      </c>
      <c r="V97" s="135">
        <f t="shared" si="68"/>
        <v>3728559.7188458228</v>
      </c>
      <c r="W97" s="135">
        <f t="shared" si="68"/>
        <v>3751253.436265924</v>
      </c>
      <c r="X97" s="135">
        <f t="shared" si="68"/>
        <v>3766774.6531418846</v>
      </c>
      <c r="Y97" s="135">
        <f t="shared" si="68"/>
        <v>3782158.9516665349</v>
      </c>
      <c r="Z97" s="135">
        <f t="shared" si="68"/>
        <v>3797401.7446282702</v>
      </c>
      <c r="AA97" s="135">
        <f t="shared" si="68"/>
        <v>3693485.1373552042</v>
      </c>
      <c r="AB97" s="135">
        <f t="shared" si="68"/>
        <v>3709435.1727861706</v>
      </c>
      <c r="AC97" s="135">
        <f t="shared" si="68"/>
        <v>3725229.2945586853</v>
      </c>
      <c r="AD97" s="135">
        <f t="shared" si="68"/>
        <v>3740862.4765023934</v>
      </c>
      <c r="AE97" s="135">
        <f t="shared" si="68"/>
        <v>3756329.5765857087</v>
      </c>
      <c r="AF97" s="135">
        <f t="shared" si="68"/>
        <v>3771625.33435841</v>
      </c>
      <c r="AG97" s="135">
        <f t="shared" si="68"/>
        <v>3786744.3683377402</v>
      </c>
      <c r="AH97" s="135">
        <f t="shared" si="68"/>
        <v>3801681.1733367355</v>
      </c>
      <c r="AI97" s="135">
        <f t="shared" si="68"/>
        <v>3816430.117733493</v>
      </c>
      <c r="AJ97" s="135">
        <f t="shared" si="68"/>
        <v>3830985.440680048</v>
      </c>
      <c r="AK97" s="135">
        <f t="shared" si="68"/>
        <v>3845341.2492495631</v>
      </c>
      <c r="AL97" s="135">
        <f t="shared" si="68"/>
        <v>3859491.5155204046</v>
      </c>
      <c r="AM97" s="135">
        <f t="shared" si="68"/>
        <v>4150568.8739030226</v>
      </c>
      <c r="AN97" s="135">
        <f t="shared" si="68"/>
        <v>4158150.2662246721</v>
      </c>
      <c r="AO97" s="135">
        <f t="shared" si="68"/>
        <v>4165507.1923786122</v>
      </c>
      <c r="AP97" s="135">
        <f t="shared" si="68"/>
        <v>8701130.3035866469</v>
      </c>
    </row>
    <row r="98" spans="1:42" x14ac:dyDescent="0.2">
      <c r="A98" s="163" t="s">
        <v>33</v>
      </c>
      <c r="B98" s="135"/>
      <c r="C98" s="135"/>
      <c r="D98" s="135"/>
      <c r="E98" s="135"/>
      <c r="F98" s="135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</row>
    <row r="99" spans="1:42" x14ac:dyDescent="0.2">
      <c r="A99" s="167" t="s">
        <v>37</v>
      </c>
      <c r="B99" s="135">
        <v>0</v>
      </c>
      <c r="C99" s="135">
        <f>I217+K217</f>
        <v>0</v>
      </c>
      <c r="D99" s="135">
        <v>0</v>
      </c>
      <c r="E99" s="135">
        <v>0</v>
      </c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5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5">
        <v>0</v>
      </c>
      <c r="AD99" s="135">
        <v>0</v>
      </c>
      <c r="AE99" s="135">
        <v>0</v>
      </c>
      <c r="AF99" s="135">
        <v>0</v>
      </c>
      <c r="AG99" s="135">
        <v>0</v>
      </c>
      <c r="AH99" s="135">
        <v>0</v>
      </c>
      <c r="AI99" s="135">
        <v>0</v>
      </c>
      <c r="AJ99" s="135">
        <v>0</v>
      </c>
      <c r="AK99" s="135">
        <v>0</v>
      </c>
      <c r="AL99" s="135">
        <v>0</v>
      </c>
      <c r="AM99" s="135">
        <v>0</v>
      </c>
      <c r="AN99" s="135">
        <v>0</v>
      </c>
      <c r="AO99" s="135">
        <v>0</v>
      </c>
      <c r="AP99" s="135">
        <v>0</v>
      </c>
    </row>
    <row r="100" spans="1:42" x14ac:dyDescent="0.2">
      <c r="A100" s="167" t="s">
        <v>36</v>
      </c>
      <c r="B100" s="170">
        <v>0</v>
      </c>
      <c r="C100" s="170">
        <f>I351+K351</f>
        <v>11847285.398594286</v>
      </c>
      <c r="D100" s="170">
        <v>0</v>
      </c>
      <c r="E100" s="170">
        <v>0</v>
      </c>
      <c r="F100" s="170">
        <v>0</v>
      </c>
      <c r="G100" s="170">
        <v>0</v>
      </c>
      <c r="H100" s="170">
        <v>0</v>
      </c>
      <c r="I100" s="170">
        <v>0</v>
      </c>
      <c r="J100" s="170">
        <v>0</v>
      </c>
      <c r="K100" s="170">
        <v>0</v>
      </c>
      <c r="L100" s="170">
        <v>0</v>
      </c>
      <c r="M100" s="170">
        <v>0</v>
      </c>
      <c r="N100" s="170">
        <v>0</v>
      </c>
      <c r="O100" s="170">
        <v>0</v>
      </c>
      <c r="P100" s="170">
        <v>0</v>
      </c>
      <c r="Q100" s="170">
        <v>0</v>
      </c>
      <c r="R100" s="170">
        <v>0</v>
      </c>
      <c r="S100" s="170">
        <v>0</v>
      </c>
      <c r="T100" s="170">
        <v>0</v>
      </c>
      <c r="U100" s="170">
        <v>0</v>
      </c>
      <c r="V100" s="170">
        <v>0</v>
      </c>
      <c r="W100" s="170">
        <v>0</v>
      </c>
      <c r="X100" s="170">
        <v>0</v>
      </c>
      <c r="Y100" s="170">
        <v>0</v>
      </c>
      <c r="Z100" s="170">
        <v>0</v>
      </c>
      <c r="AA100" s="170">
        <v>0</v>
      </c>
      <c r="AB100" s="170">
        <v>0</v>
      </c>
      <c r="AC100" s="170">
        <v>0</v>
      </c>
      <c r="AD100" s="170">
        <v>0</v>
      </c>
      <c r="AE100" s="170">
        <v>0</v>
      </c>
      <c r="AF100" s="170">
        <v>0</v>
      </c>
      <c r="AG100" s="170">
        <v>0</v>
      </c>
      <c r="AH100" s="170">
        <v>0</v>
      </c>
      <c r="AI100" s="170">
        <v>0</v>
      </c>
      <c r="AJ100" s="170">
        <v>0</v>
      </c>
      <c r="AK100" s="170">
        <v>0</v>
      </c>
      <c r="AL100" s="170">
        <v>0</v>
      </c>
      <c r="AM100" s="170">
        <v>0</v>
      </c>
      <c r="AN100" s="170">
        <v>0</v>
      </c>
      <c r="AO100" s="170">
        <v>0</v>
      </c>
      <c r="AP100" s="170">
        <v>0</v>
      </c>
    </row>
    <row r="101" spans="1:42" x14ac:dyDescent="0.2">
      <c r="A101" s="167" t="s">
        <v>53</v>
      </c>
      <c r="B101" s="135">
        <f>SUM(B99:B100)</f>
        <v>0</v>
      </c>
      <c r="C101" s="135">
        <f>SUM(C99:C100)</f>
        <v>11847285.398594286</v>
      </c>
      <c r="D101" s="135">
        <f>SUM(D99:D100)</f>
        <v>0</v>
      </c>
      <c r="E101" s="135">
        <f t="shared" ref="E101:AP101" si="69">SUM(E99:E100)</f>
        <v>0</v>
      </c>
      <c r="F101" s="135">
        <f t="shared" si="69"/>
        <v>0</v>
      </c>
      <c r="G101" s="135">
        <f t="shared" si="69"/>
        <v>0</v>
      </c>
      <c r="H101" s="135">
        <f t="shared" si="69"/>
        <v>0</v>
      </c>
      <c r="I101" s="135">
        <f t="shared" si="69"/>
        <v>0</v>
      </c>
      <c r="J101" s="135">
        <f t="shared" si="69"/>
        <v>0</v>
      </c>
      <c r="K101" s="135">
        <f t="shared" si="69"/>
        <v>0</v>
      </c>
      <c r="L101" s="135">
        <f t="shared" si="69"/>
        <v>0</v>
      </c>
      <c r="M101" s="135">
        <f t="shared" si="69"/>
        <v>0</v>
      </c>
      <c r="N101" s="135">
        <f t="shared" si="69"/>
        <v>0</v>
      </c>
      <c r="O101" s="135">
        <f t="shared" si="69"/>
        <v>0</v>
      </c>
      <c r="P101" s="135">
        <f t="shared" si="69"/>
        <v>0</v>
      </c>
      <c r="Q101" s="135">
        <f t="shared" si="69"/>
        <v>0</v>
      </c>
      <c r="R101" s="135">
        <f t="shared" si="69"/>
        <v>0</v>
      </c>
      <c r="S101" s="135">
        <f t="shared" si="69"/>
        <v>0</v>
      </c>
      <c r="T101" s="135">
        <f t="shared" si="69"/>
        <v>0</v>
      </c>
      <c r="U101" s="135">
        <f t="shared" si="69"/>
        <v>0</v>
      </c>
      <c r="V101" s="135">
        <f t="shared" si="69"/>
        <v>0</v>
      </c>
      <c r="W101" s="135">
        <f t="shared" si="69"/>
        <v>0</v>
      </c>
      <c r="X101" s="135">
        <f t="shared" si="69"/>
        <v>0</v>
      </c>
      <c r="Y101" s="135">
        <f t="shared" si="69"/>
        <v>0</v>
      </c>
      <c r="Z101" s="135">
        <f t="shared" si="69"/>
        <v>0</v>
      </c>
      <c r="AA101" s="135">
        <f t="shared" si="69"/>
        <v>0</v>
      </c>
      <c r="AB101" s="135">
        <f t="shared" si="69"/>
        <v>0</v>
      </c>
      <c r="AC101" s="135">
        <f t="shared" si="69"/>
        <v>0</v>
      </c>
      <c r="AD101" s="135">
        <f t="shared" si="69"/>
        <v>0</v>
      </c>
      <c r="AE101" s="135">
        <f t="shared" si="69"/>
        <v>0</v>
      </c>
      <c r="AF101" s="135">
        <f t="shared" si="69"/>
        <v>0</v>
      </c>
      <c r="AG101" s="135">
        <f t="shared" si="69"/>
        <v>0</v>
      </c>
      <c r="AH101" s="135">
        <f t="shared" si="69"/>
        <v>0</v>
      </c>
      <c r="AI101" s="135">
        <f t="shared" si="69"/>
        <v>0</v>
      </c>
      <c r="AJ101" s="135">
        <f t="shared" si="69"/>
        <v>0</v>
      </c>
      <c r="AK101" s="135">
        <f t="shared" si="69"/>
        <v>0</v>
      </c>
      <c r="AL101" s="135">
        <f t="shared" si="69"/>
        <v>0</v>
      </c>
      <c r="AM101" s="135">
        <f t="shared" si="69"/>
        <v>0</v>
      </c>
      <c r="AN101" s="135">
        <f t="shared" si="69"/>
        <v>0</v>
      </c>
      <c r="AO101" s="135">
        <f t="shared" si="69"/>
        <v>0</v>
      </c>
      <c r="AP101" s="135">
        <f t="shared" si="69"/>
        <v>0</v>
      </c>
    </row>
    <row r="102" spans="1:42" x14ac:dyDescent="0.2">
      <c r="A102" s="163" t="s">
        <v>38</v>
      </c>
      <c r="B102" s="135"/>
      <c r="C102" s="135"/>
      <c r="D102" s="135"/>
      <c r="E102" s="135"/>
      <c r="F102" s="135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</row>
    <row r="103" spans="1:42" x14ac:dyDescent="0.2">
      <c r="A103" s="167" t="s">
        <v>37</v>
      </c>
      <c r="B103" s="135">
        <f>B481</f>
        <v>0</v>
      </c>
      <c r="C103" s="135">
        <f t="shared" ref="C103:AO103" si="70">C481</f>
        <v>0</v>
      </c>
      <c r="D103" s="135">
        <f t="shared" si="70"/>
        <v>0</v>
      </c>
      <c r="E103" s="135">
        <f t="shared" si="70"/>
        <v>0</v>
      </c>
      <c r="F103" s="135">
        <f t="shared" si="70"/>
        <v>0</v>
      </c>
      <c r="G103" s="135">
        <f t="shared" si="70"/>
        <v>0</v>
      </c>
      <c r="H103" s="135">
        <f t="shared" si="70"/>
        <v>0</v>
      </c>
      <c r="I103" s="135">
        <f t="shared" si="70"/>
        <v>0</v>
      </c>
      <c r="J103" s="135">
        <f t="shared" si="70"/>
        <v>0</v>
      </c>
      <c r="K103" s="135">
        <f t="shared" si="70"/>
        <v>0</v>
      </c>
      <c r="L103" s="135">
        <f t="shared" si="70"/>
        <v>0</v>
      </c>
      <c r="M103" s="135">
        <f t="shared" si="70"/>
        <v>0</v>
      </c>
      <c r="N103" s="135">
        <f t="shared" si="70"/>
        <v>0</v>
      </c>
      <c r="O103" s="135">
        <f t="shared" si="70"/>
        <v>0</v>
      </c>
      <c r="P103" s="135">
        <f t="shared" si="70"/>
        <v>0</v>
      </c>
      <c r="Q103" s="135">
        <f t="shared" si="70"/>
        <v>0</v>
      </c>
      <c r="R103" s="135">
        <f t="shared" si="70"/>
        <v>0</v>
      </c>
      <c r="S103" s="135">
        <f t="shared" si="70"/>
        <v>0</v>
      </c>
      <c r="T103" s="135">
        <f t="shared" si="70"/>
        <v>0</v>
      </c>
      <c r="U103" s="135">
        <f t="shared" si="70"/>
        <v>0</v>
      </c>
      <c r="V103" s="135">
        <f t="shared" si="70"/>
        <v>0</v>
      </c>
      <c r="W103" s="135">
        <f t="shared" si="70"/>
        <v>0</v>
      </c>
      <c r="X103" s="135">
        <f t="shared" si="70"/>
        <v>0</v>
      </c>
      <c r="Y103" s="135">
        <f t="shared" si="70"/>
        <v>0</v>
      </c>
      <c r="Z103" s="135">
        <f t="shared" si="70"/>
        <v>0</v>
      </c>
      <c r="AA103" s="135">
        <f t="shared" si="70"/>
        <v>0</v>
      </c>
      <c r="AB103" s="135">
        <f t="shared" si="70"/>
        <v>0</v>
      </c>
      <c r="AC103" s="135">
        <f t="shared" si="70"/>
        <v>0</v>
      </c>
      <c r="AD103" s="135">
        <f t="shared" si="70"/>
        <v>0</v>
      </c>
      <c r="AE103" s="135">
        <f t="shared" si="70"/>
        <v>0</v>
      </c>
      <c r="AF103" s="135">
        <f t="shared" si="70"/>
        <v>0</v>
      </c>
      <c r="AG103" s="135">
        <f t="shared" si="70"/>
        <v>0</v>
      </c>
      <c r="AH103" s="135">
        <f t="shared" si="70"/>
        <v>0</v>
      </c>
      <c r="AI103" s="135">
        <f t="shared" si="70"/>
        <v>0</v>
      </c>
      <c r="AJ103" s="135">
        <f t="shared" si="70"/>
        <v>0</v>
      </c>
      <c r="AK103" s="135">
        <f t="shared" si="70"/>
        <v>0</v>
      </c>
      <c r="AL103" s="135">
        <f t="shared" si="70"/>
        <v>0</v>
      </c>
      <c r="AM103" s="135">
        <f t="shared" si="70"/>
        <v>0</v>
      </c>
      <c r="AN103" s="135">
        <f t="shared" si="70"/>
        <v>0</v>
      </c>
      <c r="AO103" s="135">
        <f t="shared" si="70"/>
        <v>0</v>
      </c>
      <c r="AP103" s="135">
        <f>AP481</f>
        <v>0</v>
      </c>
    </row>
    <row r="104" spans="1:42" x14ac:dyDescent="0.2">
      <c r="A104" s="167" t="s">
        <v>36</v>
      </c>
      <c r="B104" s="170">
        <f>B487</f>
        <v>0</v>
      </c>
      <c r="C104" s="170">
        <f t="shared" ref="C104:AO104" si="71">C487</f>
        <v>0</v>
      </c>
      <c r="D104" s="170">
        <f t="shared" si="71"/>
        <v>0</v>
      </c>
      <c r="E104" s="170">
        <f t="shared" si="71"/>
        <v>0</v>
      </c>
      <c r="F104" s="170">
        <f t="shared" si="71"/>
        <v>0</v>
      </c>
      <c r="G104" s="170">
        <f t="shared" si="71"/>
        <v>0</v>
      </c>
      <c r="H104" s="170">
        <f t="shared" si="71"/>
        <v>0</v>
      </c>
      <c r="I104" s="170">
        <f t="shared" si="71"/>
        <v>0</v>
      </c>
      <c r="J104" s="170">
        <f t="shared" si="71"/>
        <v>0</v>
      </c>
      <c r="K104" s="170">
        <f t="shared" si="71"/>
        <v>0</v>
      </c>
      <c r="L104" s="170">
        <f t="shared" si="71"/>
        <v>0</v>
      </c>
      <c r="M104" s="170">
        <f t="shared" si="71"/>
        <v>0</v>
      </c>
      <c r="N104" s="170">
        <f t="shared" si="71"/>
        <v>0</v>
      </c>
      <c r="O104" s="170">
        <f t="shared" si="71"/>
        <v>0</v>
      </c>
      <c r="P104" s="170">
        <f t="shared" si="71"/>
        <v>0</v>
      </c>
      <c r="Q104" s="170">
        <f t="shared" si="71"/>
        <v>0</v>
      </c>
      <c r="R104" s="170">
        <f t="shared" si="71"/>
        <v>0</v>
      </c>
      <c r="S104" s="170">
        <f t="shared" si="71"/>
        <v>0</v>
      </c>
      <c r="T104" s="170">
        <f t="shared" si="71"/>
        <v>0</v>
      </c>
      <c r="U104" s="170">
        <f t="shared" si="71"/>
        <v>0</v>
      </c>
      <c r="V104" s="170">
        <f t="shared" si="71"/>
        <v>0</v>
      </c>
      <c r="W104" s="170">
        <f t="shared" si="71"/>
        <v>0</v>
      </c>
      <c r="X104" s="170">
        <f t="shared" si="71"/>
        <v>0</v>
      </c>
      <c r="Y104" s="170">
        <f t="shared" si="71"/>
        <v>0</v>
      </c>
      <c r="Z104" s="170">
        <f t="shared" si="71"/>
        <v>0</v>
      </c>
      <c r="AA104" s="170">
        <f t="shared" si="71"/>
        <v>0</v>
      </c>
      <c r="AB104" s="170">
        <f t="shared" si="71"/>
        <v>0</v>
      </c>
      <c r="AC104" s="170">
        <f t="shared" si="71"/>
        <v>0</v>
      </c>
      <c r="AD104" s="170">
        <f t="shared" si="71"/>
        <v>0</v>
      </c>
      <c r="AE104" s="170">
        <f t="shared" si="71"/>
        <v>0</v>
      </c>
      <c r="AF104" s="170">
        <f t="shared" si="71"/>
        <v>0</v>
      </c>
      <c r="AG104" s="170">
        <f t="shared" si="71"/>
        <v>0</v>
      </c>
      <c r="AH104" s="170">
        <f t="shared" si="71"/>
        <v>0</v>
      </c>
      <c r="AI104" s="170">
        <f t="shared" si="71"/>
        <v>0</v>
      </c>
      <c r="AJ104" s="170">
        <f t="shared" si="71"/>
        <v>0</v>
      </c>
      <c r="AK104" s="170">
        <f t="shared" si="71"/>
        <v>0</v>
      </c>
      <c r="AL104" s="170">
        <f t="shared" si="71"/>
        <v>0</v>
      </c>
      <c r="AM104" s="170">
        <f t="shared" si="71"/>
        <v>0</v>
      </c>
      <c r="AN104" s="170">
        <f t="shared" si="71"/>
        <v>0</v>
      </c>
      <c r="AO104" s="170">
        <f t="shared" si="71"/>
        <v>0</v>
      </c>
      <c r="AP104" s="170">
        <f>AP487</f>
        <v>0</v>
      </c>
    </row>
    <row r="105" spans="1:42" x14ac:dyDescent="0.2">
      <c r="A105" s="167" t="s">
        <v>53</v>
      </c>
      <c r="B105" s="135">
        <f>SUM(B103:B104)</f>
        <v>0</v>
      </c>
      <c r="C105" s="135">
        <f>SUM(C103:C104)</f>
        <v>0</v>
      </c>
      <c r="D105" s="135">
        <f>SUM(D103:D104)</f>
        <v>0</v>
      </c>
      <c r="E105" s="135">
        <f t="shared" ref="E105:AP105" si="72">SUM(E103:E104)</f>
        <v>0</v>
      </c>
      <c r="F105" s="135">
        <f t="shared" si="72"/>
        <v>0</v>
      </c>
      <c r="G105" s="135">
        <f t="shared" si="72"/>
        <v>0</v>
      </c>
      <c r="H105" s="135">
        <f t="shared" si="72"/>
        <v>0</v>
      </c>
      <c r="I105" s="135">
        <f t="shared" si="72"/>
        <v>0</v>
      </c>
      <c r="J105" s="135">
        <f t="shared" si="72"/>
        <v>0</v>
      </c>
      <c r="K105" s="135">
        <f t="shared" si="72"/>
        <v>0</v>
      </c>
      <c r="L105" s="135">
        <f t="shared" si="72"/>
        <v>0</v>
      </c>
      <c r="M105" s="135">
        <f t="shared" si="72"/>
        <v>0</v>
      </c>
      <c r="N105" s="135">
        <f t="shared" si="72"/>
        <v>0</v>
      </c>
      <c r="O105" s="135">
        <f t="shared" si="72"/>
        <v>0</v>
      </c>
      <c r="P105" s="135">
        <f t="shared" si="72"/>
        <v>0</v>
      </c>
      <c r="Q105" s="135">
        <f t="shared" si="72"/>
        <v>0</v>
      </c>
      <c r="R105" s="135">
        <f t="shared" si="72"/>
        <v>0</v>
      </c>
      <c r="S105" s="135">
        <f t="shared" si="72"/>
        <v>0</v>
      </c>
      <c r="T105" s="135">
        <f t="shared" si="72"/>
        <v>0</v>
      </c>
      <c r="U105" s="135">
        <f t="shared" si="72"/>
        <v>0</v>
      </c>
      <c r="V105" s="135">
        <f t="shared" si="72"/>
        <v>0</v>
      </c>
      <c r="W105" s="135">
        <f t="shared" si="72"/>
        <v>0</v>
      </c>
      <c r="X105" s="135">
        <f t="shared" si="72"/>
        <v>0</v>
      </c>
      <c r="Y105" s="135">
        <f t="shared" si="72"/>
        <v>0</v>
      </c>
      <c r="Z105" s="135">
        <f t="shared" si="72"/>
        <v>0</v>
      </c>
      <c r="AA105" s="135">
        <f t="shared" si="72"/>
        <v>0</v>
      </c>
      <c r="AB105" s="135">
        <f t="shared" si="72"/>
        <v>0</v>
      </c>
      <c r="AC105" s="135">
        <f t="shared" si="72"/>
        <v>0</v>
      </c>
      <c r="AD105" s="135">
        <f t="shared" si="72"/>
        <v>0</v>
      </c>
      <c r="AE105" s="135">
        <f t="shared" si="72"/>
        <v>0</v>
      </c>
      <c r="AF105" s="135">
        <f t="shared" si="72"/>
        <v>0</v>
      </c>
      <c r="AG105" s="135">
        <f t="shared" si="72"/>
        <v>0</v>
      </c>
      <c r="AH105" s="135">
        <f t="shared" si="72"/>
        <v>0</v>
      </c>
      <c r="AI105" s="135">
        <f t="shared" si="72"/>
        <v>0</v>
      </c>
      <c r="AJ105" s="135">
        <f t="shared" si="72"/>
        <v>0</v>
      </c>
      <c r="AK105" s="135">
        <f t="shared" si="72"/>
        <v>0</v>
      </c>
      <c r="AL105" s="135">
        <f t="shared" si="72"/>
        <v>0</v>
      </c>
      <c r="AM105" s="135">
        <f t="shared" si="72"/>
        <v>0</v>
      </c>
      <c r="AN105" s="135">
        <f t="shared" si="72"/>
        <v>0</v>
      </c>
      <c r="AO105" s="135">
        <f t="shared" si="72"/>
        <v>0</v>
      </c>
      <c r="AP105" s="135">
        <f t="shared" si="72"/>
        <v>0</v>
      </c>
    </row>
    <row r="106" spans="1:42" x14ac:dyDescent="0.2">
      <c r="A106" s="163" t="s">
        <v>206</v>
      </c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</row>
    <row r="107" spans="1:42" x14ac:dyDescent="0.2">
      <c r="A107" s="167" t="s">
        <v>37</v>
      </c>
      <c r="B107" s="135">
        <f>B165</f>
        <v>0</v>
      </c>
      <c r="C107" s="135">
        <f>C165</f>
        <v>271123.54820714914</v>
      </c>
      <c r="D107" s="135">
        <f t="shared" ref="D107:AP107" si="73">D165</f>
        <v>492666.44505802623</v>
      </c>
      <c r="E107" s="135">
        <f t="shared" si="73"/>
        <v>250305.37142989744</v>
      </c>
      <c r="F107" s="135">
        <f t="shared" si="73"/>
        <v>102077.75820602654</v>
      </c>
      <c r="G107" s="135">
        <f t="shared" si="73"/>
        <v>95202.817470835493</v>
      </c>
      <c r="H107" s="135">
        <f t="shared" si="73"/>
        <v>-18492.021376529658</v>
      </c>
      <c r="I107" s="135">
        <f t="shared" si="73"/>
        <v>-132599.67881482828</v>
      </c>
      <c r="J107" s="135">
        <f t="shared" si="73"/>
        <v>-140845.82259282222</v>
      </c>
      <c r="K107" s="135">
        <f t="shared" si="73"/>
        <v>-149719.75735472198</v>
      </c>
      <c r="L107" s="135">
        <f t="shared" si="73"/>
        <v>-159311.08506995082</v>
      </c>
      <c r="M107" s="135">
        <f t="shared" si="73"/>
        <v>-169640.44237117929</v>
      </c>
      <c r="N107" s="135">
        <f t="shared" si="73"/>
        <v>-148417.13278933024</v>
      </c>
      <c r="O107" s="135">
        <f t="shared" si="73"/>
        <v>-138171.77411761371</v>
      </c>
      <c r="P107" s="135">
        <f t="shared" si="73"/>
        <v>-170552.56981248493</v>
      </c>
      <c r="Q107" s="135">
        <f t="shared" si="73"/>
        <v>-184669.15404313829</v>
      </c>
      <c r="R107" s="135">
        <f t="shared" si="73"/>
        <v>-189437.11213039569</v>
      </c>
      <c r="S107" s="135">
        <f t="shared" si="73"/>
        <v>-203518.76488856864</v>
      </c>
      <c r="T107" s="135">
        <f t="shared" si="73"/>
        <v>-214517.18960284092</v>
      </c>
      <c r="U107" s="135">
        <f t="shared" si="73"/>
        <v>-216179.81173099595</v>
      </c>
      <c r="V107" s="135">
        <f t="shared" si="73"/>
        <v>-217835.75943060947</v>
      </c>
      <c r="W107" s="135">
        <f t="shared" si="73"/>
        <v>-220993.13492973417</v>
      </c>
      <c r="X107" s="135">
        <f t="shared" si="73"/>
        <v>-223362.06119055435</v>
      </c>
      <c r="Y107" s="135">
        <f t="shared" si="73"/>
        <v>-224215.26357519429</v>
      </c>
      <c r="Z107" s="135">
        <f t="shared" si="73"/>
        <v>-186330.45597305894</v>
      </c>
      <c r="AA107" s="135">
        <f t="shared" si="73"/>
        <v>-160540.99622813627</v>
      </c>
      <c r="AB107" s="135">
        <f t="shared" si="73"/>
        <v>-186213.19501048225</v>
      </c>
      <c r="AC107" s="135">
        <f t="shared" si="73"/>
        <v>-201961.99731163355</v>
      </c>
      <c r="AD107" s="135">
        <f t="shared" si="73"/>
        <v>-202829.64236661562</v>
      </c>
      <c r="AE107" s="135">
        <f t="shared" si="73"/>
        <v>-214842.66051006503</v>
      </c>
      <c r="AF107" s="135">
        <f t="shared" si="73"/>
        <v>-226846.41875400674</v>
      </c>
      <c r="AG107" s="135">
        <f t="shared" si="73"/>
        <v>-227686.27752737715</v>
      </c>
      <c r="AH107" s="135">
        <f t="shared" si="73"/>
        <v>-228516.28465972457</v>
      </c>
      <c r="AI107" s="135">
        <f t="shared" si="73"/>
        <v>-229336.13403914691</v>
      </c>
      <c r="AJ107" s="135">
        <f t="shared" si="73"/>
        <v>-230145.51252498521</v>
      </c>
      <c r="AK107" s="135">
        <f t="shared" si="73"/>
        <v>-230944.09979265189</v>
      </c>
      <c r="AL107" s="135">
        <f t="shared" si="73"/>
        <v>-185424.83192114814</v>
      </c>
      <c r="AM107" s="135">
        <f t="shared" si="73"/>
        <v>-154364.96507192406</v>
      </c>
      <c r="AN107" s="135">
        <f t="shared" si="73"/>
        <v>-184427.84041537327</v>
      </c>
      <c r="AO107" s="135">
        <f t="shared" si="73"/>
        <v>-202624.04369684737</v>
      </c>
      <c r="AP107" s="135">
        <f t="shared" si="73"/>
        <v>-424429.98000137549</v>
      </c>
    </row>
    <row r="108" spans="1:42" x14ac:dyDescent="0.2">
      <c r="A108" s="167" t="s">
        <v>36</v>
      </c>
      <c r="B108" s="170">
        <f>B204</f>
        <v>0</v>
      </c>
      <c r="C108" s="170">
        <f>C204</f>
        <v>1630438.4285366286</v>
      </c>
      <c r="D108" s="170">
        <f t="shared" ref="D108:AP108" si="74">D204</f>
        <v>2962716.8491444034</v>
      </c>
      <c r="E108" s="170">
        <f t="shared" si="74"/>
        <v>1505245.4836443376</v>
      </c>
      <c r="F108" s="170">
        <f t="shared" si="74"/>
        <v>613858.51866624143</v>
      </c>
      <c r="G108" s="170">
        <f t="shared" si="74"/>
        <v>572515.12506325159</v>
      </c>
      <c r="H108" s="170">
        <f t="shared" si="74"/>
        <v>-111204.29218703971</v>
      </c>
      <c r="I108" s="170">
        <f t="shared" si="74"/>
        <v>-797406.2503273536</v>
      </c>
      <c r="J108" s="170">
        <f t="shared" si="74"/>
        <v>-846995.56041047163</v>
      </c>
      <c r="K108" s="170">
        <f t="shared" si="74"/>
        <v>-900360.17718316906</v>
      </c>
      <c r="L108" s="170">
        <f t="shared" si="74"/>
        <v>-958038.93430702237</v>
      </c>
      <c r="M108" s="170">
        <f t="shared" si="74"/>
        <v>-1020155.9329866825</v>
      </c>
      <c r="N108" s="170">
        <f t="shared" si="74"/>
        <v>-892526.66672856314</v>
      </c>
      <c r="O108" s="170">
        <f t="shared" si="74"/>
        <v>-830914.80526183138</v>
      </c>
      <c r="P108" s="170">
        <f t="shared" si="74"/>
        <v>-1025641.1357359887</v>
      </c>
      <c r="Q108" s="170">
        <f t="shared" si="74"/>
        <v>-1110533.1399957815</v>
      </c>
      <c r="R108" s="170">
        <f t="shared" si="74"/>
        <v>-1139205.9061296068</v>
      </c>
      <c r="S108" s="170">
        <f t="shared" si="74"/>
        <v>-1223887.8452162559</v>
      </c>
      <c r="T108" s="170">
        <f t="shared" si="74"/>
        <v>-1290028.3720207205</v>
      </c>
      <c r="U108" s="170">
        <f t="shared" si="74"/>
        <v>-1300026.7769095802</v>
      </c>
      <c r="V108" s="170">
        <f t="shared" si="74"/>
        <v>-1309985.0442122559</v>
      </c>
      <c r="W108" s="170">
        <f t="shared" si="74"/>
        <v>-1328972.3523274467</v>
      </c>
      <c r="X108" s="170">
        <f t="shared" si="74"/>
        <v>-1343218.213432288</v>
      </c>
      <c r="Y108" s="170">
        <f t="shared" si="74"/>
        <v>-1348349.0623181001</v>
      </c>
      <c r="Z108" s="170">
        <f t="shared" si="74"/>
        <v>-1120523.6056925317</v>
      </c>
      <c r="AA108" s="170">
        <f t="shared" si="74"/>
        <v>-965435.17277192848</v>
      </c>
      <c r="AB108" s="170">
        <f t="shared" si="74"/>
        <v>-1119818.4409039454</v>
      </c>
      <c r="AC108" s="170">
        <f t="shared" si="74"/>
        <v>-1214526.011105869</v>
      </c>
      <c r="AD108" s="170">
        <f t="shared" si="74"/>
        <v>-1219743.7129592383</v>
      </c>
      <c r="AE108" s="170">
        <f t="shared" si="74"/>
        <v>-1291985.6357037092</v>
      </c>
      <c r="AF108" s="170">
        <f t="shared" si="74"/>
        <v>-1364171.8727797768</v>
      </c>
      <c r="AG108" s="170">
        <f t="shared" si="74"/>
        <v>-1369222.4780396363</v>
      </c>
      <c r="AH108" s="170">
        <f t="shared" si="74"/>
        <v>-1374213.839112798</v>
      </c>
      <c r="AI108" s="170">
        <f t="shared" si="74"/>
        <v>-1379144.115153597</v>
      </c>
      <c r="AJ108" s="170">
        <f t="shared" si="74"/>
        <v>-1384011.4230479791</v>
      </c>
      <c r="AK108" s="170">
        <f t="shared" si="74"/>
        <v>-1388813.8364803565</v>
      </c>
      <c r="AL108" s="170">
        <f t="shared" si="74"/>
        <v>-1115077.511962177</v>
      </c>
      <c r="AM108" s="170">
        <f t="shared" si="74"/>
        <v>-928294.76722797973</v>
      </c>
      <c r="AN108" s="170">
        <f t="shared" si="74"/>
        <v>-1109081.9675888128</v>
      </c>
      <c r="AO108" s="170">
        <f t="shared" si="74"/>
        <v>-1218507.3173224046</v>
      </c>
      <c r="AP108" s="170">
        <f t="shared" si="74"/>
        <v>-2552367.5615537264</v>
      </c>
    </row>
    <row r="109" spans="1:42" x14ac:dyDescent="0.2">
      <c r="A109" s="167" t="s">
        <v>53</v>
      </c>
      <c r="B109" s="177">
        <f>SUM(B107:B108)</f>
        <v>0</v>
      </c>
      <c r="C109" s="177">
        <f>SUM(C107:C108)</f>
        <v>1901561.9767437777</v>
      </c>
      <c r="D109" s="177">
        <f>SUM(D107:D108)</f>
        <v>3455383.2942024297</v>
      </c>
      <c r="E109" s="177">
        <f t="shared" ref="E109:AP109" si="75">SUM(E107:E108)</f>
        <v>1755550.855074235</v>
      </c>
      <c r="F109" s="177">
        <f t="shared" si="75"/>
        <v>715936.27687226795</v>
      </c>
      <c r="G109" s="177">
        <f t="shared" si="75"/>
        <v>667717.94253408711</v>
      </c>
      <c r="H109" s="177">
        <f t="shared" si="75"/>
        <v>-129696.31356356936</v>
      </c>
      <c r="I109" s="177">
        <f t="shared" si="75"/>
        <v>-930005.92914218188</v>
      </c>
      <c r="J109" s="177">
        <f t="shared" si="75"/>
        <v>-987841.38300329389</v>
      </c>
      <c r="K109" s="177">
        <f t="shared" si="75"/>
        <v>-1050079.9345378911</v>
      </c>
      <c r="L109" s="177">
        <f t="shared" si="75"/>
        <v>-1117350.0193769732</v>
      </c>
      <c r="M109" s="177">
        <f t="shared" si="75"/>
        <v>-1189796.3753578619</v>
      </c>
      <c r="N109" s="177">
        <f t="shared" si="75"/>
        <v>-1040943.7995178933</v>
      </c>
      <c r="O109" s="177">
        <f t="shared" si="75"/>
        <v>-969086.57937944506</v>
      </c>
      <c r="P109" s="177">
        <f t="shared" si="75"/>
        <v>-1196193.7055484736</v>
      </c>
      <c r="Q109" s="177">
        <f t="shared" si="75"/>
        <v>-1295202.2940389197</v>
      </c>
      <c r="R109" s="177">
        <f t="shared" si="75"/>
        <v>-1328643.0182600024</v>
      </c>
      <c r="S109" s="177">
        <f t="shared" si="75"/>
        <v>-1427406.6101048244</v>
      </c>
      <c r="T109" s="177">
        <f t="shared" si="75"/>
        <v>-1504545.5616235614</v>
      </c>
      <c r="U109" s="177">
        <f t="shared" si="75"/>
        <v>-1516206.5886405762</v>
      </c>
      <c r="V109" s="177">
        <f t="shared" si="75"/>
        <v>-1527820.8036428653</v>
      </c>
      <c r="W109" s="177">
        <f t="shared" si="75"/>
        <v>-1549965.4872571807</v>
      </c>
      <c r="X109" s="177">
        <f t="shared" si="75"/>
        <v>-1566580.2746228424</v>
      </c>
      <c r="Y109" s="177">
        <f t="shared" si="75"/>
        <v>-1572564.3258932945</v>
      </c>
      <c r="Z109" s="177">
        <f t="shared" si="75"/>
        <v>-1306854.0616655906</v>
      </c>
      <c r="AA109" s="177">
        <f t="shared" si="75"/>
        <v>-1125976.1690000647</v>
      </c>
      <c r="AB109" s="177">
        <f t="shared" si="75"/>
        <v>-1306031.6359144277</v>
      </c>
      <c r="AC109" s="177">
        <f t="shared" si="75"/>
        <v>-1416488.0084175025</v>
      </c>
      <c r="AD109" s="177">
        <f t="shared" si="75"/>
        <v>-1422573.3553258539</v>
      </c>
      <c r="AE109" s="177">
        <f t="shared" si="75"/>
        <v>-1506828.2962137742</v>
      </c>
      <c r="AF109" s="177">
        <f t="shared" si="75"/>
        <v>-1591018.2915337835</v>
      </c>
      <c r="AG109" s="177">
        <f t="shared" si="75"/>
        <v>-1596908.7555670135</v>
      </c>
      <c r="AH109" s="177">
        <f t="shared" si="75"/>
        <v>-1602730.1237725224</v>
      </c>
      <c r="AI109" s="177">
        <f t="shared" si="75"/>
        <v>-1608480.2491927438</v>
      </c>
      <c r="AJ109" s="177">
        <f t="shared" si="75"/>
        <v>-1614156.9355729644</v>
      </c>
      <c r="AK109" s="177">
        <f t="shared" si="75"/>
        <v>-1619757.9362730084</v>
      </c>
      <c r="AL109" s="177">
        <f t="shared" si="75"/>
        <v>-1300502.3438833251</v>
      </c>
      <c r="AM109" s="177">
        <f t="shared" si="75"/>
        <v>-1082659.7322999039</v>
      </c>
      <c r="AN109" s="177">
        <f t="shared" si="75"/>
        <v>-1293509.808004186</v>
      </c>
      <c r="AO109" s="177">
        <f t="shared" si="75"/>
        <v>-1421131.3610192519</v>
      </c>
      <c r="AP109" s="177">
        <f t="shared" si="75"/>
        <v>-2976797.541555102</v>
      </c>
    </row>
    <row r="110" spans="1:42" x14ac:dyDescent="0.2">
      <c r="A110" s="163" t="s">
        <v>53</v>
      </c>
      <c r="B110" s="135">
        <f>B97+B101+B105+B109</f>
        <v>-24690713.103400499</v>
      </c>
      <c r="C110" s="135">
        <f t="shared" ref="C110:AP110" si="76">C97+C101+C105+C109</f>
        <v>14609907.415009052</v>
      </c>
      <c r="D110" s="135">
        <f t="shared" si="76"/>
        <v>4327709.4270036127</v>
      </c>
      <c r="E110" s="135">
        <f t="shared" si="76"/>
        <v>2639126.9024210135</v>
      </c>
      <c r="F110" s="135">
        <f t="shared" si="76"/>
        <v>1610745.3145226347</v>
      </c>
      <c r="G110" s="135">
        <f t="shared" si="76"/>
        <v>1573742.282814146</v>
      </c>
      <c r="H110" s="135">
        <f t="shared" si="76"/>
        <v>787524.86007315258</v>
      </c>
      <c r="I110" s="135">
        <f t="shared" si="76"/>
        <v>-1607.1915895998245</v>
      </c>
      <c r="J110" s="135">
        <f t="shared" si="76"/>
        <v>-48285.170122315059</v>
      </c>
      <c r="K110" s="135">
        <f t="shared" si="76"/>
        <v>-99387.173460778547</v>
      </c>
      <c r="L110" s="135">
        <f t="shared" si="76"/>
        <v>-155542.49560745666</v>
      </c>
      <c r="M110" s="135">
        <f t="shared" si="76"/>
        <v>-216896.7530357244</v>
      </c>
      <c r="N110" s="135">
        <f t="shared" si="76"/>
        <v>-39195.687099577975</v>
      </c>
      <c r="O110" s="135">
        <f t="shared" si="76"/>
        <v>1270492.9425166966</v>
      </c>
      <c r="P110" s="135">
        <f t="shared" si="76"/>
        <v>2350668.339776237</v>
      </c>
      <c r="Q110" s="135">
        <f t="shared" si="76"/>
        <v>2282224.9305868554</v>
      </c>
      <c r="R110" s="135">
        <f t="shared" si="76"/>
        <v>2279241.7914507138</v>
      </c>
      <c r="S110" s="135">
        <f t="shared" si="76"/>
        <v>2210824.2849728731</v>
      </c>
      <c r="T110" s="135">
        <f t="shared" si="76"/>
        <v>2163915.9224750288</v>
      </c>
      <c r="U110" s="135">
        <f t="shared" si="76"/>
        <v>2182365.8983670771</v>
      </c>
      <c r="V110" s="135">
        <f t="shared" si="76"/>
        <v>2200738.9152029576</v>
      </c>
      <c r="W110" s="135">
        <f t="shared" si="76"/>
        <v>2201287.9490087433</v>
      </c>
      <c r="X110" s="135">
        <f t="shared" si="76"/>
        <v>2200194.3785190424</v>
      </c>
      <c r="Y110" s="135">
        <f t="shared" si="76"/>
        <v>2209594.6257732403</v>
      </c>
      <c r="Z110" s="135">
        <f t="shared" si="76"/>
        <v>2490547.6829626793</v>
      </c>
      <c r="AA110" s="135">
        <f t="shared" si="76"/>
        <v>2567508.9683551397</v>
      </c>
      <c r="AB110" s="135">
        <f t="shared" si="76"/>
        <v>2403403.5368717429</v>
      </c>
      <c r="AC110" s="135">
        <f t="shared" si="76"/>
        <v>2308741.2861411828</v>
      </c>
      <c r="AD110" s="135">
        <f t="shared" si="76"/>
        <v>2318289.1211765395</v>
      </c>
      <c r="AE110" s="135">
        <f t="shared" si="76"/>
        <v>2249501.2803719342</v>
      </c>
      <c r="AF110" s="135">
        <f t="shared" si="76"/>
        <v>2180607.0428246264</v>
      </c>
      <c r="AG110" s="135">
        <f t="shared" si="76"/>
        <v>2189835.6127707269</v>
      </c>
      <c r="AH110" s="135">
        <f t="shared" si="76"/>
        <v>2198951.049564213</v>
      </c>
      <c r="AI110" s="135">
        <f t="shared" si="76"/>
        <v>2207949.868540749</v>
      </c>
      <c r="AJ110" s="135">
        <f t="shared" si="76"/>
        <v>2216828.5051070834</v>
      </c>
      <c r="AK110" s="135">
        <f t="shared" si="76"/>
        <v>2225583.312976555</v>
      </c>
      <c r="AL110" s="135">
        <f t="shared" si="76"/>
        <v>2558989.1716370797</v>
      </c>
      <c r="AM110" s="135">
        <f t="shared" si="76"/>
        <v>3067909.1416031187</v>
      </c>
      <c r="AN110" s="135">
        <f t="shared" si="76"/>
        <v>2864640.4582204861</v>
      </c>
      <c r="AO110" s="135">
        <f t="shared" si="76"/>
        <v>2744375.8313593604</v>
      </c>
      <c r="AP110" s="135">
        <f t="shared" si="76"/>
        <v>5724332.7620315449</v>
      </c>
    </row>
    <row r="111" spans="1:42" x14ac:dyDescent="0.2">
      <c r="A111" s="167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</row>
    <row r="112" spans="1:42" x14ac:dyDescent="0.2">
      <c r="A112" s="163" t="s">
        <v>323</v>
      </c>
      <c r="B112" s="246">
        <f>ROUND(IF(ISERROR(IRR($B110:B110)),0,IRR($B110:B110)),4)</f>
        <v>0</v>
      </c>
      <c r="C112" s="246">
        <f>ROUND(IF(ISERROR(IRR($B110:C110)),0,IRR($B110:C110)),4)</f>
        <v>-0.4083</v>
      </c>
      <c r="D112" s="246">
        <f>ROUND(IF(ISERROR(IRR($B110:D110)),0,IRR($B110:D110)),4)</f>
        <v>-0.1915</v>
      </c>
      <c r="E112" s="246">
        <f>ROUND(IF(ISERROR(IRR($B110:E110)),0,IRR($B110:E110)),4)</f>
        <v>-8.77E-2</v>
      </c>
      <c r="F112" s="246">
        <f>ROUND(IF(ISERROR(IRR($B110:F110)),0,IRR($B110:F110)),4)</f>
        <v>-3.7600000000000001E-2</v>
      </c>
      <c r="G112" s="246">
        <f>ROUND(IF(ISERROR(IRR($B110:G110)),0,IRR($B110:G110)),4)</f>
        <v>1.6000000000000001E-3</v>
      </c>
      <c r="H112" s="246">
        <f>ROUND(IF(ISERROR(IRR($B110:H110)),0,IRR($B110:H110)),4)</f>
        <v>1.77E-2</v>
      </c>
      <c r="I112" s="246">
        <f>ROUND(IF(ISERROR(IRR($B110:I110)),0,IRR($B110:I110)),4)</f>
        <v>1.77E-2</v>
      </c>
      <c r="J112" s="246">
        <f>ROUND(IF(ISERROR(IRR($B110:J110)),0,IRR($B110:J110)),4)</f>
        <v>1.6799999999999999E-2</v>
      </c>
      <c r="K112" s="246">
        <f>ROUND(IF(ISERROR(IRR($B110:K110)),0,IRR($B110:K110)),4)</f>
        <v>1.49E-2</v>
      </c>
      <c r="L112" s="246">
        <f>ROUND(IF(ISERROR(IRR($B110:L110)),0,IRR($B110:L110)),4)</f>
        <v>1.1900000000000001E-2</v>
      </c>
      <c r="M112" s="246">
        <f>ROUND(IF(ISERROR(IRR($B110:M110)),0,IRR($B110:M110)),4)</f>
        <v>7.6E-3</v>
      </c>
      <c r="N112" s="246">
        <f>ROUND(IF(ISERROR(IRR($B110:N110)),0,IRR($B110:N110)),4)</f>
        <v>6.7000000000000002E-3</v>
      </c>
      <c r="O112" s="246">
        <f>ROUND(IF(ISERROR(IRR($B110:O110)),0,IRR($B110:O110)),4)</f>
        <v>2.7799999999999998E-2</v>
      </c>
      <c r="P112" s="246">
        <f>ROUND(IF(ISERROR(IRR($B110:P110)),0,IRR($B110:P110)),4)</f>
        <v>5.1499999999999997E-2</v>
      </c>
      <c r="Q112" s="246">
        <f>ROUND(IF(ISERROR(IRR($B110:Q110)),0,IRR($B110:Q110)),4)</f>
        <v>6.6400000000000001E-2</v>
      </c>
      <c r="R112" s="246">
        <f>ROUND(IF(ISERROR(IRR($B110:R110)),0,IRR($B110:R110)),4)</f>
        <v>7.6999999999999999E-2</v>
      </c>
      <c r="S112" s="246">
        <f>ROUND(IF(ISERROR(IRR($B110:S110)),0,IRR($B110:S110)),4)</f>
        <v>8.4900000000000003E-2</v>
      </c>
      <c r="T112" s="246">
        <f>ROUND(IF(ISERROR(IRR($B110:T110)),0,IRR($B110:T110)),4)</f>
        <v>9.0999999999999998E-2</v>
      </c>
      <c r="U112" s="246">
        <f>ROUND(IF(ISERROR(IRR($B110:U110)),0,IRR($B110:U110)),4)</f>
        <v>9.5899999999999999E-2</v>
      </c>
      <c r="V112" s="246">
        <f>ROUND(IF(ISERROR(IRR($B110:V110)),0,IRR($B110:V110)),4)</f>
        <v>0.1</v>
      </c>
      <c r="W112" s="246">
        <f>ROUND(IF(ISERROR(IRR($B110:W110)),0,IRR($B110:W110)),4)</f>
        <v>0.1033</v>
      </c>
      <c r="X112" s="246">
        <f>ROUND(IF(ISERROR(IRR($B110:X110)),0,IRR($B110:X110)),4)</f>
        <v>0.1061</v>
      </c>
      <c r="Y112" s="246">
        <f>ROUND(IF(ISERROR(IRR($B110:Y110)),0,IRR($B110:Y110)),4)</f>
        <v>0.1085</v>
      </c>
      <c r="Z112" s="246">
        <f>ROUND(IF(ISERROR(IRR($B110:Z110)),0,IRR($B110:Z110)),4)</f>
        <v>0.11070000000000001</v>
      </c>
      <c r="AA112" s="246">
        <f>ROUND(IF(ISERROR(IRR($B110:AA110)),0,IRR($B110:AA110)),4)</f>
        <v>0.11260000000000001</v>
      </c>
      <c r="AB112" s="246">
        <f>ROUND(IF(ISERROR(IRR($B110:AB110)),0,IRR($B110:AB110)),4)</f>
        <v>0.11409999999999999</v>
      </c>
      <c r="AC112" s="246">
        <f>ROUND(IF(ISERROR(IRR($B110:AC110)),0,IRR($B110:AC110)),4)</f>
        <v>0.1154</v>
      </c>
      <c r="AD112" s="246">
        <f>ROUND(IF(ISERROR(IRR($B110:AD110)),0,IRR($B110:AD110)),4)</f>
        <v>0.11650000000000001</v>
      </c>
      <c r="AE112" s="246">
        <f>ROUND(IF(ISERROR(IRR($B110:AE110)),0,IRR($B110:AE110)),4)</f>
        <v>0.1174</v>
      </c>
      <c r="AF112" s="246">
        <f>ROUND(IF(ISERROR(IRR($B110:AF110)),0,IRR($B110:AF110)),4)</f>
        <v>0.1182</v>
      </c>
      <c r="AG112" s="246">
        <f>ROUND(IF(ISERROR(IRR($B110:AG110)),0,IRR($B110:AG110)),4)</f>
        <v>0.1188</v>
      </c>
      <c r="AH112" s="246">
        <f>ROUND(IF(ISERROR(IRR($B110:AH110)),0,IRR($B110:AH110)),4)</f>
        <v>0.11940000000000001</v>
      </c>
      <c r="AI112" s="246">
        <f>ROUND(IF(ISERROR(IRR($B110:AI110)),0,IRR($B110:AI110)),4)</f>
        <v>0.11990000000000001</v>
      </c>
      <c r="AJ112" s="246">
        <f>ROUND(IF(ISERROR(IRR($B110:AJ110)),0,IRR($B110:AJ110)),4)</f>
        <v>0.12039999999999999</v>
      </c>
      <c r="AK112" s="246">
        <f>ROUND(IF(ISERROR(IRR($B110:AK110)),0,IRR($B110:AK110)),4)</f>
        <v>0.1208</v>
      </c>
      <c r="AL112" s="246">
        <f>ROUND(IF(ISERROR(IRR($B110:AL110)),0,IRR($B110:AL110)),4)</f>
        <v>0.1212</v>
      </c>
      <c r="AM112" s="246">
        <f>ROUND(IF(ISERROR(IRR($B110:AM110)),0,IRR($B110:AM110)),4)</f>
        <v>0.1216</v>
      </c>
      <c r="AN112" s="246">
        <f>ROUND(IF(ISERROR(IRR($B110:AN110)),0,IRR($B110:AN110)),4)</f>
        <v>0.12189999999999999</v>
      </c>
      <c r="AO112" s="246">
        <f>ROUND(IF(ISERROR(IRR($B110:AO110)),0,IRR($B110:AO110)),4)</f>
        <v>0.1222</v>
      </c>
      <c r="AP112" s="246">
        <f>ROUND(IF(ISERROR(IRR($B110:AP110)),0,IRR($B110:AP110)),4)</f>
        <v>0.1227</v>
      </c>
    </row>
    <row r="113" spans="1:42" s="101" customFormat="1" x14ac:dyDescent="0.2">
      <c r="A113" s="243" t="s">
        <v>317</v>
      </c>
      <c r="B113" s="271">
        <f>MAX($B$112:B112)</f>
        <v>0</v>
      </c>
      <c r="C113" s="271">
        <f>MAX($B$112:C112)</f>
        <v>0</v>
      </c>
      <c r="D113" s="271">
        <f>MAX($B$112:D112)</f>
        <v>0</v>
      </c>
      <c r="E113" s="271">
        <f>MAX($B$112:E112)</f>
        <v>0</v>
      </c>
      <c r="F113" s="271">
        <f>MAX($B$112:F112)</f>
        <v>0</v>
      </c>
      <c r="G113" s="271">
        <f>MAX($B$112:G112)</f>
        <v>1.6000000000000001E-3</v>
      </c>
      <c r="H113" s="271">
        <f>MAX($B$112:H112)</f>
        <v>1.77E-2</v>
      </c>
      <c r="I113" s="271">
        <f>MAX($B$112:I112)</f>
        <v>1.77E-2</v>
      </c>
      <c r="J113" s="271">
        <f>MAX($B$112:J112)</f>
        <v>1.77E-2</v>
      </c>
      <c r="K113" s="271">
        <f>MAX($B$112:K112)</f>
        <v>1.77E-2</v>
      </c>
      <c r="L113" s="271">
        <f>MAX($B$112:L112)</f>
        <v>1.77E-2</v>
      </c>
      <c r="M113" s="271">
        <f>MAX($B$112:M112)</f>
        <v>1.77E-2</v>
      </c>
      <c r="N113" s="271">
        <f>MAX($B$112:N112)</f>
        <v>1.77E-2</v>
      </c>
      <c r="O113" s="271">
        <f>MAX($B$112:O112)</f>
        <v>2.7799999999999998E-2</v>
      </c>
      <c r="P113" s="271">
        <f>MAX($B$112:P112)</f>
        <v>5.1499999999999997E-2</v>
      </c>
      <c r="Q113" s="271">
        <f>MAX($B$112:Q112)</f>
        <v>6.6400000000000001E-2</v>
      </c>
      <c r="R113" s="271">
        <f>MAX($B$112:R112)</f>
        <v>7.6999999999999999E-2</v>
      </c>
      <c r="S113" s="271">
        <f>MAX($B$112:S112)</f>
        <v>8.4900000000000003E-2</v>
      </c>
      <c r="T113" s="271">
        <f>MAX($B$112:T112)</f>
        <v>9.0999999999999998E-2</v>
      </c>
      <c r="U113" s="271">
        <f>MAX($B$112:U112)</f>
        <v>9.5899999999999999E-2</v>
      </c>
      <c r="V113" s="271">
        <f>MAX($B$112:V112)</f>
        <v>0.1</v>
      </c>
      <c r="W113" s="271">
        <f>MAX($B$112:W112)</f>
        <v>0.1033</v>
      </c>
      <c r="X113" s="271">
        <f>MAX($B$112:X112)</f>
        <v>0.1061</v>
      </c>
      <c r="Y113" s="271">
        <f>MAX($B$112:Y112)</f>
        <v>0.1085</v>
      </c>
      <c r="Z113" s="271">
        <f>MAX($B$112:Z112)</f>
        <v>0.11070000000000001</v>
      </c>
      <c r="AA113" s="271">
        <f>MAX($B$112:AA112)</f>
        <v>0.11260000000000001</v>
      </c>
      <c r="AB113" s="271">
        <f>MAX($B$112:AB112)</f>
        <v>0.11409999999999999</v>
      </c>
      <c r="AC113" s="271">
        <f>MAX($B$112:AC112)</f>
        <v>0.1154</v>
      </c>
      <c r="AD113" s="271">
        <f>MAX($B$112:AD112)</f>
        <v>0.11650000000000001</v>
      </c>
      <c r="AE113" s="271">
        <f>MAX($B$112:AE112)</f>
        <v>0.1174</v>
      </c>
      <c r="AF113" s="271">
        <f>MAX($B$112:AF112)</f>
        <v>0.1182</v>
      </c>
      <c r="AG113" s="271">
        <f>MAX($B$112:AG112)</f>
        <v>0.1188</v>
      </c>
      <c r="AH113" s="271">
        <f>MAX($B$112:AH112)</f>
        <v>0.11940000000000001</v>
      </c>
      <c r="AI113" s="271">
        <f>MAX($B$112:AI112)</f>
        <v>0.11990000000000001</v>
      </c>
      <c r="AJ113" s="271">
        <f>MAX($B$112:AJ112)</f>
        <v>0.12039999999999999</v>
      </c>
      <c r="AK113" s="271">
        <f>MAX($B$112:AK112)</f>
        <v>0.1208</v>
      </c>
      <c r="AL113" s="271">
        <f>MAX($B$112:AL112)</f>
        <v>0.1212</v>
      </c>
      <c r="AM113" s="271">
        <f>MAX($B$112:AM112)</f>
        <v>0.1216</v>
      </c>
      <c r="AN113" s="271">
        <f>MAX($B$112:AN112)</f>
        <v>0.12189999999999999</v>
      </c>
      <c r="AO113" s="271">
        <f>MAX($B$112:AO112)</f>
        <v>0.1222</v>
      </c>
      <c r="AP113" s="271">
        <f>MAX($B$112:AP112)</f>
        <v>0.1227</v>
      </c>
    </row>
    <row r="114" spans="1:42" x14ac:dyDescent="0.2">
      <c r="A114" s="163" t="s">
        <v>324</v>
      </c>
      <c r="B114" s="230">
        <f>B110</f>
        <v>-24690713.103400499</v>
      </c>
      <c r="C114" s="230">
        <f>NPV(DiscountRate,$C110:C110)+$B110</f>
        <v>-11163021.052466193</v>
      </c>
      <c r="D114" s="230">
        <f>NPV(DiscountRate,$C110:D110)+$B110</f>
        <v>-7452707.7577100061</v>
      </c>
      <c r="E114" s="230">
        <f>NPV(DiscountRate,$C110:E110)+$B110</f>
        <v>-5357683.7344245166</v>
      </c>
      <c r="F114" s="230">
        <f>NPV(DiscountRate,$C110:F110)+$B110</f>
        <v>-4173737.8429983705</v>
      </c>
      <c r="G114" s="230">
        <f>NPV(DiscountRate,$C110:G110)+$B110</f>
        <v>-3102675.2888535187</v>
      </c>
      <c r="H114" s="230">
        <f>NPV(DiscountRate,$C110:H110)+$B110</f>
        <v>-2606401.0416200534</v>
      </c>
      <c r="I114" s="230">
        <f>NPV(DiscountRate,$C110:I110)+$B110</f>
        <v>-2607338.8224759325</v>
      </c>
      <c r="J114" s="230">
        <f>NPV(DiscountRate,$C110:J110)+$B110</f>
        <v>-2633425.7974759042</v>
      </c>
      <c r="K114" s="230">
        <f>NPV(DiscountRate,$C110:K110)+$B110</f>
        <v>-2683144.1283457726</v>
      </c>
      <c r="L114" s="230">
        <f>NPV(DiscountRate,$C110:L110)+$B110</f>
        <v>-2755190.3994315863</v>
      </c>
      <c r="M114" s="230">
        <f>NPV(DiscountRate,$C110:M110)+$B110</f>
        <v>-2848213.6990546063</v>
      </c>
      <c r="N114" s="230">
        <f>NPV(DiscountRate,$C110:N110)+$B110</f>
        <v>-2863778.8456814326</v>
      </c>
      <c r="O114" s="230">
        <f>NPV(DiscountRate,$C110:O110)+$B110</f>
        <v>-2396621.2274073474</v>
      </c>
      <c r="P114" s="230">
        <f>NPV(DiscountRate,$C110:P110)+$B110</f>
        <v>-1596310.236547716</v>
      </c>
      <c r="Q114" s="230">
        <f>NPV(DiscountRate,$C110:Q110)+$B110</f>
        <v>-876857.75831385702</v>
      </c>
      <c r="R114" s="230">
        <f>NPV(DiscountRate,$C110:R110)+$B110</f>
        <v>-211568.80612271652</v>
      </c>
      <c r="S114" s="230">
        <f>NPV(DiscountRate,$C110:S110)+$B110</f>
        <v>385948.35520688072</v>
      </c>
      <c r="T114" s="230">
        <f>NPV(DiscountRate,$C110:T110)+$B110</f>
        <v>927466.21389510483</v>
      </c>
      <c r="U114" s="230">
        <f>NPV(DiscountRate,$C110:U110)+$B110</f>
        <v>1433146.7206010595</v>
      </c>
      <c r="V114" s="230">
        <f>NPV(DiscountRate,$C110:V110)+$B110</f>
        <v>1905311.309822198</v>
      </c>
      <c r="W114" s="230">
        <f>NPV(DiscountRate,$C110:W110)+$B110</f>
        <v>2342609.8130073622</v>
      </c>
      <c r="X114" s="230">
        <f>NPV(DiscountRate,$C110:X110)+$B110</f>
        <v>2747314.682564754</v>
      </c>
      <c r="Y114" s="230">
        <f>NPV(DiscountRate,$C110:Y110)+$B110</f>
        <v>3123642.4194199145</v>
      </c>
      <c r="Z114" s="230">
        <f>NPV(DiscountRate,$C110:Z110)+$B110</f>
        <v>3516400.1385519914</v>
      </c>
      <c r="AA114" s="230">
        <f>NPV(DiscountRate,$C110:AA110)+$B110</f>
        <v>3891302.4189563245</v>
      </c>
      <c r="AB114" s="230">
        <f>NPV(DiscountRate,$C110:AB110)+$B110</f>
        <v>4216246.8162843771</v>
      </c>
      <c r="AC114" s="230">
        <f>NPV(DiscountRate,$C110:AC110)+$B110</f>
        <v>4505270.7922688425</v>
      </c>
      <c r="AD114" s="230">
        <f>NPV(DiscountRate,$C110:AD110)+$B110</f>
        <v>4773992.3099304959</v>
      </c>
      <c r="AE114" s="230">
        <f>NPV(DiscountRate,$C110:AE110)+$B110</f>
        <v>5015425.7016860843</v>
      </c>
      <c r="AF114" s="230">
        <f>NPV(DiscountRate,$C110:AF110)+$B110</f>
        <v>5232128.6129413061</v>
      </c>
      <c r="AG114" s="230">
        <f>NPV(DiscountRate,$C110:AG110)+$B110</f>
        <v>5433628.6332373358</v>
      </c>
      <c r="AH114" s="230">
        <f>NPV(DiscountRate,$C110:AH110)+$B110</f>
        <v>5620979.3617295139</v>
      </c>
      <c r="AI114" s="230">
        <f>NPV(DiscountRate,$C110:AI110)+$B110</f>
        <v>5795162.1656872965</v>
      </c>
      <c r="AJ114" s="230">
        <f>NPV(DiscountRate,$C110:AJ110)+$B110</f>
        <v>5957091.0824481547</v>
      </c>
      <c r="AK114" s="230">
        <f>NPV(DiscountRate,$C110:AK110)+$B110</f>
        <v>6107617.3920608051</v>
      </c>
      <c r="AL114" s="230">
        <f>NPV(DiscountRate,$C110:AL110)+$B110</f>
        <v>6267873.0053908676</v>
      </c>
      <c r="AM114" s="230">
        <f>NPV(DiscountRate,$C110:AM110)+$B110</f>
        <v>6445767.9229455069</v>
      </c>
      <c r="AN114" s="230">
        <f>NPV(DiscountRate,$C110:AN110)+$B110</f>
        <v>6599571.845897764</v>
      </c>
      <c r="AO114" s="230">
        <f>NPV(DiscountRate,$C110:AO110)+$B110</f>
        <v>6736004.1212095432</v>
      </c>
      <c r="AP114" s="230">
        <f>NPV(DiscountRate,$C110:AP110)+$B110</f>
        <v>6999500.5007673055</v>
      </c>
    </row>
    <row r="115" spans="1:42" x14ac:dyDescent="0.2">
      <c r="A115" s="167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</row>
    <row r="116" spans="1:42" x14ac:dyDescent="0.2">
      <c r="A116" s="20" t="s">
        <v>316</v>
      </c>
      <c r="B116" s="179">
        <f>SUM(C116:AP116)</f>
        <v>20</v>
      </c>
      <c r="C116" s="135">
        <f t="shared" ref="C116:AP116" si="77">IF(AND(B113&lt;SOReturnTarget,C113&gt;=SOReturnTarget),C$2,0)</f>
        <v>0</v>
      </c>
      <c r="D116" s="135">
        <f t="shared" si="77"/>
        <v>0</v>
      </c>
      <c r="E116" s="135">
        <f t="shared" si="77"/>
        <v>0</v>
      </c>
      <c r="F116" s="135">
        <f t="shared" si="77"/>
        <v>0</v>
      </c>
      <c r="G116" s="135">
        <f t="shared" si="77"/>
        <v>0</v>
      </c>
      <c r="H116" s="135">
        <f t="shared" si="77"/>
        <v>0</v>
      </c>
      <c r="I116" s="135">
        <f t="shared" si="77"/>
        <v>0</v>
      </c>
      <c r="J116" s="135">
        <f t="shared" si="77"/>
        <v>0</v>
      </c>
      <c r="K116" s="135">
        <f t="shared" si="77"/>
        <v>0</v>
      </c>
      <c r="L116" s="135">
        <f t="shared" si="77"/>
        <v>0</v>
      </c>
      <c r="M116" s="135">
        <f t="shared" si="77"/>
        <v>0</v>
      </c>
      <c r="N116" s="135">
        <f t="shared" si="77"/>
        <v>0</v>
      </c>
      <c r="O116" s="135">
        <f t="shared" si="77"/>
        <v>0</v>
      </c>
      <c r="P116" s="135">
        <f t="shared" si="77"/>
        <v>0</v>
      </c>
      <c r="Q116" s="135">
        <f t="shared" si="77"/>
        <v>0</v>
      </c>
      <c r="R116" s="135">
        <f t="shared" si="77"/>
        <v>0</v>
      </c>
      <c r="S116" s="135">
        <f t="shared" si="77"/>
        <v>0</v>
      </c>
      <c r="T116" s="135">
        <f t="shared" si="77"/>
        <v>0</v>
      </c>
      <c r="U116" s="135">
        <f t="shared" si="77"/>
        <v>0</v>
      </c>
      <c r="V116" s="135">
        <f t="shared" si="77"/>
        <v>20</v>
      </c>
      <c r="W116" s="135">
        <f t="shared" si="77"/>
        <v>0</v>
      </c>
      <c r="X116" s="135">
        <f t="shared" si="77"/>
        <v>0</v>
      </c>
      <c r="Y116" s="135">
        <f t="shared" si="77"/>
        <v>0</v>
      </c>
      <c r="Z116" s="135">
        <f t="shared" si="77"/>
        <v>0</v>
      </c>
      <c r="AA116" s="135">
        <f t="shared" si="77"/>
        <v>0</v>
      </c>
      <c r="AB116" s="135">
        <f t="shared" si="77"/>
        <v>0</v>
      </c>
      <c r="AC116" s="135">
        <f t="shared" si="77"/>
        <v>0</v>
      </c>
      <c r="AD116" s="135">
        <f t="shared" si="77"/>
        <v>0</v>
      </c>
      <c r="AE116" s="135">
        <f t="shared" si="77"/>
        <v>0</v>
      </c>
      <c r="AF116" s="135">
        <f t="shared" si="77"/>
        <v>0</v>
      </c>
      <c r="AG116" s="135">
        <f t="shared" si="77"/>
        <v>0</v>
      </c>
      <c r="AH116" s="135">
        <f t="shared" si="77"/>
        <v>0</v>
      </c>
      <c r="AI116" s="135">
        <f t="shared" si="77"/>
        <v>0</v>
      </c>
      <c r="AJ116" s="135">
        <f t="shared" si="77"/>
        <v>0</v>
      </c>
      <c r="AK116" s="135">
        <f t="shared" si="77"/>
        <v>0</v>
      </c>
      <c r="AL116" s="135">
        <f t="shared" si="77"/>
        <v>0</v>
      </c>
      <c r="AM116" s="135">
        <f t="shared" si="77"/>
        <v>0</v>
      </c>
      <c r="AN116" s="135">
        <f t="shared" si="77"/>
        <v>0</v>
      </c>
      <c r="AO116" s="135">
        <f t="shared" si="77"/>
        <v>0</v>
      </c>
      <c r="AP116" s="135">
        <f t="shared" si="77"/>
        <v>0</v>
      </c>
    </row>
    <row r="117" spans="1:42" x14ac:dyDescent="0.2">
      <c r="B117" s="169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</row>
    <row r="118" spans="1:42" x14ac:dyDescent="0.2">
      <c r="A118" s="162" t="s">
        <v>435</v>
      </c>
      <c r="B118" s="135"/>
      <c r="C118" s="135"/>
      <c r="D118" s="135"/>
      <c r="E118" s="135"/>
      <c r="F118" s="135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</row>
    <row r="119" spans="1:42" x14ac:dyDescent="0.2">
      <c r="A119" s="163" t="s">
        <v>438</v>
      </c>
      <c r="B119" s="233">
        <f>SUM(C119:AP119)</f>
        <v>6</v>
      </c>
      <c r="C119" s="169">
        <f>IF(C110&lt;0,1,0)</f>
        <v>0</v>
      </c>
      <c r="D119" s="169">
        <f t="shared" ref="D119:L119" si="78">IF(D110&lt;0,1,0)</f>
        <v>0</v>
      </c>
      <c r="E119" s="169">
        <f t="shared" si="78"/>
        <v>0</v>
      </c>
      <c r="F119" s="169">
        <f t="shared" si="78"/>
        <v>0</v>
      </c>
      <c r="G119" s="169">
        <f t="shared" si="78"/>
        <v>0</v>
      </c>
      <c r="H119" s="169">
        <f t="shared" si="78"/>
        <v>0</v>
      </c>
      <c r="I119" s="169">
        <f t="shared" si="78"/>
        <v>1</v>
      </c>
      <c r="J119" s="169">
        <f t="shared" si="78"/>
        <v>1</v>
      </c>
      <c r="K119" s="169">
        <f t="shared" si="78"/>
        <v>1</v>
      </c>
      <c r="L119" s="169">
        <f t="shared" si="78"/>
        <v>1</v>
      </c>
      <c r="M119" s="169">
        <f t="shared" ref="M119:AP119" si="79">IF(M110&lt;0,1,0)</f>
        <v>1</v>
      </c>
      <c r="N119" s="169">
        <f t="shared" si="79"/>
        <v>1</v>
      </c>
      <c r="O119" s="169">
        <f t="shared" si="79"/>
        <v>0</v>
      </c>
      <c r="P119" s="169">
        <f t="shared" si="79"/>
        <v>0</v>
      </c>
      <c r="Q119" s="169">
        <f t="shared" si="79"/>
        <v>0</v>
      </c>
      <c r="R119" s="169">
        <f t="shared" si="79"/>
        <v>0</v>
      </c>
      <c r="S119" s="169">
        <f t="shared" si="79"/>
        <v>0</v>
      </c>
      <c r="T119" s="169">
        <f t="shared" si="79"/>
        <v>0</v>
      </c>
      <c r="U119" s="169">
        <f t="shared" si="79"/>
        <v>0</v>
      </c>
      <c r="V119" s="169">
        <f t="shared" si="79"/>
        <v>0</v>
      </c>
      <c r="W119" s="169">
        <f t="shared" si="79"/>
        <v>0</v>
      </c>
      <c r="X119" s="169">
        <f t="shared" si="79"/>
        <v>0</v>
      </c>
      <c r="Y119" s="169">
        <f t="shared" si="79"/>
        <v>0</v>
      </c>
      <c r="Z119" s="169">
        <f t="shared" si="79"/>
        <v>0</v>
      </c>
      <c r="AA119" s="169">
        <f t="shared" si="79"/>
        <v>0</v>
      </c>
      <c r="AB119" s="169">
        <f t="shared" si="79"/>
        <v>0</v>
      </c>
      <c r="AC119" s="169">
        <f t="shared" si="79"/>
        <v>0</v>
      </c>
      <c r="AD119" s="169">
        <f t="shared" si="79"/>
        <v>0</v>
      </c>
      <c r="AE119" s="169">
        <f t="shared" si="79"/>
        <v>0</v>
      </c>
      <c r="AF119" s="169">
        <f t="shared" si="79"/>
        <v>0</v>
      </c>
      <c r="AG119" s="169">
        <f t="shared" si="79"/>
        <v>0</v>
      </c>
      <c r="AH119" s="169">
        <f t="shared" si="79"/>
        <v>0</v>
      </c>
      <c r="AI119" s="169">
        <f t="shared" si="79"/>
        <v>0</v>
      </c>
      <c r="AJ119" s="169">
        <f t="shared" si="79"/>
        <v>0</v>
      </c>
      <c r="AK119" s="169">
        <f t="shared" si="79"/>
        <v>0</v>
      </c>
      <c r="AL119" s="169">
        <f t="shared" si="79"/>
        <v>0</v>
      </c>
      <c r="AM119" s="169">
        <f t="shared" si="79"/>
        <v>0</v>
      </c>
      <c r="AN119" s="169">
        <f t="shared" si="79"/>
        <v>0</v>
      </c>
      <c r="AO119" s="169">
        <f t="shared" si="79"/>
        <v>0</v>
      </c>
      <c r="AP119" s="169">
        <f t="shared" si="79"/>
        <v>0</v>
      </c>
    </row>
    <row r="120" spans="1:42" x14ac:dyDescent="0.2">
      <c r="A120" s="163" t="s">
        <v>439</v>
      </c>
      <c r="B120" s="363">
        <f>IF(B119&gt;0,SUM(C120:AP120),"N/A")</f>
        <v>7</v>
      </c>
      <c r="C120" s="169">
        <f>IF(AND(B110&gt;=0,C110&lt;0),C$2,0)</f>
        <v>0</v>
      </c>
      <c r="D120" s="169">
        <f t="shared" ref="D120:L120" si="80">IF(AND(C110&gt;=0,D110&lt;0),D$2,0)</f>
        <v>0</v>
      </c>
      <c r="E120" s="169">
        <f t="shared" si="80"/>
        <v>0</v>
      </c>
      <c r="F120" s="169">
        <f t="shared" si="80"/>
        <v>0</v>
      </c>
      <c r="G120" s="169">
        <f t="shared" si="80"/>
        <v>0</v>
      </c>
      <c r="H120" s="169">
        <f t="shared" si="80"/>
        <v>0</v>
      </c>
      <c r="I120" s="169">
        <f t="shared" si="80"/>
        <v>7</v>
      </c>
      <c r="J120" s="169">
        <f t="shared" si="80"/>
        <v>0</v>
      </c>
      <c r="K120" s="169">
        <f t="shared" si="80"/>
        <v>0</v>
      </c>
      <c r="L120" s="169">
        <f t="shared" si="80"/>
        <v>0</v>
      </c>
      <c r="M120" s="169">
        <f t="shared" ref="M120:AP120" si="81">IF(AND(L110&gt;=0,M110&lt;0),M$2,0)</f>
        <v>0</v>
      </c>
      <c r="N120" s="169">
        <f t="shared" si="81"/>
        <v>0</v>
      </c>
      <c r="O120" s="169">
        <f t="shared" si="81"/>
        <v>0</v>
      </c>
      <c r="P120" s="169">
        <f t="shared" si="81"/>
        <v>0</v>
      </c>
      <c r="Q120" s="169">
        <f t="shared" si="81"/>
        <v>0</v>
      </c>
      <c r="R120" s="169">
        <f t="shared" si="81"/>
        <v>0</v>
      </c>
      <c r="S120" s="169">
        <f t="shared" si="81"/>
        <v>0</v>
      </c>
      <c r="T120" s="169">
        <f t="shared" si="81"/>
        <v>0</v>
      </c>
      <c r="U120" s="169">
        <f t="shared" si="81"/>
        <v>0</v>
      </c>
      <c r="V120" s="169">
        <f t="shared" si="81"/>
        <v>0</v>
      </c>
      <c r="W120" s="169">
        <f t="shared" si="81"/>
        <v>0</v>
      </c>
      <c r="X120" s="169">
        <f t="shared" si="81"/>
        <v>0</v>
      </c>
      <c r="Y120" s="169">
        <f t="shared" si="81"/>
        <v>0</v>
      </c>
      <c r="Z120" s="169">
        <f t="shared" si="81"/>
        <v>0</v>
      </c>
      <c r="AA120" s="169">
        <f t="shared" si="81"/>
        <v>0</v>
      </c>
      <c r="AB120" s="169">
        <f t="shared" si="81"/>
        <v>0</v>
      </c>
      <c r="AC120" s="169">
        <f t="shared" si="81"/>
        <v>0</v>
      </c>
      <c r="AD120" s="169">
        <f t="shared" si="81"/>
        <v>0</v>
      </c>
      <c r="AE120" s="169">
        <f t="shared" si="81"/>
        <v>0</v>
      </c>
      <c r="AF120" s="169">
        <f t="shared" si="81"/>
        <v>0</v>
      </c>
      <c r="AG120" s="169">
        <f t="shared" si="81"/>
        <v>0</v>
      </c>
      <c r="AH120" s="169">
        <f t="shared" si="81"/>
        <v>0</v>
      </c>
      <c r="AI120" s="169">
        <f t="shared" si="81"/>
        <v>0</v>
      </c>
      <c r="AJ120" s="169">
        <f t="shared" si="81"/>
        <v>0</v>
      </c>
      <c r="AK120" s="169">
        <f t="shared" si="81"/>
        <v>0</v>
      </c>
      <c r="AL120" s="169">
        <f t="shared" si="81"/>
        <v>0</v>
      </c>
      <c r="AM120" s="169">
        <f t="shared" si="81"/>
        <v>0</v>
      </c>
      <c r="AN120" s="169">
        <f t="shared" si="81"/>
        <v>0</v>
      </c>
      <c r="AO120" s="169">
        <f t="shared" si="81"/>
        <v>0</v>
      </c>
      <c r="AP120" s="169">
        <f t="shared" si="81"/>
        <v>0</v>
      </c>
    </row>
    <row r="121" spans="1:42" x14ac:dyDescent="0.2">
      <c r="B121" s="169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</row>
    <row r="122" spans="1:42" x14ac:dyDescent="0.2">
      <c r="A122" s="162" t="s">
        <v>233</v>
      </c>
      <c r="B122" s="135"/>
      <c r="C122" s="135"/>
      <c r="D122" s="135"/>
      <c r="E122" s="135"/>
      <c r="F122" s="135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</row>
    <row r="123" spans="1:42" x14ac:dyDescent="0.2">
      <c r="A123" s="163" t="s">
        <v>356</v>
      </c>
      <c r="B123" s="179">
        <f>SUM(C123:AP123)</f>
        <v>187982656.61048934</v>
      </c>
      <c r="C123" s="135">
        <f t="shared" ref="C123:AP123" si="82">C12</f>
        <v>4261236.8546540421</v>
      </c>
      <c r="D123" s="135">
        <f t="shared" si="82"/>
        <v>4282329.9770845799</v>
      </c>
      <c r="E123" s="135">
        <f t="shared" si="82"/>
        <v>4303527.5104711493</v>
      </c>
      <c r="F123" s="135">
        <f t="shared" si="82"/>
        <v>4324829.9716479806</v>
      </c>
      <c r="G123" s="135">
        <f t="shared" si="82"/>
        <v>4346237.8800076386</v>
      </c>
      <c r="H123" s="135">
        <f t="shared" si="82"/>
        <v>4367751.7575136758</v>
      </c>
      <c r="I123" s="135">
        <f t="shared" si="82"/>
        <v>4389372.1287133694</v>
      </c>
      <c r="J123" s="135">
        <f t="shared" si="82"/>
        <v>4411099.5207504993</v>
      </c>
      <c r="K123" s="135">
        <f t="shared" si="82"/>
        <v>4432934.4633782161</v>
      </c>
      <c r="L123" s="135">
        <f t="shared" si="82"/>
        <v>4454877.4889719374</v>
      </c>
      <c r="M123" s="135">
        <f t="shared" si="82"/>
        <v>4476929.1325423494</v>
      </c>
      <c r="N123" s="135">
        <f t="shared" si="82"/>
        <v>4499089.931748433</v>
      </c>
      <c r="O123" s="135">
        <f t="shared" si="82"/>
        <v>4521360.4269105885</v>
      </c>
      <c r="P123" s="135">
        <f t="shared" si="82"/>
        <v>4543741.1610237956</v>
      </c>
      <c r="Q123" s="135">
        <f t="shared" si="82"/>
        <v>4566232.6797708645</v>
      </c>
      <c r="R123" s="135">
        <f t="shared" si="82"/>
        <v>4588835.5315357288</v>
      </c>
      <c r="S123" s="135">
        <f t="shared" si="82"/>
        <v>4611550.267416832</v>
      </c>
      <c r="T123" s="135">
        <f t="shared" si="82"/>
        <v>4634377.4412405454</v>
      </c>
      <c r="U123" s="135">
        <f t="shared" si="82"/>
        <v>4657317.6095746867</v>
      </c>
      <c r="V123" s="135">
        <f t="shared" si="82"/>
        <v>4680371.3317420799</v>
      </c>
      <c r="W123" s="135">
        <f t="shared" si="82"/>
        <v>4703539.169834204</v>
      </c>
      <c r="X123" s="135">
        <f t="shared" si="82"/>
        <v>4726821.6887248829</v>
      </c>
      <c r="Y123" s="135">
        <f t="shared" si="82"/>
        <v>4750219.4560840726</v>
      </c>
      <c r="Z123" s="135">
        <f t="shared" si="82"/>
        <v>4773733.0423916867</v>
      </c>
      <c r="AA123" s="135">
        <f t="shared" si="82"/>
        <v>4797363.0209515281</v>
      </c>
      <c r="AB123" s="135">
        <f t="shared" si="82"/>
        <v>4821109.9679052383</v>
      </c>
      <c r="AC123" s="135">
        <f t="shared" si="82"/>
        <v>4844974.4622463686</v>
      </c>
      <c r="AD123" s="135">
        <f t="shared" si="82"/>
        <v>4868957.0858344864</v>
      </c>
      <c r="AE123" s="135">
        <f t="shared" si="82"/>
        <v>4893058.4234093679</v>
      </c>
      <c r="AF123" s="135">
        <f t="shared" si="82"/>
        <v>4917279.062605246</v>
      </c>
      <c r="AG123" s="135">
        <f t="shared" si="82"/>
        <v>4941619.593965142</v>
      </c>
      <c r="AH123" s="135">
        <f t="shared" si="82"/>
        <v>4966080.6109552672</v>
      </c>
      <c r="AI123" s="135">
        <f t="shared" si="82"/>
        <v>4990662.7099794969</v>
      </c>
      <c r="AJ123" s="135">
        <f t="shared" si="82"/>
        <v>5015366.4903938957</v>
      </c>
      <c r="AK123" s="135">
        <f t="shared" si="82"/>
        <v>5040192.5545213455</v>
      </c>
      <c r="AL123" s="135">
        <f t="shared" si="82"/>
        <v>5065141.5076662255</v>
      </c>
      <c r="AM123" s="135">
        <f t="shared" si="82"/>
        <v>5090213.9581291731</v>
      </c>
      <c r="AN123" s="135">
        <f t="shared" si="82"/>
        <v>5115410.5172219137</v>
      </c>
      <c r="AO123" s="135">
        <f t="shared" si="82"/>
        <v>5140731.7992821625</v>
      </c>
      <c r="AP123" s="135">
        <f t="shared" si="82"/>
        <v>5166178.4216886088</v>
      </c>
    </row>
    <row r="124" spans="1:42" x14ac:dyDescent="0.2">
      <c r="A124" s="163" t="s">
        <v>119</v>
      </c>
      <c r="B124" s="179">
        <f>SUM(C124:AP124)</f>
        <v>588224217.44537127</v>
      </c>
      <c r="C124" s="135">
        <f t="shared" ref="C124:AP124" si="83">C5</f>
        <v>16188480</v>
      </c>
      <c r="D124" s="135">
        <f t="shared" si="83"/>
        <v>16107537.6</v>
      </c>
      <c r="E124" s="135">
        <f t="shared" si="83"/>
        <v>16026999.912</v>
      </c>
      <c r="F124" s="135">
        <f t="shared" si="83"/>
        <v>15946864.91244</v>
      </c>
      <c r="G124" s="135">
        <f t="shared" si="83"/>
        <v>15867130.587877801</v>
      </c>
      <c r="H124" s="135">
        <f t="shared" si="83"/>
        <v>15787794.934938412</v>
      </c>
      <c r="I124" s="135">
        <f t="shared" si="83"/>
        <v>15708855.96026372</v>
      </c>
      <c r="J124" s="135">
        <f t="shared" si="83"/>
        <v>15630311.680462401</v>
      </c>
      <c r="K124" s="135">
        <f t="shared" si="83"/>
        <v>15552160.12206009</v>
      </c>
      <c r="L124" s="135">
        <f t="shared" si="83"/>
        <v>15474399.321449788</v>
      </c>
      <c r="M124" s="135">
        <f t="shared" si="83"/>
        <v>15397027.324842541</v>
      </c>
      <c r="N124" s="135">
        <f t="shared" si="83"/>
        <v>15320042.188218327</v>
      </c>
      <c r="O124" s="135">
        <f t="shared" si="83"/>
        <v>15243441.977277236</v>
      </c>
      <c r="P124" s="135">
        <f t="shared" si="83"/>
        <v>15167224.767390851</v>
      </c>
      <c r="Q124" s="135">
        <f t="shared" si="83"/>
        <v>15091388.643553898</v>
      </c>
      <c r="R124" s="135">
        <f t="shared" si="83"/>
        <v>15015931.700336127</v>
      </c>
      <c r="S124" s="135">
        <f t="shared" si="83"/>
        <v>14940852.041834446</v>
      </c>
      <c r="T124" s="135">
        <f t="shared" si="83"/>
        <v>14866147.781625275</v>
      </c>
      <c r="U124" s="135">
        <f t="shared" si="83"/>
        <v>14791817.042717148</v>
      </c>
      <c r="V124" s="135">
        <f t="shared" si="83"/>
        <v>14717857.957503561</v>
      </c>
      <c r="W124" s="135">
        <f t="shared" si="83"/>
        <v>14644268.667716045</v>
      </c>
      <c r="X124" s="135">
        <f t="shared" si="83"/>
        <v>14571047.324377464</v>
      </c>
      <c r="Y124" s="135">
        <f t="shared" si="83"/>
        <v>14498192.087755578</v>
      </c>
      <c r="Z124" s="135">
        <f t="shared" si="83"/>
        <v>14425701.127316799</v>
      </c>
      <c r="AA124" s="135">
        <f t="shared" si="83"/>
        <v>14353572.621680215</v>
      </c>
      <c r="AB124" s="135">
        <f t="shared" si="83"/>
        <v>14281804.758571815</v>
      </c>
      <c r="AC124" s="135">
        <f t="shared" si="83"/>
        <v>14210395.734778956</v>
      </c>
      <c r="AD124" s="135">
        <f t="shared" si="83"/>
        <v>14139343.75610506</v>
      </c>
      <c r="AE124" s="135">
        <f t="shared" si="83"/>
        <v>14068647.037324537</v>
      </c>
      <c r="AF124" s="135">
        <f t="shared" si="83"/>
        <v>13998303.802137915</v>
      </c>
      <c r="AG124" s="135">
        <f t="shared" si="83"/>
        <v>13928312.283127224</v>
      </c>
      <c r="AH124" s="135">
        <f t="shared" si="83"/>
        <v>13858670.721711587</v>
      </c>
      <c r="AI124" s="135">
        <f t="shared" si="83"/>
        <v>13789377.368103029</v>
      </c>
      <c r="AJ124" s="135">
        <f t="shared" si="83"/>
        <v>13720430.481262514</v>
      </c>
      <c r="AK124" s="135">
        <f t="shared" si="83"/>
        <v>13651828.328856202</v>
      </c>
      <c r="AL124" s="135">
        <f t="shared" si="83"/>
        <v>13583569.187211921</v>
      </c>
      <c r="AM124" s="135">
        <f t="shared" si="83"/>
        <v>13515651.341275861</v>
      </c>
      <c r="AN124" s="135">
        <f t="shared" si="83"/>
        <v>13448073.084569484</v>
      </c>
      <c r="AO124" s="135">
        <f t="shared" si="83"/>
        <v>13380832.719146635</v>
      </c>
      <c r="AP124" s="135">
        <f t="shared" si="83"/>
        <v>13313928.555550903</v>
      </c>
    </row>
    <row r="125" spans="1:42" x14ac:dyDescent="0.2">
      <c r="B125" s="135"/>
      <c r="C125" s="135"/>
      <c r="D125" s="135"/>
      <c r="E125" s="135"/>
      <c r="F125" s="135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</row>
    <row r="126" spans="1:42" x14ac:dyDescent="0.2">
      <c r="A126" s="20" t="s">
        <v>354</v>
      </c>
      <c r="B126" s="179">
        <f>NPV(DiscountRate,C123:AP123)</f>
        <v>53594346.574774936</v>
      </c>
      <c r="C126" s="135"/>
      <c r="D126" s="135"/>
      <c r="E126" s="135"/>
      <c r="F126" s="135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</row>
    <row r="127" spans="1:42" x14ac:dyDescent="0.2">
      <c r="A127" s="20" t="s">
        <v>355</v>
      </c>
      <c r="B127" s="179">
        <f>NPV(DiscountRate,C124:AP124)</f>
        <v>183278725.94683611</v>
      </c>
      <c r="C127" s="135"/>
      <c r="D127" s="135"/>
      <c r="E127" s="135"/>
      <c r="F127" s="135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</row>
    <row r="128" spans="1:42" x14ac:dyDescent="0.2">
      <c r="A128" s="20" t="s">
        <v>309</v>
      </c>
      <c r="B128" s="182">
        <f>B126/B127</f>
        <v>0.2924198992430857</v>
      </c>
      <c r="C128" s="135"/>
      <c r="D128" s="135"/>
      <c r="E128" s="135"/>
      <c r="F128" s="135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</row>
    <row r="129" spans="1:42" x14ac:dyDescent="0.2">
      <c r="B129" s="135"/>
      <c r="C129" s="135"/>
      <c r="D129" s="135"/>
      <c r="E129" s="135"/>
      <c r="F129" s="135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</row>
    <row r="130" spans="1:42" x14ac:dyDescent="0.2">
      <c r="A130" s="162" t="s">
        <v>111</v>
      </c>
    </row>
    <row r="131" spans="1:42" s="101" customFormat="1" x14ac:dyDescent="0.2">
      <c r="A131" s="178" t="s">
        <v>125</v>
      </c>
    </row>
    <row r="132" spans="1:42" s="101" customFormat="1" x14ac:dyDescent="0.2">
      <c r="A132" s="25" t="s">
        <v>112</v>
      </c>
      <c r="C132" s="181">
        <f t="shared" ref="C132:AP132" si="84">C43</f>
        <v>3486822.9809040418</v>
      </c>
      <c r="D132" s="181">
        <f t="shared" si="84"/>
        <v>3513467.6419480797</v>
      </c>
      <c r="E132" s="181">
        <f t="shared" si="84"/>
        <v>3540048.2521072086</v>
      </c>
      <c r="F132" s="181">
        <f t="shared" si="84"/>
        <v>3566561.9318006281</v>
      </c>
      <c r="G132" s="181">
        <f t="shared" si="84"/>
        <v>3593005.732983741</v>
      </c>
      <c r="H132" s="181">
        <f t="shared" si="84"/>
        <v>3619376.6376363281</v>
      </c>
      <c r="I132" s="181">
        <f t="shared" si="84"/>
        <v>3645671.5562174697</v>
      </c>
      <c r="J132" s="181">
        <f t="shared" si="84"/>
        <v>3671887.3260864457</v>
      </c>
      <c r="K132" s="181">
        <f t="shared" si="84"/>
        <v>3698020.7098888964</v>
      </c>
      <c r="L132" s="181">
        <f t="shared" si="84"/>
        <v>3724068.3939074203</v>
      </c>
      <c r="M132" s="181">
        <f t="shared" si="84"/>
        <v>3750026.9863758902</v>
      </c>
      <c r="N132" s="181">
        <f t="shared" si="84"/>
        <v>3775893.0157566071</v>
      </c>
      <c r="O132" s="181">
        <f t="shared" si="84"/>
        <v>3801662.9289795342</v>
      </c>
      <c r="P132" s="181">
        <f t="shared" si="84"/>
        <v>3827333.0896427091</v>
      </c>
      <c r="Q132" s="181">
        <f t="shared" si="84"/>
        <v>3852899.7761730291</v>
      </c>
      <c r="R132" s="181">
        <f t="shared" si="84"/>
        <v>3878359.1799464766</v>
      </c>
      <c r="S132" s="181">
        <f t="shared" si="84"/>
        <v>3903707.4033669368</v>
      </c>
      <c r="T132" s="181">
        <f t="shared" si="84"/>
        <v>3928940.4579026238</v>
      </c>
      <c r="U132" s="181">
        <f t="shared" si="84"/>
        <v>3954054.2620792459</v>
      </c>
      <c r="V132" s="181">
        <f t="shared" si="84"/>
        <v>3979044.6394288819</v>
      </c>
      <c r="W132" s="181">
        <f t="shared" si="84"/>
        <v>4003907.3163936422</v>
      </c>
      <c r="X132" s="181">
        <f t="shared" si="84"/>
        <v>4014306.9979955456</v>
      </c>
      <c r="Y132" s="181">
        <f t="shared" si="84"/>
        <v>4024570.1322091571</v>
      </c>
      <c r="Z132" s="181">
        <f t="shared" si="84"/>
        <v>4034692.1411608588</v>
      </c>
      <c r="AA132" s="181">
        <f t="shared" si="84"/>
        <v>4044668.341028763</v>
      </c>
      <c r="AB132" s="181">
        <f t="shared" si="84"/>
        <v>4054493.9397045625</v>
      </c>
      <c r="AC132" s="181">
        <f t="shared" si="84"/>
        <v>4064164.0344038149</v>
      </c>
      <c r="AD132" s="181">
        <f t="shared" si="84"/>
        <v>4073673.6092234091</v>
      </c>
      <c r="AE132" s="181">
        <f t="shared" si="84"/>
        <v>4083017.5326451086</v>
      </c>
      <c r="AF132" s="181">
        <f t="shared" si="84"/>
        <v>4092190.5549839181</v>
      </c>
      <c r="AG132" s="181">
        <f t="shared" si="84"/>
        <v>4101187.3057800923</v>
      </c>
      <c r="AH132" s="181">
        <f t="shared" si="84"/>
        <v>4110002.2911335053</v>
      </c>
      <c r="AI132" s="181">
        <f t="shared" si="84"/>
        <v>4118629.8909791075</v>
      </c>
      <c r="AJ132" s="181">
        <f t="shared" si="84"/>
        <v>4127064.3563021263</v>
      </c>
      <c r="AK132" s="181">
        <f t="shared" si="84"/>
        <v>4135299.806291732</v>
      </c>
      <c r="AL132" s="181">
        <f t="shared" si="84"/>
        <v>4143330.2254317375</v>
      </c>
      <c r="AM132" s="181">
        <f t="shared" si="84"/>
        <v>4151149.4605269581</v>
      </c>
      <c r="AN132" s="181">
        <f t="shared" si="84"/>
        <v>4158751.2176637892</v>
      </c>
      <c r="AO132" s="181">
        <f t="shared" si="84"/>
        <v>4166129.0591035369</v>
      </c>
      <c r="AP132" s="181">
        <f t="shared" si="84"/>
        <v>8195991.4001070075</v>
      </c>
    </row>
    <row r="133" spans="1:42" s="101" customFormat="1" x14ac:dyDescent="0.2">
      <c r="A133" s="25" t="s">
        <v>121</v>
      </c>
      <c r="C133" s="181">
        <f t="shared" ref="C133:AP133" si="85">C701</f>
        <v>27785.305345268542</v>
      </c>
      <c r="D133" s="181">
        <f t="shared" si="85"/>
        <v>32204.031760477119</v>
      </c>
      <c r="E133" s="181">
        <f t="shared" si="85"/>
        <v>36623.817072169513</v>
      </c>
      <c r="F133" s="181">
        <f t="shared" si="85"/>
        <v>41044.672335027615</v>
      </c>
      <c r="G133" s="181">
        <f t="shared" si="85"/>
        <v>45466.608781430121</v>
      </c>
      <c r="H133" s="181">
        <f t="shared" si="85"/>
        <v>49889.637824992889</v>
      </c>
      <c r="I133" s="181">
        <f t="shared" si="85"/>
        <v>54313.771064185363</v>
      </c>
      <c r="J133" s="181">
        <f t="shared" si="85"/>
        <v>58739.020286024672</v>
      </c>
      <c r="K133" s="181">
        <f t="shared" si="85"/>
        <v>63165.397469849202</v>
      </c>
      <c r="L133" s="181">
        <f t="shared" si="85"/>
        <v>67592.914791173142</v>
      </c>
      <c r="M133" s="181">
        <f t="shared" si="85"/>
        <v>72021.584625624266</v>
      </c>
      <c r="N133" s="181">
        <f t="shared" si="85"/>
        <v>76451.41955296621</v>
      </c>
      <c r="O133" s="181">
        <f t="shared" si="85"/>
        <v>29036.017136881917</v>
      </c>
      <c r="P133" s="181">
        <f t="shared" si="85"/>
        <v>11403.279000766337</v>
      </c>
      <c r="Q133" s="181">
        <f t="shared" si="85"/>
        <v>16511.079658844716</v>
      </c>
      <c r="R133" s="181">
        <f t="shared" si="85"/>
        <v>21620.793204951438</v>
      </c>
      <c r="S133" s="181">
        <f t="shared" si="85"/>
        <v>26732.458565163892</v>
      </c>
      <c r="T133" s="181">
        <f t="shared" si="85"/>
        <v>31846.115485115948</v>
      </c>
      <c r="U133" s="181">
        <f t="shared" si="85"/>
        <v>36961.804547676074</v>
      </c>
      <c r="V133" s="181">
        <f t="shared" si="85"/>
        <v>42079.567191013273</v>
      </c>
      <c r="W133" s="181">
        <f t="shared" si="85"/>
        <v>47199.445727059538</v>
      </c>
      <c r="X133" s="181">
        <f t="shared" si="85"/>
        <v>52446.878929518141</v>
      </c>
      <c r="Y133" s="181">
        <f t="shared" si="85"/>
        <v>57696.515345723783</v>
      </c>
      <c r="Z133" s="181">
        <f t="shared" si="85"/>
        <v>62948.400023769842</v>
      </c>
      <c r="AA133" s="181">
        <f t="shared" si="85"/>
        <v>6586.0784493241936</v>
      </c>
      <c r="AB133" s="181">
        <f t="shared" si="85"/>
        <v>12847.040886474646</v>
      </c>
      <c r="AC133" s="181">
        <f t="shared" si="85"/>
        <v>19110.392523059818</v>
      </c>
      <c r="AD133" s="181">
        <f t="shared" si="85"/>
        <v>25376.182339503135</v>
      </c>
      <c r="AE133" s="181">
        <f t="shared" si="85"/>
        <v>31644.460353062212</v>
      </c>
      <c r="AF133" s="181">
        <f t="shared" si="85"/>
        <v>37915.277640280299</v>
      </c>
      <c r="AG133" s="181">
        <f t="shared" si="85"/>
        <v>44188.686359931598</v>
      </c>
      <c r="AH133" s="181">
        <f t="shared" si="85"/>
        <v>50464.739776471564</v>
      </c>
      <c r="AI133" s="181">
        <f t="shared" si="85"/>
        <v>56743.492284003289</v>
      </c>
      <c r="AJ133" s="181">
        <f t="shared" si="85"/>
        <v>63024.999430771604</v>
      </c>
      <c r="AK133" s="181">
        <f t="shared" si="85"/>
        <v>69309.317944196475</v>
      </c>
      <c r="AL133" s="181">
        <f t="shared" si="85"/>
        <v>75596.50575645786</v>
      </c>
      <c r="AM133" s="181">
        <f t="shared" si="85"/>
        <v>8216.8143540193832</v>
      </c>
      <c r="AN133" s="181">
        <f t="shared" si="85"/>
        <v>8370.7688711335886</v>
      </c>
      <c r="AO133" s="181">
        <f t="shared" si="85"/>
        <v>8527.773976562974</v>
      </c>
      <c r="AP133" s="181">
        <f t="shared" si="85"/>
        <v>8687.8926888390088</v>
      </c>
    </row>
    <row r="134" spans="1:42" s="101" customFormat="1" x14ac:dyDescent="0.2">
      <c r="A134" s="25" t="s">
        <v>113</v>
      </c>
      <c r="C134" s="181">
        <f>-C538</f>
        <v>-1630990.3450276775</v>
      </c>
      <c r="D134" s="181">
        <f t="shared" ref="D134:AP134" si="86">-D538</f>
        <v>-1565535.3088411714</v>
      </c>
      <c r="E134" s="181">
        <f t="shared" si="86"/>
        <v>-1492838.967772336</v>
      </c>
      <c r="F134" s="181">
        <f t="shared" si="86"/>
        <v>-1412289.8437396672</v>
      </c>
      <c r="G134" s="181">
        <f t="shared" si="86"/>
        <v>-1323224.6643316729</v>
      </c>
      <c r="H134" s="181">
        <f t="shared" si="86"/>
        <v>-1224923.9645995069</v>
      </c>
      <c r="I134" s="181">
        <f t="shared" si="86"/>
        <v>-1116607.315097166</v>
      </c>
      <c r="J134" s="181">
        <f t="shared" si="86"/>
        <v>-997428.14440238755</v>
      </c>
      <c r="K134" s="181">
        <f t="shared" si="86"/>
        <v>-866468.12165124703</v>
      </c>
      <c r="L134" s="181">
        <f t="shared" si="86"/>
        <v>-722731.06168980908</v>
      </c>
      <c r="M134" s="181">
        <f t="shared" si="86"/>
        <v>-565136.31226751953</v>
      </c>
      <c r="N134" s="181">
        <f t="shared" si="86"/>
        <v>-392511.57924817252</v>
      </c>
      <c r="O134" s="181">
        <f t="shared" si="86"/>
        <v>-203585.14207228407</v>
      </c>
      <c r="P134" s="181">
        <f t="shared" si="86"/>
        <v>0</v>
      </c>
      <c r="Q134" s="181">
        <f t="shared" si="86"/>
        <v>0</v>
      </c>
      <c r="R134" s="181">
        <f t="shared" si="86"/>
        <v>0</v>
      </c>
      <c r="S134" s="181">
        <f t="shared" si="86"/>
        <v>0</v>
      </c>
      <c r="T134" s="181">
        <f t="shared" si="86"/>
        <v>0</v>
      </c>
      <c r="U134" s="181">
        <f t="shared" si="86"/>
        <v>0</v>
      </c>
      <c r="V134" s="181">
        <f t="shared" si="86"/>
        <v>0</v>
      </c>
      <c r="W134" s="181">
        <f t="shared" si="86"/>
        <v>0</v>
      </c>
      <c r="X134" s="181">
        <f t="shared" si="86"/>
        <v>0</v>
      </c>
      <c r="Y134" s="181">
        <f t="shared" si="86"/>
        <v>0</v>
      </c>
      <c r="Z134" s="181">
        <f t="shared" si="86"/>
        <v>0</v>
      </c>
      <c r="AA134" s="181">
        <f t="shared" si="86"/>
        <v>0</v>
      </c>
      <c r="AB134" s="181">
        <f t="shared" si="86"/>
        <v>0</v>
      </c>
      <c r="AC134" s="181">
        <f t="shared" si="86"/>
        <v>0</v>
      </c>
      <c r="AD134" s="181">
        <f t="shared" si="86"/>
        <v>0</v>
      </c>
      <c r="AE134" s="181">
        <f t="shared" si="86"/>
        <v>0</v>
      </c>
      <c r="AF134" s="181">
        <f t="shared" si="86"/>
        <v>0</v>
      </c>
      <c r="AG134" s="181">
        <f t="shared" si="86"/>
        <v>0</v>
      </c>
      <c r="AH134" s="181">
        <f t="shared" si="86"/>
        <v>0</v>
      </c>
      <c r="AI134" s="181">
        <f t="shared" si="86"/>
        <v>0</v>
      </c>
      <c r="AJ134" s="181">
        <f t="shared" si="86"/>
        <v>0</v>
      </c>
      <c r="AK134" s="181">
        <f t="shared" si="86"/>
        <v>0</v>
      </c>
      <c r="AL134" s="181">
        <f t="shared" si="86"/>
        <v>0</v>
      </c>
      <c r="AM134" s="181">
        <f t="shared" si="86"/>
        <v>0</v>
      </c>
      <c r="AN134" s="181">
        <f t="shared" si="86"/>
        <v>0</v>
      </c>
      <c r="AO134" s="181">
        <f t="shared" si="86"/>
        <v>0</v>
      </c>
      <c r="AP134" s="181">
        <f t="shared" si="86"/>
        <v>0</v>
      </c>
    </row>
    <row r="135" spans="1:42" s="25" customFormat="1" x14ac:dyDescent="0.2">
      <c r="A135" s="25" t="s">
        <v>116</v>
      </c>
      <c r="B135" s="101"/>
      <c r="C135" s="186">
        <f t="shared" ref="C135:AP135" si="87">IF(C$2&lt;=AnalysisPeriod,-C257-C287-C313-C339,0)</f>
        <v>-6813136.9995334353</v>
      </c>
      <c r="D135" s="186">
        <f t="shared" si="87"/>
        <v>-10937708.093195135</v>
      </c>
      <c r="E135" s="186">
        <f t="shared" si="87"/>
        <v>-6634839.8546779044</v>
      </c>
      <c r="F135" s="186">
        <f t="shared" si="87"/>
        <v>-4051276.0005055624</v>
      </c>
      <c r="G135" s="186">
        <f t="shared" si="87"/>
        <v>-4046207.9950850527</v>
      </c>
      <c r="H135" s="186">
        <f t="shared" si="87"/>
        <v>-2108123.7403794569</v>
      </c>
      <c r="I135" s="186">
        <f t="shared" si="87"/>
        <v>-172474.7610057937</v>
      </c>
      <c r="J135" s="186">
        <f t="shared" si="87"/>
        <v>-172365.06391876968</v>
      </c>
      <c r="K135" s="186">
        <f t="shared" si="87"/>
        <v>-172540.5792580081</v>
      </c>
      <c r="L135" s="186">
        <f t="shared" si="87"/>
        <v>-172365.06391876968</v>
      </c>
      <c r="M135" s="186">
        <f t="shared" si="87"/>
        <v>-172540.5792580081</v>
      </c>
      <c r="N135" s="186">
        <f t="shared" si="87"/>
        <v>-761339.53261903254</v>
      </c>
      <c r="O135" s="186">
        <f t="shared" si="87"/>
        <v>-1114899.7291784286</v>
      </c>
      <c r="P135" s="186">
        <f t="shared" si="87"/>
        <v>-737780.55387102207</v>
      </c>
      <c r="Q135" s="186">
        <f t="shared" si="87"/>
        <v>-511789.87322935945</v>
      </c>
      <c r="R135" s="186">
        <f t="shared" si="87"/>
        <v>-455668.84350787022</v>
      </c>
      <c r="S135" s="186">
        <f t="shared" si="87"/>
        <v>-230098.68213994376</v>
      </c>
      <c r="T135" s="186">
        <f t="shared" si="87"/>
        <v>-60474.035154268087</v>
      </c>
      <c r="U135" s="186">
        <f t="shared" si="87"/>
        <v>-60474.035154268087</v>
      </c>
      <c r="V135" s="186">
        <f t="shared" si="87"/>
        <v>-60474.035154268087</v>
      </c>
      <c r="W135" s="186">
        <f t="shared" si="87"/>
        <v>-33049.763398262789</v>
      </c>
      <c r="X135" s="186">
        <f t="shared" si="87"/>
        <v>-5625.4916422574952</v>
      </c>
      <c r="Y135" s="186">
        <f t="shared" si="87"/>
        <v>-5625.4916422574952</v>
      </c>
      <c r="Z135" s="186">
        <f t="shared" si="87"/>
        <v>-709814.06894719379</v>
      </c>
      <c r="AA135" s="186">
        <f t="shared" si="87"/>
        <v>-1132327.2153301553</v>
      </c>
      <c r="AB135" s="186">
        <f t="shared" si="87"/>
        <v>-681646.52585499629</v>
      </c>
      <c r="AC135" s="186">
        <f t="shared" si="87"/>
        <v>-411238.11216990073</v>
      </c>
      <c r="AD135" s="186">
        <f t="shared" si="87"/>
        <v>-411238.11216990073</v>
      </c>
      <c r="AE135" s="186">
        <f t="shared" si="87"/>
        <v>-208431.80190607911</v>
      </c>
      <c r="AF135" s="186">
        <f t="shared" si="87"/>
        <v>-5625.4916422574952</v>
      </c>
      <c r="AG135" s="186">
        <f t="shared" si="87"/>
        <v>-5625.4916422574952</v>
      </c>
      <c r="AH135" s="186">
        <f t="shared" si="87"/>
        <v>-5625.4916422574952</v>
      </c>
      <c r="AI135" s="186">
        <f t="shared" si="87"/>
        <v>-5625.4916422574952</v>
      </c>
      <c r="AJ135" s="186">
        <f t="shared" si="87"/>
        <v>-5625.4916422574952</v>
      </c>
      <c r="AK135" s="186">
        <f t="shared" si="87"/>
        <v>-5625.4916422574952</v>
      </c>
      <c r="AL135" s="186">
        <f t="shared" si="87"/>
        <v>-847566.15080368414</v>
      </c>
      <c r="AM135" s="186">
        <f t="shared" si="87"/>
        <v>-1352730.5463005397</v>
      </c>
      <c r="AN135" s="186">
        <f t="shared" si="87"/>
        <v>-813888.52443722705</v>
      </c>
      <c r="AO135" s="186">
        <f t="shared" si="87"/>
        <v>-490583.31131923915</v>
      </c>
      <c r="AP135" s="186">
        <f t="shared" si="87"/>
        <v>-487770.56549811037</v>
      </c>
    </row>
    <row r="136" spans="1:42" s="101" customFormat="1" x14ac:dyDescent="0.2">
      <c r="A136" s="25" t="s">
        <v>114</v>
      </c>
      <c r="C136" s="181">
        <f t="shared" ref="C136:AP136" si="88">SUM(C132:C135)</f>
        <v>-4929519.0583118023</v>
      </c>
      <c r="D136" s="181">
        <f t="shared" si="88"/>
        <v>-8957571.7283277493</v>
      </c>
      <c r="E136" s="181">
        <f t="shared" si="88"/>
        <v>-4551006.7532708626</v>
      </c>
      <c r="F136" s="181">
        <f t="shared" si="88"/>
        <v>-1855959.2401095736</v>
      </c>
      <c r="G136" s="181">
        <f t="shared" si="88"/>
        <v>-1730960.3176515545</v>
      </c>
      <c r="H136" s="181">
        <f t="shared" si="88"/>
        <v>336218.57048235741</v>
      </c>
      <c r="I136" s="181">
        <f t="shared" si="88"/>
        <v>2410903.2511786958</v>
      </c>
      <c r="J136" s="181">
        <f t="shared" si="88"/>
        <v>2560833.1380513129</v>
      </c>
      <c r="K136" s="181">
        <f t="shared" si="88"/>
        <v>2722177.4064494907</v>
      </c>
      <c r="L136" s="181">
        <f t="shared" si="88"/>
        <v>2896565.1830900148</v>
      </c>
      <c r="M136" s="181">
        <f t="shared" si="88"/>
        <v>3084371.6794759869</v>
      </c>
      <c r="N136" s="181">
        <f t="shared" si="88"/>
        <v>2698493.3234423678</v>
      </c>
      <c r="O136" s="181">
        <f t="shared" si="88"/>
        <v>2512214.0748657035</v>
      </c>
      <c r="P136" s="181">
        <f t="shared" si="88"/>
        <v>3100955.8147724532</v>
      </c>
      <c r="Q136" s="181">
        <f t="shared" si="88"/>
        <v>3357620.9826025143</v>
      </c>
      <c r="R136" s="181">
        <f t="shared" si="88"/>
        <v>3444311.1296435581</v>
      </c>
      <c r="S136" s="181">
        <f t="shared" si="88"/>
        <v>3700341.1797921569</v>
      </c>
      <c r="T136" s="181">
        <f t="shared" si="88"/>
        <v>3900312.5382334716</v>
      </c>
      <c r="U136" s="181">
        <f t="shared" si="88"/>
        <v>3930542.0314726536</v>
      </c>
      <c r="V136" s="181">
        <f t="shared" si="88"/>
        <v>3960650.1714656269</v>
      </c>
      <c r="W136" s="181">
        <f t="shared" si="88"/>
        <v>4018056.9987224392</v>
      </c>
      <c r="X136" s="181">
        <f t="shared" si="88"/>
        <v>4061128.3852828061</v>
      </c>
      <c r="Y136" s="181">
        <f t="shared" si="88"/>
        <v>4076641.1559126233</v>
      </c>
      <c r="Z136" s="181">
        <f t="shared" si="88"/>
        <v>3387826.4722374352</v>
      </c>
      <c r="AA136" s="181">
        <f t="shared" si="88"/>
        <v>2918927.2041479321</v>
      </c>
      <c r="AB136" s="181">
        <f t="shared" si="88"/>
        <v>3385694.4547360409</v>
      </c>
      <c r="AC136" s="181">
        <f t="shared" si="88"/>
        <v>3672036.3147569736</v>
      </c>
      <c r="AD136" s="181">
        <f t="shared" si="88"/>
        <v>3687811.6793930111</v>
      </c>
      <c r="AE136" s="181">
        <f t="shared" si="88"/>
        <v>3906230.1910920916</v>
      </c>
      <c r="AF136" s="181">
        <f t="shared" si="88"/>
        <v>4124480.3409819407</v>
      </c>
      <c r="AG136" s="181">
        <f t="shared" si="88"/>
        <v>4139750.5004977663</v>
      </c>
      <c r="AH136" s="181">
        <f t="shared" si="88"/>
        <v>4154841.5392677193</v>
      </c>
      <c r="AI136" s="181">
        <f t="shared" si="88"/>
        <v>4169747.891620853</v>
      </c>
      <c r="AJ136" s="181">
        <f t="shared" si="88"/>
        <v>4184463.8640906401</v>
      </c>
      <c r="AK136" s="181">
        <f t="shared" si="88"/>
        <v>4198983.6325936709</v>
      </c>
      <c r="AL136" s="181">
        <f t="shared" si="88"/>
        <v>3371360.5803845115</v>
      </c>
      <c r="AM136" s="181">
        <f t="shared" si="88"/>
        <v>2806635.7285804376</v>
      </c>
      <c r="AN136" s="181">
        <f t="shared" si="88"/>
        <v>3353233.462097696</v>
      </c>
      <c r="AO136" s="181">
        <f t="shared" si="88"/>
        <v>3684073.5217608609</v>
      </c>
      <c r="AP136" s="181">
        <f t="shared" si="88"/>
        <v>7716908.7272977363</v>
      </c>
    </row>
    <row r="137" spans="1:42" s="101" customFormat="1" x14ac:dyDescent="0.2">
      <c r="A137" s="25" t="str">
        <f>'Inputs &amp; Results'!A53</f>
        <v>Investment Based Incentive (IBI)</v>
      </c>
    </row>
    <row r="138" spans="1:42" s="101" customFormat="1" x14ac:dyDescent="0.2">
      <c r="A138" s="187" t="str">
        <f>'Inputs &amp; Results'!A54</f>
        <v>Fixed Amount ($)</v>
      </c>
    </row>
    <row r="139" spans="1:42" s="101" customFormat="1" x14ac:dyDescent="0.2">
      <c r="A139" s="188" t="str">
        <f>'Inputs &amp; Results'!A55</f>
        <v>Federal</v>
      </c>
      <c r="C139" s="181">
        <f>IF(IBIFedFixedStateTax="Yes",C491,0)</f>
        <v>0</v>
      </c>
    </row>
    <row r="140" spans="1:42" s="101" customFormat="1" x14ac:dyDescent="0.2">
      <c r="A140" s="188" t="str">
        <f>'Inputs &amp; Results'!A56</f>
        <v>State</v>
      </c>
      <c r="C140" s="181">
        <f>IF(IBIStateFixedStateTax="Yes",C492,0)</f>
        <v>0</v>
      </c>
    </row>
    <row r="141" spans="1:42" s="101" customFormat="1" x14ac:dyDescent="0.2">
      <c r="A141" s="188" t="str">
        <f>'Inputs &amp; Results'!A57</f>
        <v>Utility</v>
      </c>
      <c r="C141" s="181">
        <f>IF(IBIUtilityFixedStateTax="Yes",C493,0)</f>
        <v>0</v>
      </c>
    </row>
    <row r="142" spans="1:42" x14ac:dyDescent="0.2">
      <c r="A142" s="188" t="str">
        <f>'Inputs &amp; Results'!A58</f>
        <v>Other</v>
      </c>
      <c r="C142" s="186">
        <f>IF(IBIOtherFixedStateTax="Yes",C494,0)</f>
        <v>0</v>
      </c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</row>
    <row r="143" spans="1:42" x14ac:dyDescent="0.2">
      <c r="A143" s="188" t="s">
        <v>53</v>
      </c>
      <c r="C143" s="169">
        <f>SUM(C139:C142)</f>
        <v>0</v>
      </c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</row>
    <row r="144" spans="1:42" x14ac:dyDescent="0.2">
      <c r="A144" s="187" t="str">
        <f>'Inputs &amp; Results'!A59</f>
        <v>Percentage of Pre-Financing Costs</v>
      </c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</row>
    <row r="145" spans="1:42" x14ac:dyDescent="0.2">
      <c r="A145" s="188" t="str">
        <f>'Inputs &amp; Results'!A60</f>
        <v>Federal</v>
      </c>
      <c r="C145" s="181">
        <f>IF(IBIFedPercentStateTax="Yes",C497,0)</f>
        <v>0</v>
      </c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</row>
    <row r="146" spans="1:42" x14ac:dyDescent="0.2">
      <c r="A146" s="188" t="str">
        <f>'Inputs &amp; Results'!A61</f>
        <v>State</v>
      </c>
      <c r="C146" s="181">
        <f>IF(IBIStatePercentStateTax="Yes",C498,0)</f>
        <v>0</v>
      </c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</row>
    <row r="147" spans="1:42" x14ac:dyDescent="0.2">
      <c r="A147" s="188" t="str">
        <f>'Inputs &amp; Results'!A62</f>
        <v>Utility</v>
      </c>
      <c r="C147" s="181">
        <f>IF(IBIUtilityPercentStateTax="Yes",C499,0)</f>
        <v>0</v>
      </c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</row>
    <row r="148" spans="1:42" x14ac:dyDescent="0.2">
      <c r="A148" s="188" t="str">
        <f>'Inputs &amp; Results'!A63</f>
        <v>Other</v>
      </c>
      <c r="C148" s="186">
        <f>IF(IBIOtherPercentStateTax="Yes",C500,0)</f>
        <v>0</v>
      </c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</row>
    <row r="149" spans="1:42" x14ac:dyDescent="0.2">
      <c r="A149" s="188" t="s">
        <v>53</v>
      </c>
      <c r="C149" s="169">
        <f>SUM(C145:C148)</f>
        <v>0</v>
      </c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</row>
    <row r="150" spans="1:42" x14ac:dyDescent="0.2">
      <c r="A150" s="180" t="str">
        <f>'Inputs &amp; Results'!A64</f>
        <v>Capacity Based Incentive (CBI) ($/DC-Watt)</v>
      </c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</row>
    <row r="151" spans="1:42" x14ac:dyDescent="0.2">
      <c r="A151" s="187" t="str">
        <f>'Inputs &amp; Results'!A65</f>
        <v>Federal</v>
      </c>
      <c r="C151" s="124">
        <f>IF(CBIFedStateTax="Yes",C503,0)</f>
        <v>0</v>
      </c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</row>
    <row r="152" spans="1:42" x14ac:dyDescent="0.2">
      <c r="A152" s="187" t="str">
        <f>'Inputs &amp; Results'!A66</f>
        <v>State</v>
      </c>
      <c r="C152" s="124">
        <f>IF(CBIStateStateTax="Yes",C504,0)</f>
        <v>0</v>
      </c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</row>
    <row r="153" spans="1:42" x14ac:dyDescent="0.2">
      <c r="A153" s="187" t="str">
        <f>'Inputs &amp; Results'!A67</f>
        <v>Utility</v>
      </c>
      <c r="C153" s="124">
        <f>IF(CBIUtilityStateTax="Yes",C505,0)</f>
        <v>0</v>
      </c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</row>
    <row r="154" spans="1:42" x14ac:dyDescent="0.2">
      <c r="A154" s="187" t="str">
        <f>'Inputs &amp; Results'!A68</f>
        <v>Other</v>
      </c>
      <c r="C154" s="186">
        <f>IF(CBIOtherStateTax="Yes",C506,0)</f>
        <v>0</v>
      </c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</row>
    <row r="155" spans="1:42" x14ac:dyDescent="0.2">
      <c r="A155" s="187" t="s">
        <v>53</v>
      </c>
      <c r="C155" s="169">
        <f>SUM(C151:C154)</f>
        <v>0</v>
      </c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</row>
    <row r="156" spans="1:42" x14ac:dyDescent="0.2">
      <c r="A156" s="180" t="str">
        <f>'Inputs &amp; Results'!A71</f>
        <v>Production Based Incentive (PBI) ($/kWh)</v>
      </c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</row>
    <row r="157" spans="1:42" x14ac:dyDescent="0.2">
      <c r="A157" s="187" t="str">
        <f>'Inputs &amp; Results'!A72</f>
        <v>Federal</v>
      </c>
      <c r="C157" s="124">
        <f t="shared" ref="C157:AP157" si="89">IF(AND(PBIFedStateTax="Yes",PBIFedDebtSwitch="No"),C513,0)</f>
        <v>0</v>
      </c>
      <c r="D157" s="124">
        <f t="shared" si="89"/>
        <v>0</v>
      </c>
      <c r="E157" s="124">
        <f t="shared" si="89"/>
        <v>0</v>
      </c>
      <c r="F157" s="124">
        <f t="shared" si="89"/>
        <v>0</v>
      </c>
      <c r="G157" s="124">
        <f t="shared" si="89"/>
        <v>0</v>
      </c>
      <c r="H157" s="124">
        <f t="shared" si="89"/>
        <v>0</v>
      </c>
      <c r="I157" s="124">
        <f t="shared" si="89"/>
        <v>0</v>
      </c>
      <c r="J157" s="124">
        <f t="shared" si="89"/>
        <v>0</v>
      </c>
      <c r="K157" s="124">
        <f t="shared" si="89"/>
        <v>0</v>
      </c>
      <c r="L157" s="124">
        <f t="shared" si="89"/>
        <v>0</v>
      </c>
      <c r="M157" s="124">
        <f t="shared" si="89"/>
        <v>0</v>
      </c>
      <c r="N157" s="124">
        <f t="shared" si="89"/>
        <v>0</v>
      </c>
      <c r="O157" s="124">
        <f t="shared" si="89"/>
        <v>0</v>
      </c>
      <c r="P157" s="124">
        <f t="shared" si="89"/>
        <v>0</v>
      </c>
      <c r="Q157" s="124">
        <f t="shared" si="89"/>
        <v>0</v>
      </c>
      <c r="R157" s="124">
        <f t="shared" si="89"/>
        <v>0</v>
      </c>
      <c r="S157" s="124">
        <f t="shared" si="89"/>
        <v>0</v>
      </c>
      <c r="T157" s="124">
        <f t="shared" si="89"/>
        <v>0</v>
      </c>
      <c r="U157" s="124">
        <f t="shared" si="89"/>
        <v>0</v>
      </c>
      <c r="V157" s="124">
        <f t="shared" si="89"/>
        <v>0</v>
      </c>
      <c r="W157" s="124">
        <f t="shared" si="89"/>
        <v>0</v>
      </c>
      <c r="X157" s="124">
        <f t="shared" si="89"/>
        <v>0</v>
      </c>
      <c r="Y157" s="124">
        <f t="shared" si="89"/>
        <v>0</v>
      </c>
      <c r="Z157" s="124">
        <f t="shared" si="89"/>
        <v>0</v>
      </c>
      <c r="AA157" s="124">
        <f t="shared" si="89"/>
        <v>0</v>
      </c>
      <c r="AB157" s="124">
        <f t="shared" si="89"/>
        <v>0</v>
      </c>
      <c r="AC157" s="124">
        <f t="shared" si="89"/>
        <v>0</v>
      </c>
      <c r="AD157" s="124">
        <f t="shared" si="89"/>
        <v>0</v>
      </c>
      <c r="AE157" s="124">
        <f t="shared" si="89"/>
        <v>0</v>
      </c>
      <c r="AF157" s="124">
        <f t="shared" si="89"/>
        <v>0</v>
      </c>
      <c r="AG157" s="124">
        <f t="shared" si="89"/>
        <v>0</v>
      </c>
      <c r="AH157" s="124">
        <f t="shared" si="89"/>
        <v>0</v>
      </c>
      <c r="AI157" s="124">
        <f t="shared" si="89"/>
        <v>0</v>
      </c>
      <c r="AJ157" s="124">
        <f t="shared" si="89"/>
        <v>0</v>
      </c>
      <c r="AK157" s="124">
        <f t="shared" si="89"/>
        <v>0</v>
      </c>
      <c r="AL157" s="124">
        <f t="shared" si="89"/>
        <v>0</v>
      </c>
      <c r="AM157" s="124">
        <f t="shared" si="89"/>
        <v>0</v>
      </c>
      <c r="AN157" s="124">
        <f t="shared" si="89"/>
        <v>0</v>
      </c>
      <c r="AO157" s="124">
        <f t="shared" si="89"/>
        <v>0</v>
      </c>
      <c r="AP157" s="124">
        <f t="shared" si="89"/>
        <v>0</v>
      </c>
    </row>
    <row r="158" spans="1:42" x14ac:dyDescent="0.2">
      <c r="A158" s="187" t="str">
        <f>'Inputs &amp; Results'!A73</f>
        <v>State</v>
      </c>
      <c r="C158" s="124">
        <f t="shared" ref="C158:AP158" si="90">IF(AND(PBIStateStateTax="Yes",PBIStateDebtSwitch="No"),C517,0)</f>
        <v>0</v>
      </c>
      <c r="D158" s="124">
        <f t="shared" si="90"/>
        <v>0</v>
      </c>
      <c r="E158" s="124">
        <f t="shared" si="90"/>
        <v>0</v>
      </c>
      <c r="F158" s="124">
        <f t="shared" si="90"/>
        <v>0</v>
      </c>
      <c r="G158" s="124">
        <f t="shared" si="90"/>
        <v>0</v>
      </c>
      <c r="H158" s="124">
        <f t="shared" si="90"/>
        <v>0</v>
      </c>
      <c r="I158" s="124">
        <f t="shared" si="90"/>
        <v>0</v>
      </c>
      <c r="J158" s="124">
        <f t="shared" si="90"/>
        <v>0</v>
      </c>
      <c r="K158" s="124">
        <f t="shared" si="90"/>
        <v>0</v>
      </c>
      <c r="L158" s="124">
        <f t="shared" si="90"/>
        <v>0</v>
      </c>
      <c r="M158" s="124">
        <f t="shared" si="90"/>
        <v>0</v>
      </c>
      <c r="N158" s="124">
        <f t="shared" si="90"/>
        <v>0</v>
      </c>
      <c r="O158" s="124">
        <f t="shared" si="90"/>
        <v>0</v>
      </c>
      <c r="P158" s="124">
        <f t="shared" si="90"/>
        <v>0</v>
      </c>
      <c r="Q158" s="124">
        <f t="shared" si="90"/>
        <v>0</v>
      </c>
      <c r="R158" s="124">
        <f t="shared" si="90"/>
        <v>0</v>
      </c>
      <c r="S158" s="124">
        <f t="shared" si="90"/>
        <v>0</v>
      </c>
      <c r="T158" s="124">
        <f t="shared" si="90"/>
        <v>0</v>
      </c>
      <c r="U158" s="124">
        <f t="shared" si="90"/>
        <v>0</v>
      </c>
      <c r="V158" s="124">
        <f t="shared" si="90"/>
        <v>0</v>
      </c>
      <c r="W158" s="124">
        <f t="shared" si="90"/>
        <v>0</v>
      </c>
      <c r="X158" s="124">
        <f t="shared" si="90"/>
        <v>0</v>
      </c>
      <c r="Y158" s="124">
        <f t="shared" si="90"/>
        <v>0</v>
      </c>
      <c r="Z158" s="124">
        <f t="shared" si="90"/>
        <v>0</v>
      </c>
      <c r="AA158" s="124">
        <f t="shared" si="90"/>
        <v>0</v>
      </c>
      <c r="AB158" s="124">
        <f t="shared" si="90"/>
        <v>0</v>
      </c>
      <c r="AC158" s="124">
        <f t="shared" si="90"/>
        <v>0</v>
      </c>
      <c r="AD158" s="124">
        <f t="shared" si="90"/>
        <v>0</v>
      </c>
      <c r="AE158" s="124">
        <f t="shared" si="90"/>
        <v>0</v>
      </c>
      <c r="AF158" s="124">
        <f t="shared" si="90"/>
        <v>0</v>
      </c>
      <c r="AG158" s="124">
        <f t="shared" si="90"/>
        <v>0</v>
      </c>
      <c r="AH158" s="124">
        <f t="shared" si="90"/>
        <v>0</v>
      </c>
      <c r="AI158" s="124">
        <f t="shared" si="90"/>
        <v>0</v>
      </c>
      <c r="AJ158" s="124">
        <f t="shared" si="90"/>
        <v>0</v>
      </c>
      <c r="AK158" s="124">
        <f t="shared" si="90"/>
        <v>0</v>
      </c>
      <c r="AL158" s="124">
        <f t="shared" si="90"/>
        <v>0</v>
      </c>
      <c r="AM158" s="124">
        <f t="shared" si="90"/>
        <v>0</v>
      </c>
      <c r="AN158" s="124">
        <f t="shared" si="90"/>
        <v>0</v>
      </c>
      <c r="AO158" s="124">
        <f t="shared" si="90"/>
        <v>0</v>
      </c>
      <c r="AP158" s="124">
        <f t="shared" si="90"/>
        <v>0</v>
      </c>
    </row>
    <row r="159" spans="1:42" x14ac:dyDescent="0.2">
      <c r="A159" s="187" t="str">
        <f>'Inputs &amp; Results'!A74</f>
        <v>Utility</v>
      </c>
      <c r="C159" s="124">
        <f t="shared" ref="C159:AP159" si="91">IF(AND(PBIUtilityStateTax="Yes",PBIUtilityDebtSwitch="No"),C521,0)</f>
        <v>0</v>
      </c>
      <c r="D159" s="124">
        <f t="shared" si="91"/>
        <v>0</v>
      </c>
      <c r="E159" s="124">
        <f t="shared" si="91"/>
        <v>0</v>
      </c>
      <c r="F159" s="124">
        <f t="shared" si="91"/>
        <v>0</v>
      </c>
      <c r="G159" s="124">
        <f t="shared" si="91"/>
        <v>0</v>
      </c>
      <c r="H159" s="124">
        <f t="shared" si="91"/>
        <v>0</v>
      </c>
      <c r="I159" s="124">
        <f t="shared" si="91"/>
        <v>0</v>
      </c>
      <c r="J159" s="124">
        <f t="shared" si="91"/>
        <v>0</v>
      </c>
      <c r="K159" s="124">
        <f t="shared" si="91"/>
        <v>0</v>
      </c>
      <c r="L159" s="124">
        <f t="shared" si="91"/>
        <v>0</v>
      </c>
      <c r="M159" s="124">
        <f t="shared" si="91"/>
        <v>0</v>
      </c>
      <c r="N159" s="124">
        <f t="shared" si="91"/>
        <v>0</v>
      </c>
      <c r="O159" s="124">
        <f t="shared" si="91"/>
        <v>0</v>
      </c>
      <c r="P159" s="124">
        <f t="shared" si="91"/>
        <v>0</v>
      </c>
      <c r="Q159" s="124">
        <f t="shared" si="91"/>
        <v>0</v>
      </c>
      <c r="R159" s="124">
        <f t="shared" si="91"/>
        <v>0</v>
      </c>
      <c r="S159" s="124">
        <f t="shared" si="91"/>
        <v>0</v>
      </c>
      <c r="T159" s="124">
        <f t="shared" si="91"/>
        <v>0</v>
      </c>
      <c r="U159" s="124">
        <f t="shared" si="91"/>
        <v>0</v>
      </c>
      <c r="V159" s="124">
        <f t="shared" si="91"/>
        <v>0</v>
      </c>
      <c r="W159" s="124">
        <f t="shared" si="91"/>
        <v>0</v>
      </c>
      <c r="X159" s="124">
        <f t="shared" si="91"/>
        <v>0</v>
      </c>
      <c r="Y159" s="124">
        <f t="shared" si="91"/>
        <v>0</v>
      </c>
      <c r="Z159" s="124">
        <f t="shared" si="91"/>
        <v>0</v>
      </c>
      <c r="AA159" s="124">
        <f t="shared" si="91"/>
        <v>0</v>
      </c>
      <c r="AB159" s="124">
        <f t="shared" si="91"/>
        <v>0</v>
      </c>
      <c r="AC159" s="124">
        <f t="shared" si="91"/>
        <v>0</v>
      </c>
      <c r="AD159" s="124">
        <f t="shared" si="91"/>
        <v>0</v>
      </c>
      <c r="AE159" s="124">
        <f t="shared" si="91"/>
        <v>0</v>
      </c>
      <c r="AF159" s="124">
        <f t="shared" si="91"/>
        <v>0</v>
      </c>
      <c r="AG159" s="124">
        <f t="shared" si="91"/>
        <v>0</v>
      </c>
      <c r="AH159" s="124">
        <f t="shared" si="91"/>
        <v>0</v>
      </c>
      <c r="AI159" s="124">
        <f t="shared" si="91"/>
        <v>0</v>
      </c>
      <c r="AJ159" s="124">
        <f t="shared" si="91"/>
        <v>0</v>
      </c>
      <c r="AK159" s="124">
        <f t="shared" si="91"/>
        <v>0</v>
      </c>
      <c r="AL159" s="124">
        <f t="shared" si="91"/>
        <v>0</v>
      </c>
      <c r="AM159" s="124">
        <f t="shared" si="91"/>
        <v>0</v>
      </c>
      <c r="AN159" s="124">
        <f t="shared" si="91"/>
        <v>0</v>
      </c>
      <c r="AO159" s="124">
        <f t="shared" si="91"/>
        <v>0</v>
      </c>
      <c r="AP159" s="124">
        <f t="shared" si="91"/>
        <v>0</v>
      </c>
    </row>
    <row r="160" spans="1:42" x14ac:dyDescent="0.2">
      <c r="A160" s="187" t="str">
        <f>'Inputs &amp; Results'!A75</f>
        <v>Other</v>
      </c>
      <c r="C160" s="186">
        <f t="shared" ref="C160:AP160" si="92">IF(AND(PBIOtherStateTax="Yes",PBIOtherDebtSwitch="No"),C525,0)</f>
        <v>0</v>
      </c>
      <c r="D160" s="186">
        <f t="shared" si="92"/>
        <v>0</v>
      </c>
      <c r="E160" s="186">
        <f t="shared" si="92"/>
        <v>0</v>
      </c>
      <c r="F160" s="186">
        <f t="shared" si="92"/>
        <v>0</v>
      </c>
      <c r="G160" s="186">
        <f t="shared" si="92"/>
        <v>0</v>
      </c>
      <c r="H160" s="186">
        <f t="shared" si="92"/>
        <v>0</v>
      </c>
      <c r="I160" s="186">
        <f t="shared" si="92"/>
        <v>0</v>
      </c>
      <c r="J160" s="186">
        <f t="shared" si="92"/>
        <v>0</v>
      </c>
      <c r="K160" s="186">
        <f t="shared" si="92"/>
        <v>0</v>
      </c>
      <c r="L160" s="186">
        <f t="shared" si="92"/>
        <v>0</v>
      </c>
      <c r="M160" s="186">
        <f t="shared" si="92"/>
        <v>0</v>
      </c>
      <c r="N160" s="186">
        <f t="shared" si="92"/>
        <v>0</v>
      </c>
      <c r="O160" s="186">
        <f t="shared" si="92"/>
        <v>0</v>
      </c>
      <c r="P160" s="186">
        <f t="shared" si="92"/>
        <v>0</v>
      </c>
      <c r="Q160" s="186">
        <f t="shared" si="92"/>
        <v>0</v>
      </c>
      <c r="R160" s="186">
        <f t="shared" si="92"/>
        <v>0</v>
      </c>
      <c r="S160" s="186">
        <f t="shared" si="92"/>
        <v>0</v>
      </c>
      <c r="T160" s="186">
        <f t="shared" si="92"/>
        <v>0</v>
      </c>
      <c r="U160" s="186">
        <f t="shared" si="92"/>
        <v>0</v>
      </c>
      <c r="V160" s="186">
        <f t="shared" si="92"/>
        <v>0</v>
      </c>
      <c r="W160" s="186">
        <f t="shared" si="92"/>
        <v>0</v>
      </c>
      <c r="X160" s="186">
        <f t="shared" si="92"/>
        <v>0</v>
      </c>
      <c r="Y160" s="186">
        <f t="shared" si="92"/>
        <v>0</v>
      </c>
      <c r="Z160" s="186">
        <f t="shared" si="92"/>
        <v>0</v>
      </c>
      <c r="AA160" s="186">
        <f t="shared" si="92"/>
        <v>0</v>
      </c>
      <c r="AB160" s="186">
        <f t="shared" si="92"/>
        <v>0</v>
      </c>
      <c r="AC160" s="186">
        <f t="shared" si="92"/>
        <v>0</v>
      </c>
      <c r="AD160" s="186">
        <f t="shared" si="92"/>
        <v>0</v>
      </c>
      <c r="AE160" s="186">
        <f t="shared" si="92"/>
        <v>0</v>
      </c>
      <c r="AF160" s="186">
        <f t="shared" si="92"/>
        <v>0</v>
      </c>
      <c r="AG160" s="186">
        <f t="shared" si="92"/>
        <v>0</v>
      </c>
      <c r="AH160" s="186">
        <f t="shared" si="92"/>
        <v>0</v>
      </c>
      <c r="AI160" s="186">
        <f t="shared" si="92"/>
        <v>0</v>
      </c>
      <c r="AJ160" s="186">
        <f t="shared" si="92"/>
        <v>0</v>
      </c>
      <c r="AK160" s="186">
        <f t="shared" si="92"/>
        <v>0</v>
      </c>
      <c r="AL160" s="186">
        <f t="shared" si="92"/>
        <v>0</v>
      </c>
      <c r="AM160" s="186">
        <f t="shared" si="92"/>
        <v>0</v>
      </c>
      <c r="AN160" s="186">
        <f t="shared" si="92"/>
        <v>0</v>
      </c>
      <c r="AO160" s="186">
        <f t="shared" si="92"/>
        <v>0</v>
      </c>
      <c r="AP160" s="186">
        <f t="shared" si="92"/>
        <v>0</v>
      </c>
    </row>
    <row r="161" spans="1:42" x14ac:dyDescent="0.2">
      <c r="A161" s="187" t="s">
        <v>53</v>
      </c>
      <c r="C161" s="177">
        <f>SUM(C157:C160)</f>
        <v>0</v>
      </c>
      <c r="D161" s="177">
        <f t="shared" ref="D161:AL161" si="93">SUM(D157:D160)</f>
        <v>0</v>
      </c>
      <c r="E161" s="177">
        <f t="shared" si="93"/>
        <v>0</v>
      </c>
      <c r="F161" s="177">
        <f t="shared" si="93"/>
        <v>0</v>
      </c>
      <c r="G161" s="177">
        <f t="shared" si="93"/>
        <v>0</v>
      </c>
      <c r="H161" s="177">
        <f t="shared" si="93"/>
        <v>0</v>
      </c>
      <c r="I161" s="177">
        <f t="shared" si="93"/>
        <v>0</v>
      </c>
      <c r="J161" s="177">
        <f t="shared" si="93"/>
        <v>0</v>
      </c>
      <c r="K161" s="177">
        <f t="shared" si="93"/>
        <v>0</v>
      </c>
      <c r="L161" s="177">
        <f t="shared" si="93"/>
        <v>0</v>
      </c>
      <c r="M161" s="177">
        <f t="shared" si="93"/>
        <v>0</v>
      </c>
      <c r="N161" s="177">
        <f t="shared" si="93"/>
        <v>0</v>
      </c>
      <c r="O161" s="177">
        <f t="shared" si="93"/>
        <v>0</v>
      </c>
      <c r="P161" s="177">
        <f t="shared" si="93"/>
        <v>0</v>
      </c>
      <c r="Q161" s="177">
        <f t="shared" si="93"/>
        <v>0</v>
      </c>
      <c r="R161" s="177">
        <f t="shared" si="93"/>
        <v>0</v>
      </c>
      <c r="S161" s="177">
        <f t="shared" si="93"/>
        <v>0</v>
      </c>
      <c r="T161" s="177">
        <f t="shared" si="93"/>
        <v>0</v>
      </c>
      <c r="U161" s="177">
        <f t="shared" si="93"/>
        <v>0</v>
      </c>
      <c r="V161" s="177">
        <f t="shared" si="93"/>
        <v>0</v>
      </c>
      <c r="W161" s="177">
        <f t="shared" si="93"/>
        <v>0</v>
      </c>
      <c r="X161" s="177">
        <f t="shared" si="93"/>
        <v>0</v>
      </c>
      <c r="Y161" s="177">
        <f t="shared" si="93"/>
        <v>0</v>
      </c>
      <c r="Z161" s="177">
        <f t="shared" si="93"/>
        <v>0</v>
      </c>
      <c r="AA161" s="177">
        <f t="shared" si="93"/>
        <v>0</v>
      </c>
      <c r="AB161" s="177">
        <f t="shared" si="93"/>
        <v>0</v>
      </c>
      <c r="AC161" s="177">
        <f t="shared" si="93"/>
        <v>0</v>
      </c>
      <c r="AD161" s="177">
        <f t="shared" si="93"/>
        <v>0</v>
      </c>
      <c r="AE161" s="177">
        <f t="shared" si="93"/>
        <v>0</v>
      </c>
      <c r="AF161" s="177">
        <f t="shared" si="93"/>
        <v>0</v>
      </c>
      <c r="AG161" s="177">
        <f t="shared" si="93"/>
        <v>0</v>
      </c>
      <c r="AH161" s="177">
        <f t="shared" si="93"/>
        <v>0</v>
      </c>
      <c r="AI161" s="177">
        <f t="shared" si="93"/>
        <v>0</v>
      </c>
      <c r="AJ161" s="177">
        <f t="shared" si="93"/>
        <v>0</v>
      </c>
      <c r="AK161" s="177">
        <f t="shared" si="93"/>
        <v>0</v>
      </c>
      <c r="AL161" s="177">
        <f t="shared" si="93"/>
        <v>0</v>
      </c>
      <c r="AM161" s="177">
        <f>SUM(AM157:AM160)</f>
        <v>0</v>
      </c>
      <c r="AN161" s="177">
        <f t="shared" ref="AN161:AP161" si="94">SUM(AN157:AN160)</f>
        <v>0</v>
      </c>
      <c r="AO161" s="177">
        <f t="shared" si="94"/>
        <v>0</v>
      </c>
      <c r="AP161" s="177">
        <f t="shared" si="94"/>
        <v>0</v>
      </c>
    </row>
    <row r="162" spans="1:42" x14ac:dyDescent="0.2">
      <c r="A162" s="180" t="s">
        <v>123</v>
      </c>
      <c r="C162" s="169">
        <f>C143+C149+C155+C161</f>
        <v>0</v>
      </c>
      <c r="D162" s="169">
        <f t="shared" ref="D162:AP162" si="95">D143+D149+D155+D161</f>
        <v>0</v>
      </c>
      <c r="E162" s="169">
        <f t="shared" si="95"/>
        <v>0</v>
      </c>
      <c r="F162" s="169">
        <f t="shared" si="95"/>
        <v>0</v>
      </c>
      <c r="G162" s="169">
        <f t="shared" si="95"/>
        <v>0</v>
      </c>
      <c r="H162" s="169">
        <f t="shared" si="95"/>
        <v>0</v>
      </c>
      <c r="I162" s="169">
        <f t="shared" si="95"/>
        <v>0</v>
      </c>
      <c r="J162" s="169">
        <f t="shared" si="95"/>
        <v>0</v>
      </c>
      <c r="K162" s="169">
        <f t="shared" si="95"/>
        <v>0</v>
      </c>
      <c r="L162" s="169">
        <f t="shared" si="95"/>
        <v>0</v>
      </c>
      <c r="M162" s="169">
        <f t="shared" si="95"/>
        <v>0</v>
      </c>
      <c r="N162" s="169">
        <f t="shared" si="95"/>
        <v>0</v>
      </c>
      <c r="O162" s="169">
        <f t="shared" si="95"/>
        <v>0</v>
      </c>
      <c r="P162" s="169">
        <f t="shared" si="95"/>
        <v>0</v>
      </c>
      <c r="Q162" s="169">
        <f t="shared" si="95"/>
        <v>0</v>
      </c>
      <c r="R162" s="169">
        <f t="shared" si="95"/>
        <v>0</v>
      </c>
      <c r="S162" s="169">
        <f t="shared" si="95"/>
        <v>0</v>
      </c>
      <c r="T162" s="169">
        <f t="shared" si="95"/>
        <v>0</v>
      </c>
      <c r="U162" s="169">
        <f t="shared" si="95"/>
        <v>0</v>
      </c>
      <c r="V162" s="169">
        <f t="shared" si="95"/>
        <v>0</v>
      </c>
      <c r="W162" s="169">
        <f t="shared" si="95"/>
        <v>0</v>
      </c>
      <c r="X162" s="169">
        <f t="shared" si="95"/>
        <v>0</v>
      </c>
      <c r="Y162" s="169">
        <f t="shared" si="95"/>
        <v>0</v>
      </c>
      <c r="Z162" s="169">
        <f t="shared" si="95"/>
        <v>0</v>
      </c>
      <c r="AA162" s="169">
        <f t="shared" si="95"/>
        <v>0</v>
      </c>
      <c r="AB162" s="169">
        <f t="shared" si="95"/>
        <v>0</v>
      </c>
      <c r="AC162" s="169">
        <f t="shared" si="95"/>
        <v>0</v>
      </c>
      <c r="AD162" s="169">
        <f t="shared" si="95"/>
        <v>0</v>
      </c>
      <c r="AE162" s="169">
        <f t="shared" si="95"/>
        <v>0</v>
      </c>
      <c r="AF162" s="169">
        <f t="shared" si="95"/>
        <v>0</v>
      </c>
      <c r="AG162" s="169">
        <f t="shared" si="95"/>
        <v>0</v>
      </c>
      <c r="AH162" s="169">
        <f t="shared" si="95"/>
        <v>0</v>
      </c>
      <c r="AI162" s="169">
        <f t="shared" si="95"/>
        <v>0</v>
      </c>
      <c r="AJ162" s="169">
        <f t="shared" si="95"/>
        <v>0</v>
      </c>
      <c r="AK162" s="169">
        <f t="shared" si="95"/>
        <v>0</v>
      </c>
      <c r="AL162" s="169">
        <f t="shared" si="95"/>
        <v>0</v>
      </c>
      <c r="AM162" s="169">
        <f t="shared" si="95"/>
        <v>0</v>
      </c>
      <c r="AN162" s="169">
        <f t="shared" si="95"/>
        <v>0</v>
      </c>
      <c r="AO162" s="169">
        <f t="shared" si="95"/>
        <v>0</v>
      </c>
      <c r="AP162" s="169">
        <f t="shared" si="95"/>
        <v>0</v>
      </c>
    </row>
    <row r="163" spans="1:42" x14ac:dyDescent="0.2">
      <c r="A163" s="187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</row>
    <row r="164" spans="1:42" x14ac:dyDescent="0.2">
      <c r="A164" s="180" t="s">
        <v>124</v>
      </c>
      <c r="C164" s="169">
        <f>C136+C162</f>
        <v>-4929519.0583118023</v>
      </c>
      <c r="D164" s="169">
        <f t="shared" ref="D164:AP164" si="96">D136+D162</f>
        <v>-8957571.7283277493</v>
      </c>
      <c r="E164" s="169">
        <f t="shared" si="96"/>
        <v>-4551006.7532708626</v>
      </c>
      <c r="F164" s="169">
        <f t="shared" si="96"/>
        <v>-1855959.2401095736</v>
      </c>
      <c r="G164" s="169">
        <f t="shared" si="96"/>
        <v>-1730960.3176515545</v>
      </c>
      <c r="H164" s="169">
        <f t="shared" si="96"/>
        <v>336218.57048235741</v>
      </c>
      <c r="I164" s="169">
        <f t="shared" si="96"/>
        <v>2410903.2511786958</v>
      </c>
      <c r="J164" s="169">
        <f t="shared" si="96"/>
        <v>2560833.1380513129</v>
      </c>
      <c r="K164" s="169">
        <f t="shared" si="96"/>
        <v>2722177.4064494907</v>
      </c>
      <c r="L164" s="169">
        <f t="shared" si="96"/>
        <v>2896565.1830900148</v>
      </c>
      <c r="M164" s="169">
        <f t="shared" si="96"/>
        <v>3084371.6794759869</v>
      </c>
      <c r="N164" s="169">
        <f t="shared" si="96"/>
        <v>2698493.3234423678</v>
      </c>
      <c r="O164" s="169">
        <f t="shared" si="96"/>
        <v>2512214.0748657035</v>
      </c>
      <c r="P164" s="169">
        <f t="shared" si="96"/>
        <v>3100955.8147724532</v>
      </c>
      <c r="Q164" s="169">
        <f t="shared" si="96"/>
        <v>3357620.9826025143</v>
      </c>
      <c r="R164" s="169">
        <f t="shared" si="96"/>
        <v>3444311.1296435581</v>
      </c>
      <c r="S164" s="169">
        <f t="shared" si="96"/>
        <v>3700341.1797921569</v>
      </c>
      <c r="T164" s="169">
        <f t="shared" si="96"/>
        <v>3900312.5382334716</v>
      </c>
      <c r="U164" s="169">
        <f t="shared" si="96"/>
        <v>3930542.0314726536</v>
      </c>
      <c r="V164" s="169">
        <f t="shared" si="96"/>
        <v>3960650.1714656269</v>
      </c>
      <c r="W164" s="169">
        <f t="shared" si="96"/>
        <v>4018056.9987224392</v>
      </c>
      <c r="X164" s="169">
        <f t="shared" si="96"/>
        <v>4061128.3852828061</v>
      </c>
      <c r="Y164" s="169">
        <f t="shared" si="96"/>
        <v>4076641.1559126233</v>
      </c>
      <c r="Z164" s="169">
        <f t="shared" si="96"/>
        <v>3387826.4722374352</v>
      </c>
      <c r="AA164" s="169">
        <f t="shared" si="96"/>
        <v>2918927.2041479321</v>
      </c>
      <c r="AB164" s="169">
        <f t="shared" si="96"/>
        <v>3385694.4547360409</v>
      </c>
      <c r="AC164" s="169">
        <f t="shared" si="96"/>
        <v>3672036.3147569736</v>
      </c>
      <c r="AD164" s="169">
        <f t="shared" si="96"/>
        <v>3687811.6793930111</v>
      </c>
      <c r="AE164" s="169">
        <f t="shared" si="96"/>
        <v>3906230.1910920916</v>
      </c>
      <c r="AF164" s="169">
        <f t="shared" si="96"/>
        <v>4124480.3409819407</v>
      </c>
      <c r="AG164" s="169">
        <f t="shared" si="96"/>
        <v>4139750.5004977663</v>
      </c>
      <c r="AH164" s="169">
        <f t="shared" si="96"/>
        <v>4154841.5392677193</v>
      </c>
      <c r="AI164" s="169">
        <f t="shared" si="96"/>
        <v>4169747.891620853</v>
      </c>
      <c r="AJ164" s="169">
        <f t="shared" si="96"/>
        <v>4184463.8640906401</v>
      </c>
      <c r="AK164" s="169">
        <f t="shared" si="96"/>
        <v>4198983.6325936709</v>
      </c>
      <c r="AL164" s="169">
        <f t="shared" si="96"/>
        <v>3371360.5803845115</v>
      </c>
      <c r="AM164" s="169">
        <f t="shared" si="96"/>
        <v>2806635.7285804376</v>
      </c>
      <c r="AN164" s="169">
        <f t="shared" si="96"/>
        <v>3353233.462097696</v>
      </c>
      <c r="AO164" s="169">
        <f t="shared" si="96"/>
        <v>3684073.5217608609</v>
      </c>
      <c r="AP164" s="169">
        <f t="shared" si="96"/>
        <v>7716908.7272977363</v>
      </c>
    </row>
    <row r="165" spans="1:42" x14ac:dyDescent="0.2">
      <c r="A165" s="180" t="s">
        <v>122</v>
      </c>
      <c r="C165" s="177">
        <f t="shared" ref="C165:AP165" si="97">C164*-StateTax</f>
        <v>271123.54820714914</v>
      </c>
      <c r="D165" s="177">
        <f t="shared" si="97"/>
        <v>492666.44505802623</v>
      </c>
      <c r="E165" s="177">
        <f t="shared" si="97"/>
        <v>250305.37142989744</v>
      </c>
      <c r="F165" s="177">
        <f t="shared" si="97"/>
        <v>102077.75820602654</v>
      </c>
      <c r="G165" s="177">
        <f t="shared" si="97"/>
        <v>95202.817470835493</v>
      </c>
      <c r="H165" s="177">
        <f t="shared" si="97"/>
        <v>-18492.021376529658</v>
      </c>
      <c r="I165" s="177">
        <f t="shared" si="97"/>
        <v>-132599.67881482828</v>
      </c>
      <c r="J165" s="177">
        <f t="shared" si="97"/>
        <v>-140845.82259282222</v>
      </c>
      <c r="K165" s="177">
        <f t="shared" si="97"/>
        <v>-149719.75735472198</v>
      </c>
      <c r="L165" s="177">
        <f t="shared" si="97"/>
        <v>-159311.08506995082</v>
      </c>
      <c r="M165" s="177">
        <f t="shared" si="97"/>
        <v>-169640.44237117929</v>
      </c>
      <c r="N165" s="177">
        <f t="shared" si="97"/>
        <v>-148417.13278933024</v>
      </c>
      <c r="O165" s="177">
        <f t="shared" si="97"/>
        <v>-138171.77411761371</v>
      </c>
      <c r="P165" s="177">
        <f t="shared" si="97"/>
        <v>-170552.56981248493</v>
      </c>
      <c r="Q165" s="177">
        <f t="shared" si="97"/>
        <v>-184669.15404313829</v>
      </c>
      <c r="R165" s="177">
        <f t="shared" si="97"/>
        <v>-189437.11213039569</v>
      </c>
      <c r="S165" s="177">
        <f t="shared" si="97"/>
        <v>-203518.76488856864</v>
      </c>
      <c r="T165" s="177">
        <f t="shared" si="97"/>
        <v>-214517.18960284092</v>
      </c>
      <c r="U165" s="177">
        <f t="shared" si="97"/>
        <v>-216179.81173099595</v>
      </c>
      <c r="V165" s="177">
        <f t="shared" si="97"/>
        <v>-217835.75943060947</v>
      </c>
      <c r="W165" s="177">
        <f t="shared" si="97"/>
        <v>-220993.13492973417</v>
      </c>
      <c r="X165" s="177">
        <f t="shared" si="97"/>
        <v>-223362.06119055435</v>
      </c>
      <c r="Y165" s="177">
        <f t="shared" si="97"/>
        <v>-224215.26357519429</v>
      </c>
      <c r="Z165" s="177">
        <f t="shared" si="97"/>
        <v>-186330.45597305894</v>
      </c>
      <c r="AA165" s="177">
        <f t="shared" si="97"/>
        <v>-160540.99622813627</v>
      </c>
      <c r="AB165" s="177">
        <f t="shared" si="97"/>
        <v>-186213.19501048225</v>
      </c>
      <c r="AC165" s="177">
        <f t="shared" si="97"/>
        <v>-201961.99731163355</v>
      </c>
      <c r="AD165" s="177">
        <f t="shared" si="97"/>
        <v>-202829.64236661562</v>
      </c>
      <c r="AE165" s="177">
        <f t="shared" si="97"/>
        <v>-214842.66051006503</v>
      </c>
      <c r="AF165" s="177">
        <f t="shared" si="97"/>
        <v>-226846.41875400674</v>
      </c>
      <c r="AG165" s="177">
        <f t="shared" si="97"/>
        <v>-227686.27752737715</v>
      </c>
      <c r="AH165" s="177">
        <f t="shared" si="97"/>
        <v>-228516.28465972457</v>
      </c>
      <c r="AI165" s="177">
        <f t="shared" si="97"/>
        <v>-229336.13403914691</v>
      </c>
      <c r="AJ165" s="177">
        <f t="shared" si="97"/>
        <v>-230145.51252498521</v>
      </c>
      <c r="AK165" s="177">
        <f t="shared" si="97"/>
        <v>-230944.09979265189</v>
      </c>
      <c r="AL165" s="177">
        <f t="shared" si="97"/>
        <v>-185424.83192114814</v>
      </c>
      <c r="AM165" s="177">
        <f t="shared" si="97"/>
        <v>-154364.96507192406</v>
      </c>
      <c r="AN165" s="177">
        <f t="shared" si="97"/>
        <v>-184427.84041537327</v>
      </c>
      <c r="AO165" s="177">
        <f t="shared" si="97"/>
        <v>-202624.04369684737</v>
      </c>
      <c r="AP165" s="177">
        <f t="shared" si="97"/>
        <v>-424429.98000137549</v>
      </c>
    </row>
    <row r="166" spans="1:42" s="101" customFormat="1" x14ac:dyDescent="0.2">
      <c r="A166" s="25"/>
    </row>
    <row r="167" spans="1:42" s="101" customFormat="1" x14ac:dyDescent="0.2">
      <c r="A167" s="178" t="s">
        <v>115</v>
      </c>
    </row>
    <row r="168" spans="1:42" s="101" customFormat="1" x14ac:dyDescent="0.2">
      <c r="A168" s="25" t="s">
        <v>112</v>
      </c>
      <c r="C168" s="181">
        <f>C$43</f>
        <v>3486822.9809040418</v>
      </c>
      <c r="D168" s="181">
        <f t="shared" ref="D168:AP168" si="98">D$43</f>
        <v>3513467.6419480797</v>
      </c>
      <c r="E168" s="181">
        <f t="shared" si="98"/>
        <v>3540048.2521072086</v>
      </c>
      <c r="F168" s="181">
        <f t="shared" si="98"/>
        <v>3566561.9318006281</v>
      </c>
      <c r="G168" s="181">
        <f t="shared" si="98"/>
        <v>3593005.732983741</v>
      </c>
      <c r="H168" s="181">
        <f t="shared" si="98"/>
        <v>3619376.6376363281</v>
      </c>
      <c r="I168" s="181">
        <f t="shared" si="98"/>
        <v>3645671.5562174697</v>
      </c>
      <c r="J168" s="181">
        <f t="shared" si="98"/>
        <v>3671887.3260864457</v>
      </c>
      <c r="K168" s="181">
        <f t="shared" si="98"/>
        <v>3698020.7098888964</v>
      </c>
      <c r="L168" s="181">
        <f t="shared" si="98"/>
        <v>3724068.3939074203</v>
      </c>
      <c r="M168" s="181">
        <f t="shared" si="98"/>
        <v>3750026.9863758902</v>
      </c>
      <c r="N168" s="181">
        <f t="shared" si="98"/>
        <v>3775893.0157566071</v>
      </c>
      <c r="O168" s="181">
        <f t="shared" si="98"/>
        <v>3801662.9289795342</v>
      </c>
      <c r="P168" s="181">
        <f t="shared" si="98"/>
        <v>3827333.0896427091</v>
      </c>
      <c r="Q168" s="181">
        <f t="shared" si="98"/>
        <v>3852899.7761730291</v>
      </c>
      <c r="R168" s="181">
        <f t="shared" si="98"/>
        <v>3878359.1799464766</v>
      </c>
      <c r="S168" s="181">
        <f t="shared" si="98"/>
        <v>3903707.4033669368</v>
      </c>
      <c r="T168" s="181">
        <f t="shared" si="98"/>
        <v>3928940.4579026238</v>
      </c>
      <c r="U168" s="181">
        <f t="shared" si="98"/>
        <v>3954054.2620792459</v>
      </c>
      <c r="V168" s="181">
        <f t="shared" si="98"/>
        <v>3979044.6394288819</v>
      </c>
      <c r="W168" s="181">
        <f t="shared" si="98"/>
        <v>4003907.3163936422</v>
      </c>
      <c r="X168" s="181">
        <f t="shared" si="98"/>
        <v>4014306.9979955456</v>
      </c>
      <c r="Y168" s="181">
        <f t="shared" si="98"/>
        <v>4024570.1322091571</v>
      </c>
      <c r="Z168" s="181">
        <f t="shared" si="98"/>
        <v>4034692.1411608588</v>
      </c>
      <c r="AA168" s="181">
        <f t="shared" si="98"/>
        <v>4044668.341028763</v>
      </c>
      <c r="AB168" s="181">
        <f t="shared" si="98"/>
        <v>4054493.9397045625</v>
      </c>
      <c r="AC168" s="181">
        <f t="shared" si="98"/>
        <v>4064164.0344038149</v>
      </c>
      <c r="AD168" s="181">
        <f t="shared" si="98"/>
        <v>4073673.6092234091</v>
      </c>
      <c r="AE168" s="181">
        <f t="shared" si="98"/>
        <v>4083017.5326451086</v>
      </c>
      <c r="AF168" s="181">
        <f t="shared" si="98"/>
        <v>4092190.5549839181</v>
      </c>
      <c r="AG168" s="181">
        <f t="shared" si="98"/>
        <v>4101187.3057800923</v>
      </c>
      <c r="AH168" s="181">
        <f t="shared" si="98"/>
        <v>4110002.2911335053</v>
      </c>
      <c r="AI168" s="181">
        <f t="shared" si="98"/>
        <v>4118629.8909791075</v>
      </c>
      <c r="AJ168" s="181">
        <f t="shared" si="98"/>
        <v>4127064.3563021263</v>
      </c>
      <c r="AK168" s="181">
        <f t="shared" si="98"/>
        <v>4135299.806291732</v>
      </c>
      <c r="AL168" s="181">
        <f t="shared" si="98"/>
        <v>4143330.2254317375</v>
      </c>
      <c r="AM168" s="181">
        <f t="shared" si="98"/>
        <v>4151149.4605269581</v>
      </c>
      <c r="AN168" s="181">
        <f t="shared" si="98"/>
        <v>4158751.2176637892</v>
      </c>
      <c r="AO168" s="181">
        <f t="shared" si="98"/>
        <v>4166129.0591035369</v>
      </c>
      <c r="AP168" s="181">
        <f t="shared" si="98"/>
        <v>8195991.4001070075</v>
      </c>
    </row>
    <row r="169" spans="1:42" s="101" customFormat="1" x14ac:dyDescent="0.2">
      <c r="A169" s="25" t="s">
        <v>121</v>
      </c>
      <c r="C169" s="181">
        <f t="shared" ref="C169:AP169" si="99">C701</f>
        <v>27785.305345268542</v>
      </c>
      <c r="D169" s="181">
        <f t="shared" si="99"/>
        <v>32204.031760477119</v>
      </c>
      <c r="E169" s="181">
        <f t="shared" si="99"/>
        <v>36623.817072169513</v>
      </c>
      <c r="F169" s="181">
        <f t="shared" si="99"/>
        <v>41044.672335027615</v>
      </c>
      <c r="G169" s="181">
        <f t="shared" si="99"/>
        <v>45466.608781430121</v>
      </c>
      <c r="H169" s="181">
        <f t="shared" si="99"/>
        <v>49889.637824992889</v>
      </c>
      <c r="I169" s="181">
        <f t="shared" si="99"/>
        <v>54313.771064185363</v>
      </c>
      <c r="J169" s="181">
        <f t="shared" si="99"/>
        <v>58739.020286024672</v>
      </c>
      <c r="K169" s="181">
        <f t="shared" si="99"/>
        <v>63165.397469849202</v>
      </c>
      <c r="L169" s="181">
        <f t="shared" si="99"/>
        <v>67592.914791173142</v>
      </c>
      <c r="M169" s="181">
        <f t="shared" si="99"/>
        <v>72021.584625624266</v>
      </c>
      <c r="N169" s="181">
        <f t="shared" si="99"/>
        <v>76451.41955296621</v>
      </c>
      <c r="O169" s="181">
        <f t="shared" si="99"/>
        <v>29036.017136881917</v>
      </c>
      <c r="P169" s="181">
        <f t="shared" si="99"/>
        <v>11403.279000766337</v>
      </c>
      <c r="Q169" s="181">
        <f t="shared" si="99"/>
        <v>16511.079658844716</v>
      </c>
      <c r="R169" s="181">
        <f t="shared" si="99"/>
        <v>21620.793204951438</v>
      </c>
      <c r="S169" s="181">
        <f t="shared" si="99"/>
        <v>26732.458565163892</v>
      </c>
      <c r="T169" s="181">
        <f t="shared" si="99"/>
        <v>31846.115485115948</v>
      </c>
      <c r="U169" s="181">
        <f t="shared" si="99"/>
        <v>36961.804547676074</v>
      </c>
      <c r="V169" s="181">
        <f t="shared" si="99"/>
        <v>42079.567191013273</v>
      </c>
      <c r="W169" s="181">
        <f t="shared" si="99"/>
        <v>47199.445727059538</v>
      </c>
      <c r="X169" s="181">
        <f t="shared" si="99"/>
        <v>52446.878929518141</v>
      </c>
      <c r="Y169" s="181">
        <f t="shared" si="99"/>
        <v>57696.515345723783</v>
      </c>
      <c r="Z169" s="181">
        <f t="shared" si="99"/>
        <v>62948.400023769842</v>
      </c>
      <c r="AA169" s="181">
        <f t="shared" si="99"/>
        <v>6586.0784493241936</v>
      </c>
      <c r="AB169" s="181">
        <f t="shared" si="99"/>
        <v>12847.040886474646</v>
      </c>
      <c r="AC169" s="181">
        <f t="shared" si="99"/>
        <v>19110.392523059818</v>
      </c>
      <c r="AD169" s="181">
        <f t="shared" si="99"/>
        <v>25376.182339503135</v>
      </c>
      <c r="AE169" s="181">
        <f t="shared" si="99"/>
        <v>31644.460353062212</v>
      </c>
      <c r="AF169" s="181">
        <f t="shared" si="99"/>
        <v>37915.277640280299</v>
      </c>
      <c r="AG169" s="181">
        <f t="shared" si="99"/>
        <v>44188.686359931598</v>
      </c>
      <c r="AH169" s="181">
        <f t="shared" si="99"/>
        <v>50464.739776471564</v>
      </c>
      <c r="AI169" s="181">
        <f t="shared" si="99"/>
        <v>56743.492284003289</v>
      </c>
      <c r="AJ169" s="181">
        <f t="shared" si="99"/>
        <v>63024.999430771604</v>
      </c>
      <c r="AK169" s="181">
        <f t="shared" si="99"/>
        <v>69309.317944196475</v>
      </c>
      <c r="AL169" s="181">
        <f t="shared" si="99"/>
        <v>75596.50575645786</v>
      </c>
      <c r="AM169" s="181">
        <f t="shared" si="99"/>
        <v>8216.8143540193832</v>
      </c>
      <c r="AN169" s="181">
        <f t="shared" si="99"/>
        <v>8370.7688711335886</v>
      </c>
      <c r="AO169" s="181">
        <f t="shared" si="99"/>
        <v>8527.773976562974</v>
      </c>
      <c r="AP169" s="181">
        <f t="shared" si="99"/>
        <v>8687.8926888390088</v>
      </c>
    </row>
    <row r="170" spans="1:42" s="101" customFormat="1" x14ac:dyDescent="0.2">
      <c r="A170" s="25" t="s">
        <v>113</v>
      </c>
      <c r="C170" s="181">
        <f>-C538</f>
        <v>-1630990.3450276775</v>
      </c>
      <c r="D170" s="181">
        <f t="shared" ref="D170:AP170" si="100">-D538</f>
        <v>-1565535.3088411714</v>
      </c>
      <c r="E170" s="181">
        <f t="shared" si="100"/>
        <v>-1492838.967772336</v>
      </c>
      <c r="F170" s="181">
        <f t="shared" si="100"/>
        <v>-1412289.8437396672</v>
      </c>
      <c r="G170" s="181">
        <f t="shared" si="100"/>
        <v>-1323224.6643316729</v>
      </c>
      <c r="H170" s="181">
        <f t="shared" si="100"/>
        <v>-1224923.9645995069</v>
      </c>
      <c r="I170" s="181">
        <f t="shared" si="100"/>
        <v>-1116607.315097166</v>
      </c>
      <c r="J170" s="181">
        <f t="shared" si="100"/>
        <v>-997428.14440238755</v>
      </c>
      <c r="K170" s="181">
        <f t="shared" si="100"/>
        <v>-866468.12165124703</v>
      </c>
      <c r="L170" s="181">
        <f t="shared" si="100"/>
        <v>-722731.06168980908</v>
      </c>
      <c r="M170" s="181">
        <f t="shared" si="100"/>
        <v>-565136.31226751953</v>
      </c>
      <c r="N170" s="181">
        <f t="shared" si="100"/>
        <v>-392511.57924817252</v>
      </c>
      <c r="O170" s="181">
        <f t="shared" si="100"/>
        <v>-203585.14207228407</v>
      </c>
      <c r="P170" s="181">
        <f t="shared" si="100"/>
        <v>0</v>
      </c>
      <c r="Q170" s="181">
        <f t="shared" si="100"/>
        <v>0</v>
      </c>
      <c r="R170" s="181">
        <f t="shared" si="100"/>
        <v>0</v>
      </c>
      <c r="S170" s="181">
        <f t="shared" si="100"/>
        <v>0</v>
      </c>
      <c r="T170" s="181">
        <f t="shared" si="100"/>
        <v>0</v>
      </c>
      <c r="U170" s="181">
        <f t="shared" si="100"/>
        <v>0</v>
      </c>
      <c r="V170" s="181">
        <f t="shared" si="100"/>
        <v>0</v>
      </c>
      <c r="W170" s="181">
        <f t="shared" si="100"/>
        <v>0</v>
      </c>
      <c r="X170" s="181">
        <f t="shared" si="100"/>
        <v>0</v>
      </c>
      <c r="Y170" s="181">
        <f t="shared" si="100"/>
        <v>0</v>
      </c>
      <c r="Z170" s="181">
        <f t="shared" si="100"/>
        <v>0</v>
      </c>
      <c r="AA170" s="181">
        <f t="shared" si="100"/>
        <v>0</v>
      </c>
      <c r="AB170" s="181">
        <f t="shared" si="100"/>
        <v>0</v>
      </c>
      <c r="AC170" s="181">
        <f t="shared" si="100"/>
        <v>0</v>
      </c>
      <c r="AD170" s="181">
        <f t="shared" si="100"/>
        <v>0</v>
      </c>
      <c r="AE170" s="181">
        <f t="shared" si="100"/>
        <v>0</v>
      </c>
      <c r="AF170" s="181">
        <f t="shared" si="100"/>
        <v>0</v>
      </c>
      <c r="AG170" s="181">
        <f t="shared" si="100"/>
        <v>0</v>
      </c>
      <c r="AH170" s="181">
        <f t="shared" si="100"/>
        <v>0</v>
      </c>
      <c r="AI170" s="181">
        <f t="shared" si="100"/>
        <v>0</v>
      </c>
      <c r="AJ170" s="181">
        <f t="shared" si="100"/>
        <v>0</v>
      </c>
      <c r="AK170" s="181">
        <f t="shared" si="100"/>
        <v>0</v>
      </c>
      <c r="AL170" s="181">
        <f t="shared" si="100"/>
        <v>0</v>
      </c>
      <c r="AM170" s="181">
        <f t="shared" si="100"/>
        <v>0</v>
      </c>
      <c r="AN170" s="181">
        <f t="shared" si="100"/>
        <v>0</v>
      </c>
      <c r="AO170" s="181">
        <f t="shared" si="100"/>
        <v>0</v>
      </c>
      <c r="AP170" s="181">
        <f t="shared" si="100"/>
        <v>0</v>
      </c>
    </row>
    <row r="171" spans="1:42" s="25" customFormat="1" x14ac:dyDescent="0.2">
      <c r="A171" s="25" t="s">
        <v>116</v>
      </c>
      <c r="B171" s="101"/>
      <c r="C171" s="124">
        <f t="shared" ref="C171:AP171" si="101">IF(C$2&lt;=AnalysisPeriod,-C391-C422-C448-C474,0)</f>
        <v>-6813136.9995334353</v>
      </c>
      <c r="D171" s="124">
        <f t="shared" si="101"/>
        <v>-10937708.093195135</v>
      </c>
      <c r="E171" s="124">
        <f t="shared" si="101"/>
        <v>-6634839.8546779044</v>
      </c>
      <c r="F171" s="124">
        <f t="shared" si="101"/>
        <v>-4051276.0005055624</v>
      </c>
      <c r="G171" s="124">
        <f t="shared" si="101"/>
        <v>-4046207.9950850527</v>
      </c>
      <c r="H171" s="124">
        <f t="shared" si="101"/>
        <v>-2108123.7403794569</v>
      </c>
      <c r="I171" s="124">
        <f t="shared" si="101"/>
        <v>-172474.7610057937</v>
      </c>
      <c r="J171" s="124">
        <f t="shared" si="101"/>
        <v>-172365.06391876968</v>
      </c>
      <c r="K171" s="124">
        <f t="shared" si="101"/>
        <v>-172540.5792580081</v>
      </c>
      <c r="L171" s="124">
        <f t="shared" si="101"/>
        <v>-172365.06391876968</v>
      </c>
      <c r="M171" s="124">
        <f t="shared" si="101"/>
        <v>-172540.5792580081</v>
      </c>
      <c r="N171" s="124">
        <f t="shared" si="101"/>
        <v>-761339.53261903254</v>
      </c>
      <c r="O171" s="124">
        <f t="shared" si="101"/>
        <v>-1114899.7291784286</v>
      </c>
      <c r="P171" s="124">
        <f t="shared" si="101"/>
        <v>-737780.55387102207</v>
      </c>
      <c r="Q171" s="124">
        <f t="shared" si="101"/>
        <v>-511789.87322935945</v>
      </c>
      <c r="R171" s="124">
        <f t="shared" si="101"/>
        <v>-455668.84350787022</v>
      </c>
      <c r="S171" s="124">
        <f t="shared" si="101"/>
        <v>-230098.68213994376</v>
      </c>
      <c r="T171" s="124">
        <f t="shared" si="101"/>
        <v>-60474.035154268087</v>
      </c>
      <c r="U171" s="124">
        <f t="shared" si="101"/>
        <v>-60474.035154268087</v>
      </c>
      <c r="V171" s="124">
        <f t="shared" si="101"/>
        <v>-60474.035154268087</v>
      </c>
      <c r="W171" s="124">
        <f t="shared" si="101"/>
        <v>-33049.763398262789</v>
      </c>
      <c r="X171" s="124">
        <f t="shared" si="101"/>
        <v>-5625.4916422574952</v>
      </c>
      <c r="Y171" s="124">
        <f t="shared" si="101"/>
        <v>-5625.4916422574952</v>
      </c>
      <c r="Z171" s="124">
        <f t="shared" si="101"/>
        <v>-709814.06894719379</v>
      </c>
      <c r="AA171" s="124">
        <f t="shared" si="101"/>
        <v>-1132327.2153301553</v>
      </c>
      <c r="AB171" s="124">
        <f t="shared" si="101"/>
        <v>-681646.52585499629</v>
      </c>
      <c r="AC171" s="124">
        <f t="shared" si="101"/>
        <v>-411238.11216990073</v>
      </c>
      <c r="AD171" s="124">
        <f t="shared" si="101"/>
        <v>-411238.11216990073</v>
      </c>
      <c r="AE171" s="124">
        <f t="shared" si="101"/>
        <v>-208431.80190607911</v>
      </c>
      <c r="AF171" s="124">
        <f t="shared" si="101"/>
        <v>-5625.4916422574952</v>
      </c>
      <c r="AG171" s="124">
        <f t="shared" si="101"/>
        <v>-5625.4916422574952</v>
      </c>
      <c r="AH171" s="124">
        <f t="shared" si="101"/>
        <v>-5625.4916422574952</v>
      </c>
      <c r="AI171" s="124">
        <f t="shared" si="101"/>
        <v>-5625.4916422574952</v>
      </c>
      <c r="AJ171" s="124">
        <f t="shared" si="101"/>
        <v>-5625.4916422574952</v>
      </c>
      <c r="AK171" s="124">
        <f t="shared" si="101"/>
        <v>-5625.4916422574952</v>
      </c>
      <c r="AL171" s="124">
        <f t="shared" si="101"/>
        <v>-847566.15080368414</v>
      </c>
      <c r="AM171" s="124">
        <f t="shared" si="101"/>
        <v>-1352730.5463005397</v>
      </c>
      <c r="AN171" s="124">
        <f t="shared" si="101"/>
        <v>-813888.52443722705</v>
      </c>
      <c r="AO171" s="124">
        <f t="shared" si="101"/>
        <v>-490583.31131923915</v>
      </c>
      <c r="AP171" s="124">
        <f t="shared" si="101"/>
        <v>-487770.56549811037</v>
      </c>
    </row>
    <row r="172" spans="1:42" s="101" customFormat="1" x14ac:dyDescent="0.2">
      <c r="A172" s="25" t="s">
        <v>122</v>
      </c>
      <c r="C172" s="124">
        <f>C165</f>
        <v>271123.54820714914</v>
      </c>
      <c r="D172" s="124">
        <f t="shared" ref="D172:AP172" si="102">D165</f>
        <v>492666.44505802623</v>
      </c>
      <c r="E172" s="124">
        <f t="shared" si="102"/>
        <v>250305.37142989744</v>
      </c>
      <c r="F172" s="124">
        <f t="shared" si="102"/>
        <v>102077.75820602654</v>
      </c>
      <c r="G172" s="124">
        <f t="shared" si="102"/>
        <v>95202.817470835493</v>
      </c>
      <c r="H172" s="124">
        <f t="shared" si="102"/>
        <v>-18492.021376529658</v>
      </c>
      <c r="I172" s="124">
        <f t="shared" si="102"/>
        <v>-132599.67881482828</v>
      </c>
      <c r="J172" s="124">
        <f t="shared" si="102"/>
        <v>-140845.82259282222</v>
      </c>
      <c r="K172" s="124">
        <f t="shared" si="102"/>
        <v>-149719.75735472198</v>
      </c>
      <c r="L172" s="124">
        <f t="shared" si="102"/>
        <v>-159311.08506995082</v>
      </c>
      <c r="M172" s="124">
        <f t="shared" si="102"/>
        <v>-169640.44237117929</v>
      </c>
      <c r="N172" s="124">
        <f t="shared" si="102"/>
        <v>-148417.13278933024</v>
      </c>
      <c r="O172" s="124">
        <f t="shared" si="102"/>
        <v>-138171.77411761371</v>
      </c>
      <c r="P172" s="124">
        <f t="shared" si="102"/>
        <v>-170552.56981248493</v>
      </c>
      <c r="Q172" s="124">
        <f t="shared" si="102"/>
        <v>-184669.15404313829</v>
      </c>
      <c r="R172" s="124">
        <f t="shared" si="102"/>
        <v>-189437.11213039569</v>
      </c>
      <c r="S172" s="124">
        <f t="shared" si="102"/>
        <v>-203518.76488856864</v>
      </c>
      <c r="T172" s="124">
        <f t="shared" si="102"/>
        <v>-214517.18960284092</v>
      </c>
      <c r="U172" s="124">
        <f t="shared" si="102"/>
        <v>-216179.81173099595</v>
      </c>
      <c r="V172" s="124">
        <f t="shared" si="102"/>
        <v>-217835.75943060947</v>
      </c>
      <c r="W172" s="124">
        <f t="shared" si="102"/>
        <v>-220993.13492973417</v>
      </c>
      <c r="X172" s="124">
        <f t="shared" si="102"/>
        <v>-223362.06119055435</v>
      </c>
      <c r="Y172" s="124">
        <f t="shared" si="102"/>
        <v>-224215.26357519429</v>
      </c>
      <c r="Z172" s="124">
        <f t="shared" si="102"/>
        <v>-186330.45597305894</v>
      </c>
      <c r="AA172" s="124">
        <f t="shared" si="102"/>
        <v>-160540.99622813627</v>
      </c>
      <c r="AB172" s="124">
        <f t="shared" si="102"/>
        <v>-186213.19501048225</v>
      </c>
      <c r="AC172" s="124">
        <f t="shared" si="102"/>
        <v>-201961.99731163355</v>
      </c>
      <c r="AD172" s="124">
        <f t="shared" si="102"/>
        <v>-202829.64236661562</v>
      </c>
      <c r="AE172" s="124">
        <f t="shared" si="102"/>
        <v>-214842.66051006503</v>
      </c>
      <c r="AF172" s="124">
        <f t="shared" si="102"/>
        <v>-226846.41875400674</v>
      </c>
      <c r="AG172" s="124">
        <f t="shared" si="102"/>
        <v>-227686.27752737715</v>
      </c>
      <c r="AH172" s="124">
        <f t="shared" si="102"/>
        <v>-228516.28465972457</v>
      </c>
      <c r="AI172" s="124">
        <f t="shared" si="102"/>
        <v>-229336.13403914691</v>
      </c>
      <c r="AJ172" s="124">
        <f t="shared" si="102"/>
        <v>-230145.51252498521</v>
      </c>
      <c r="AK172" s="124">
        <f t="shared" si="102"/>
        <v>-230944.09979265189</v>
      </c>
      <c r="AL172" s="124">
        <f t="shared" si="102"/>
        <v>-185424.83192114814</v>
      </c>
      <c r="AM172" s="124">
        <f t="shared" si="102"/>
        <v>-154364.96507192406</v>
      </c>
      <c r="AN172" s="124">
        <f t="shared" si="102"/>
        <v>-184427.84041537327</v>
      </c>
      <c r="AO172" s="124">
        <f t="shared" si="102"/>
        <v>-202624.04369684737</v>
      </c>
      <c r="AP172" s="124">
        <f t="shared" si="102"/>
        <v>-424429.98000137549</v>
      </c>
    </row>
    <row r="173" spans="1:42" s="101" customFormat="1" x14ac:dyDescent="0.2">
      <c r="A173" s="25" t="s">
        <v>147</v>
      </c>
      <c r="C173" s="124">
        <f>C99</f>
        <v>0</v>
      </c>
      <c r="D173" s="124">
        <f t="shared" ref="D173:AP173" si="103">D99</f>
        <v>0</v>
      </c>
      <c r="E173" s="124">
        <f t="shared" si="103"/>
        <v>0</v>
      </c>
      <c r="F173" s="124">
        <f t="shared" si="103"/>
        <v>0</v>
      </c>
      <c r="G173" s="124">
        <f t="shared" si="103"/>
        <v>0</v>
      </c>
      <c r="H173" s="124">
        <f t="shared" si="103"/>
        <v>0</v>
      </c>
      <c r="I173" s="124">
        <f t="shared" si="103"/>
        <v>0</v>
      </c>
      <c r="J173" s="124">
        <f t="shared" si="103"/>
        <v>0</v>
      </c>
      <c r="K173" s="124">
        <f t="shared" si="103"/>
        <v>0</v>
      </c>
      <c r="L173" s="124">
        <f t="shared" si="103"/>
        <v>0</v>
      </c>
      <c r="M173" s="124">
        <f t="shared" si="103"/>
        <v>0</v>
      </c>
      <c r="N173" s="124">
        <f t="shared" si="103"/>
        <v>0</v>
      </c>
      <c r="O173" s="124">
        <f t="shared" si="103"/>
        <v>0</v>
      </c>
      <c r="P173" s="124">
        <f t="shared" si="103"/>
        <v>0</v>
      </c>
      <c r="Q173" s="124">
        <f t="shared" si="103"/>
        <v>0</v>
      </c>
      <c r="R173" s="124">
        <f t="shared" si="103"/>
        <v>0</v>
      </c>
      <c r="S173" s="124">
        <f t="shared" si="103"/>
        <v>0</v>
      </c>
      <c r="T173" s="124">
        <f t="shared" si="103"/>
        <v>0</v>
      </c>
      <c r="U173" s="124">
        <f t="shared" si="103"/>
        <v>0</v>
      </c>
      <c r="V173" s="124">
        <f t="shared" si="103"/>
        <v>0</v>
      </c>
      <c r="W173" s="124">
        <f t="shared" si="103"/>
        <v>0</v>
      </c>
      <c r="X173" s="124">
        <f t="shared" si="103"/>
        <v>0</v>
      </c>
      <c r="Y173" s="124">
        <f t="shared" si="103"/>
        <v>0</v>
      </c>
      <c r="Z173" s="124">
        <f t="shared" si="103"/>
        <v>0</v>
      </c>
      <c r="AA173" s="124">
        <f t="shared" si="103"/>
        <v>0</v>
      </c>
      <c r="AB173" s="124">
        <f t="shared" si="103"/>
        <v>0</v>
      </c>
      <c r="AC173" s="124">
        <f t="shared" si="103"/>
        <v>0</v>
      </c>
      <c r="AD173" s="124">
        <f t="shared" si="103"/>
        <v>0</v>
      </c>
      <c r="AE173" s="124">
        <f t="shared" si="103"/>
        <v>0</v>
      </c>
      <c r="AF173" s="124">
        <f t="shared" si="103"/>
        <v>0</v>
      </c>
      <c r="AG173" s="124">
        <f t="shared" si="103"/>
        <v>0</v>
      </c>
      <c r="AH173" s="124">
        <f t="shared" si="103"/>
        <v>0</v>
      </c>
      <c r="AI173" s="124">
        <f t="shared" si="103"/>
        <v>0</v>
      </c>
      <c r="AJ173" s="124">
        <f t="shared" si="103"/>
        <v>0</v>
      </c>
      <c r="AK173" s="124">
        <f t="shared" si="103"/>
        <v>0</v>
      </c>
      <c r="AL173" s="124">
        <f t="shared" si="103"/>
        <v>0</v>
      </c>
      <c r="AM173" s="124">
        <f t="shared" si="103"/>
        <v>0</v>
      </c>
      <c r="AN173" s="124">
        <f t="shared" si="103"/>
        <v>0</v>
      </c>
      <c r="AO173" s="124">
        <f t="shared" si="103"/>
        <v>0</v>
      </c>
      <c r="AP173" s="124">
        <f t="shared" si="103"/>
        <v>0</v>
      </c>
    </row>
    <row r="174" spans="1:42" s="101" customFormat="1" x14ac:dyDescent="0.2">
      <c r="A174" s="25" t="s">
        <v>411</v>
      </c>
      <c r="C174" s="186">
        <f>C103</f>
        <v>0</v>
      </c>
      <c r="D174" s="186">
        <f t="shared" ref="D174:AP174" si="104">D103</f>
        <v>0</v>
      </c>
      <c r="E174" s="186">
        <f t="shared" si="104"/>
        <v>0</v>
      </c>
      <c r="F174" s="186">
        <f t="shared" si="104"/>
        <v>0</v>
      </c>
      <c r="G174" s="186">
        <f t="shared" si="104"/>
        <v>0</v>
      </c>
      <c r="H174" s="186">
        <f t="shared" si="104"/>
        <v>0</v>
      </c>
      <c r="I174" s="186">
        <f t="shared" si="104"/>
        <v>0</v>
      </c>
      <c r="J174" s="186">
        <f t="shared" si="104"/>
        <v>0</v>
      </c>
      <c r="K174" s="186">
        <f t="shared" si="104"/>
        <v>0</v>
      </c>
      <c r="L174" s="186">
        <f t="shared" si="104"/>
        <v>0</v>
      </c>
      <c r="M174" s="186">
        <f t="shared" si="104"/>
        <v>0</v>
      </c>
      <c r="N174" s="186">
        <f t="shared" si="104"/>
        <v>0</v>
      </c>
      <c r="O174" s="186">
        <f t="shared" si="104"/>
        <v>0</v>
      </c>
      <c r="P174" s="186">
        <f t="shared" si="104"/>
        <v>0</v>
      </c>
      <c r="Q174" s="186">
        <f t="shared" si="104"/>
        <v>0</v>
      </c>
      <c r="R174" s="186">
        <f t="shared" si="104"/>
        <v>0</v>
      </c>
      <c r="S174" s="186">
        <f t="shared" si="104"/>
        <v>0</v>
      </c>
      <c r="T174" s="186">
        <f t="shared" si="104"/>
        <v>0</v>
      </c>
      <c r="U174" s="186">
        <f t="shared" si="104"/>
        <v>0</v>
      </c>
      <c r="V174" s="186">
        <f t="shared" si="104"/>
        <v>0</v>
      </c>
      <c r="W174" s="186">
        <f t="shared" si="104"/>
        <v>0</v>
      </c>
      <c r="X174" s="186">
        <f t="shared" si="104"/>
        <v>0</v>
      </c>
      <c r="Y174" s="186">
        <f t="shared" si="104"/>
        <v>0</v>
      </c>
      <c r="Z174" s="186">
        <f t="shared" si="104"/>
        <v>0</v>
      </c>
      <c r="AA174" s="186">
        <f t="shared" si="104"/>
        <v>0</v>
      </c>
      <c r="AB174" s="186">
        <f t="shared" si="104"/>
        <v>0</v>
      </c>
      <c r="AC174" s="186">
        <f t="shared" si="104"/>
        <v>0</v>
      </c>
      <c r="AD174" s="186">
        <f t="shared" si="104"/>
        <v>0</v>
      </c>
      <c r="AE174" s="186">
        <f t="shared" si="104"/>
        <v>0</v>
      </c>
      <c r="AF174" s="186">
        <f t="shared" si="104"/>
        <v>0</v>
      </c>
      <c r="AG174" s="186">
        <f t="shared" si="104"/>
        <v>0</v>
      </c>
      <c r="AH174" s="186">
        <f t="shared" si="104"/>
        <v>0</v>
      </c>
      <c r="AI174" s="186">
        <f t="shared" si="104"/>
        <v>0</v>
      </c>
      <c r="AJ174" s="186">
        <f t="shared" si="104"/>
        <v>0</v>
      </c>
      <c r="AK174" s="186">
        <f t="shared" si="104"/>
        <v>0</v>
      </c>
      <c r="AL174" s="186">
        <f t="shared" si="104"/>
        <v>0</v>
      </c>
      <c r="AM174" s="186">
        <f t="shared" si="104"/>
        <v>0</v>
      </c>
      <c r="AN174" s="186">
        <f t="shared" si="104"/>
        <v>0</v>
      </c>
      <c r="AO174" s="186">
        <f t="shared" si="104"/>
        <v>0</v>
      </c>
      <c r="AP174" s="186">
        <f t="shared" si="104"/>
        <v>0</v>
      </c>
    </row>
    <row r="175" spans="1:42" s="101" customFormat="1" x14ac:dyDescent="0.2">
      <c r="A175" s="25" t="s">
        <v>114</v>
      </c>
      <c r="C175" s="181">
        <f>SUM(C168:C174)</f>
        <v>-4658395.5101046534</v>
      </c>
      <c r="D175" s="181">
        <f t="shared" ref="D175:AP175" si="105">SUM(D168:D174)</f>
        <v>-8464905.2832697239</v>
      </c>
      <c r="E175" s="181">
        <f t="shared" si="105"/>
        <v>-4300701.3818409648</v>
      </c>
      <c r="F175" s="181">
        <f t="shared" si="105"/>
        <v>-1753881.481903547</v>
      </c>
      <c r="G175" s="181">
        <f t="shared" si="105"/>
        <v>-1635757.500180719</v>
      </c>
      <c r="H175" s="181">
        <f t="shared" si="105"/>
        <v>317726.54910582775</v>
      </c>
      <c r="I175" s="181">
        <f t="shared" si="105"/>
        <v>2278303.5723638674</v>
      </c>
      <c r="J175" s="181">
        <f t="shared" si="105"/>
        <v>2419987.3154584905</v>
      </c>
      <c r="K175" s="181">
        <f t="shared" si="105"/>
        <v>2572457.6490947688</v>
      </c>
      <c r="L175" s="181">
        <f t="shared" si="105"/>
        <v>2737254.0980200642</v>
      </c>
      <c r="M175" s="181">
        <f t="shared" si="105"/>
        <v>2914731.2371048075</v>
      </c>
      <c r="N175" s="181">
        <f t="shared" si="105"/>
        <v>2550076.1906530377</v>
      </c>
      <c r="O175" s="181">
        <f t="shared" si="105"/>
        <v>2374042.3007480898</v>
      </c>
      <c r="P175" s="181">
        <f t="shared" si="105"/>
        <v>2930403.2449599681</v>
      </c>
      <c r="Q175" s="181">
        <f t="shared" si="105"/>
        <v>3172951.8285593758</v>
      </c>
      <c r="R175" s="181">
        <f t="shared" si="105"/>
        <v>3254874.0175131625</v>
      </c>
      <c r="S175" s="181">
        <f t="shared" si="105"/>
        <v>3496822.4149035881</v>
      </c>
      <c r="T175" s="181">
        <f t="shared" si="105"/>
        <v>3685795.3486306304</v>
      </c>
      <c r="U175" s="181">
        <f t="shared" si="105"/>
        <v>3714362.2197416578</v>
      </c>
      <c r="V175" s="181">
        <f t="shared" si="105"/>
        <v>3742814.4120350173</v>
      </c>
      <c r="W175" s="181">
        <f t="shared" si="105"/>
        <v>3797063.8637927049</v>
      </c>
      <c r="X175" s="181">
        <f t="shared" si="105"/>
        <v>3837766.3240922517</v>
      </c>
      <c r="Y175" s="181">
        <f t="shared" si="105"/>
        <v>3852425.8923374289</v>
      </c>
      <c r="Z175" s="181">
        <f t="shared" si="105"/>
        <v>3201496.0162643762</v>
      </c>
      <c r="AA175" s="181">
        <f t="shared" si="105"/>
        <v>2758386.207919796</v>
      </c>
      <c r="AB175" s="181">
        <f t="shared" si="105"/>
        <v>3199481.2597255586</v>
      </c>
      <c r="AC175" s="181">
        <f t="shared" si="105"/>
        <v>3470074.3174453401</v>
      </c>
      <c r="AD175" s="181">
        <f t="shared" si="105"/>
        <v>3484982.0370263956</v>
      </c>
      <c r="AE175" s="181">
        <f t="shared" si="105"/>
        <v>3691387.5305820266</v>
      </c>
      <c r="AF175" s="181">
        <f t="shared" si="105"/>
        <v>3897633.922227934</v>
      </c>
      <c r="AG175" s="181">
        <f t="shared" si="105"/>
        <v>3912064.2229703893</v>
      </c>
      <c r="AH175" s="181">
        <f t="shared" si="105"/>
        <v>3926325.2546079946</v>
      </c>
      <c r="AI175" s="181">
        <f t="shared" si="105"/>
        <v>3940411.7575817062</v>
      </c>
      <c r="AJ175" s="181">
        <f t="shared" si="105"/>
        <v>3954318.3515656549</v>
      </c>
      <c r="AK175" s="181">
        <f t="shared" si="105"/>
        <v>3968039.532801019</v>
      </c>
      <c r="AL175" s="181">
        <f t="shared" si="105"/>
        <v>3185935.7484633634</v>
      </c>
      <c r="AM175" s="181">
        <f t="shared" si="105"/>
        <v>2652270.7635085136</v>
      </c>
      <c r="AN175" s="181">
        <f t="shared" si="105"/>
        <v>3168805.6216823226</v>
      </c>
      <c r="AO175" s="181">
        <f t="shared" si="105"/>
        <v>3481449.4780640136</v>
      </c>
      <c r="AP175" s="181">
        <f t="shared" si="105"/>
        <v>7292478.7472963613</v>
      </c>
    </row>
    <row r="176" spans="1:42" s="101" customFormat="1" x14ac:dyDescent="0.2">
      <c r="A176" s="25" t="str">
        <f>'Inputs &amp; Results'!A53</f>
        <v>Investment Based Incentive (IBI)</v>
      </c>
    </row>
    <row r="177" spans="1:42" s="101" customFormat="1" x14ac:dyDescent="0.2">
      <c r="A177" s="187" t="str">
        <f>'Inputs &amp; Results'!A54</f>
        <v>Fixed Amount ($)</v>
      </c>
    </row>
    <row r="178" spans="1:42" s="101" customFormat="1" x14ac:dyDescent="0.2">
      <c r="A178" s="188" t="str">
        <f>'Inputs &amp; Results'!A55</f>
        <v>Federal</v>
      </c>
      <c r="C178" s="181">
        <f>IF(IBIFedFixedFedTax="Yes",C491,0)</f>
        <v>0</v>
      </c>
    </row>
    <row r="179" spans="1:42" s="101" customFormat="1" x14ac:dyDescent="0.2">
      <c r="A179" s="188" t="str">
        <f>'Inputs &amp; Results'!A56</f>
        <v>State</v>
      </c>
      <c r="C179" s="181">
        <f>IF(IBIStateFixedFedTax="Yes",C492,0)</f>
        <v>0</v>
      </c>
    </row>
    <row r="180" spans="1:42" s="101" customFormat="1" x14ac:dyDescent="0.2">
      <c r="A180" s="188" t="str">
        <f>'Inputs &amp; Results'!A57</f>
        <v>Utility</v>
      </c>
      <c r="C180" s="181">
        <f>IF(IBIUtilityFixedFedTax="Yes",C493,0)</f>
        <v>0</v>
      </c>
    </row>
    <row r="181" spans="1:42" x14ac:dyDescent="0.2">
      <c r="A181" s="188" t="str">
        <f>'Inputs &amp; Results'!A58</f>
        <v>Other</v>
      </c>
      <c r="C181" s="186">
        <f>IF(IBIOtherFixedFedTax="Yes",C494,0)</f>
        <v>0</v>
      </c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</row>
    <row r="182" spans="1:42" x14ac:dyDescent="0.2">
      <c r="A182" s="188" t="s">
        <v>53</v>
      </c>
      <c r="C182" s="169">
        <f>SUM(C178:C181)</f>
        <v>0</v>
      </c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</row>
    <row r="183" spans="1:42" x14ac:dyDescent="0.2">
      <c r="A183" s="187" t="str">
        <f>'Inputs &amp; Results'!A59</f>
        <v>Percentage of Pre-Financing Costs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</row>
    <row r="184" spans="1:42" x14ac:dyDescent="0.2">
      <c r="A184" s="188" t="str">
        <f>'Inputs &amp; Results'!A60</f>
        <v>Federal</v>
      </c>
      <c r="C184" s="181">
        <f>IF(IBIFedPercentFedTax="Yes",C497,0)</f>
        <v>0</v>
      </c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</row>
    <row r="185" spans="1:42" x14ac:dyDescent="0.2">
      <c r="A185" s="188" t="str">
        <f>'Inputs &amp; Results'!A61</f>
        <v>State</v>
      </c>
      <c r="C185" s="181">
        <f>IF(IBIStatePercentFedTax="Yes",C498,0)</f>
        <v>0</v>
      </c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</row>
    <row r="186" spans="1:42" x14ac:dyDescent="0.2">
      <c r="A186" s="188" t="str">
        <f>'Inputs &amp; Results'!A62</f>
        <v>Utility</v>
      </c>
      <c r="C186" s="181">
        <f>IF(IBIUtilityPercentFedTax="Yes",C499,0)</f>
        <v>0</v>
      </c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</row>
    <row r="187" spans="1:42" x14ac:dyDescent="0.2">
      <c r="A187" s="188" t="str">
        <f>'Inputs &amp; Results'!A63</f>
        <v>Other</v>
      </c>
      <c r="C187" s="186">
        <f>IF(IBIOtherPercentFedTax="Yes",C500,0)</f>
        <v>0</v>
      </c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</row>
    <row r="188" spans="1:42" x14ac:dyDescent="0.2">
      <c r="A188" s="188" t="s">
        <v>53</v>
      </c>
      <c r="C188" s="169">
        <f>SUM(C184:C187)</f>
        <v>0</v>
      </c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</row>
    <row r="189" spans="1:42" x14ac:dyDescent="0.2">
      <c r="A189" s="180" t="str">
        <f>'Inputs &amp; Results'!A64</f>
        <v>Capacity Based Incentive (CBI) ($/DC-Watt)</v>
      </c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</row>
    <row r="190" spans="1:42" x14ac:dyDescent="0.2">
      <c r="A190" s="187" t="str">
        <f>'Inputs &amp; Results'!A65</f>
        <v>Federal</v>
      </c>
      <c r="C190" s="124">
        <f>IF(CBIFedFedTax="Yes",C503,0)</f>
        <v>0</v>
      </c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</row>
    <row r="191" spans="1:42" x14ac:dyDescent="0.2">
      <c r="A191" s="187" t="str">
        <f>'Inputs &amp; Results'!A66</f>
        <v>State</v>
      </c>
      <c r="C191" s="124">
        <f>IF(CBIStateFedTax="Yes",C504,0)</f>
        <v>0</v>
      </c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</row>
    <row r="192" spans="1:42" x14ac:dyDescent="0.2">
      <c r="A192" s="187" t="str">
        <f>'Inputs &amp; Results'!A67</f>
        <v>Utility</v>
      </c>
      <c r="C192" s="124">
        <f>IF(CBIUtilityFedTax="Yes",C505,0)</f>
        <v>0</v>
      </c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</row>
    <row r="193" spans="1:42" x14ac:dyDescent="0.2">
      <c r="A193" s="187" t="str">
        <f>'Inputs &amp; Results'!A68</f>
        <v>Other</v>
      </c>
      <c r="C193" s="186">
        <f>IF(CBIOtherFedTax="Yes",C506,0)</f>
        <v>0</v>
      </c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</row>
    <row r="194" spans="1:42" x14ac:dyDescent="0.2">
      <c r="A194" s="187" t="s">
        <v>53</v>
      </c>
      <c r="C194" s="169">
        <f>SUM(C190:C193)</f>
        <v>0</v>
      </c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</row>
    <row r="195" spans="1:42" x14ac:dyDescent="0.2">
      <c r="A195" s="180" t="str">
        <f>'Inputs &amp; Results'!A71</f>
        <v>Production Based Incentive (PBI) ($/kWh)</v>
      </c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</row>
    <row r="196" spans="1:42" x14ac:dyDescent="0.2">
      <c r="A196" s="187" t="str">
        <f>'Inputs &amp; Results'!A72</f>
        <v>Federal</v>
      </c>
      <c r="C196" s="124">
        <f t="shared" ref="C196:AP196" si="106">IF(AND(PBIFedFedTax="Yes",PBIFedDebtSwitch="No"),C513,0)</f>
        <v>0</v>
      </c>
      <c r="D196" s="124">
        <f t="shared" si="106"/>
        <v>0</v>
      </c>
      <c r="E196" s="124">
        <f t="shared" si="106"/>
        <v>0</v>
      </c>
      <c r="F196" s="124">
        <f t="shared" si="106"/>
        <v>0</v>
      </c>
      <c r="G196" s="124">
        <f t="shared" si="106"/>
        <v>0</v>
      </c>
      <c r="H196" s="124">
        <f t="shared" si="106"/>
        <v>0</v>
      </c>
      <c r="I196" s="124">
        <f t="shared" si="106"/>
        <v>0</v>
      </c>
      <c r="J196" s="124">
        <f t="shared" si="106"/>
        <v>0</v>
      </c>
      <c r="K196" s="124">
        <f t="shared" si="106"/>
        <v>0</v>
      </c>
      <c r="L196" s="124">
        <f t="shared" si="106"/>
        <v>0</v>
      </c>
      <c r="M196" s="124">
        <f t="shared" si="106"/>
        <v>0</v>
      </c>
      <c r="N196" s="124">
        <f t="shared" si="106"/>
        <v>0</v>
      </c>
      <c r="O196" s="124">
        <f t="shared" si="106"/>
        <v>0</v>
      </c>
      <c r="P196" s="124">
        <f t="shared" si="106"/>
        <v>0</v>
      </c>
      <c r="Q196" s="124">
        <f t="shared" si="106"/>
        <v>0</v>
      </c>
      <c r="R196" s="124">
        <f t="shared" si="106"/>
        <v>0</v>
      </c>
      <c r="S196" s="124">
        <f t="shared" si="106"/>
        <v>0</v>
      </c>
      <c r="T196" s="124">
        <f t="shared" si="106"/>
        <v>0</v>
      </c>
      <c r="U196" s="124">
        <f t="shared" si="106"/>
        <v>0</v>
      </c>
      <c r="V196" s="124">
        <f t="shared" si="106"/>
        <v>0</v>
      </c>
      <c r="W196" s="124">
        <f t="shared" si="106"/>
        <v>0</v>
      </c>
      <c r="X196" s="124">
        <f t="shared" si="106"/>
        <v>0</v>
      </c>
      <c r="Y196" s="124">
        <f t="shared" si="106"/>
        <v>0</v>
      </c>
      <c r="Z196" s="124">
        <f t="shared" si="106"/>
        <v>0</v>
      </c>
      <c r="AA196" s="124">
        <f t="shared" si="106"/>
        <v>0</v>
      </c>
      <c r="AB196" s="124">
        <f t="shared" si="106"/>
        <v>0</v>
      </c>
      <c r="AC196" s="124">
        <f t="shared" si="106"/>
        <v>0</v>
      </c>
      <c r="AD196" s="124">
        <f t="shared" si="106"/>
        <v>0</v>
      </c>
      <c r="AE196" s="124">
        <f t="shared" si="106"/>
        <v>0</v>
      </c>
      <c r="AF196" s="124">
        <f t="shared" si="106"/>
        <v>0</v>
      </c>
      <c r="AG196" s="124">
        <f t="shared" si="106"/>
        <v>0</v>
      </c>
      <c r="AH196" s="124">
        <f t="shared" si="106"/>
        <v>0</v>
      </c>
      <c r="AI196" s="124">
        <f t="shared" si="106"/>
        <v>0</v>
      </c>
      <c r="AJ196" s="124">
        <f t="shared" si="106"/>
        <v>0</v>
      </c>
      <c r="AK196" s="124">
        <f t="shared" si="106"/>
        <v>0</v>
      </c>
      <c r="AL196" s="124">
        <f t="shared" si="106"/>
        <v>0</v>
      </c>
      <c r="AM196" s="124">
        <f t="shared" si="106"/>
        <v>0</v>
      </c>
      <c r="AN196" s="124">
        <f t="shared" si="106"/>
        <v>0</v>
      </c>
      <c r="AO196" s="124">
        <f t="shared" si="106"/>
        <v>0</v>
      </c>
      <c r="AP196" s="124">
        <f t="shared" si="106"/>
        <v>0</v>
      </c>
    </row>
    <row r="197" spans="1:42" x14ac:dyDescent="0.2">
      <c r="A197" s="187" t="str">
        <f>'Inputs &amp; Results'!A73</f>
        <v>State</v>
      </c>
      <c r="C197" s="124">
        <f t="shared" ref="C197:AP197" si="107">IF(AND(PBIStateFedTax="Yes",PBIStateDebtSwitch="No"),C517,0)</f>
        <v>0</v>
      </c>
      <c r="D197" s="124">
        <f t="shared" si="107"/>
        <v>0</v>
      </c>
      <c r="E197" s="124">
        <f t="shared" si="107"/>
        <v>0</v>
      </c>
      <c r="F197" s="124">
        <f t="shared" si="107"/>
        <v>0</v>
      </c>
      <c r="G197" s="124">
        <f t="shared" si="107"/>
        <v>0</v>
      </c>
      <c r="H197" s="124">
        <f t="shared" si="107"/>
        <v>0</v>
      </c>
      <c r="I197" s="124">
        <f t="shared" si="107"/>
        <v>0</v>
      </c>
      <c r="J197" s="124">
        <f t="shared" si="107"/>
        <v>0</v>
      </c>
      <c r="K197" s="124">
        <f t="shared" si="107"/>
        <v>0</v>
      </c>
      <c r="L197" s="124">
        <f t="shared" si="107"/>
        <v>0</v>
      </c>
      <c r="M197" s="124">
        <f t="shared" si="107"/>
        <v>0</v>
      </c>
      <c r="N197" s="124">
        <f t="shared" si="107"/>
        <v>0</v>
      </c>
      <c r="O197" s="124">
        <f t="shared" si="107"/>
        <v>0</v>
      </c>
      <c r="P197" s="124">
        <f t="shared" si="107"/>
        <v>0</v>
      </c>
      <c r="Q197" s="124">
        <f t="shared" si="107"/>
        <v>0</v>
      </c>
      <c r="R197" s="124">
        <f t="shared" si="107"/>
        <v>0</v>
      </c>
      <c r="S197" s="124">
        <f t="shared" si="107"/>
        <v>0</v>
      </c>
      <c r="T197" s="124">
        <f t="shared" si="107"/>
        <v>0</v>
      </c>
      <c r="U197" s="124">
        <f t="shared" si="107"/>
        <v>0</v>
      </c>
      <c r="V197" s="124">
        <f t="shared" si="107"/>
        <v>0</v>
      </c>
      <c r="W197" s="124">
        <f t="shared" si="107"/>
        <v>0</v>
      </c>
      <c r="X197" s="124">
        <f t="shared" si="107"/>
        <v>0</v>
      </c>
      <c r="Y197" s="124">
        <f t="shared" si="107"/>
        <v>0</v>
      </c>
      <c r="Z197" s="124">
        <f t="shared" si="107"/>
        <v>0</v>
      </c>
      <c r="AA197" s="124">
        <f t="shared" si="107"/>
        <v>0</v>
      </c>
      <c r="AB197" s="124">
        <f t="shared" si="107"/>
        <v>0</v>
      </c>
      <c r="AC197" s="124">
        <f t="shared" si="107"/>
        <v>0</v>
      </c>
      <c r="AD197" s="124">
        <f t="shared" si="107"/>
        <v>0</v>
      </c>
      <c r="AE197" s="124">
        <f t="shared" si="107"/>
        <v>0</v>
      </c>
      <c r="AF197" s="124">
        <f t="shared" si="107"/>
        <v>0</v>
      </c>
      <c r="AG197" s="124">
        <f t="shared" si="107"/>
        <v>0</v>
      </c>
      <c r="AH197" s="124">
        <f t="shared" si="107"/>
        <v>0</v>
      </c>
      <c r="AI197" s="124">
        <f t="shared" si="107"/>
        <v>0</v>
      </c>
      <c r="AJ197" s="124">
        <f t="shared" si="107"/>
        <v>0</v>
      </c>
      <c r="AK197" s="124">
        <f t="shared" si="107"/>
        <v>0</v>
      </c>
      <c r="AL197" s="124">
        <f t="shared" si="107"/>
        <v>0</v>
      </c>
      <c r="AM197" s="124">
        <f t="shared" si="107"/>
        <v>0</v>
      </c>
      <c r="AN197" s="124">
        <f t="shared" si="107"/>
        <v>0</v>
      </c>
      <c r="AO197" s="124">
        <f t="shared" si="107"/>
        <v>0</v>
      </c>
      <c r="AP197" s="124">
        <f t="shared" si="107"/>
        <v>0</v>
      </c>
    </row>
    <row r="198" spans="1:42" x14ac:dyDescent="0.2">
      <c r="A198" s="187" t="str">
        <f>'Inputs &amp; Results'!A74</f>
        <v>Utility</v>
      </c>
      <c r="C198" s="124">
        <f t="shared" ref="C198:AP198" si="108">IF(AND(PBIUtilityFedTax="Yes",PBIUtilityDebtSwitch="No"),C521,0)</f>
        <v>0</v>
      </c>
      <c r="D198" s="124">
        <f t="shared" si="108"/>
        <v>0</v>
      </c>
      <c r="E198" s="124">
        <f t="shared" si="108"/>
        <v>0</v>
      </c>
      <c r="F198" s="124">
        <f t="shared" si="108"/>
        <v>0</v>
      </c>
      <c r="G198" s="124">
        <f t="shared" si="108"/>
        <v>0</v>
      </c>
      <c r="H198" s="124">
        <f t="shared" si="108"/>
        <v>0</v>
      </c>
      <c r="I198" s="124">
        <f t="shared" si="108"/>
        <v>0</v>
      </c>
      <c r="J198" s="124">
        <f t="shared" si="108"/>
        <v>0</v>
      </c>
      <c r="K198" s="124">
        <f t="shared" si="108"/>
        <v>0</v>
      </c>
      <c r="L198" s="124">
        <f t="shared" si="108"/>
        <v>0</v>
      </c>
      <c r="M198" s="124">
        <f t="shared" si="108"/>
        <v>0</v>
      </c>
      <c r="N198" s="124">
        <f t="shared" si="108"/>
        <v>0</v>
      </c>
      <c r="O198" s="124">
        <f t="shared" si="108"/>
        <v>0</v>
      </c>
      <c r="P198" s="124">
        <f t="shared" si="108"/>
        <v>0</v>
      </c>
      <c r="Q198" s="124">
        <f t="shared" si="108"/>
        <v>0</v>
      </c>
      <c r="R198" s="124">
        <f t="shared" si="108"/>
        <v>0</v>
      </c>
      <c r="S198" s="124">
        <f t="shared" si="108"/>
        <v>0</v>
      </c>
      <c r="T198" s="124">
        <f t="shared" si="108"/>
        <v>0</v>
      </c>
      <c r="U198" s="124">
        <f t="shared" si="108"/>
        <v>0</v>
      </c>
      <c r="V198" s="124">
        <f t="shared" si="108"/>
        <v>0</v>
      </c>
      <c r="W198" s="124">
        <f t="shared" si="108"/>
        <v>0</v>
      </c>
      <c r="X198" s="124">
        <f t="shared" si="108"/>
        <v>0</v>
      </c>
      <c r="Y198" s="124">
        <f t="shared" si="108"/>
        <v>0</v>
      </c>
      <c r="Z198" s="124">
        <f t="shared" si="108"/>
        <v>0</v>
      </c>
      <c r="AA198" s="124">
        <f t="shared" si="108"/>
        <v>0</v>
      </c>
      <c r="AB198" s="124">
        <f t="shared" si="108"/>
        <v>0</v>
      </c>
      <c r="AC198" s="124">
        <f t="shared" si="108"/>
        <v>0</v>
      </c>
      <c r="AD198" s="124">
        <f t="shared" si="108"/>
        <v>0</v>
      </c>
      <c r="AE198" s="124">
        <f t="shared" si="108"/>
        <v>0</v>
      </c>
      <c r="AF198" s="124">
        <f t="shared" si="108"/>
        <v>0</v>
      </c>
      <c r="AG198" s="124">
        <f t="shared" si="108"/>
        <v>0</v>
      </c>
      <c r="AH198" s="124">
        <f t="shared" si="108"/>
        <v>0</v>
      </c>
      <c r="AI198" s="124">
        <f t="shared" si="108"/>
        <v>0</v>
      </c>
      <c r="AJ198" s="124">
        <f t="shared" si="108"/>
        <v>0</v>
      </c>
      <c r="AK198" s="124">
        <f t="shared" si="108"/>
        <v>0</v>
      </c>
      <c r="AL198" s="124">
        <f t="shared" si="108"/>
        <v>0</v>
      </c>
      <c r="AM198" s="124">
        <f t="shared" si="108"/>
        <v>0</v>
      </c>
      <c r="AN198" s="124">
        <f t="shared" si="108"/>
        <v>0</v>
      </c>
      <c r="AO198" s="124">
        <f t="shared" si="108"/>
        <v>0</v>
      </c>
      <c r="AP198" s="124">
        <f t="shared" si="108"/>
        <v>0</v>
      </c>
    </row>
    <row r="199" spans="1:42" x14ac:dyDescent="0.2">
      <c r="A199" s="187" t="str">
        <f>'Inputs &amp; Results'!A75</f>
        <v>Other</v>
      </c>
      <c r="C199" s="186">
        <f t="shared" ref="C199:AP199" si="109">IF(AND(PBIOtherFedTax="Yes",PBIOtherDebtSwitch="No"),C525,0)</f>
        <v>0</v>
      </c>
      <c r="D199" s="186">
        <f t="shared" si="109"/>
        <v>0</v>
      </c>
      <c r="E199" s="186">
        <f t="shared" si="109"/>
        <v>0</v>
      </c>
      <c r="F199" s="186">
        <f t="shared" si="109"/>
        <v>0</v>
      </c>
      <c r="G199" s="186">
        <f t="shared" si="109"/>
        <v>0</v>
      </c>
      <c r="H199" s="186">
        <f t="shared" si="109"/>
        <v>0</v>
      </c>
      <c r="I199" s="186">
        <f t="shared" si="109"/>
        <v>0</v>
      </c>
      <c r="J199" s="186">
        <f t="shared" si="109"/>
        <v>0</v>
      </c>
      <c r="K199" s="186">
        <f t="shared" si="109"/>
        <v>0</v>
      </c>
      <c r="L199" s="186">
        <f t="shared" si="109"/>
        <v>0</v>
      </c>
      <c r="M199" s="186">
        <f t="shared" si="109"/>
        <v>0</v>
      </c>
      <c r="N199" s="186">
        <f t="shared" si="109"/>
        <v>0</v>
      </c>
      <c r="O199" s="186">
        <f t="shared" si="109"/>
        <v>0</v>
      </c>
      <c r="P199" s="186">
        <f t="shared" si="109"/>
        <v>0</v>
      </c>
      <c r="Q199" s="186">
        <f t="shared" si="109"/>
        <v>0</v>
      </c>
      <c r="R199" s="186">
        <f t="shared" si="109"/>
        <v>0</v>
      </c>
      <c r="S199" s="186">
        <f t="shared" si="109"/>
        <v>0</v>
      </c>
      <c r="T199" s="186">
        <f t="shared" si="109"/>
        <v>0</v>
      </c>
      <c r="U199" s="186">
        <f t="shared" si="109"/>
        <v>0</v>
      </c>
      <c r="V199" s="186">
        <f t="shared" si="109"/>
        <v>0</v>
      </c>
      <c r="W199" s="186">
        <f t="shared" si="109"/>
        <v>0</v>
      </c>
      <c r="X199" s="186">
        <f t="shared" si="109"/>
        <v>0</v>
      </c>
      <c r="Y199" s="186">
        <f t="shared" si="109"/>
        <v>0</v>
      </c>
      <c r="Z199" s="186">
        <f t="shared" si="109"/>
        <v>0</v>
      </c>
      <c r="AA199" s="186">
        <f t="shared" si="109"/>
        <v>0</v>
      </c>
      <c r="AB199" s="186">
        <f t="shared" si="109"/>
        <v>0</v>
      </c>
      <c r="AC199" s="186">
        <f t="shared" si="109"/>
        <v>0</v>
      </c>
      <c r="AD199" s="186">
        <f t="shared" si="109"/>
        <v>0</v>
      </c>
      <c r="AE199" s="186">
        <f t="shared" si="109"/>
        <v>0</v>
      </c>
      <c r="AF199" s="186">
        <f t="shared" si="109"/>
        <v>0</v>
      </c>
      <c r="AG199" s="186">
        <f t="shared" si="109"/>
        <v>0</v>
      </c>
      <c r="AH199" s="186">
        <f t="shared" si="109"/>
        <v>0</v>
      </c>
      <c r="AI199" s="186">
        <f t="shared" si="109"/>
        <v>0</v>
      </c>
      <c r="AJ199" s="186">
        <f t="shared" si="109"/>
        <v>0</v>
      </c>
      <c r="AK199" s="186">
        <f t="shared" si="109"/>
        <v>0</v>
      </c>
      <c r="AL199" s="186">
        <f t="shared" si="109"/>
        <v>0</v>
      </c>
      <c r="AM199" s="186">
        <f t="shared" si="109"/>
        <v>0</v>
      </c>
      <c r="AN199" s="186">
        <f t="shared" si="109"/>
        <v>0</v>
      </c>
      <c r="AO199" s="186">
        <f t="shared" si="109"/>
        <v>0</v>
      </c>
      <c r="AP199" s="186">
        <f t="shared" si="109"/>
        <v>0</v>
      </c>
    </row>
    <row r="200" spans="1:42" x14ac:dyDescent="0.2">
      <c r="A200" s="187" t="s">
        <v>53</v>
      </c>
      <c r="C200" s="177">
        <f>SUM(C196:C199)</f>
        <v>0</v>
      </c>
      <c r="D200" s="177">
        <f t="shared" ref="D200:AL200" si="110">SUM(D196:D199)</f>
        <v>0</v>
      </c>
      <c r="E200" s="177">
        <f t="shared" si="110"/>
        <v>0</v>
      </c>
      <c r="F200" s="177">
        <f t="shared" si="110"/>
        <v>0</v>
      </c>
      <c r="G200" s="177">
        <f t="shared" si="110"/>
        <v>0</v>
      </c>
      <c r="H200" s="177">
        <f t="shared" si="110"/>
        <v>0</v>
      </c>
      <c r="I200" s="177">
        <f t="shared" si="110"/>
        <v>0</v>
      </c>
      <c r="J200" s="177">
        <f t="shared" si="110"/>
        <v>0</v>
      </c>
      <c r="K200" s="177">
        <f t="shared" si="110"/>
        <v>0</v>
      </c>
      <c r="L200" s="177">
        <f t="shared" si="110"/>
        <v>0</v>
      </c>
      <c r="M200" s="177">
        <f t="shared" si="110"/>
        <v>0</v>
      </c>
      <c r="N200" s="177">
        <f t="shared" si="110"/>
        <v>0</v>
      </c>
      <c r="O200" s="177">
        <f t="shared" si="110"/>
        <v>0</v>
      </c>
      <c r="P200" s="177">
        <f t="shared" si="110"/>
        <v>0</v>
      </c>
      <c r="Q200" s="177">
        <f t="shared" si="110"/>
        <v>0</v>
      </c>
      <c r="R200" s="177">
        <f t="shared" si="110"/>
        <v>0</v>
      </c>
      <c r="S200" s="177">
        <f t="shared" si="110"/>
        <v>0</v>
      </c>
      <c r="T200" s="177">
        <f t="shared" si="110"/>
        <v>0</v>
      </c>
      <c r="U200" s="177">
        <f t="shared" si="110"/>
        <v>0</v>
      </c>
      <c r="V200" s="177">
        <f t="shared" si="110"/>
        <v>0</v>
      </c>
      <c r="W200" s="177">
        <f t="shared" si="110"/>
        <v>0</v>
      </c>
      <c r="X200" s="177">
        <f t="shared" si="110"/>
        <v>0</v>
      </c>
      <c r="Y200" s="177">
        <f t="shared" si="110"/>
        <v>0</v>
      </c>
      <c r="Z200" s="177">
        <f t="shared" si="110"/>
        <v>0</v>
      </c>
      <c r="AA200" s="177">
        <f t="shared" si="110"/>
        <v>0</v>
      </c>
      <c r="AB200" s="177">
        <f t="shared" si="110"/>
        <v>0</v>
      </c>
      <c r="AC200" s="177">
        <f t="shared" si="110"/>
        <v>0</v>
      </c>
      <c r="AD200" s="177">
        <f t="shared" si="110"/>
        <v>0</v>
      </c>
      <c r="AE200" s="177">
        <f t="shared" si="110"/>
        <v>0</v>
      </c>
      <c r="AF200" s="177">
        <f t="shared" si="110"/>
        <v>0</v>
      </c>
      <c r="AG200" s="177">
        <f t="shared" si="110"/>
        <v>0</v>
      </c>
      <c r="AH200" s="177">
        <f t="shared" si="110"/>
        <v>0</v>
      </c>
      <c r="AI200" s="177">
        <f t="shared" si="110"/>
        <v>0</v>
      </c>
      <c r="AJ200" s="177">
        <f t="shared" si="110"/>
        <v>0</v>
      </c>
      <c r="AK200" s="177">
        <f t="shared" si="110"/>
        <v>0</v>
      </c>
      <c r="AL200" s="177">
        <f t="shared" si="110"/>
        <v>0</v>
      </c>
      <c r="AM200" s="177">
        <f>SUM(AM196:AM199)</f>
        <v>0</v>
      </c>
      <c r="AN200" s="177">
        <f t="shared" ref="AN200:AP200" si="111">SUM(AN196:AN199)</f>
        <v>0</v>
      </c>
      <c r="AO200" s="177">
        <f t="shared" si="111"/>
        <v>0</v>
      </c>
      <c r="AP200" s="177">
        <f t="shared" si="111"/>
        <v>0</v>
      </c>
    </row>
    <row r="201" spans="1:42" x14ac:dyDescent="0.2">
      <c r="A201" s="180" t="s">
        <v>123</v>
      </c>
      <c r="C201" s="169">
        <f>C182+C188+C194+C200</f>
        <v>0</v>
      </c>
      <c r="D201" s="169">
        <f t="shared" ref="D201:AP201" si="112">D182+D188+D194+D200</f>
        <v>0</v>
      </c>
      <c r="E201" s="169">
        <f t="shared" si="112"/>
        <v>0</v>
      </c>
      <c r="F201" s="169">
        <f t="shared" si="112"/>
        <v>0</v>
      </c>
      <c r="G201" s="169">
        <f t="shared" si="112"/>
        <v>0</v>
      </c>
      <c r="H201" s="169">
        <f t="shared" si="112"/>
        <v>0</v>
      </c>
      <c r="I201" s="169">
        <f t="shared" si="112"/>
        <v>0</v>
      </c>
      <c r="J201" s="169">
        <f t="shared" si="112"/>
        <v>0</v>
      </c>
      <c r="K201" s="169">
        <f t="shared" si="112"/>
        <v>0</v>
      </c>
      <c r="L201" s="169">
        <f t="shared" si="112"/>
        <v>0</v>
      </c>
      <c r="M201" s="169">
        <f t="shared" si="112"/>
        <v>0</v>
      </c>
      <c r="N201" s="169">
        <f t="shared" si="112"/>
        <v>0</v>
      </c>
      <c r="O201" s="169">
        <f t="shared" si="112"/>
        <v>0</v>
      </c>
      <c r="P201" s="169">
        <f t="shared" si="112"/>
        <v>0</v>
      </c>
      <c r="Q201" s="169">
        <f t="shared" si="112"/>
        <v>0</v>
      </c>
      <c r="R201" s="169">
        <f t="shared" si="112"/>
        <v>0</v>
      </c>
      <c r="S201" s="169">
        <f t="shared" si="112"/>
        <v>0</v>
      </c>
      <c r="T201" s="169">
        <f t="shared" si="112"/>
        <v>0</v>
      </c>
      <c r="U201" s="169">
        <f t="shared" si="112"/>
        <v>0</v>
      </c>
      <c r="V201" s="169">
        <f t="shared" si="112"/>
        <v>0</v>
      </c>
      <c r="W201" s="169">
        <f t="shared" si="112"/>
        <v>0</v>
      </c>
      <c r="X201" s="169">
        <f t="shared" si="112"/>
        <v>0</v>
      </c>
      <c r="Y201" s="169">
        <f t="shared" si="112"/>
        <v>0</v>
      </c>
      <c r="Z201" s="169">
        <f t="shared" si="112"/>
        <v>0</v>
      </c>
      <c r="AA201" s="169">
        <f t="shared" si="112"/>
        <v>0</v>
      </c>
      <c r="AB201" s="169">
        <f t="shared" si="112"/>
        <v>0</v>
      </c>
      <c r="AC201" s="169">
        <f t="shared" si="112"/>
        <v>0</v>
      </c>
      <c r="AD201" s="169">
        <f t="shared" si="112"/>
        <v>0</v>
      </c>
      <c r="AE201" s="169">
        <f t="shared" si="112"/>
        <v>0</v>
      </c>
      <c r="AF201" s="169">
        <f t="shared" si="112"/>
        <v>0</v>
      </c>
      <c r="AG201" s="169">
        <f t="shared" si="112"/>
        <v>0</v>
      </c>
      <c r="AH201" s="169">
        <f t="shared" si="112"/>
        <v>0</v>
      </c>
      <c r="AI201" s="169">
        <f t="shared" si="112"/>
        <v>0</v>
      </c>
      <c r="AJ201" s="169">
        <f t="shared" si="112"/>
        <v>0</v>
      </c>
      <c r="AK201" s="169">
        <f t="shared" si="112"/>
        <v>0</v>
      </c>
      <c r="AL201" s="169">
        <f t="shared" si="112"/>
        <v>0</v>
      </c>
      <c r="AM201" s="169">
        <f t="shared" si="112"/>
        <v>0</v>
      </c>
      <c r="AN201" s="169">
        <f t="shared" si="112"/>
        <v>0</v>
      </c>
      <c r="AO201" s="169">
        <f t="shared" si="112"/>
        <v>0</v>
      </c>
      <c r="AP201" s="169">
        <f t="shared" si="112"/>
        <v>0</v>
      </c>
    </row>
    <row r="202" spans="1:42" x14ac:dyDescent="0.2">
      <c r="A202" s="187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</row>
    <row r="203" spans="1:42" x14ac:dyDescent="0.2">
      <c r="A203" s="180" t="s">
        <v>124</v>
      </c>
      <c r="C203" s="177">
        <f>C175+C201</f>
        <v>-4658395.5101046534</v>
      </c>
      <c r="D203" s="177">
        <f t="shared" ref="D203:AP203" si="113">D175+D201</f>
        <v>-8464905.2832697239</v>
      </c>
      <c r="E203" s="177">
        <f t="shared" si="113"/>
        <v>-4300701.3818409648</v>
      </c>
      <c r="F203" s="177">
        <f t="shared" si="113"/>
        <v>-1753881.481903547</v>
      </c>
      <c r="G203" s="177">
        <f t="shared" si="113"/>
        <v>-1635757.500180719</v>
      </c>
      <c r="H203" s="177">
        <f t="shared" si="113"/>
        <v>317726.54910582775</v>
      </c>
      <c r="I203" s="177">
        <f t="shared" si="113"/>
        <v>2278303.5723638674</v>
      </c>
      <c r="J203" s="177">
        <f t="shared" si="113"/>
        <v>2419987.3154584905</v>
      </c>
      <c r="K203" s="177">
        <f t="shared" si="113"/>
        <v>2572457.6490947688</v>
      </c>
      <c r="L203" s="177">
        <f t="shared" si="113"/>
        <v>2737254.0980200642</v>
      </c>
      <c r="M203" s="177">
        <f t="shared" si="113"/>
        <v>2914731.2371048075</v>
      </c>
      <c r="N203" s="177">
        <f t="shared" si="113"/>
        <v>2550076.1906530377</v>
      </c>
      <c r="O203" s="177">
        <f t="shared" si="113"/>
        <v>2374042.3007480898</v>
      </c>
      <c r="P203" s="177">
        <f t="shared" si="113"/>
        <v>2930403.2449599681</v>
      </c>
      <c r="Q203" s="177">
        <f t="shared" si="113"/>
        <v>3172951.8285593758</v>
      </c>
      <c r="R203" s="177">
        <f t="shared" si="113"/>
        <v>3254874.0175131625</v>
      </c>
      <c r="S203" s="177">
        <f t="shared" si="113"/>
        <v>3496822.4149035881</v>
      </c>
      <c r="T203" s="177">
        <f t="shared" si="113"/>
        <v>3685795.3486306304</v>
      </c>
      <c r="U203" s="177">
        <f t="shared" si="113"/>
        <v>3714362.2197416578</v>
      </c>
      <c r="V203" s="177">
        <f t="shared" si="113"/>
        <v>3742814.4120350173</v>
      </c>
      <c r="W203" s="177">
        <f t="shared" si="113"/>
        <v>3797063.8637927049</v>
      </c>
      <c r="X203" s="177">
        <f t="shared" si="113"/>
        <v>3837766.3240922517</v>
      </c>
      <c r="Y203" s="177">
        <f t="shared" si="113"/>
        <v>3852425.8923374289</v>
      </c>
      <c r="Z203" s="177">
        <f t="shared" si="113"/>
        <v>3201496.0162643762</v>
      </c>
      <c r="AA203" s="177">
        <f t="shared" si="113"/>
        <v>2758386.207919796</v>
      </c>
      <c r="AB203" s="177">
        <f t="shared" si="113"/>
        <v>3199481.2597255586</v>
      </c>
      <c r="AC203" s="177">
        <f t="shared" si="113"/>
        <v>3470074.3174453401</v>
      </c>
      <c r="AD203" s="177">
        <f t="shared" si="113"/>
        <v>3484982.0370263956</v>
      </c>
      <c r="AE203" s="177">
        <f t="shared" si="113"/>
        <v>3691387.5305820266</v>
      </c>
      <c r="AF203" s="177">
        <f t="shared" si="113"/>
        <v>3897633.922227934</v>
      </c>
      <c r="AG203" s="177">
        <f t="shared" si="113"/>
        <v>3912064.2229703893</v>
      </c>
      <c r="AH203" s="177">
        <f t="shared" si="113"/>
        <v>3926325.2546079946</v>
      </c>
      <c r="AI203" s="177">
        <f t="shared" si="113"/>
        <v>3940411.7575817062</v>
      </c>
      <c r="AJ203" s="177">
        <f t="shared" si="113"/>
        <v>3954318.3515656549</v>
      </c>
      <c r="AK203" s="177">
        <f t="shared" si="113"/>
        <v>3968039.532801019</v>
      </c>
      <c r="AL203" s="177">
        <f t="shared" si="113"/>
        <v>3185935.7484633634</v>
      </c>
      <c r="AM203" s="177">
        <f t="shared" si="113"/>
        <v>2652270.7635085136</v>
      </c>
      <c r="AN203" s="177">
        <f t="shared" si="113"/>
        <v>3168805.6216823226</v>
      </c>
      <c r="AO203" s="177">
        <f t="shared" si="113"/>
        <v>3481449.4780640136</v>
      </c>
      <c r="AP203" s="177">
        <f t="shared" si="113"/>
        <v>7292478.7472963613</v>
      </c>
    </row>
    <row r="204" spans="1:42" x14ac:dyDescent="0.2">
      <c r="A204" s="180" t="s">
        <v>207</v>
      </c>
      <c r="C204" s="177">
        <f t="shared" ref="C204:AP204" si="114">C203*-FedTax</f>
        <v>1630438.4285366286</v>
      </c>
      <c r="D204" s="177">
        <f t="shared" si="114"/>
        <v>2962716.8491444034</v>
      </c>
      <c r="E204" s="177">
        <f t="shared" si="114"/>
        <v>1505245.4836443376</v>
      </c>
      <c r="F204" s="177">
        <f t="shared" si="114"/>
        <v>613858.51866624143</v>
      </c>
      <c r="G204" s="177">
        <f t="shared" si="114"/>
        <v>572515.12506325159</v>
      </c>
      <c r="H204" s="177">
        <f t="shared" si="114"/>
        <v>-111204.29218703971</v>
      </c>
      <c r="I204" s="177">
        <f t="shared" si="114"/>
        <v>-797406.2503273536</v>
      </c>
      <c r="J204" s="177">
        <f t="shared" si="114"/>
        <v>-846995.56041047163</v>
      </c>
      <c r="K204" s="177">
        <f t="shared" si="114"/>
        <v>-900360.17718316906</v>
      </c>
      <c r="L204" s="177">
        <f t="shared" si="114"/>
        <v>-958038.93430702237</v>
      </c>
      <c r="M204" s="177">
        <f t="shared" si="114"/>
        <v>-1020155.9329866825</v>
      </c>
      <c r="N204" s="177">
        <f t="shared" si="114"/>
        <v>-892526.66672856314</v>
      </c>
      <c r="O204" s="177">
        <f t="shared" si="114"/>
        <v>-830914.80526183138</v>
      </c>
      <c r="P204" s="177">
        <f t="shared" si="114"/>
        <v>-1025641.1357359887</v>
      </c>
      <c r="Q204" s="177">
        <f t="shared" si="114"/>
        <v>-1110533.1399957815</v>
      </c>
      <c r="R204" s="177">
        <f t="shared" si="114"/>
        <v>-1139205.9061296068</v>
      </c>
      <c r="S204" s="177">
        <f t="shared" si="114"/>
        <v>-1223887.8452162559</v>
      </c>
      <c r="T204" s="177">
        <f t="shared" si="114"/>
        <v>-1290028.3720207205</v>
      </c>
      <c r="U204" s="177">
        <f t="shared" si="114"/>
        <v>-1300026.7769095802</v>
      </c>
      <c r="V204" s="177">
        <f t="shared" si="114"/>
        <v>-1309985.0442122559</v>
      </c>
      <c r="W204" s="177">
        <f t="shared" si="114"/>
        <v>-1328972.3523274467</v>
      </c>
      <c r="X204" s="177">
        <f t="shared" si="114"/>
        <v>-1343218.213432288</v>
      </c>
      <c r="Y204" s="177">
        <f t="shared" si="114"/>
        <v>-1348349.0623181001</v>
      </c>
      <c r="Z204" s="177">
        <f t="shared" si="114"/>
        <v>-1120523.6056925317</v>
      </c>
      <c r="AA204" s="177">
        <f t="shared" si="114"/>
        <v>-965435.17277192848</v>
      </c>
      <c r="AB204" s="177">
        <f t="shared" si="114"/>
        <v>-1119818.4409039454</v>
      </c>
      <c r="AC204" s="177">
        <f t="shared" si="114"/>
        <v>-1214526.011105869</v>
      </c>
      <c r="AD204" s="177">
        <f t="shared" si="114"/>
        <v>-1219743.7129592383</v>
      </c>
      <c r="AE204" s="177">
        <f t="shared" si="114"/>
        <v>-1291985.6357037092</v>
      </c>
      <c r="AF204" s="177">
        <f t="shared" si="114"/>
        <v>-1364171.8727797768</v>
      </c>
      <c r="AG204" s="177">
        <f t="shared" si="114"/>
        <v>-1369222.4780396363</v>
      </c>
      <c r="AH204" s="177">
        <f t="shared" si="114"/>
        <v>-1374213.839112798</v>
      </c>
      <c r="AI204" s="177">
        <f t="shared" si="114"/>
        <v>-1379144.115153597</v>
      </c>
      <c r="AJ204" s="177">
        <f t="shared" si="114"/>
        <v>-1384011.4230479791</v>
      </c>
      <c r="AK204" s="177">
        <f t="shared" si="114"/>
        <v>-1388813.8364803565</v>
      </c>
      <c r="AL204" s="177">
        <f t="shared" si="114"/>
        <v>-1115077.511962177</v>
      </c>
      <c r="AM204" s="177">
        <f t="shared" si="114"/>
        <v>-928294.76722797973</v>
      </c>
      <c r="AN204" s="177">
        <f t="shared" si="114"/>
        <v>-1109081.9675888128</v>
      </c>
      <c r="AO204" s="177">
        <f t="shared" si="114"/>
        <v>-1218507.3173224046</v>
      </c>
      <c r="AP204" s="177">
        <f t="shared" si="114"/>
        <v>-2552367.5615537264</v>
      </c>
    </row>
    <row r="205" spans="1:42" x14ac:dyDescent="0.2">
      <c r="A205" s="187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</row>
    <row r="206" spans="1:42" x14ac:dyDescent="0.2">
      <c r="A206" s="162" t="s">
        <v>393</v>
      </c>
    </row>
    <row r="207" spans="1:42" x14ac:dyDescent="0.2">
      <c r="A207" s="178" t="s">
        <v>394</v>
      </c>
    </row>
    <row r="208" spans="1:42" x14ac:dyDescent="0.2">
      <c r="A208" s="20" t="s">
        <v>82</v>
      </c>
      <c r="G208" s="267" t="s">
        <v>153</v>
      </c>
      <c r="H208" s="268"/>
      <c r="I208" s="268"/>
      <c r="J208" s="269"/>
      <c r="K208" s="209" t="s">
        <v>154</v>
      </c>
      <c r="L208" s="210"/>
    </row>
    <row r="209" spans="1:17" ht="51" x14ac:dyDescent="0.2">
      <c r="B209" s="112" t="s">
        <v>143</v>
      </c>
      <c r="C209" s="112" t="s">
        <v>139</v>
      </c>
      <c r="D209" s="112" t="s">
        <v>141</v>
      </c>
      <c r="E209" s="189" t="s">
        <v>142</v>
      </c>
      <c r="F209" s="112" t="s">
        <v>144</v>
      </c>
      <c r="G209" s="112" t="s">
        <v>148</v>
      </c>
      <c r="H209" s="112" t="s">
        <v>150</v>
      </c>
      <c r="I209" s="112" t="s">
        <v>149</v>
      </c>
      <c r="J209" s="112" t="s">
        <v>151</v>
      </c>
      <c r="K209" s="211" t="s">
        <v>34</v>
      </c>
      <c r="L209" s="112" t="s">
        <v>151</v>
      </c>
      <c r="M209" s="190" t="s">
        <v>155</v>
      </c>
      <c r="N209" s="190" t="s">
        <v>156</v>
      </c>
      <c r="O209" s="112" t="s">
        <v>145</v>
      </c>
      <c r="P209" s="191" t="s">
        <v>268</v>
      </c>
      <c r="Q209" s="112" t="s">
        <v>273</v>
      </c>
    </row>
    <row r="210" spans="1:17" s="101" customFormat="1" x14ac:dyDescent="0.2">
      <c r="A210" s="234" t="str">
        <f>'Inputs &amp; Results'!A245</f>
        <v>5-yr MACRS</v>
      </c>
      <c r="B210" s="324">
        <f t="shared" ref="B210:B215" si="115">C210/$C$217</f>
        <v>0.92783505154639179</v>
      </c>
      <c r="C210" s="124">
        <f>'Inputs &amp; Results'!E254</f>
        <v>39490951.328647621</v>
      </c>
      <c r="D210" s="124">
        <f>IF(StateBasisReduction="5-Yr MACRS",D217,$B210*D$217)</f>
        <v>0</v>
      </c>
      <c r="E210" s="124">
        <f>IF(StateBasisReduction="5-Yr MACRS",E217,$B210*E$217)</f>
        <v>0</v>
      </c>
      <c r="F210" s="206">
        <f>C210-D210-E210</f>
        <v>39490951.328647621</v>
      </c>
      <c r="G210" s="325">
        <f>IF('Inputs &amp; Results'!B284="Yes",F210,0)</f>
        <v>39490951.328647621</v>
      </c>
      <c r="H210" s="369">
        <f>IF($G$217=0,0,G210/$G$217)</f>
        <v>1</v>
      </c>
      <c r="I210" s="326">
        <f t="shared" ref="I210:I215" si="116">$I$217*H210</f>
        <v>0</v>
      </c>
      <c r="J210" s="327">
        <f>I210*0.5</f>
        <v>0</v>
      </c>
      <c r="K210" s="328">
        <f t="shared" ref="K210:K215" si="117">H210*$K$217</f>
        <v>0</v>
      </c>
      <c r="L210" s="327">
        <f>K210*0.5</f>
        <v>0</v>
      </c>
      <c r="M210" s="124">
        <f t="shared" ref="M210:M215" si="118">IF(ITCStateFixedStateDeprec="Yes",L210,0)+IF(ITCStatePercentStateDeprec="Yes",J210,0)</f>
        <v>0</v>
      </c>
      <c r="N210" s="124">
        <f t="shared" ref="N210:N215" si="119">IF(ITCFedFixedStateDeprec="Yes",L344,0)+IF(ITCFedPercentStateDeprec="Yes",J344,0)</f>
        <v>5923642.6992971431</v>
      </c>
      <c r="O210" s="329">
        <f t="shared" ref="O210:O215" si="120">F210-M210-N210</f>
        <v>33567308.629350476</v>
      </c>
      <c r="P210" s="124">
        <f>IF('Inputs &amp; Results'!B266="Yes",O210*StateBonusDeprec,0)</f>
        <v>0</v>
      </c>
      <c r="Q210" s="206">
        <f>O210-P210</f>
        <v>33567308.629350476</v>
      </c>
    </row>
    <row r="211" spans="1:17" s="101" customFormat="1" x14ac:dyDescent="0.2">
      <c r="A211" s="234" t="str">
        <f>'Inputs &amp; Results'!A246</f>
        <v>15-yr MACRS</v>
      </c>
      <c r="B211" s="324">
        <f t="shared" si="115"/>
        <v>1.5463917525773195E-2</v>
      </c>
      <c r="C211" s="124">
        <f>'Inputs &amp; Results'!E255</f>
        <v>658182.52214412694</v>
      </c>
      <c r="D211" s="124">
        <f t="shared" ref="D211:E215" si="121">IF(StateBasisReduction="5-Yr MACRS",0,$B211*D$217)</f>
        <v>0</v>
      </c>
      <c r="E211" s="124">
        <f t="shared" si="121"/>
        <v>0</v>
      </c>
      <c r="F211" s="206">
        <f t="shared" ref="F211:F215" si="122">C211-D211-E211</f>
        <v>658182.52214412694</v>
      </c>
      <c r="G211" s="328">
        <f>IF('Inputs &amp; Results'!B285="Yes",F211,0)</f>
        <v>0</v>
      </c>
      <c r="H211" s="370">
        <f t="shared" ref="H211:H215" si="123">IF($G$217=0,0,G211/$G$217)</f>
        <v>0</v>
      </c>
      <c r="I211" s="124">
        <f t="shared" si="116"/>
        <v>0</v>
      </c>
      <c r="J211" s="300">
        <f t="shared" ref="J211:J215" si="124">I211*0.5</f>
        <v>0</v>
      </c>
      <c r="K211" s="328">
        <f t="shared" si="117"/>
        <v>0</v>
      </c>
      <c r="L211" s="300">
        <f t="shared" ref="L211:L215" si="125">K211*0.5</f>
        <v>0</v>
      </c>
      <c r="M211" s="124">
        <f t="shared" si="118"/>
        <v>0</v>
      </c>
      <c r="N211" s="124">
        <f t="shared" si="119"/>
        <v>0</v>
      </c>
      <c r="O211" s="206">
        <f t="shared" si="120"/>
        <v>658182.52214412694</v>
      </c>
      <c r="P211" s="124">
        <f>IF('Inputs &amp; Results'!B267="Yes",O211*StateBonusDeprec,0)</f>
        <v>0</v>
      </c>
      <c r="Q211" s="206">
        <f t="shared" ref="Q211:Q215" si="126">O211-P211</f>
        <v>658182.52214412694</v>
      </c>
    </row>
    <row r="212" spans="1:17" s="101" customFormat="1" x14ac:dyDescent="0.2">
      <c r="A212" s="234" t="str">
        <f>'Inputs &amp; Results'!A247</f>
        <v>5-yr SL</v>
      </c>
      <c r="B212" s="324">
        <f t="shared" si="115"/>
        <v>0</v>
      </c>
      <c r="C212" s="124">
        <f>'Inputs &amp; Results'!E256</f>
        <v>0</v>
      </c>
      <c r="D212" s="124">
        <f t="shared" si="121"/>
        <v>0</v>
      </c>
      <c r="E212" s="124">
        <f t="shared" si="121"/>
        <v>0</v>
      </c>
      <c r="F212" s="206">
        <f t="shared" si="122"/>
        <v>0</v>
      </c>
      <c r="G212" s="328">
        <f>IF('Inputs &amp; Results'!B286="Yes",F212,0)</f>
        <v>0</v>
      </c>
      <c r="H212" s="370">
        <f t="shared" si="123"/>
        <v>0</v>
      </c>
      <c r="I212" s="124">
        <f t="shared" si="116"/>
        <v>0</v>
      </c>
      <c r="J212" s="300">
        <f t="shared" si="124"/>
        <v>0</v>
      </c>
      <c r="K212" s="328">
        <f t="shared" si="117"/>
        <v>0</v>
      </c>
      <c r="L212" s="300">
        <f t="shared" si="125"/>
        <v>0</v>
      </c>
      <c r="M212" s="124">
        <f t="shared" si="118"/>
        <v>0</v>
      </c>
      <c r="N212" s="124">
        <f t="shared" si="119"/>
        <v>0</v>
      </c>
      <c r="O212" s="206">
        <f t="shared" si="120"/>
        <v>0</v>
      </c>
      <c r="P212" s="124">
        <f>IF('Inputs &amp; Results'!B268="Yes",O212*StateBonusDeprec,0)</f>
        <v>0</v>
      </c>
      <c r="Q212" s="206">
        <f t="shared" si="126"/>
        <v>0</v>
      </c>
    </row>
    <row r="213" spans="1:17" s="101" customFormat="1" x14ac:dyDescent="0.2">
      <c r="A213" s="234" t="str">
        <f>'Inputs &amp; Results'!A248</f>
        <v>15-yr SL</v>
      </c>
      <c r="B213" s="324">
        <f t="shared" si="115"/>
        <v>2.5773195876288662E-2</v>
      </c>
      <c r="C213" s="124">
        <f>'Inputs &amp; Results'!E257</f>
        <v>1096970.8702402117</v>
      </c>
      <c r="D213" s="124">
        <f t="shared" si="121"/>
        <v>0</v>
      </c>
      <c r="E213" s="124">
        <f t="shared" si="121"/>
        <v>0</v>
      </c>
      <c r="F213" s="206">
        <f t="shared" si="122"/>
        <v>1096970.8702402117</v>
      </c>
      <c r="G213" s="328">
        <f>IF('Inputs &amp; Results'!B287="Yes",F213,0)</f>
        <v>0</v>
      </c>
      <c r="H213" s="370">
        <f t="shared" si="123"/>
        <v>0</v>
      </c>
      <c r="I213" s="124">
        <f t="shared" si="116"/>
        <v>0</v>
      </c>
      <c r="J213" s="300">
        <f t="shared" si="124"/>
        <v>0</v>
      </c>
      <c r="K213" s="328">
        <f t="shared" si="117"/>
        <v>0</v>
      </c>
      <c r="L213" s="300">
        <f t="shared" si="125"/>
        <v>0</v>
      </c>
      <c r="M213" s="124">
        <f t="shared" si="118"/>
        <v>0</v>
      </c>
      <c r="N213" s="124">
        <f t="shared" si="119"/>
        <v>0</v>
      </c>
      <c r="O213" s="206">
        <f t="shared" si="120"/>
        <v>1096970.8702402117</v>
      </c>
      <c r="P213" s="124">
        <f>IF('Inputs &amp; Results'!B269="Yes",O213*StateBonusDeprec,0)</f>
        <v>0</v>
      </c>
      <c r="Q213" s="206">
        <f t="shared" si="126"/>
        <v>1096970.8702402117</v>
      </c>
    </row>
    <row r="214" spans="1:17" s="101" customFormat="1" x14ac:dyDescent="0.2">
      <c r="A214" s="234" t="str">
        <f>'Inputs &amp; Results'!A249</f>
        <v>20-yr SL</v>
      </c>
      <c r="B214" s="324">
        <f t="shared" si="115"/>
        <v>2.5773195876288662E-2</v>
      </c>
      <c r="C214" s="124">
        <f>'Inputs &amp; Results'!E258</f>
        <v>1096970.8702402117</v>
      </c>
      <c r="D214" s="124">
        <f t="shared" si="121"/>
        <v>0</v>
      </c>
      <c r="E214" s="124">
        <f t="shared" si="121"/>
        <v>0</v>
      </c>
      <c r="F214" s="206">
        <f t="shared" si="122"/>
        <v>1096970.8702402117</v>
      </c>
      <c r="G214" s="328">
        <f>IF('Inputs &amp; Results'!B288="Yes",F214,0)</f>
        <v>0</v>
      </c>
      <c r="H214" s="370">
        <f t="shared" si="123"/>
        <v>0</v>
      </c>
      <c r="I214" s="124">
        <f t="shared" si="116"/>
        <v>0</v>
      </c>
      <c r="J214" s="300">
        <f t="shared" si="124"/>
        <v>0</v>
      </c>
      <c r="K214" s="328">
        <f t="shared" si="117"/>
        <v>0</v>
      </c>
      <c r="L214" s="300">
        <f t="shared" si="125"/>
        <v>0</v>
      </c>
      <c r="M214" s="124">
        <f t="shared" si="118"/>
        <v>0</v>
      </c>
      <c r="N214" s="124">
        <f t="shared" si="119"/>
        <v>0</v>
      </c>
      <c r="O214" s="206">
        <f t="shared" si="120"/>
        <v>1096970.8702402117</v>
      </c>
      <c r="P214" s="124">
        <f>IF('Inputs &amp; Results'!B270="Yes",O214*StateBonusDeprec,0)</f>
        <v>0</v>
      </c>
      <c r="Q214" s="206">
        <f t="shared" si="126"/>
        <v>1096970.8702402117</v>
      </c>
    </row>
    <row r="215" spans="1:17" s="101" customFormat="1" x14ac:dyDescent="0.2">
      <c r="A215" s="234" t="str">
        <f>'Inputs &amp; Results'!A250</f>
        <v>39-yr SL</v>
      </c>
      <c r="B215" s="324">
        <f t="shared" si="115"/>
        <v>5.1546391752577319E-3</v>
      </c>
      <c r="C215" s="124">
        <f>'Inputs &amp; Results'!E259</f>
        <v>219394.17404804233</v>
      </c>
      <c r="D215" s="124">
        <f t="shared" si="121"/>
        <v>0</v>
      </c>
      <c r="E215" s="124">
        <f t="shared" si="121"/>
        <v>0</v>
      </c>
      <c r="F215" s="206">
        <f t="shared" si="122"/>
        <v>219394.17404804233</v>
      </c>
      <c r="G215" s="328">
        <f>IF('Inputs &amp; Results'!B289="Yes",F215,0)</f>
        <v>0</v>
      </c>
      <c r="H215" s="370">
        <f t="shared" si="123"/>
        <v>0</v>
      </c>
      <c r="I215" s="124">
        <f t="shared" si="116"/>
        <v>0</v>
      </c>
      <c r="J215" s="300">
        <f t="shared" si="124"/>
        <v>0</v>
      </c>
      <c r="K215" s="328">
        <f t="shared" si="117"/>
        <v>0</v>
      </c>
      <c r="L215" s="300">
        <f t="shared" si="125"/>
        <v>0</v>
      </c>
      <c r="M215" s="124">
        <f t="shared" si="118"/>
        <v>0</v>
      </c>
      <c r="N215" s="124">
        <f t="shared" si="119"/>
        <v>0</v>
      </c>
      <c r="O215" s="206">
        <f t="shared" si="120"/>
        <v>219394.17404804233</v>
      </c>
      <c r="P215" s="124">
        <f>IF('Inputs &amp; Results'!B271="Yes",O215*StateBonusDeprec,0)</f>
        <v>0</v>
      </c>
      <c r="Q215" s="206">
        <f t="shared" si="126"/>
        <v>219394.17404804233</v>
      </c>
    </row>
    <row r="216" spans="1:17" x14ac:dyDescent="0.2">
      <c r="A216" s="238" t="s">
        <v>311</v>
      </c>
      <c r="B216" s="192"/>
      <c r="C216" s="193"/>
      <c r="D216" s="194"/>
      <c r="E216" s="194"/>
      <c r="F216" s="86"/>
      <c r="G216" s="192"/>
      <c r="H216" s="213"/>
      <c r="I216" s="213"/>
      <c r="J216" s="270"/>
      <c r="K216" s="192"/>
      <c r="L216" s="270"/>
      <c r="M216" s="194"/>
      <c r="N216" s="194"/>
      <c r="O216" s="86"/>
      <c r="P216" s="194"/>
      <c r="Q216" s="86"/>
    </row>
    <row r="217" spans="1:17" s="101" customFormat="1" x14ac:dyDescent="0.2">
      <c r="B217" s="330">
        <f>SUM(B210:B216)</f>
        <v>1</v>
      </c>
      <c r="C217" s="186">
        <f>SUM(C210:C216)</f>
        <v>42562469.765320212</v>
      </c>
      <c r="D217" s="186">
        <f>B226+B232</f>
        <v>0</v>
      </c>
      <c r="E217" s="186">
        <f>B238</f>
        <v>0</v>
      </c>
      <c r="F217" s="207">
        <f t="shared" ref="F217:Q217" si="127">SUM(F210:F216)</f>
        <v>42562469.765320212</v>
      </c>
      <c r="G217" s="207">
        <f>SUM(G210:G216)</f>
        <v>39490951.328647621</v>
      </c>
      <c r="H217" s="331">
        <f>SUM(H210:H216)</f>
        <v>1</v>
      </c>
      <c r="I217" s="207">
        <f>MIN(ITCStateMax,ITCStatePercent*G217)</f>
        <v>0</v>
      </c>
      <c r="J217" s="207">
        <f>SUM(J210:J216)</f>
        <v>0</v>
      </c>
      <c r="K217" s="207">
        <f>ITCStateFixed</f>
        <v>0</v>
      </c>
      <c r="L217" s="207">
        <f>SUM(L210:L216)</f>
        <v>0</v>
      </c>
      <c r="M217" s="186">
        <f t="shared" si="127"/>
        <v>0</v>
      </c>
      <c r="N217" s="186">
        <f t="shared" si="127"/>
        <v>5923642.6992971431</v>
      </c>
      <c r="O217" s="207">
        <f t="shared" si="127"/>
        <v>36638827.066023067</v>
      </c>
      <c r="P217" s="207">
        <f t="shared" si="127"/>
        <v>0</v>
      </c>
      <c r="Q217" s="207">
        <f t="shared" si="127"/>
        <v>36638827.066023067</v>
      </c>
    </row>
    <row r="219" spans="1:17" x14ac:dyDescent="0.2">
      <c r="A219" s="20" t="s">
        <v>152</v>
      </c>
    </row>
    <row r="220" spans="1:17" x14ac:dyDescent="0.2">
      <c r="A220" s="167" t="str">
        <f>A489</f>
        <v>Investment Based Incentive (IBI)</v>
      </c>
    </row>
    <row r="221" spans="1:17" x14ac:dyDescent="0.2">
      <c r="A221" s="183" t="str">
        <f t="shared" ref="A221:A237" si="128">A490</f>
        <v>Fixed Amount ($)</v>
      </c>
    </row>
    <row r="222" spans="1:17" x14ac:dyDescent="0.2">
      <c r="A222" s="196" t="str">
        <f t="shared" si="128"/>
        <v>Federal</v>
      </c>
      <c r="B222" s="135">
        <f>IF(IBIFedFixedStateDeprec="Yes",IBIFedFixed,0)</f>
        <v>0</v>
      </c>
    </row>
    <row r="223" spans="1:17" x14ac:dyDescent="0.2">
      <c r="A223" s="196" t="str">
        <f t="shared" si="128"/>
        <v>State</v>
      </c>
      <c r="B223" s="135">
        <f>IF(IBIStateFixedStateDeprec="Yes",IBIStateFixed,0)</f>
        <v>0</v>
      </c>
    </row>
    <row r="224" spans="1:17" x14ac:dyDescent="0.2">
      <c r="A224" s="196" t="str">
        <f t="shared" si="128"/>
        <v>Utility</v>
      </c>
      <c r="B224" s="135">
        <f>IF(IBIUtilityFixedStateDeprec="Yes",IBIUtilityFixed,0)</f>
        <v>0</v>
      </c>
    </row>
    <row r="225" spans="1:2" x14ac:dyDescent="0.2">
      <c r="A225" s="196" t="str">
        <f t="shared" si="128"/>
        <v>Other</v>
      </c>
      <c r="B225" s="170">
        <f>IF(IBIOtherFixedStateDeprec="Yes",IBIOtherFixed,0)</f>
        <v>0</v>
      </c>
    </row>
    <row r="226" spans="1:2" x14ac:dyDescent="0.2">
      <c r="A226" s="196" t="str">
        <f t="shared" si="128"/>
        <v>Total</v>
      </c>
      <c r="B226" s="135">
        <f>SUM(B222:B225)</f>
        <v>0</v>
      </c>
    </row>
    <row r="227" spans="1:2" x14ac:dyDescent="0.2">
      <c r="A227" s="183" t="str">
        <f t="shared" si="128"/>
        <v>Percentage of Pre-Financing Costs</v>
      </c>
    </row>
    <row r="228" spans="1:2" x14ac:dyDescent="0.2">
      <c r="A228" s="196" t="str">
        <f t="shared" si="128"/>
        <v>Federal</v>
      </c>
      <c r="B228" s="135">
        <f>IF(IBIFedPercentStateDeprec="Yes",IBIFedPercent,0)</f>
        <v>0</v>
      </c>
    </row>
    <row r="229" spans="1:2" x14ac:dyDescent="0.2">
      <c r="A229" s="196" t="str">
        <f>A498</f>
        <v>State</v>
      </c>
      <c r="B229" s="135">
        <f>IF(IBIStatePercentStateDeprec="Yes",IBIStatePercent,0)</f>
        <v>0</v>
      </c>
    </row>
    <row r="230" spans="1:2" x14ac:dyDescent="0.2">
      <c r="A230" s="196" t="str">
        <f t="shared" si="128"/>
        <v>Utility</v>
      </c>
      <c r="B230" s="135">
        <f>IF(IBIUtilityPercentStateDeprec="Yes",IBIUtilityPercent,0)</f>
        <v>0</v>
      </c>
    </row>
    <row r="231" spans="1:2" x14ac:dyDescent="0.2">
      <c r="A231" s="196" t="str">
        <f t="shared" si="128"/>
        <v>Other</v>
      </c>
      <c r="B231" s="170">
        <f>IF(IBIOtherPercentStateDeprec="Yes",IBIOtherPercent,0)</f>
        <v>0</v>
      </c>
    </row>
    <row r="232" spans="1:2" x14ac:dyDescent="0.2">
      <c r="A232" s="196" t="str">
        <f t="shared" si="128"/>
        <v>Total</v>
      </c>
      <c r="B232" s="135">
        <f>SUM(B228:B231)</f>
        <v>0</v>
      </c>
    </row>
    <row r="233" spans="1:2" x14ac:dyDescent="0.2">
      <c r="A233" s="167" t="str">
        <f t="shared" si="128"/>
        <v>Capacity Based Incentive (CBI)</v>
      </c>
    </row>
    <row r="234" spans="1:2" x14ac:dyDescent="0.2">
      <c r="A234" s="183" t="str">
        <f t="shared" si="128"/>
        <v>Federal</v>
      </c>
      <c r="B234" s="135">
        <f>IF(CBIFedStateDeprec="Yes",CBIFed,0)</f>
        <v>0</v>
      </c>
    </row>
    <row r="235" spans="1:2" x14ac:dyDescent="0.2">
      <c r="A235" s="183" t="str">
        <f>A504</f>
        <v>State</v>
      </c>
      <c r="B235" s="135">
        <f>IF(CBIStateStateDeprec="Yes",CBIState,0)</f>
        <v>0</v>
      </c>
    </row>
    <row r="236" spans="1:2" x14ac:dyDescent="0.2">
      <c r="A236" s="183" t="str">
        <f t="shared" si="128"/>
        <v>Utility</v>
      </c>
      <c r="B236" s="135">
        <f>IF(CBIUtilityStateDeprec="Yes",CBIUtility,0)</f>
        <v>0</v>
      </c>
    </row>
    <row r="237" spans="1:2" x14ac:dyDescent="0.2">
      <c r="A237" s="183" t="str">
        <f t="shared" si="128"/>
        <v>Other</v>
      </c>
      <c r="B237" s="170">
        <f>IF(CBIOtherStateDeprec="Yes",CBIOther,0)</f>
        <v>0</v>
      </c>
    </row>
    <row r="238" spans="1:2" x14ac:dyDescent="0.2">
      <c r="A238" s="183" t="str">
        <f>A507</f>
        <v>Total</v>
      </c>
      <c r="B238" s="177">
        <f>SUM(B234:B237)</f>
        <v>0</v>
      </c>
    </row>
    <row r="239" spans="1:2" x14ac:dyDescent="0.2">
      <c r="A239" s="167" t="s">
        <v>140</v>
      </c>
      <c r="B239" s="135">
        <f>B226+B232+B238</f>
        <v>0</v>
      </c>
    </row>
    <row r="241" spans="1:42" x14ac:dyDescent="0.2">
      <c r="A241" s="20" t="s">
        <v>235</v>
      </c>
    </row>
    <row r="242" spans="1:42" x14ac:dyDescent="0.2">
      <c r="A242" s="167" t="s">
        <v>146</v>
      </c>
    </row>
    <row r="243" spans="1:42" x14ac:dyDescent="0.2">
      <c r="A243" s="188" t="str">
        <f>A210</f>
        <v>5-yr MACRS</v>
      </c>
      <c r="B243" s="197">
        <f>SUM(C243:AP243)</f>
        <v>0.99999999999999989</v>
      </c>
      <c r="C243" s="198">
        <f>LOOKUP(C$2,'Depreciation Schedules'!$A$3:$A$42,'Depreciation Schedules'!$B$3:$B$42)</f>
        <v>0.2</v>
      </c>
      <c r="D243" s="198">
        <f>LOOKUP(D$2,'Depreciation Schedules'!$A$3:$A$42,'Depreciation Schedules'!$B$3:$B$42)</f>
        <v>0.32</v>
      </c>
      <c r="E243" s="198">
        <f>LOOKUP(E$2,'Depreciation Schedules'!$A$3:$A$42,'Depreciation Schedules'!$B$3:$B$42)</f>
        <v>0.192</v>
      </c>
      <c r="F243" s="198">
        <f>LOOKUP(F$2,'Depreciation Schedules'!$A$3:$A$42,'Depreciation Schedules'!$B$3:$B$42)</f>
        <v>0.1152</v>
      </c>
      <c r="G243" s="198">
        <f>LOOKUP(G$2,'Depreciation Schedules'!$A$3:$A$42,'Depreciation Schedules'!$B$3:$B$42)</f>
        <v>0.1152</v>
      </c>
      <c r="H243" s="198">
        <f>LOOKUP(H$2,'Depreciation Schedules'!$A$3:$A$42,'Depreciation Schedules'!$B$3:$B$42)</f>
        <v>5.7599999999999998E-2</v>
      </c>
      <c r="I243" s="198">
        <f>LOOKUP(I$2,'Depreciation Schedules'!$A$3:$A$42,'Depreciation Schedules'!$B$3:$B$42)</f>
        <v>0</v>
      </c>
      <c r="J243" s="198">
        <f>LOOKUP(J$2,'Depreciation Schedules'!$A$3:$A$42,'Depreciation Schedules'!$B$3:$B$42)</f>
        <v>0</v>
      </c>
      <c r="K243" s="198">
        <f>LOOKUP(K$2,'Depreciation Schedules'!$A$3:$A$42,'Depreciation Schedules'!$B$3:$B$42)</f>
        <v>0</v>
      </c>
      <c r="L243" s="198">
        <f>LOOKUP(L$2,'Depreciation Schedules'!$A$3:$A$42,'Depreciation Schedules'!$B$3:$B$42)</f>
        <v>0</v>
      </c>
      <c r="M243" s="198">
        <f>LOOKUP(M$2,'Depreciation Schedules'!$A$3:$A$42,'Depreciation Schedules'!$B$3:$B$42)</f>
        <v>0</v>
      </c>
      <c r="N243" s="198">
        <f>LOOKUP(N$2,'Depreciation Schedules'!$A$3:$A$42,'Depreciation Schedules'!$B$3:$B$42)</f>
        <v>0</v>
      </c>
      <c r="O243" s="198">
        <f>LOOKUP(O$2,'Depreciation Schedules'!$A$3:$A$42,'Depreciation Schedules'!$B$3:$B$42)</f>
        <v>0</v>
      </c>
      <c r="P243" s="198">
        <f>LOOKUP(P$2,'Depreciation Schedules'!$A$3:$A$42,'Depreciation Schedules'!$B$3:$B$42)</f>
        <v>0</v>
      </c>
      <c r="Q243" s="198">
        <f>LOOKUP(Q$2,'Depreciation Schedules'!$A$3:$A$42,'Depreciation Schedules'!$B$3:$B$42)</f>
        <v>0</v>
      </c>
      <c r="R243" s="198">
        <f>LOOKUP(R$2,'Depreciation Schedules'!$A$3:$A$42,'Depreciation Schedules'!$B$3:$B$42)</f>
        <v>0</v>
      </c>
      <c r="S243" s="198">
        <f>LOOKUP(S$2,'Depreciation Schedules'!$A$3:$A$42,'Depreciation Schedules'!$B$3:$B$42)</f>
        <v>0</v>
      </c>
      <c r="T243" s="198">
        <f>LOOKUP(T$2,'Depreciation Schedules'!$A$3:$A$42,'Depreciation Schedules'!$B$3:$B$42)</f>
        <v>0</v>
      </c>
      <c r="U243" s="198">
        <f>LOOKUP(U$2,'Depreciation Schedules'!$A$3:$A$42,'Depreciation Schedules'!$B$3:$B$42)</f>
        <v>0</v>
      </c>
      <c r="V243" s="198">
        <f>LOOKUP(V$2,'Depreciation Schedules'!$A$3:$A$42,'Depreciation Schedules'!$B$3:$B$42)</f>
        <v>0</v>
      </c>
      <c r="W243" s="198">
        <f>LOOKUP(W$2,'Depreciation Schedules'!$A$3:$A$42,'Depreciation Schedules'!$B$3:$B$42)</f>
        <v>0</v>
      </c>
      <c r="X243" s="198">
        <f>LOOKUP(X$2,'Depreciation Schedules'!$A$3:$A$42,'Depreciation Schedules'!$B$3:$B$42)</f>
        <v>0</v>
      </c>
      <c r="Y243" s="198">
        <f>LOOKUP(Y$2,'Depreciation Schedules'!$A$3:$A$42,'Depreciation Schedules'!$B$3:$B$42)</f>
        <v>0</v>
      </c>
      <c r="Z243" s="198">
        <f>LOOKUP(Z$2,'Depreciation Schedules'!$A$3:$A$42,'Depreciation Schedules'!$B$3:$B$42)</f>
        <v>0</v>
      </c>
      <c r="AA243" s="198">
        <f>LOOKUP(AA$2,'Depreciation Schedules'!$A$3:$A$42,'Depreciation Schedules'!$B$3:$B$42)</f>
        <v>0</v>
      </c>
      <c r="AB243" s="198">
        <f>LOOKUP(AB$2,'Depreciation Schedules'!$A$3:$A$42,'Depreciation Schedules'!$B$3:$B$42)</f>
        <v>0</v>
      </c>
      <c r="AC243" s="198">
        <f>LOOKUP(AC$2,'Depreciation Schedules'!$A$3:$A$42,'Depreciation Schedules'!$B$3:$B$42)</f>
        <v>0</v>
      </c>
      <c r="AD243" s="198">
        <f>LOOKUP(AD$2,'Depreciation Schedules'!$A$3:$A$42,'Depreciation Schedules'!$B$3:$B$42)</f>
        <v>0</v>
      </c>
      <c r="AE243" s="198">
        <f>LOOKUP(AE$2,'Depreciation Schedules'!$A$3:$A$42,'Depreciation Schedules'!$B$3:$B$42)</f>
        <v>0</v>
      </c>
      <c r="AF243" s="198">
        <f>LOOKUP(AF$2,'Depreciation Schedules'!$A$3:$A$42,'Depreciation Schedules'!$B$3:$B$42)</f>
        <v>0</v>
      </c>
      <c r="AG243" s="198">
        <f>LOOKUP(AG$2,'Depreciation Schedules'!$A$3:$A$42,'Depreciation Schedules'!$B$3:$B$42)</f>
        <v>0</v>
      </c>
      <c r="AH243" s="198">
        <f>LOOKUP(AH$2,'Depreciation Schedules'!$A$3:$A$42,'Depreciation Schedules'!$B$3:$B$42)</f>
        <v>0</v>
      </c>
      <c r="AI243" s="198">
        <f>LOOKUP(AI$2,'Depreciation Schedules'!$A$3:$A$42,'Depreciation Schedules'!$B$3:$B$42)</f>
        <v>0</v>
      </c>
      <c r="AJ243" s="198">
        <f>LOOKUP(AJ$2,'Depreciation Schedules'!$A$3:$A$42,'Depreciation Schedules'!$B$3:$B$42)</f>
        <v>0</v>
      </c>
      <c r="AK243" s="198">
        <f>LOOKUP(AK$2,'Depreciation Schedules'!$A$3:$A$42,'Depreciation Schedules'!$B$3:$B$42)</f>
        <v>0</v>
      </c>
      <c r="AL243" s="198">
        <f>LOOKUP(AL$2,'Depreciation Schedules'!$A$3:$A$42,'Depreciation Schedules'!$B$3:$B$42)</f>
        <v>0</v>
      </c>
      <c r="AM243" s="198">
        <f>LOOKUP(AM$2,'Depreciation Schedules'!$A$3:$A$42,'Depreciation Schedules'!$B$3:$B$42)</f>
        <v>0</v>
      </c>
      <c r="AN243" s="198">
        <f>LOOKUP(AN$2,'Depreciation Schedules'!$A$3:$A$42,'Depreciation Schedules'!$B$3:$B$42)</f>
        <v>0</v>
      </c>
      <c r="AO243" s="198">
        <f>LOOKUP(AO$2,'Depreciation Schedules'!$A$3:$A$42,'Depreciation Schedules'!$B$3:$B$42)</f>
        <v>0</v>
      </c>
      <c r="AP243" s="198">
        <f>LOOKUP(AP$2,'Depreciation Schedules'!$A$3:$A$42,'Depreciation Schedules'!$B$3:$B$42)</f>
        <v>0</v>
      </c>
    </row>
    <row r="244" spans="1:42" x14ac:dyDescent="0.2">
      <c r="A244" s="188" t="str">
        <f t="shared" ref="A244:A248" si="129">A211</f>
        <v>15-yr MACRS</v>
      </c>
      <c r="B244" s="199">
        <f t="shared" ref="B244:B248" si="130">SUM(C244:AP244)</f>
        <v>1.0000000000000002</v>
      </c>
      <c r="C244" s="198">
        <f>LOOKUP(C$2,'Depreciation Schedules'!$A$3:$A$42,'Depreciation Schedules'!$C$3:$C$42)</f>
        <v>0.05</v>
      </c>
      <c r="D244" s="198">
        <f>LOOKUP(D$2,'Depreciation Schedules'!$A$3:$A$42,'Depreciation Schedules'!$C$3:$C$42)</f>
        <v>9.5000000000000001E-2</v>
      </c>
      <c r="E244" s="198">
        <f>LOOKUP(E$2,'Depreciation Schedules'!$A$3:$A$42,'Depreciation Schedules'!$C$3:$C$42)</f>
        <v>8.5500000000000007E-2</v>
      </c>
      <c r="F244" s="198">
        <f>LOOKUP(F$2,'Depreciation Schedules'!$A$3:$A$42,'Depreciation Schedules'!$C$3:$C$42)</f>
        <v>7.6999999999999999E-2</v>
      </c>
      <c r="G244" s="198">
        <f>LOOKUP(G$2,'Depreciation Schedules'!$A$3:$A$42,'Depreciation Schedules'!$C$3:$C$42)</f>
        <v>6.93E-2</v>
      </c>
      <c r="H244" s="198">
        <f>LOOKUP(H$2,'Depreciation Schedules'!$A$3:$A$42,'Depreciation Schedules'!$C$3:$C$42)</f>
        <v>6.2300000000000001E-2</v>
      </c>
      <c r="I244" s="198">
        <f>LOOKUP(I$2,'Depreciation Schedules'!$A$3:$A$42,'Depreciation Schedules'!$C$3:$C$42)</f>
        <v>5.8999999999999997E-2</v>
      </c>
      <c r="J244" s="198">
        <f>LOOKUP(J$2,'Depreciation Schedules'!$A$3:$A$42,'Depreciation Schedules'!$C$3:$C$42)</f>
        <v>5.8999999999999997E-2</v>
      </c>
      <c r="K244" s="198">
        <f>LOOKUP(K$2,'Depreciation Schedules'!$A$3:$A$42,'Depreciation Schedules'!$C$3:$C$42)</f>
        <v>5.91E-2</v>
      </c>
      <c r="L244" s="198">
        <f>LOOKUP(L$2,'Depreciation Schedules'!$A$3:$A$42,'Depreciation Schedules'!$C$3:$C$42)</f>
        <v>5.8999999999999997E-2</v>
      </c>
      <c r="M244" s="198">
        <f>LOOKUP(M$2,'Depreciation Schedules'!$A$3:$A$42,'Depreciation Schedules'!$C$3:$C$42)</f>
        <v>5.91E-2</v>
      </c>
      <c r="N244" s="198">
        <f>LOOKUP(N$2,'Depreciation Schedules'!$A$3:$A$42,'Depreciation Schedules'!$C$3:$C$42)</f>
        <v>5.8999999999999997E-2</v>
      </c>
      <c r="O244" s="198">
        <f>LOOKUP(O$2,'Depreciation Schedules'!$A$3:$A$42,'Depreciation Schedules'!$C$3:$C$42)</f>
        <v>5.91E-2</v>
      </c>
      <c r="P244" s="198">
        <f>LOOKUP(P$2,'Depreciation Schedules'!$A$3:$A$42,'Depreciation Schedules'!$C$3:$C$42)</f>
        <v>5.8999999999999997E-2</v>
      </c>
      <c r="Q244" s="198">
        <f>LOOKUP(Q$2,'Depreciation Schedules'!$A$3:$A$42,'Depreciation Schedules'!$C$3:$C$42)</f>
        <v>5.91E-2</v>
      </c>
      <c r="R244" s="198">
        <f>LOOKUP(R$2,'Depreciation Schedules'!$A$3:$A$42,'Depreciation Schedules'!$C$3:$C$42)</f>
        <v>2.9499999999999998E-2</v>
      </c>
      <c r="S244" s="198">
        <f>LOOKUP(S$2,'Depreciation Schedules'!$A$3:$A$42,'Depreciation Schedules'!$C$3:$C$42)</f>
        <v>0</v>
      </c>
      <c r="T244" s="198">
        <f>LOOKUP(T$2,'Depreciation Schedules'!$A$3:$A$42,'Depreciation Schedules'!$C$3:$C$42)</f>
        <v>0</v>
      </c>
      <c r="U244" s="198">
        <f>LOOKUP(U$2,'Depreciation Schedules'!$A$3:$A$42,'Depreciation Schedules'!$C$3:$C$42)</f>
        <v>0</v>
      </c>
      <c r="V244" s="198">
        <f>LOOKUP(V$2,'Depreciation Schedules'!$A$3:$A$42,'Depreciation Schedules'!$C$3:$C$42)</f>
        <v>0</v>
      </c>
      <c r="W244" s="198">
        <f>LOOKUP(W$2,'Depreciation Schedules'!$A$3:$A$42,'Depreciation Schedules'!$C$3:$C$42)</f>
        <v>0</v>
      </c>
      <c r="X244" s="198">
        <f>LOOKUP(X$2,'Depreciation Schedules'!$A$3:$A$42,'Depreciation Schedules'!$C$3:$C$42)</f>
        <v>0</v>
      </c>
      <c r="Y244" s="198">
        <f>LOOKUP(Y$2,'Depreciation Schedules'!$A$3:$A$42,'Depreciation Schedules'!$C$3:$C$42)</f>
        <v>0</v>
      </c>
      <c r="Z244" s="198">
        <f>LOOKUP(Z$2,'Depreciation Schedules'!$A$3:$A$42,'Depreciation Schedules'!$C$3:$C$42)</f>
        <v>0</v>
      </c>
      <c r="AA244" s="198">
        <f>LOOKUP(AA$2,'Depreciation Schedules'!$A$3:$A$42,'Depreciation Schedules'!$C$3:$C$42)</f>
        <v>0</v>
      </c>
      <c r="AB244" s="198">
        <f>LOOKUP(AB$2,'Depreciation Schedules'!$A$3:$A$42,'Depreciation Schedules'!$C$3:$C$42)</f>
        <v>0</v>
      </c>
      <c r="AC244" s="198">
        <f>LOOKUP(AC$2,'Depreciation Schedules'!$A$3:$A$42,'Depreciation Schedules'!$C$3:$C$42)</f>
        <v>0</v>
      </c>
      <c r="AD244" s="198">
        <f>LOOKUP(AD$2,'Depreciation Schedules'!$A$3:$A$42,'Depreciation Schedules'!$C$3:$C$42)</f>
        <v>0</v>
      </c>
      <c r="AE244" s="198">
        <f>LOOKUP(AE$2,'Depreciation Schedules'!$A$3:$A$42,'Depreciation Schedules'!$C$3:$C$42)</f>
        <v>0</v>
      </c>
      <c r="AF244" s="198">
        <f>LOOKUP(AF$2,'Depreciation Schedules'!$A$3:$A$42,'Depreciation Schedules'!$C$3:$C$42)</f>
        <v>0</v>
      </c>
      <c r="AG244" s="198">
        <f>LOOKUP(AG$2,'Depreciation Schedules'!$A$3:$A$42,'Depreciation Schedules'!$C$3:$C$42)</f>
        <v>0</v>
      </c>
      <c r="AH244" s="198">
        <f>LOOKUP(AH$2,'Depreciation Schedules'!$A$3:$A$42,'Depreciation Schedules'!$C$3:$C$42)</f>
        <v>0</v>
      </c>
      <c r="AI244" s="198">
        <f>LOOKUP(AI$2,'Depreciation Schedules'!$A$3:$A$42,'Depreciation Schedules'!$C$3:$C$42)</f>
        <v>0</v>
      </c>
      <c r="AJ244" s="198">
        <f>LOOKUP(AJ$2,'Depreciation Schedules'!$A$3:$A$42,'Depreciation Schedules'!$C$3:$C$42)</f>
        <v>0</v>
      </c>
      <c r="AK244" s="198">
        <f>LOOKUP(AK$2,'Depreciation Schedules'!$A$3:$A$42,'Depreciation Schedules'!$C$3:$C$42)</f>
        <v>0</v>
      </c>
      <c r="AL244" s="198">
        <f>LOOKUP(AL$2,'Depreciation Schedules'!$A$3:$A$42,'Depreciation Schedules'!$C$3:$C$42)</f>
        <v>0</v>
      </c>
      <c r="AM244" s="198">
        <f>LOOKUP(AM$2,'Depreciation Schedules'!$A$3:$A$42,'Depreciation Schedules'!$C$3:$C$42)</f>
        <v>0</v>
      </c>
      <c r="AN244" s="198">
        <f>LOOKUP(AN$2,'Depreciation Schedules'!$A$3:$A$42,'Depreciation Schedules'!$C$3:$C$42)</f>
        <v>0</v>
      </c>
      <c r="AO244" s="198">
        <f>LOOKUP(AO$2,'Depreciation Schedules'!$A$3:$A$42,'Depreciation Schedules'!$C$3:$C$42)</f>
        <v>0</v>
      </c>
      <c r="AP244" s="198">
        <f>LOOKUP(AP$2,'Depreciation Schedules'!$A$3:$A$42,'Depreciation Schedules'!$C$3:$C$42)</f>
        <v>0</v>
      </c>
    </row>
    <row r="245" spans="1:42" x14ac:dyDescent="0.2">
      <c r="A245" s="188" t="str">
        <f t="shared" si="129"/>
        <v>5-yr SL</v>
      </c>
      <c r="B245" s="199">
        <f t="shared" si="130"/>
        <v>0.99999999999999989</v>
      </c>
      <c r="C245" s="198">
        <f>LOOKUP(C$2,'Depreciation Schedules'!$A$3:$A$42,'Depreciation Schedules'!$D$3:$D$42)</f>
        <v>0.1</v>
      </c>
      <c r="D245" s="198">
        <f>LOOKUP(D$2,'Depreciation Schedules'!$A$3:$A$42,'Depreciation Schedules'!$D$3:$D$42)</f>
        <v>0.2</v>
      </c>
      <c r="E245" s="198">
        <f>LOOKUP(E$2,'Depreciation Schedules'!$A$3:$A$42,'Depreciation Schedules'!$D$3:$D$42)</f>
        <v>0.2</v>
      </c>
      <c r="F245" s="198">
        <f>LOOKUP(F$2,'Depreciation Schedules'!$A$3:$A$42,'Depreciation Schedules'!$D$3:$D$42)</f>
        <v>0.2</v>
      </c>
      <c r="G245" s="198">
        <f>LOOKUP(G$2,'Depreciation Schedules'!$A$3:$A$42,'Depreciation Schedules'!$D$3:$D$42)</f>
        <v>0.2</v>
      </c>
      <c r="H245" s="198">
        <f>LOOKUP(H$2,'Depreciation Schedules'!$A$3:$A$42,'Depreciation Schedules'!$D$3:$D$42)</f>
        <v>0.1</v>
      </c>
      <c r="I245" s="198">
        <f>LOOKUP(I$2,'Depreciation Schedules'!$A$3:$A$42,'Depreciation Schedules'!$D$3:$D$42)</f>
        <v>0</v>
      </c>
      <c r="J245" s="198">
        <f>LOOKUP(J$2,'Depreciation Schedules'!$A$3:$A$42,'Depreciation Schedules'!$D$3:$D$42)</f>
        <v>0</v>
      </c>
      <c r="K245" s="198">
        <f>LOOKUP(K$2,'Depreciation Schedules'!$A$3:$A$42,'Depreciation Schedules'!$D$3:$D$42)</f>
        <v>0</v>
      </c>
      <c r="L245" s="198">
        <f>LOOKUP(L$2,'Depreciation Schedules'!$A$3:$A$42,'Depreciation Schedules'!$D$3:$D$42)</f>
        <v>0</v>
      </c>
      <c r="M245" s="198">
        <f>LOOKUP(M$2,'Depreciation Schedules'!$A$3:$A$42,'Depreciation Schedules'!$D$3:$D$42)</f>
        <v>0</v>
      </c>
      <c r="N245" s="198">
        <f>LOOKUP(N$2,'Depreciation Schedules'!$A$3:$A$42,'Depreciation Schedules'!$D$3:$D$42)</f>
        <v>0</v>
      </c>
      <c r="O245" s="198">
        <f>LOOKUP(O$2,'Depreciation Schedules'!$A$3:$A$42,'Depreciation Schedules'!$D$3:$D$42)</f>
        <v>0</v>
      </c>
      <c r="P245" s="198">
        <f>LOOKUP(P$2,'Depreciation Schedules'!$A$3:$A$42,'Depreciation Schedules'!$D$3:$D$42)</f>
        <v>0</v>
      </c>
      <c r="Q245" s="198">
        <f>LOOKUP(Q$2,'Depreciation Schedules'!$A$3:$A$42,'Depreciation Schedules'!$D$3:$D$42)</f>
        <v>0</v>
      </c>
      <c r="R245" s="198">
        <f>LOOKUP(R$2,'Depreciation Schedules'!$A$3:$A$42,'Depreciation Schedules'!$D$3:$D$42)</f>
        <v>0</v>
      </c>
      <c r="S245" s="198">
        <f>LOOKUP(S$2,'Depreciation Schedules'!$A$3:$A$42,'Depreciation Schedules'!$D$3:$D$42)</f>
        <v>0</v>
      </c>
      <c r="T245" s="198">
        <f>LOOKUP(T$2,'Depreciation Schedules'!$A$3:$A$42,'Depreciation Schedules'!$D$3:$D$42)</f>
        <v>0</v>
      </c>
      <c r="U245" s="198">
        <f>LOOKUP(U$2,'Depreciation Schedules'!$A$3:$A$42,'Depreciation Schedules'!$D$3:$D$42)</f>
        <v>0</v>
      </c>
      <c r="V245" s="198">
        <f>LOOKUP(V$2,'Depreciation Schedules'!$A$3:$A$42,'Depreciation Schedules'!$D$3:$D$42)</f>
        <v>0</v>
      </c>
      <c r="W245" s="198">
        <f>LOOKUP(W$2,'Depreciation Schedules'!$A$3:$A$42,'Depreciation Schedules'!$D$3:$D$42)</f>
        <v>0</v>
      </c>
      <c r="X245" s="198">
        <f>LOOKUP(X$2,'Depreciation Schedules'!$A$3:$A$42,'Depreciation Schedules'!$D$3:$D$42)</f>
        <v>0</v>
      </c>
      <c r="Y245" s="198">
        <f>LOOKUP(Y$2,'Depreciation Schedules'!$A$3:$A$42,'Depreciation Schedules'!$D$3:$D$42)</f>
        <v>0</v>
      </c>
      <c r="Z245" s="198">
        <f>LOOKUP(Z$2,'Depreciation Schedules'!$A$3:$A$42,'Depreciation Schedules'!$D$3:$D$42)</f>
        <v>0</v>
      </c>
      <c r="AA245" s="198">
        <f>LOOKUP(AA$2,'Depreciation Schedules'!$A$3:$A$42,'Depreciation Schedules'!$D$3:$D$42)</f>
        <v>0</v>
      </c>
      <c r="AB245" s="198">
        <f>LOOKUP(AB$2,'Depreciation Schedules'!$A$3:$A$42,'Depreciation Schedules'!$D$3:$D$42)</f>
        <v>0</v>
      </c>
      <c r="AC245" s="198">
        <f>LOOKUP(AC$2,'Depreciation Schedules'!$A$3:$A$42,'Depreciation Schedules'!$D$3:$D$42)</f>
        <v>0</v>
      </c>
      <c r="AD245" s="198">
        <f>LOOKUP(AD$2,'Depreciation Schedules'!$A$3:$A$42,'Depreciation Schedules'!$D$3:$D$42)</f>
        <v>0</v>
      </c>
      <c r="AE245" s="198">
        <f>LOOKUP(AE$2,'Depreciation Schedules'!$A$3:$A$42,'Depreciation Schedules'!$D$3:$D$42)</f>
        <v>0</v>
      </c>
      <c r="AF245" s="198">
        <f>LOOKUP(AF$2,'Depreciation Schedules'!$A$3:$A$42,'Depreciation Schedules'!$D$3:$D$42)</f>
        <v>0</v>
      </c>
      <c r="AG245" s="198">
        <f>LOOKUP(AG$2,'Depreciation Schedules'!$A$3:$A$42,'Depreciation Schedules'!$D$3:$D$42)</f>
        <v>0</v>
      </c>
      <c r="AH245" s="198">
        <f>LOOKUP(AH$2,'Depreciation Schedules'!$A$3:$A$42,'Depreciation Schedules'!$D$3:$D$42)</f>
        <v>0</v>
      </c>
      <c r="AI245" s="198">
        <f>LOOKUP(AI$2,'Depreciation Schedules'!$A$3:$A$42,'Depreciation Schedules'!$D$3:$D$42)</f>
        <v>0</v>
      </c>
      <c r="AJ245" s="198">
        <f>LOOKUP(AJ$2,'Depreciation Schedules'!$A$3:$A$42,'Depreciation Schedules'!$D$3:$D$42)</f>
        <v>0</v>
      </c>
      <c r="AK245" s="198">
        <f>LOOKUP(AK$2,'Depreciation Schedules'!$A$3:$A$42,'Depreciation Schedules'!$D$3:$D$42)</f>
        <v>0</v>
      </c>
      <c r="AL245" s="198">
        <f>LOOKUP(AL$2,'Depreciation Schedules'!$A$3:$A$42,'Depreciation Schedules'!$D$3:$D$42)</f>
        <v>0</v>
      </c>
      <c r="AM245" s="198">
        <f>LOOKUP(AM$2,'Depreciation Schedules'!$A$3:$A$42,'Depreciation Schedules'!$D$3:$D$42)</f>
        <v>0</v>
      </c>
      <c r="AN245" s="198">
        <f>LOOKUP(AN$2,'Depreciation Schedules'!$A$3:$A$42,'Depreciation Schedules'!$D$3:$D$42)</f>
        <v>0</v>
      </c>
      <c r="AO245" s="198">
        <f>LOOKUP(AO$2,'Depreciation Schedules'!$A$3:$A$42,'Depreciation Schedules'!$D$3:$D$42)</f>
        <v>0</v>
      </c>
      <c r="AP245" s="198">
        <f>LOOKUP(AP$2,'Depreciation Schedules'!$A$3:$A$42,'Depreciation Schedules'!$D$3:$D$42)</f>
        <v>0</v>
      </c>
    </row>
    <row r="246" spans="1:42" x14ac:dyDescent="0.2">
      <c r="A246" s="188" t="str">
        <f t="shared" si="129"/>
        <v>15-yr SL</v>
      </c>
      <c r="B246" s="199">
        <f t="shared" si="130"/>
        <v>0.99999999999999989</v>
      </c>
      <c r="C246" s="198">
        <f>LOOKUP(C$2,'Depreciation Schedules'!$A$3:$A$42,'Depreciation Schedules'!$E$3:$E$42)</f>
        <v>3.3300000000000003E-2</v>
      </c>
      <c r="D246" s="198">
        <f>LOOKUP(D$2,'Depreciation Schedules'!$A$3:$A$42,'Depreciation Schedules'!$E$3:$E$42)</f>
        <v>6.6699999999999995E-2</v>
      </c>
      <c r="E246" s="198">
        <f>LOOKUP(E$2,'Depreciation Schedules'!$A$3:$A$42,'Depreciation Schedules'!$E$3:$E$42)</f>
        <v>6.6699999999999995E-2</v>
      </c>
      <c r="F246" s="198">
        <f>LOOKUP(F$2,'Depreciation Schedules'!$A$3:$A$42,'Depreciation Schedules'!$E$3:$E$42)</f>
        <v>6.6699999999999995E-2</v>
      </c>
      <c r="G246" s="198">
        <f>LOOKUP(G$2,'Depreciation Schedules'!$A$3:$A$42,'Depreciation Schedules'!$E$3:$E$42)</f>
        <v>6.6699999999999995E-2</v>
      </c>
      <c r="H246" s="198">
        <f>LOOKUP(H$2,'Depreciation Schedules'!$A$3:$A$42,'Depreciation Schedules'!$E$3:$E$42)</f>
        <v>6.6699999999999995E-2</v>
      </c>
      <c r="I246" s="198">
        <f>LOOKUP(I$2,'Depreciation Schedules'!$A$3:$A$42,'Depreciation Schedules'!$E$3:$E$42)</f>
        <v>6.6699999999999995E-2</v>
      </c>
      <c r="J246" s="198">
        <f>LOOKUP(J$2,'Depreciation Schedules'!$A$3:$A$42,'Depreciation Schedules'!$E$3:$E$42)</f>
        <v>6.6600000000000006E-2</v>
      </c>
      <c r="K246" s="198">
        <f>LOOKUP(K$2,'Depreciation Schedules'!$A$3:$A$42,'Depreciation Schedules'!$E$3:$E$42)</f>
        <v>6.6699999999999995E-2</v>
      </c>
      <c r="L246" s="198">
        <f>LOOKUP(L$2,'Depreciation Schedules'!$A$3:$A$42,'Depreciation Schedules'!$E$3:$E$42)</f>
        <v>6.6600000000000006E-2</v>
      </c>
      <c r="M246" s="198">
        <f>LOOKUP(M$2,'Depreciation Schedules'!$A$3:$A$42,'Depreciation Schedules'!$E$3:$E$42)</f>
        <v>6.6699999999999995E-2</v>
      </c>
      <c r="N246" s="198">
        <f>LOOKUP(N$2,'Depreciation Schedules'!$A$3:$A$42,'Depreciation Schedules'!$E$3:$E$42)</f>
        <v>6.6600000000000006E-2</v>
      </c>
      <c r="O246" s="198">
        <f>LOOKUP(O$2,'Depreciation Schedules'!$A$3:$A$42,'Depreciation Schedules'!$E$3:$E$42)</f>
        <v>6.6699999999999995E-2</v>
      </c>
      <c r="P246" s="198">
        <f>LOOKUP(P$2,'Depreciation Schedules'!$A$3:$A$42,'Depreciation Schedules'!$E$3:$E$42)</f>
        <v>6.6600000000000006E-2</v>
      </c>
      <c r="Q246" s="198">
        <f>LOOKUP(Q$2,'Depreciation Schedules'!$A$3:$A$42,'Depreciation Schedules'!$E$3:$E$42)</f>
        <v>6.6699999999999995E-2</v>
      </c>
      <c r="R246" s="198">
        <f>LOOKUP(R$2,'Depreciation Schedules'!$A$3:$A$42,'Depreciation Schedules'!$E$3:$E$42)</f>
        <v>3.3300000000000003E-2</v>
      </c>
      <c r="S246" s="198">
        <f>LOOKUP(S$2,'Depreciation Schedules'!$A$3:$A$42,'Depreciation Schedules'!$E$3:$E$42)</f>
        <v>0</v>
      </c>
      <c r="T246" s="198">
        <f>LOOKUP(T$2,'Depreciation Schedules'!$A$3:$A$42,'Depreciation Schedules'!$E$3:$E$42)</f>
        <v>0</v>
      </c>
      <c r="U246" s="198">
        <f>LOOKUP(U$2,'Depreciation Schedules'!$A$3:$A$42,'Depreciation Schedules'!$E$3:$E$42)</f>
        <v>0</v>
      </c>
      <c r="V246" s="198">
        <f>LOOKUP(V$2,'Depreciation Schedules'!$A$3:$A$42,'Depreciation Schedules'!$E$3:$E$42)</f>
        <v>0</v>
      </c>
      <c r="W246" s="198">
        <f>LOOKUP(W$2,'Depreciation Schedules'!$A$3:$A$42,'Depreciation Schedules'!$E$3:$E$42)</f>
        <v>0</v>
      </c>
      <c r="X246" s="198">
        <f>LOOKUP(X$2,'Depreciation Schedules'!$A$3:$A$42,'Depreciation Schedules'!$E$3:$E$42)</f>
        <v>0</v>
      </c>
      <c r="Y246" s="198">
        <f>LOOKUP(Y$2,'Depreciation Schedules'!$A$3:$A$42,'Depreciation Schedules'!$E$3:$E$42)</f>
        <v>0</v>
      </c>
      <c r="Z246" s="198">
        <f>LOOKUP(Z$2,'Depreciation Schedules'!$A$3:$A$42,'Depreciation Schedules'!$E$3:$E$42)</f>
        <v>0</v>
      </c>
      <c r="AA246" s="198">
        <f>LOOKUP(AA$2,'Depreciation Schedules'!$A$3:$A$42,'Depreciation Schedules'!$E$3:$E$42)</f>
        <v>0</v>
      </c>
      <c r="AB246" s="198">
        <f>LOOKUP(AB$2,'Depreciation Schedules'!$A$3:$A$42,'Depreciation Schedules'!$E$3:$E$42)</f>
        <v>0</v>
      </c>
      <c r="AC246" s="198">
        <f>LOOKUP(AC$2,'Depreciation Schedules'!$A$3:$A$42,'Depreciation Schedules'!$E$3:$E$42)</f>
        <v>0</v>
      </c>
      <c r="AD246" s="198">
        <f>LOOKUP(AD$2,'Depreciation Schedules'!$A$3:$A$42,'Depreciation Schedules'!$E$3:$E$42)</f>
        <v>0</v>
      </c>
      <c r="AE246" s="198">
        <f>LOOKUP(AE$2,'Depreciation Schedules'!$A$3:$A$42,'Depreciation Schedules'!$E$3:$E$42)</f>
        <v>0</v>
      </c>
      <c r="AF246" s="198">
        <f>LOOKUP(AF$2,'Depreciation Schedules'!$A$3:$A$42,'Depreciation Schedules'!$E$3:$E$42)</f>
        <v>0</v>
      </c>
      <c r="AG246" s="198">
        <f>LOOKUP(AG$2,'Depreciation Schedules'!$A$3:$A$42,'Depreciation Schedules'!$E$3:$E$42)</f>
        <v>0</v>
      </c>
      <c r="AH246" s="198">
        <f>LOOKUP(AH$2,'Depreciation Schedules'!$A$3:$A$42,'Depreciation Schedules'!$E$3:$E$42)</f>
        <v>0</v>
      </c>
      <c r="AI246" s="198">
        <f>LOOKUP(AI$2,'Depreciation Schedules'!$A$3:$A$42,'Depreciation Schedules'!$E$3:$E$42)</f>
        <v>0</v>
      </c>
      <c r="AJ246" s="198">
        <f>LOOKUP(AJ$2,'Depreciation Schedules'!$A$3:$A$42,'Depreciation Schedules'!$E$3:$E$42)</f>
        <v>0</v>
      </c>
      <c r="AK246" s="198">
        <f>LOOKUP(AK$2,'Depreciation Schedules'!$A$3:$A$42,'Depreciation Schedules'!$E$3:$E$42)</f>
        <v>0</v>
      </c>
      <c r="AL246" s="198">
        <f>LOOKUP(AL$2,'Depreciation Schedules'!$A$3:$A$42,'Depreciation Schedules'!$E$3:$E$42)</f>
        <v>0</v>
      </c>
      <c r="AM246" s="198">
        <f>LOOKUP(AM$2,'Depreciation Schedules'!$A$3:$A$42,'Depreciation Schedules'!$E$3:$E$42)</f>
        <v>0</v>
      </c>
      <c r="AN246" s="198">
        <f>LOOKUP(AN$2,'Depreciation Schedules'!$A$3:$A$42,'Depreciation Schedules'!$E$3:$E$42)</f>
        <v>0</v>
      </c>
      <c r="AO246" s="198">
        <f>LOOKUP(AO$2,'Depreciation Schedules'!$A$3:$A$42,'Depreciation Schedules'!$E$3:$E$42)</f>
        <v>0</v>
      </c>
      <c r="AP246" s="198">
        <f>LOOKUP(AP$2,'Depreciation Schedules'!$A$3:$A$42,'Depreciation Schedules'!$E$3:$E$42)</f>
        <v>0</v>
      </c>
    </row>
    <row r="247" spans="1:42" x14ac:dyDescent="0.2">
      <c r="A247" s="188" t="str">
        <f t="shared" si="129"/>
        <v>20-yr SL</v>
      </c>
      <c r="B247" s="199">
        <f t="shared" si="130"/>
        <v>1.0000000000000002</v>
      </c>
      <c r="C247" s="198">
        <f>LOOKUP(C$2,'Depreciation Schedules'!$A$3:$A$42,'Depreciation Schedules'!$F$3:$F$42)</f>
        <v>2.5000000000000001E-2</v>
      </c>
      <c r="D247" s="198">
        <f>LOOKUP(D$2,'Depreciation Schedules'!$A$3:$A$42,'Depreciation Schedules'!$F$3:$F$42)</f>
        <v>0.05</v>
      </c>
      <c r="E247" s="198">
        <f>LOOKUP(E$2,'Depreciation Schedules'!$A$3:$A$42,'Depreciation Schedules'!$F$3:$F$42)</f>
        <v>0.05</v>
      </c>
      <c r="F247" s="198">
        <f>LOOKUP(F$2,'Depreciation Schedules'!$A$3:$A$42,'Depreciation Schedules'!$F$3:$F$42)</f>
        <v>0.05</v>
      </c>
      <c r="G247" s="198">
        <f>LOOKUP(G$2,'Depreciation Schedules'!$A$3:$A$42,'Depreciation Schedules'!$F$3:$F$42)</f>
        <v>0.05</v>
      </c>
      <c r="H247" s="198">
        <f>LOOKUP(H$2,'Depreciation Schedules'!$A$3:$A$42,'Depreciation Schedules'!$F$3:$F$42)</f>
        <v>0.05</v>
      </c>
      <c r="I247" s="198">
        <f>LOOKUP(I$2,'Depreciation Schedules'!$A$3:$A$42,'Depreciation Schedules'!$F$3:$F$42)</f>
        <v>0.05</v>
      </c>
      <c r="J247" s="198">
        <f>LOOKUP(J$2,'Depreciation Schedules'!$A$3:$A$42,'Depreciation Schedules'!$F$3:$F$42)</f>
        <v>0.05</v>
      </c>
      <c r="K247" s="198">
        <f>LOOKUP(K$2,'Depreciation Schedules'!$A$3:$A$42,'Depreciation Schedules'!$F$3:$F$42)</f>
        <v>0.05</v>
      </c>
      <c r="L247" s="198">
        <f>LOOKUP(L$2,'Depreciation Schedules'!$A$3:$A$42,'Depreciation Schedules'!$F$3:$F$42)</f>
        <v>0.05</v>
      </c>
      <c r="M247" s="198">
        <f>LOOKUP(M$2,'Depreciation Schedules'!$A$3:$A$42,'Depreciation Schedules'!$F$3:$F$42)</f>
        <v>0.05</v>
      </c>
      <c r="N247" s="198">
        <f>LOOKUP(N$2,'Depreciation Schedules'!$A$3:$A$42,'Depreciation Schedules'!$F$3:$F$42)</f>
        <v>0.05</v>
      </c>
      <c r="O247" s="198">
        <f>LOOKUP(O$2,'Depreciation Schedules'!$A$3:$A$42,'Depreciation Schedules'!$F$3:$F$42)</f>
        <v>0.05</v>
      </c>
      <c r="P247" s="198">
        <f>LOOKUP(P$2,'Depreciation Schedules'!$A$3:$A$42,'Depreciation Schedules'!$F$3:$F$42)</f>
        <v>0.05</v>
      </c>
      <c r="Q247" s="198">
        <f>LOOKUP(Q$2,'Depreciation Schedules'!$A$3:$A$42,'Depreciation Schedules'!$F$3:$F$42)</f>
        <v>0.05</v>
      </c>
      <c r="R247" s="198">
        <f>LOOKUP(R$2,'Depreciation Schedules'!$A$3:$A$42,'Depreciation Schedules'!$F$3:$F$42)</f>
        <v>0.05</v>
      </c>
      <c r="S247" s="198">
        <f>LOOKUP(S$2,'Depreciation Schedules'!$A$3:$A$42,'Depreciation Schedules'!$F$3:$F$42)</f>
        <v>0.05</v>
      </c>
      <c r="T247" s="198">
        <f>LOOKUP(T$2,'Depreciation Schedules'!$A$3:$A$42,'Depreciation Schedules'!$F$3:$F$42)</f>
        <v>0.05</v>
      </c>
      <c r="U247" s="198">
        <f>LOOKUP(U$2,'Depreciation Schedules'!$A$3:$A$42,'Depreciation Schedules'!$F$3:$F$42)</f>
        <v>0.05</v>
      </c>
      <c r="V247" s="198">
        <f>LOOKUP(V$2,'Depreciation Schedules'!$A$3:$A$42,'Depreciation Schedules'!$F$3:$F$42)</f>
        <v>0.05</v>
      </c>
      <c r="W247" s="198">
        <f>LOOKUP(W$2,'Depreciation Schedules'!$A$3:$A$42,'Depreciation Schedules'!$F$3:$F$42)</f>
        <v>2.5000000000000001E-2</v>
      </c>
      <c r="X247" s="198">
        <f>LOOKUP(X$2,'Depreciation Schedules'!$A$3:$A$42,'Depreciation Schedules'!$F$3:$F$42)</f>
        <v>0</v>
      </c>
      <c r="Y247" s="198">
        <f>LOOKUP(Y$2,'Depreciation Schedules'!$A$3:$A$42,'Depreciation Schedules'!$F$3:$F$42)</f>
        <v>0</v>
      </c>
      <c r="Z247" s="198">
        <f>LOOKUP(Z$2,'Depreciation Schedules'!$A$3:$A$42,'Depreciation Schedules'!$F$3:$F$42)</f>
        <v>0</v>
      </c>
      <c r="AA247" s="198">
        <f>LOOKUP(AA$2,'Depreciation Schedules'!$A$3:$A$42,'Depreciation Schedules'!$F$3:$F$42)</f>
        <v>0</v>
      </c>
      <c r="AB247" s="198">
        <f>LOOKUP(AB$2,'Depreciation Schedules'!$A$3:$A$42,'Depreciation Schedules'!$F$3:$F$42)</f>
        <v>0</v>
      </c>
      <c r="AC247" s="198">
        <f>LOOKUP(AC$2,'Depreciation Schedules'!$A$3:$A$42,'Depreciation Schedules'!$F$3:$F$42)</f>
        <v>0</v>
      </c>
      <c r="AD247" s="198">
        <f>LOOKUP(AD$2,'Depreciation Schedules'!$A$3:$A$42,'Depreciation Schedules'!$F$3:$F$42)</f>
        <v>0</v>
      </c>
      <c r="AE247" s="198">
        <f>LOOKUP(AE$2,'Depreciation Schedules'!$A$3:$A$42,'Depreciation Schedules'!$F$3:$F$42)</f>
        <v>0</v>
      </c>
      <c r="AF247" s="198">
        <f>LOOKUP(AF$2,'Depreciation Schedules'!$A$3:$A$42,'Depreciation Schedules'!$F$3:$F$42)</f>
        <v>0</v>
      </c>
      <c r="AG247" s="198">
        <f>LOOKUP(AG$2,'Depreciation Schedules'!$A$3:$A$42,'Depreciation Schedules'!$F$3:$F$42)</f>
        <v>0</v>
      </c>
      <c r="AH247" s="198">
        <f>LOOKUP(AH$2,'Depreciation Schedules'!$A$3:$A$42,'Depreciation Schedules'!$F$3:$F$42)</f>
        <v>0</v>
      </c>
      <c r="AI247" s="198">
        <f>LOOKUP(AI$2,'Depreciation Schedules'!$A$3:$A$42,'Depreciation Schedules'!$F$3:$F$42)</f>
        <v>0</v>
      </c>
      <c r="AJ247" s="198">
        <f>LOOKUP(AJ$2,'Depreciation Schedules'!$A$3:$A$42,'Depreciation Schedules'!$F$3:$F$42)</f>
        <v>0</v>
      </c>
      <c r="AK247" s="198">
        <f>LOOKUP(AK$2,'Depreciation Schedules'!$A$3:$A$42,'Depreciation Schedules'!$F$3:$F$42)</f>
        <v>0</v>
      </c>
      <c r="AL247" s="198">
        <f>LOOKUP(AL$2,'Depreciation Schedules'!$A$3:$A$42,'Depreciation Schedules'!$F$3:$F$42)</f>
        <v>0</v>
      </c>
      <c r="AM247" s="198">
        <f>LOOKUP(AM$2,'Depreciation Schedules'!$A$3:$A$42,'Depreciation Schedules'!$F$3:$F$42)</f>
        <v>0</v>
      </c>
      <c r="AN247" s="198">
        <f>LOOKUP(AN$2,'Depreciation Schedules'!$A$3:$A$42,'Depreciation Schedules'!$F$3:$F$42)</f>
        <v>0</v>
      </c>
      <c r="AO247" s="198">
        <f>LOOKUP(AO$2,'Depreciation Schedules'!$A$3:$A$42,'Depreciation Schedules'!$F$3:$F$42)</f>
        <v>0</v>
      </c>
      <c r="AP247" s="198">
        <f>LOOKUP(AP$2,'Depreciation Schedules'!$A$3:$A$42,'Depreciation Schedules'!$F$3:$F$42)</f>
        <v>0</v>
      </c>
    </row>
    <row r="248" spans="1:42" x14ac:dyDescent="0.2">
      <c r="A248" s="188" t="str">
        <f t="shared" si="129"/>
        <v>39-yr SL</v>
      </c>
      <c r="B248" s="200">
        <f t="shared" si="130"/>
        <v>1.0000000000000004</v>
      </c>
      <c r="C248" s="198">
        <f>LOOKUP(C$2,'Depreciation Schedules'!$A$3:$A$42,'Depreciation Schedules'!$G$3:$G$42)</f>
        <v>1.2820512820512799E-2</v>
      </c>
      <c r="D248" s="198">
        <f>LOOKUP(D$2,'Depreciation Schedules'!$A$3:$A$42,'Depreciation Schedules'!$G$3:$G$42)</f>
        <v>2.564102564102564E-2</v>
      </c>
      <c r="E248" s="198">
        <f>LOOKUP(E$2,'Depreciation Schedules'!$A$3:$A$42,'Depreciation Schedules'!$G$3:$G$42)</f>
        <v>2.564102564102564E-2</v>
      </c>
      <c r="F248" s="198">
        <f>LOOKUP(F$2,'Depreciation Schedules'!$A$3:$A$42,'Depreciation Schedules'!$G$3:$G$42)</f>
        <v>2.564102564102564E-2</v>
      </c>
      <c r="G248" s="198">
        <f>LOOKUP(G$2,'Depreciation Schedules'!$A$3:$A$42,'Depreciation Schedules'!$G$3:$G$42)</f>
        <v>2.564102564102564E-2</v>
      </c>
      <c r="H248" s="198">
        <f>LOOKUP(H$2,'Depreciation Schedules'!$A$3:$A$42,'Depreciation Schedules'!$G$3:$G$42)</f>
        <v>2.564102564102564E-2</v>
      </c>
      <c r="I248" s="198">
        <f>LOOKUP(I$2,'Depreciation Schedules'!$A$3:$A$42,'Depreciation Schedules'!$G$3:$G$42)</f>
        <v>2.564102564102564E-2</v>
      </c>
      <c r="J248" s="198">
        <f>LOOKUP(J$2,'Depreciation Schedules'!$A$3:$A$42,'Depreciation Schedules'!$G$3:$G$42)</f>
        <v>2.564102564102564E-2</v>
      </c>
      <c r="K248" s="198">
        <f>LOOKUP(K$2,'Depreciation Schedules'!$A$3:$A$42,'Depreciation Schedules'!$G$3:$G$42)</f>
        <v>2.564102564102564E-2</v>
      </c>
      <c r="L248" s="198">
        <f>LOOKUP(L$2,'Depreciation Schedules'!$A$3:$A$42,'Depreciation Schedules'!$G$3:$G$42)</f>
        <v>2.564102564102564E-2</v>
      </c>
      <c r="M248" s="198">
        <f>LOOKUP(M$2,'Depreciation Schedules'!$A$3:$A$42,'Depreciation Schedules'!$G$3:$G$42)</f>
        <v>2.564102564102564E-2</v>
      </c>
      <c r="N248" s="198">
        <f>LOOKUP(N$2,'Depreciation Schedules'!$A$3:$A$42,'Depreciation Schedules'!$G$3:$G$42)</f>
        <v>2.564102564102564E-2</v>
      </c>
      <c r="O248" s="198">
        <f>LOOKUP(O$2,'Depreciation Schedules'!$A$3:$A$42,'Depreciation Schedules'!$G$3:$G$42)</f>
        <v>2.564102564102564E-2</v>
      </c>
      <c r="P248" s="198">
        <f>LOOKUP(P$2,'Depreciation Schedules'!$A$3:$A$42,'Depreciation Schedules'!$G$3:$G$42)</f>
        <v>2.564102564102564E-2</v>
      </c>
      <c r="Q248" s="198">
        <f>LOOKUP(Q$2,'Depreciation Schedules'!$A$3:$A$42,'Depreciation Schedules'!$G$3:$G$42)</f>
        <v>2.564102564102564E-2</v>
      </c>
      <c r="R248" s="198">
        <f>LOOKUP(R$2,'Depreciation Schedules'!$A$3:$A$42,'Depreciation Schedules'!$G$3:$G$42)</f>
        <v>2.564102564102564E-2</v>
      </c>
      <c r="S248" s="198">
        <f>LOOKUP(S$2,'Depreciation Schedules'!$A$3:$A$42,'Depreciation Schedules'!$G$3:$G$42)</f>
        <v>2.564102564102564E-2</v>
      </c>
      <c r="T248" s="198">
        <f>LOOKUP(T$2,'Depreciation Schedules'!$A$3:$A$42,'Depreciation Schedules'!$G$3:$G$42)</f>
        <v>2.564102564102564E-2</v>
      </c>
      <c r="U248" s="198">
        <f>LOOKUP(U$2,'Depreciation Schedules'!$A$3:$A$42,'Depreciation Schedules'!$G$3:$G$42)</f>
        <v>2.564102564102564E-2</v>
      </c>
      <c r="V248" s="198">
        <f>LOOKUP(V$2,'Depreciation Schedules'!$A$3:$A$42,'Depreciation Schedules'!$G$3:$G$42)</f>
        <v>2.564102564102564E-2</v>
      </c>
      <c r="W248" s="198">
        <f>LOOKUP(W$2,'Depreciation Schedules'!$A$3:$A$42,'Depreciation Schedules'!$G$3:$G$42)</f>
        <v>2.564102564102564E-2</v>
      </c>
      <c r="X248" s="198">
        <f>LOOKUP(X$2,'Depreciation Schedules'!$A$3:$A$42,'Depreciation Schedules'!$G$3:$G$42)</f>
        <v>2.564102564102564E-2</v>
      </c>
      <c r="Y248" s="198">
        <f>LOOKUP(Y$2,'Depreciation Schedules'!$A$3:$A$42,'Depreciation Schedules'!$G$3:$G$42)</f>
        <v>2.564102564102564E-2</v>
      </c>
      <c r="Z248" s="198">
        <f>LOOKUP(Z$2,'Depreciation Schedules'!$A$3:$A$42,'Depreciation Schedules'!$G$3:$G$42)</f>
        <v>2.564102564102564E-2</v>
      </c>
      <c r="AA248" s="198">
        <f>LOOKUP(AA$2,'Depreciation Schedules'!$A$3:$A$42,'Depreciation Schedules'!$G$3:$G$42)</f>
        <v>2.564102564102564E-2</v>
      </c>
      <c r="AB248" s="198">
        <f>LOOKUP(AB$2,'Depreciation Schedules'!$A$3:$A$42,'Depreciation Schedules'!$G$3:$G$42)</f>
        <v>2.564102564102564E-2</v>
      </c>
      <c r="AC248" s="198">
        <f>LOOKUP(AC$2,'Depreciation Schedules'!$A$3:$A$42,'Depreciation Schedules'!$G$3:$G$42)</f>
        <v>2.564102564102564E-2</v>
      </c>
      <c r="AD248" s="198">
        <f>LOOKUP(AD$2,'Depreciation Schedules'!$A$3:$A$42,'Depreciation Schedules'!$G$3:$G$42)</f>
        <v>2.564102564102564E-2</v>
      </c>
      <c r="AE248" s="198">
        <f>LOOKUP(AE$2,'Depreciation Schedules'!$A$3:$A$42,'Depreciation Schedules'!$G$3:$G$42)</f>
        <v>2.564102564102564E-2</v>
      </c>
      <c r="AF248" s="198">
        <f>LOOKUP(AF$2,'Depreciation Schedules'!$A$3:$A$42,'Depreciation Schedules'!$G$3:$G$42)</f>
        <v>2.564102564102564E-2</v>
      </c>
      <c r="AG248" s="198">
        <f>LOOKUP(AG$2,'Depreciation Schedules'!$A$3:$A$42,'Depreciation Schedules'!$G$3:$G$42)</f>
        <v>2.564102564102564E-2</v>
      </c>
      <c r="AH248" s="198">
        <f>LOOKUP(AH$2,'Depreciation Schedules'!$A$3:$A$42,'Depreciation Schedules'!$G$3:$G$42)</f>
        <v>2.564102564102564E-2</v>
      </c>
      <c r="AI248" s="198">
        <f>LOOKUP(AI$2,'Depreciation Schedules'!$A$3:$A$42,'Depreciation Schedules'!$G$3:$G$42)</f>
        <v>2.564102564102564E-2</v>
      </c>
      <c r="AJ248" s="198">
        <f>LOOKUP(AJ$2,'Depreciation Schedules'!$A$3:$A$42,'Depreciation Schedules'!$G$3:$G$42)</f>
        <v>2.564102564102564E-2</v>
      </c>
      <c r="AK248" s="198">
        <f>LOOKUP(AK$2,'Depreciation Schedules'!$A$3:$A$42,'Depreciation Schedules'!$G$3:$G$42)</f>
        <v>2.564102564102564E-2</v>
      </c>
      <c r="AL248" s="198">
        <f>LOOKUP(AL$2,'Depreciation Schedules'!$A$3:$A$42,'Depreciation Schedules'!$G$3:$G$42)</f>
        <v>2.564102564102564E-2</v>
      </c>
      <c r="AM248" s="198">
        <f>LOOKUP(AM$2,'Depreciation Schedules'!$A$3:$A$42,'Depreciation Schedules'!$G$3:$G$42)</f>
        <v>2.564102564102564E-2</v>
      </c>
      <c r="AN248" s="198">
        <f>LOOKUP(AN$2,'Depreciation Schedules'!$A$3:$A$42,'Depreciation Schedules'!$G$3:$G$42)</f>
        <v>2.564102564102564E-2</v>
      </c>
      <c r="AO248" s="198">
        <f>LOOKUP(AO$2,'Depreciation Schedules'!$A$3:$A$42,'Depreciation Schedules'!$G$3:$G$42)</f>
        <v>2.564102564102564E-2</v>
      </c>
      <c r="AP248" s="198">
        <f>LOOKUP(AP$2,'Depreciation Schedules'!$A$3:$A$42,'Depreciation Schedules'!$G$3:$G$42)</f>
        <v>1.2820512820512799E-2</v>
      </c>
    </row>
    <row r="249" spans="1:42" x14ac:dyDescent="0.2">
      <c r="A249" s="167" t="s">
        <v>34</v>
      </c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</row>
    <row r="250" spans="1:42" x14ac:dyDescent="0.2">
      <c r="A250" s="188" t="str">
        <f>A243</f>
        <v>5-yr MACRS</v>
      </c>
      <c r="B250" s="201">
        <f>SUM(C250:AP250)</f>
        <v>33567308.629350476</v>
      </c>
      <c r="C250" s="169">
        <f t="shared" ref="C250:AP250" si="131">C243*$Q210</f>
        <v>6713461.7258700952</v>
      </c>
      <c r="D250" s="169">
        <f t="shared" si="131"/>
        <v>10741538.761392152</v>
      </c>
      <c r="E250" s="169">
        <f t="shared" si="131"/>
        <v>6444923.2568352912</v>
      </c>
      <c r="F250" s="169">
        <f t="shared" si="131"/>
        <v>3866953.9541011746</v>
      </c>
      <c r="G250" s="169">
        <f t="shared" si="131"/>
        <v>3866953.9541011746</v>
      </c>
      <c r="H250" s="169">
        <f t="shared" si="131"/>
        <v>1933476.9770505873</v>
      </c>
      <c r="I250" s="169">
        <f t="shared" si="131"/>
        <v>0</v>
      </c>
      <c r="J250" s="169">
        <f t="shared" si="131"/>
        <v>0</v>
      </c>
      <c r="K250" s="169">
        <f t="shared" si="131"/>
        <v>0</v>
      </c>
      <c r="L250" s="169">
        <f t="shared" si="131"/>
        <v>0</v>
      </c>
      <c r="M250" s="169">
        <f t="shared" si="131"/>
        <v>0</v>
      </c>
      <c r="N250" s="169">
        <f t="shared" si="131"/>
        <v>0</v>
      </c>
      <c r="O250" s="169">
        <f t="shared" si="131"/>
        <v>0</v>
      </c>
      <c r="P250" s="169">
        <f t="shared" si="131"/>
        <v>0</v>
      </c>
      <c r="Q250" s="169">
        <f t="shared" si="131"/>
        <v>0</v>
      </c>
      <c r="R250" s="169">
        <f t="shared" si="131"/>
        <v>0</v>
      </c>
      <c r="S250" s="169">
        <f t="shared" si="131"/>
        <v>0</v>
      </c>
      <c r="T250" s="169">
        <f t="shared" si="131"/>
        <v>0</v>
      </c>
      <c r="U250" s="169">
        <f t="shared" si="131"/>
        <v>0</v>
      </c>
      <c r="V250" s="169">
        <f t="shared" si="131"/>
        <v>0</v>
      </c>
      <c r="W250" s="169">
        <f t="shared" si="131"/>
        <v>0</v>
      </c>
      <c r="X250" s="169">
        <f t="shared" si="131"/>
        <v>0</v>
      </c>
      <c r="Y250" s="169">
        <f t="shared" si="131"/>
        <v>0</v>
      </c>
      <c r="Z250" s="169">
        <f t="shared" si="131"/>
        <v>0</v>
      </c>
      <c r="AA250" s="169">
        <f t="shared" si="131"/>
        <v>0</v>
      </c>
      <c r="AB250" s="169">
        <f t="shared" si="131"/>
        <v>0</v>
      </c>
      <c r="AC250" s="169">
        <f t="shared" si="131"/>
        <v>0</v>
      </c>
      <c r="AD250" s="169">
        <f t="shared" si="131"/>
        <v>0</v>
      </c>
      <c r="AE250" s="169">
        <f t="shared" si="131"/>
        <v>0</v>
      </c>
      <c r="AF250" s="169">
        <f t="shared" si="131"/>
        <v>0</v>
      </c>
      <c r="AG250" s="169">
        <f t="shared" si="131"/>
        <v>0</v>
      </c>
      <c r="AH250" s="169">
        <f t="shared" si="131"/>
        <v>0</v>
      </c>
      <c r="AI250" s="169">
        <f t="shared" si="131"/>
        <v>0</v>
      </c>
      <c r="AJ250" s="169">
        <f t="shared" si="131"/>
        <v>0</v>
      </c>
      <c r="AK250" s="169">
        <f t="shared" si="131"/>
        <v>0</v>
      </c>
      <c r="AL250" s="169">
        <f t="shared" si="131"/>
        <v>0</v>
      </c>
      <c r="AM250" s="169">
        <f t="shared" si="131"/>
        <v>0</v>
      </c>
      <c r="AN250" s="169">
        <f t="shared" si="131"/>
        <v>0</v>
      </c>
      <c r="AO250" s="169">
        <f t="shared" si="131"/>
        <v>0</v>
      </c>
      <c r="AP250" s="169">
        <f t="shared" si="131"/>
        <v>0</v>
      </c>
    </row>
    <row r="251" spans="1:42" x14ac:dyDescent="0.2">
      <c r="A251" s="188" t="str">
        <f t="shared" ref="A251:A255" si="132">A244</f>
        <v>15-yr MACRS</v>
      </c>
      <c r="B251" s="136">
        <f t="shared" ref="B251:B257" si="133">SUM(C251:AP251)</f>
        <v>658182.52214412694</v>
      </c>
      <c r="C251" s="169">
        <f t="shared" ref="C251:AP251" si="134">C244*$Q211</f>
        <v>32909.12610720635</v>
      </c>
      <c r="D251" s="169">
        <f t="shared" si="134"/>
        <v>62527.33960369206</v>
      </c>
      <c r="E251" s="169">
        <f t="shared" si="134"/>
        <v>56274.605643322859</v>
      </c>
      <c r="F251" s="169">
        <f t="shared" si="134"/>
        <v>50680.054205097775</v>
      </c>
      <c r="G251" s="169">
        <f t="shared" si="134"/>
        <v>45612.048784587998</v>
      </c>
      <c r="H251" s="169">
        <f t="shared" si="134"/>
        <v>41004.771129579109</v>
      </c>
      <c r="I251" s="169">
        <f t="shared" si="134"/>
        <v>38832.768806503489</v>
      </c>
      <c r="J251" s="169">
        <f t="shared" si="134"/>
        <v>38832.768806503489</v>
      </c>
      <c r="K251" s="169">
        <f t="shared" si="134"/>
        <v>38898.587058717902</v>
      </c>
      <c r="L251" s="169">
        <f t="shared" si="134"/>
        <v>38832.768806503489</v>
      </c>
      <c r="M251" s="169">
        <f t="shared" si="134"/>
        <v>38898.587058717902</v>
      </c>
      <c r="N251" s="169">
        <f t="shared" si="134"/>
        <v>38832.768806503489</v>
      </c>
      <c r="O251" s="169">
        <f t="shared" si="134"/>
        <v>38898.587058717902</v>
      </c>
      <c r="P251" s="169">
        <f t="shared" si="134"/>
        <v>38832.768806503489</v>
      </c>
      <c r="Q251" s="169">
        <f t="shared" si="134"/>
        <v>38898.587058717902</v>
      </c>
      <c r="R251" s="169">
        <f t="shared" si="134"/>
        <v>19416.384403251745</v>
      </c>
      <c r="S251" s="169">
        <f t="shared" si="134"/>
        <v>0</v>
      </c>
      <c r="T251" s="169">
        <f t="shared" si="134"/>
        <v>0</v>
      </c>
      <c r="U251" s="169">
        <f t="shared" si="134"/>
        <v>0</v>
      </c>
      <c r="V251" s="169">
        <f t="shared" si="134"/>
        <v>0</v>
      </c>
      <c r="W251" s="169">
        <f t="shared" si="134"/>
        <v>0</v>
      </c>
      <c r="X251" s="169">
        <f t="shared" si="134"/>
        <v>0</v>
      </c>
      <c r="Y251" s="169">
        <f t="shared" si="134"/>
        <v>0</v>
      </c>
      <c r="Z251" s="169">
        <f t="shared" si="134"/>
        <v>0</v>
      </c>
      <c r="AA251" s="169">
        <f t="shared" si="134"/>
        <v>0</v>
      </c>
      <c r="AB251" s="169">
        <f t="shared" si="134"/>
        <v>0</v>
      </c>
      <c r="AC251" s="169">
        <f t="shared" si="134"/>
        <v>0</v>
      </c>
      <c r="AD251" s="169">
        <f t="shared" si="134"/>
        <v>0</v>
      </c>
      <c r="AE251" s="169">
        <f t="shared" si="134"/>
        <v>0</v>
      </c>
      <c r="AF251" s="169">
        <f t="shared" si="134"/>
        <v>0</v>
      </c>
      <c r="AG251" s="169">
        <f t="shared" si="134"/>
        <v>0</v>
      </c>
      <c r="AH251" s="169">
        <f t="shared" si="134"/>
        <v>0</v>
      </c>
      <c r="AI251" s="169">
        <f t="shared" si="134"/>
        <v>0</v>
      </c>
      <c r="AJ251" s="169">
        <f t="shared" si="134"/>
        <v>0</v>
      </c>
      <c r="AK251" s="169">
        <f t="shared" si="134"/>
        <v>0</v>
      </c>
      <c r="AL251" s="169">
        <f t="shared" si="134"/>
        <v>0</v>
      </c>
      <c r="AM251" s="169">
        <f t="shared" si="134"/>
        <v>0</v>
      </c>
      <c r="AN251" s="169">
        <f t="shared" si="134"/>
        <v>0</v>
      </c>
      <c r="AO251" s="169">
        <f t="shared" si="134"/>
        <v>0</v>
      </c>
      <c r="AP251" s="169">
        <f t="shared" si="134"/>
        <v>0</v>
      </c>
    </row>
    <row r="252" spans="1:42" x14ac:dyDescent="0.2">
      <c r="A252" s="188" t="str">
        <f t="shared" si="132"/>
        <v>5-yr SL</v>
      </c>
      <c r="B252" s="136">
        <f t="shared" si="133"/>
        <v>0</v>
      </c>
      <c r="C252" s="169">
        <f t="shared" ref="C252:AP252" si="135">C245*$Q212</f>
        <v>0</v>
      </c>
      <c r="D252" s="169">
        <f t="shared" si="135"/>
        <v>0</v>
      </c>
      <c r="E252" s="169">
        <f t="shared" si="135"/>
        <v>0</v>
      </c>
      <c r="F252" s="169">
        <f t="shared" si="135"/>
        <v>0</v>
      </c>
      <c r="G252" s="169">
        <f t="shared" si="135"/>
        <v>0</v>
      </c>
      <c r="H252" s="169">
        <f t="shared" si="135"/>
        <v>0</v>
      </c>
      <c r="I252" s="169">
        <f t="shared" si="135"/>
        <v>0</v>
      </c>
      <c r="J252" s="169">
        <f t="shared" si="135"/>
        <v>0</v>
      </c>
      <c r="K252" s="169">
        <f t="shared" si="135"/>
        <v>0</v>
      </c>
      <c r="L252" s="169">
        <f t="shared" si="135"/>
        <v>0</v>
      </c>
      <c r="M252" s="169">
        <f t="shared" si="135"/>
        <v>0</v>
      </c>
      <c r="N252" s="169">
        <f t="shared" si="135"/>
        <v>0</v>
      </c>
      <c r="O252" s="169">
        <f t="shared" si="135"/>
        <v>0</v>
      </c>
      <c r="P252" s="169">
        <f t="shared" si="135"/>
        <v>0</v>
      </c>
      <c r="Q252" s="169">
        <f t="shared" si="135"/>
        <v>0</v>
      </c>
      <c r="R252" s="169">
        <f t="shared" si="135"/>
        <v>0</v>
      </c>
      <c r="S252" s="169">
        <f t="shared" si="135"/>
        <v>0</v>
      </c>
      <c r="T252" s="169">
        <f t="shared" si="135"/>
        <v>0</v>
      </c>
      <c r="U252" s="169">
        <f t="shared" si="135"/>
        <v>0</v>
      </c>
      <c r="V252" s="169">
        <f t="shared" si="135"/>
        <v>0</v>
      </c>
      <c r="W252" s="169">
        <f t="shared" si="135"/>
        <v>0</v>
      </c>
      <c r="X252" s="169">
        <f t="shared" si="135"/>
        <v>0</v>
      </c>
      <c r="Y252" s="169">
        <f t="shared" si="135"/>
        <v>0</v>
      </c>
      <c r="Z252" s="169">
        <f t="shared" si="135"/>
        <v>0</v>
      </c>
      <c r="AA252" s="169">
        <f t="shared" si="135"/>
        <v>0</v>
      </c>
      <c r="AB252" s="169">
        <f t="shared" si="135"/>
        <v>0</v>
      </c>
      <c r="AC252" s="169">
        <f t="shared" si="135"/>
        <v>0</v>
      </c>
      <c r="AD252" s="169">
        <f t="shared" si="135"/>
        <v>0</v>
      </c>
      <c r="AE252" s="169">
        <f t="shared" si="135"/>
        <v>0</v>
      </c>
      <c r="AF252" s="169">
        <f t="shared" si="135"/>
        <v>0</v>
      </c>
      <c r="AG252" s="169">
        <f t="shared" si="135"/>
        <v>0</v>
      </c>
      <c r="AH252" s="169">
        <f t="shared" si="135"/>
        <v>0</v>
      </c>
      <c r="AI252" s="169">
        <f t="shared" si="135"/>
        <v>0</v>
      </c>
      <c r="AJ252" s="169">
        <f t="shared" si="135"/>
        <v>0</v>
      </c>
      <c r="AK252" s="169">
        <f t="shared" si="135"/>
        <v>0</v>
      </c>
      <c r="AL252" s="169">
        <f t="shared" si="135"/>
        <v>0</v>
      </c>
      <c r="AM252" s="169">
        <f t="shared" si="135"/>
        <v>0</v>
      </c>
      <c r="AN252" s="169">
        <f t="shared" si="135"/>
        <v>0</v>
      </c>
      <c r="AO252" s="169">
        <f t="shared" si="135"/>
        <v>0</v>
      </c>
      <c r="AP252" s="169">
        <f t="shared" si="135"/>
        <v>0</v>
      </c>
    </row>
    <row r="253" spans="1:42" x14ac:dyDescent="0.2">
      <c r="A253" s="188" t="str">
        <f t="shared" si="132"/>
        <v>15-yr SL</v>
      </c>
      <c r="B253" s="136">
        <f t="shared" si="133"/>
        <v>1096970.8702402117</v>
      </c>
      <c r="C253" s="169">
        <f t="shared" ref="C253:AP253" si="136">C246*$Q213</f>
        <v>36529.129978999052</v>
      </c>
      <c r="D253" s="169">
        <f t="shared" si="136"/>
        <v>73167.957045022122</v>
      </c>
      <c r="E253" s="169">
        <f t="shared" si="136"/>
        <v>73167.957045022122</v>
      </c>
      <c r="F253" s="169">
        <f t="shared" si="136"/>
        <v>73167.957045022122</v>
      </c>
      <c r="G253" s="169">
        <f t="shared" si="136"/>
        <v>73167.957045022122</v>
      </c>
      <c r="H253" s="169">
        <f t="shared" si="136"/>
        <v>73167.957045022122</v>
      </c>
      <c r="I253" s="169">
        <f t="shared" si="136"/>
        <v>73167.957045022122</v>
      </c>
      <c r="J253" s="169">
        <f t="shared" si="136"/>
        <v>73058.259957998103</v>
      </c>
      <c r="K253" s="169">
        <f t="shared" si="136"/>
        <v>73167.957045022122</v>
      </c>
      <c r="L253" s="169">
        <f t="shared" si="136"/>
        <v>73058.259957998103</v>
      </c>
      <c r="M253" s="169">
        <f t="shared" si="136"/>
        <v>73167.957045022122</v>
      </c>
      <c r="N253" s="169">
        <f t="shared" si="136"/>
        <v>73058.259957998103</v>
      </c>
      <c r="O253" s="169">
        <f t="shared" si="136"/>
        <v>73167.957045022122</v>
      </c>
      <c r="P253" s="169">
        <f t="shared" si="136"/>
        <v>73058.259957998103</v>
      </c>
      <c r="Q253" s="169">
        <f t="shared" si="136"/>
        <v>73167.957045022122</v>
      </c>
      <c r="R253" s="169">
        <f t="shared" si="136"/>
        <v>36529.129978999052</v>
      </c>
      <c r="S253" s="169">
        <f t="shared" si="136"/>
        <v>0</v>
      </c>
      <c r="T253" s="169">
        <f t="shared" si="136"/>
        <v>0</v>
      </c>
      <c r="U253" s="169">
        <f t="shared" si="136"/>
        <v>0</v>
      </c>
      <c r="V253" s="169">
        <f t="shared" si="136"/>
        <v>0</v>
      </c>
      <c r="W253" s="169">
        <f t="shared" si="136"/>
        <v>0</v>
      </c>
      <c r="X253" s="169">
        <f t="shared" si="136"/>
        <v>0</v>
      </c>
      <c r="Y253" s="169">
        <f t="shared" si="136"/>
        <v>0</v>
      </c>
      <c r="Z253" s="169">
        <f t="shared" si="136"/>
        <v>0</v>
      </c>
      <c r="AA253" s="169">
        <f t="shared" si="136"/>
        <v>0</v>
      </c>
      <c r="AB253" s="169">
        <f t="shared" si="136"/>
        <v>0</v>
      </c>
      <c r="AC253" s="169">
        <f t="shared" si="136"/>
        <v>0</v>
      </c>
      <c r="AD253" s="169">
        <f t="shared" si="136"/>
        <v>0</v>
      </c>
      <c r="AE253" s="169">
        <f t="shared" si="136"/>
        <v>0</v>
      </c>
      <c r="AF253" s="169">
        <f t="shared" si="136"/>
        <v>0</v>
      </c>
      <c r="AG253" s="169">
        <f t="shared" si="136"/>
        <v>0</v>
      </c>
      <c r="AH253" s="169">
        <f t="shared" si="136"/>
        <v>0</v>
      </c>
      <c r="AI253" s="169">
        <f t="shared" si="136"/>
        <v>0</v>
      </c>
      <c r="AJ253" s="169">
        <f t="shared" si="136"/>
        <v>0</v>
      </c>
      <c r="AK253" s="169">
        <f t="shared" si="136"/>
        <v>0</v>
      </c>
      <c r="AL253" s="169">
        <f t="shared" si="136"/>
        <v>0</v>
      </c>
      <c r="AM253" s="169">
        <f t="shared" si="136"/>
        <v>0</v>
      </c>
      <c r="AN253" s="169">
        <f t="shared" si="136"/>
        <v>0</v>
      </c>
      <c r="AO253" s="169">
        <f t="shared" si="136"/>
        <v>0</v>
      </c>
      <c r="AP253" s="169">
        <f t="shared" si="136"/>
        <v>0</v>
      </c>
    </row>
    <row r="254" spans="1:42" x14ac:dyDescent="0.2">
      <c r="A254" s="188" t="str">
        <f t="shared" si="132"/>
        <v>20-yr SL</v>
      </c>
      <c r="B254" s="136">
        <f t="shared" si="133"/>
        <v>1096970.8702402117</v>
      </c>
      <c r="C254" s="169">
        <f t="shared" ref="C254:AP254" si="137">C247*$Q214</f>
        <v>27424.271756005295</v>
      </c>
      <c r="D254" s="169">
        <f t="shared" si="137"/>
        <v>54848.54351201059</v>
      </c>
      <c r="E254" s="169">
        <f t="shared" si="137"/>
        <v>54848.54351201059</v>
      </c>
      <c r="F254" s="169">
        <f t="shared" si="137"/>
        <v>54848.54351201059</v>
      </c>
      <c r="G254" s="169">
        <f t="shared" si="137"/>
        <v>54848.54351201059</v>
      </c>
      <c r="H254" s="169">
        <f t="shared" si="137"/>
        <v>54848.54351201059</v>
      </c>
      <c r="I254" s="169">
        <f t="shared" si="137"/>
        <v>54848.54351201059</v>
      </c>
      <c r="J254" s="169">
        <f t="shared" si="137"/>
        <v>54848.54351201059</v>
      </c>
      <c r="K254" s="169">
        <f t="shared" si="137"/>
        <v>54848.54351201059</v>
      </c>
      <c r="L254" s="169">
        <f t="shared" si="137"/>
        <v>54848.54351201059</v>
      </c>
      <c r="M254" s="169">
        <f t="shared" si="137"/>
        <v>54848.54351201059</v>
      </c>
      <c r="N254" s="169">
        <f t="shared" si="137"/>
        <v>54848.54351201059</v>
      </c>
      <c r="O254" s="169">
        <f t="shared" si="137"/>
        <v>54848.54351201059</v>
      </c>
      <c r="P254" s="169">
        <f t="shared" si="137"/>
        <v>54848.54351201059</v>
      </c>
      <c r="Q254" s="169">
        <f t="shared" si="137"/>
        <v>54848.54351201059</v>
      </c>
      <c r="R254" s="169">
        <f t="shared" si="137"/>
        <v>54848.54351201059</v>
      </c>
      <c r="S254" s="169">
        <f t="shared" si="137"/>
        <v>54848.54351201059</v>
      </c>
      <c r="T254" s="169">
        <f t="shared" si="137"/>
        <v>54848.54351201059</v>
      </c>
      <c r="U254" s="169">
        <f t="shared" si="137"/>
        <v>54848.54351201059</v>
      </c>
      <c r="V254" s="169">
        <f t="shared" si="137"/>
        <v>54848.54351201059</v>
      </c>
      <c r="W254" s="169">
        <f t="shared" si="137"/>
        <v>27424.271756005295</v>
      </c>
      <c r="X254" s="169">
        <f t="shared" si="137"/>
        <v>0</v>
      </c>
      <c r="Y254" s="169">
        <f t="shared" si="137"/>
        <v>0</v>
      </c>
      <c r="Z254" s="169">
        <f t="shared" si="137"/>
        <v>0</v>
      </c>
      <c r="AA254" s="169">
        <f t="shared" si="137"/>
        <v>0</v>
      </c>
      <c r="AB254" s="169">
        <f t="shared" si="137"/>
        <v>0</v>
      </c>
      <c r="AC254" s="169">
        <f t="shared" si="137"/>
        <v>0</v>
      </c>
      <c r="AD254" s="169">
        <f t="shared" si="137"/>
        <v>0</v>
      </c>
      <c r="AE254" s="169">
        <f t="shared" si="137"/>
        <v>0</v>
      </c>
      <c r="AF254" s="169">
        <f t="shared" si="137"/>
        <v>0</v>
      </c>
      <c r="AG254" s="169">
        <f t="shared" si="137"/>
        <v>0</v>
      </c>
      <c r="AH254" s="169">
        <f t="shared" si="137"/>
        <v>0</v>
      </c>
      <c r="AI254" s="169">
        <f t="shared" si="137"/>
        <v>0</v>
      </c>
      <c r="AJ254" s="169">
        <f t="shared" si="137"/>
        <v>0</v>
      </c>
      <c r="AK254" s="169">
        <f t="shared" si="137"/>
        <v>0</v>
      </c>
      <c r="AL254" s="169">
        <f t="shared" si="137"/>
        <v>0</v>
      </c>
      <c r="AM254" s="169">
        <f t="shared" si="137"/>
        <v>0</v>
      </c>
      <c r="AN254" s="169">
        <f t="shared" si="137"/>
        <v>0</v>
      </c>
      <c r="AO254" s="169">
        <f t="shared" si="137"/>
        <v>0</v>
      </c>
      <c r="AP254" s="169">
        <f t="shared" si="137"/>
        <v>0</v>
      </c>
    </row>
    <row r="255" spans="1:42" x14ac:dyDescent="0.2">
      <c r="A255" s="188" t="str">
        <f t="shared" si="132"/>
        <v>39-yr SL</v>
      </c>
      <c r="B255" s="136">
        <f t="shared" si="133"/>
        <v>219394.17404804219</v>
      </c>
      <c r="C255" s="169">
        <f t="shared" ref="C255:AP255" si="138">C248*$Q215</f>
        <v>2812.745821128743</v>
      </c>
      <c r="D255" s="169">
        <f t="shared" si="138"/>
        <v>5625.4916422574952</v>
      </c>
      <c r="E255" s="169">
        <f t="shared" si="138"/>
        <v>5625.4916422574952</v>
      </c>
      <c r="F255" s="169">
        <f t="shared" si="138"/>
        <v>5625.4916422574952</v>
      </c>
      <c r="G255" s="169">
        <f t="shared" si="138"/>
        <v>5625.4916422574952</v>
      </c>
      <c r="H255" s="169">
        <f t="shared" si="138"/>
        <v>5625.4916422574952</v>
      </c>
      <c r="I255" s="169">
        <f t="shared" si="138"/>
        <v>5625.4916422574952</v>
      </c>
      <c r="J255" s="169">
        <f t="shared" si="138"/>
        <v>5625.4916422574952</v>
      </c>
      <c r="K255" s="169">
        <f t="shared" si="138"/>
        <v>5625.4916422574952</v>
      </c>
      <c r="L255" s="169">
        <f t="shared" si="138"/>
        <v>5625.4916422574952</v>
      </c>
      <c r="M255" s="169">
        <f t="shared" si="138"/>
        <v>5625.4916422574952</v>
      </c>
      <c r="N255" s="169">
        <f t="shared" si="138"/>
        <v>5625.4916422574952</v>
      </c>
      <c r="O255" s="169">
        <f t="shared" si="138"/>
        <v>5625.4916422574952</v>
      </c>
      <c r="P255" s="169">
        <f t="shared" si="138"/>
        <v>5625.4916422574952</v>
      </c>
      <c r="Q255" s="169">
        <f t="shared" si="138"/>
        <v>5625.4916422574952</v>
      </c>
      <c r="R255" s="169">
        <f t="shared" si="138"/>
        <v>5625.4916422574952</v>
      </c>
      <c r="S255" s="169">
        <f t="shared" si="138"/>
        <v>5625.4916422574952</v>
      </c>
      <c r="T255" s="169">
        <f t="shared" si="138"/>
        <v>5625.4916422574952</v>
      </c>
      <c r="U255" s="169">
        <f t="shared" si="138"/>
        <v>5625.4916422574952</v>
      </c>
      <c r="V255" s="169">
        <f t="shared" si="138"/>
        <v>5625.4916422574952</v>
      </c>
      <c r="W255" s="169">
        <f t="shared" si="138"/>
        <v>5625.4916422574952</v>
      </c>
      <c r="X255" s="169">
        <f t="shared" si="138"/>
        <v>5625.4916422574952</v>
      </c>
      <c r="Y255" s="169">
        <f t="shared" si="138"/>
        <v>5625.4916422574952</v>
      </c>
      <c r="Z255" s="169">
        <f t="shared" si="138"/>
        <v>5625.4916422574952</v>
      </c>
      <c r="AA255" s="169">
        <f t="shared" si="138"/>
        <v>5625.4916422574952</v>
      </c>
      <c r="AB255" s="169">
        <f t="shared" si="138"/>
        <v>5625.4916422574952</v>
      </c>
      <c r="AC255" s="169">
        <f t="shared" si="138"/>
        <v>5625.4916422574952</v>
      </c>
      <c r="AD255" s="169">
        <f t="shared" si="138"/>
        <v>5625.4916422574952</v>
      </c>
      <c r="AE255" s="169">
        <f t="shared" si="138"/>
        <v>5625.4916422574952</v>
      </c>
      <c r="AF255" s="169">
        <f t="shared" si="138"/>
        <v>5625.4916422574952</v>
      </c>
      <c r="AG255" s="169">
        <f t="shared" si="138"/>
        <v>5625.4916422574952</v>
      </c>
      <c r="AH255" s="169">
        <f t="shared" si="138"/>
        <v>5625.4916422574952</v>
      </c>
      <c r="AI255" s="169">
        <f t="shared" si="138"/>
        <v>5625.4916422574952</v>
      </c>
      <c r="AJ255" s="169">
        <f t="shared" si="138"/>
        <v>5625.4916422574952</v>
      </c>
      <c r="AK255" s="169">
        <f t="shared" si="138"/>
        <v>5625.4916422574952</v>
      </c>
      <c r="AL255" s="169">
        <f t="shared" si="138"/>
        <v>5625.4916422574952</v>
      </c>
      <c r="AM255" s="169">
        <f t="shared" si="138"/>
        <v>5625.4916422574952</v>
      </c>
      <c r="AN255" s="169">
        <f t="shared" si="138"/>
        <v>5625.4916422574952</v>
      </c>
      <c r="AO255" s="169">
        <f t="shared" si="138"/>
        <v>5625.4916422574952</v>
      </c>
      <c r="AP255" s="169">
        <f t="shared" si="138"/>
        <v>2812.745821128743</v>
      </c>
    </row>
    <row r="256" spans="1:42" x14ac:dyDescent="0.2">
      <c r="A256" s="188" t="s">
        <v>268</v>
      </c>
      <c r="B256" s="195">
        <f t="shared" si="133"/>
        <v>0</v>
      </c>
      <c r="C256" s="170">
        <f>P217</f>
        <v>0</v>
      </c>
      <c r="D256" s="170">
        <v>0</v>
      </c>
      <c r="E256" s="170">
        <v>0</v>
      </c>
      <c r="F256" s="170">
        <v>0</v>
      </c>
      <c r="G256" s="170">
        <v>0</v>
      </c>
      <c r="H256" s="170">
        <v>0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0">
        <v>0</v>
      </c>
      <c r="AI256" s="170">
        <v>0</v>
      </c>
      <c r="AJ256" s="170">
        <v>0</v>
      </c>
      <c r="AK256" s="170">
        <v>0</v>
      </c>
      <c r="AL256" s="170">
        <v>0</v>
      </c>
      <c r="AM256" s="170">
        <v>0</v>
      </c>
      <c r="AN256" s="170">
        <v>0</v>
      </c>
      <c r="AO256" s="170">
        <v>0</v>
      </c>
      <c r="AP256" s="170">
        <v>0</v>
      </c>
    </row>
    <row r="257" spans="1:42" x14ac:dyDescent="0.2">
      <c r="A257" s="187"/>
      <c r="B257" s="195">
        <f t="shared" si="133"/>
        <v>36638827.066023104</v>
      </c>
      <c r="C257" s="169">
        <f>SUM(C250:C256)</f>
        <v>6813136.9995334353</v>
      </c>
      <c r="D257" s="169">
        <f t="shared" ref="D257:AP257" si="139">SUM(D250:D256)</f>
        <v>10937708.093195135</v>
      </c>
      <c r="E257" s="169">
        <f t="shared" si="139"/>
        <v>6634839.8546779044</v>
      </c>
      <c r="F257" s="169">
        <f t="shared" si="139"/>
        <v>4051276.0005055624</v>
      </c>
      <c r="G257" s="169">
        <f t="shared" si="139"/>
        <v>4046207.9950850527</v>
      </c>
      <c r="H257" s="169">
        <f t="shared" si="139"/>
        <v>2108123.7403794569</v>
      </c>
      <c r="I257" s="169">
        <f t="shared" si="139"/>
        <v>172474.7610057937</v>
      </c>
      <c r="J257" s="169">
        <f t="shared" si="139"/>
        <v>172365.06391876968</v>
      </c>
      <c r="K257" s="169">
        <f t="shared" si="139"/>
        <v>172540.5792580081</v>
      </c>
      <c r="L257" s="169">
        <f t="shared" si="139"/>
        <v>172365.06391876968</v>
      </c>
      <c r="M257" s="169">
        <f t="shared" si="139"/>
        <v>172540.5792580081</v>
      </c>
      <c r="N257" s="169">
        <f t="shared" si="139"/>
        <v>172365.06391876968</v>
      </c>
      <c r="O257" s="169">
        <f t="shared" si="139"/>
        <v>172540.5792580081</v>
      </c>
      <c r="P257" s="169">
        <f t="shared" si="139"/>
        <v>172365.06391876968</v>
      </c>
      <c r="Q257" s="169">
        <f t="shared" si="139"/>
        <v>172540.5792580081</v>
      </c>
      <c r="R257" s="169">
        <f t="shared" si="139"/>
        <v>116419.54953651887</v>
      </c>
      <c r="S257" s="169">
        <f t="shared" si="139"/>
        <v>60474.035154268087</v>
      </c>
      <c r="T257" s="169">
        <f t="shared" si="139"/>
        <v>60474.035154268087</v>
      </c>
      <c r="U257" s="169">
        <f t="shared" si="139"/>
        <v>60474.035154268087</v>
      </c>
      <c r="V257" s="169">
        <f t="shared" si="139"/>
        <v>60474.035154268087</v>
      </c>
      <c r="W257" s="169">
        <f t="shared" si="139"/>
        <v>33049.763398262789</v>
      </c>
      <c r="X257" s="169">
        <f t="shared" si="139"/>
        <v>5625.4916422574952</v>
      </c>
      <c r="Y257" s="169">
        <f t="shared" si="139"/>
        <v>5625.4916422574952</v>
      </c>
      <c r="Z257" s="169">
        <f t="shared" si="139"/>
        <v>5625.4916422574952</v>
      </c>
      <c r="AA257" s="169">
        <f t="shared" si="139"/>
        <v>5625.4916422574952</v>
      </c>
      <c r="AB257" s="169">
        <f t="shared" si="139"/>
        <v>5625.4916422574952</v>
      </c>
      <c r="AC257" s="169">
        <f t="shared" si="139"/>
        <v>5625.4916422574952</v>
      </c>
      <c r="AD257" s="169">
        <f t="shared" si="139"/>
        <v>5625.4916422574952</v>
      </c>
      <c r="AE257" s="169">
        <f t="shared" si="139"/>
        <v>5625.4916422574952</v>
      </c>
      <c r="AF257" s="169">
        <f t="shared" si="139"/>
        <v>5625.4916422574952</v>
      </c>
      <c r="AG257" s="169">
        <f t="shared" si="139"/>
        <v>5625.4916422574952</v>
      </c>
      <c r="AH257" s="169">
        <f t="shared" si="139"/>
        <v>5625.4916422574952</v>
      </c>
      <c r="AI257" s="169">
        <f t="shared" si="139"/>
        <v>5625.4916422574952</v>
      </c>
      <c r="AJ257" s="169">
        <f t="shared" si="139"/>
        <v>5625.4916422574952</v>
      </c>
      <c r="AK257" s="169">
        <f t="shared" si="139"/>
        <v>5625.4916422574952</v>
      </c>
      <c r="AL257" s="169">
        <f t="shared" si="139"/>
        <v>5625.4916422574952</v>
      </c>
      <c r="AM257" s="169">
        <f t="shared" si="139"/>
        <v>5625.4916422574952</v>
      </c>
      <c r="AN257" s="169">
        <f t="shared" si="139"/>
        <v>5625.4916422574952</v>
      </c>
      <c r="AO257" s="169">
        <f t="shared" si="139"/>
        <v>5625.4916422574952</v>
      </c>
      <c r="AP257" s="169">
        <f t="shared" si="139"/>
        <v>2812.745821128743</v>
      </c>
    </row>
    <row r="258" spans="1:42" x14ac:dyDescent="0.2">
      <c r="A258" s="187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</row>
    <row r="259" spans="1:42" x14ac:dyDescent="0.2">
      <c r="A259" s="180" t="s">
        <v>191</v>
      </c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</row>
    <row r="260" spans="1:42" x14ac:dyDescent="0.2">
      <c r="A260" s="187" t="s">
        <v>193</v>
      </c>
      <c r="B260" s="202" t="str">
        <f>MMStateTaxTreatment</f>
        <v>5-yr MACRS</v>
      </c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</row>
    <row r="261" spans="1:42" x14ac:dyDescent="0.2">
      <c r="A261" s="187" t="s">
        <v>194</v>
      </c>
      <c r="B261" s="169">
        <f t="shared" ref="B261:AP261" si="140">B2</f>
        <v>0</v>
      </c>
      <c r="C261" s="169">
        <f t="shared" si="140"/>
        <v>1</v>
      </c>
      <c r="D261" s="169">
        <f t="shared" si="140"/>
        <v>2</v>
      </c>
      <c r="E261" s="169">
        <f t="shared" si="140"/>
        <v>3</v>
      </c>
      <c r="F261" s="169">
        <f t="shared" si="140"/>
        <v>4</v>
      </c>
      <c r="G261" s="169">
        <f t="shared" si="140"/>
        <v>5</v>
      </c>
      <c r="H261" s="169">
        <f t="shared" si="140"/>
        <v>6</v>
      </c>
      <c r="I261" s="169">
        <f t="shared" si="140"/>
        <v>7</v>
      </c>
      <c r="J261" s="169">
        <f t="shared" si="140"/>
        <v>8</v>
      </c>
      <c r="K261" s="169">
        <f t="shared" si="140"/>
        <v>9</v>
      </c>
      <c r="L261" s="169">
        <f t="shared" si="140"/>
        <v>10</v>
      </c>
      <c r="M261" s="169">
        <f t="shared" si="140"/>
        <v>11</v>
      </c>
      <c r="N261" s="169">
        <f t="shared" si="140"/>
        <v>12</v>
      </c>
      <c r="O261" s="169">
        <f t="shared" si="140"/>
        <v>13</v>
      </c>
      <c r="P261" s="169">
        <f t="shared" si="140"/>
        <v>14</v>
      </c>
      <c r="Q261" s="169">
        <f t="shared" si="140"/>
        <v>15</v>
      </c>
      <c r="R261" s="169">
        <f t="shared" si="140"/>
        <v>16</v>
      </c>
      <c r="S261" s="169">
        <f t="shared" si="140"/>
        <v>17</v>
      </c>
      <c r="T261" s="169">
        <f t="shared" si="140"/>
        <v>18</v>
      </c>
      <c r="U261" s="169">
        <f t="shared" si="140"/>
        <v>19</v>
      </c>
      <c r="V261" s="169">
        <f t="shared" si="140"/>
        <v>20</v>
      </c>
      <c r="W261" s="169">
        <f t="shared" si="140"/>
        <v>21</v>
      </c>
      <c r="X261" s="169">
        <f t="shared" si="140"/>
        <v>22</v>
      </c>
      <c r="Y261" s="169">
        <f t="shared" si="140"/>
        <v>23</v>
      </c>
      <c r="Z261" s="169">
        <f t="shared" si="140"/>
        <v>24</v>
      </c>
      <c r="AA261" s="169">
        <f t="shared" si="140"/>
        <v>25</v>
      </c>
      <c r="AB261" s="169">
        <f t="shared" si="140"/>
        <v>26</v>
      </c>
      <c r="AC261" s="169">
        <f t="shared" si="140"/>
        <v>27</v>
      </c>
      <c r="AD261" s="169">
        <f t="shared" si="140"/>
        <v>28</v>
      </c>
      <c r="AE261" s="169">
        <f t="shared" si="140"/>
        <v>29</v>
      </c>
      <c r="AF261" s="169">
        <f t="shared" si="140"/>
        <v>30</v>
      </c>
      <c r="AG261" s="169">
        <f t="shared" si="140"/>
        <v>31</v>
      </c>
      <c r="AH261" s="169">
        <f t="shared" si="140"/>
        <v>32</v>
      </c>
      <c r="AI261" s="169">
        <f t="shared" si="140"/>
        <v>33</v>
      </c>
      <c r="AJ261" s="169">
        <f t="shared" si="140"/>
        <v>34</v>
      </c>
      <c r="AK261" s="169">
        <f t="shared" si="140"/>
        <v>35</v>
      </c>
      <c r="AL261" s="169">
        <f t="shared" si="140"/>
        <v>36</v>
      </c>
      <c r="AM261" s="169">
        <f t="shared" si="140"/>
        <v>37</v>
      </c>
      <c r="AN261" s="169">
        <f t="shared" si="140"/>
        <v>38</v>
      </c>
      <c r="AO261" s="169">
        <f t="shared" si="140"/>
        <v>39</v>
      </c>
      <c r="AP261" s="169">
        <f t="shared" si="140"/>
        <v>40</v>
      </c>
    </row>
    <row r="262" spans="1:42" x14ac:dyDescent="0.2">
      <c r="A262" s="187" t="s">
        <v>195</v>
      </c>
      <c r="B262" s="203">
        <v>0</v>
      </c>
      <c r="C262" s="198">
        <f t="shared" ref="C262:AP262" si="141">IF($B$260=$A243,C243,0)+IF($B$260=$A244,C244,0)+IF($B$260=$A245,C245,0)+IF($B$260=$A246,C246,0)+IF($B$260=$A247,C247,0)+IF($B$260=$A248,C248,0)</f>
        <v>0.2</v>
      </c>
      <c r="D262" s="198">
        <f t="shared" si="141"/>
        <v>0.32</v>
      </c>
      <c r="E262" s="198">
        <f t="shared" si="141"/>
        <v>0.192</v>
      </c>
      <c r="F262" s="198">
        <f t="shared" si="141"/>
        <v>0.1152</v>
      </c>
      <c r="G262" s="198">
        <f t="shared" si="141"/>
        <v>0.1152</v>
      </c>
      <c r="H262" s="198">
        <f t="shared" si="141"/>
        <v>5.7599999999999998E-2</v>
      </c>
      <c r="I262" s="198">
        <f t="shared" si="141"/>
        <v>0</v>
      </c>
      <c r="J262" s="198">
        <f t="shared" si="141"/>
        <v>0</v>
      </c>
      <c r="K262" s="198">
        <f t="shared" si="141"/>
        <v>0</v>
      </c>
      <c r="L262" s="198">
        <f t="shared" si="141"/>
        <v>0</v>
      </c>
      <c r="M262" s="198">
        <f t="shared" si="141"/>
        <v>0</v>
      </c>
      <c r="N262" s="198">
        <f t="shared" si="141"/>
        <v>0</v>
      </c>
      <c r="O262" s="198">
        <f t="shared" si="141"/>
        <v>0</v>
      </c>
      <c r="P262" s="198">
        <f t="shared" si="141"/>
        <v>0</v>
      </c>
      <c r="Q262" s="198">
        <f t="shared" si="141"/>
        <v>0</v>
      </c>
      <c r="R262" s="198">
        <f t="shared" si="141"/>
        <v>0</v>
      </c>
      <c r="S262" s="198">
        <f t="shared" si="141"/>
        <v>0</v>
      </c>
      <c r="T262" s="198">
        <f t="shared" si="141"/>
        <v>0</v>
      </c>
      <c r="U262" s="198">
        <f t="shared" si="141"/>
        <v>0</v>
      </c>
      <c r="V262" s="198">
        <f t="shared" si="141"/>
        <v>0</v>
      </c>
      <c r="W262" s="198">
        <f t="shared" si="141"/>
        <v>0</v>
      </c>
      <c r="X262" s="198">
        <f t="shared" si="141"/>
        <v>0</v>
      </c>
      <c r="Y262" s="198">
        <f t="shared" si="141"/>
        <v>0</v>
      </c>
      <c r="Z262" s="198">
        <f t="shared" si="141"/>
        <v>0</v>
      </c>
      <c r="AA262" s="198">
        <f t="shared" si="141"/>
        <v>0</v>
      </c>
      <c r="AB262" s="198">
        <f t="shared" si="141"/>
        <v>0</v>
      </c>
      <c r="AC262" s="198">
        <f t="shared" si="141"/>
        <v>0</v>
      </c>
      <c r="AD262" s="198">
        <f t="shared" si="141"/>
        <v>0</v>
      </c>
      <c r="AE262" s="198">
        <f t="shared" si="141"/>
        <v>0</v>
      </c>
      <c r="AF262" s="198">
        <f t="shared" si="141"/>
        <v>0</v>
      </c>
      <c r="AG262" s="198">
        <f t="shared" si="141"/>
        <v>0</v>
      </c>
      <c r="AH262" s="198">
        <f t="shared" si="141"/>
        <v>0</v>
      </c>
      <c r="AI262" s="198">
        <f t="shared" si="141"/>
        <v>0</v>
      </c>
      <c r="AJ262" s="198">
        <f t="shared" si="141"/>
        <v>0</v>
      </c>
      <c r="AK262" s="198">
        <f t="shared" si="141"/>
        <v>0</v>
      </c>
      <c r="AL262" s="198">
        <f t="shared" si="141"/>
        <v>0</v>
      </c>
      <c r="AM262" s="198">
        <f t="shared" si="141"/>
        <v>0</v>
      </c>
      <c r="AN262" s="198">
        <f t="shared" si="141"/>
        <v>0</v>
      </c>
      <c r="AO262" s="198">
        <f t="shared" si="141"/>
        <v>0</v>
      </c>
      <c r="AP262" s="198">
        <f t="shared" si="141"/>
        <v>0</v>
      </c>
    </row>
    <row r="263" spans="1:42" x14ac:dyDescent="0.2">
      <c r="A263" s="187"/>
      <c r="B263" s="203"/>
      <c r="C263" s="198"/>
      <c r="D263" s="198"/>
      <c r="E263" s="198"/>
      <c r="F263" s="198"/>
      <c r="G263" s="198"/>
      <c r="H263" s="198"/>
      <c r="I263" s="198"/>
      <c r="J263" s="198"/>
      <c r="K263" s="198"/>
      <c r="L263" s="198"/>
      <c r="M263" s="198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  <c r="AA263" s="198"/>
      <c r="AB263" s="198"/>
      <c r="AC263" s="198"/>
      <c r="AD263" s="198"/>
      <c r="AE263" s="198"/>
      <c r="AF263" s="198"/>
      <c r="AG263" s="198"/>
      <c r="AH263" s="198"/>
      <c r="AI263" s="198"/>
      <c r="AJ263" s="198"/>
      <c r="AK263" s="198"/>
      <c r="AL263" s="198"/>
      <c r="AM263" s="198"/>
      <c r="AN263" s="198"/>
      <c r="AO263" s="198"/>
      <c r="AP263" s="198"/>
    </row>
    <row r="264" spans="1:42" x14ac:dyDescent="0.2">
      <c r="A264" s="180" t="s">
        <v>303</v>
      </c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</row>
    <row r="265" spans="1:42" x14ac:dyDescent="0.2">
      <c r="A265" s="187" t="s">
        <v>192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</row>
    <row r="266" spans="1:42" x14ac:dyDescent="0.2">
      <c r="A266" s="20">
        <v>1</v>
      </c>
      <c r="C266" s="169">
        <f>IF(C$2&lt;=AnalysisPeriod,IF(SUM($C611:C611)&gt;0,B266+1,0),0)</f>
        <v>0</v>
      </c>
      <c r="D266" s="169">
        <f>IF(D$2&lt;=AnalysisPeriod,IF(SUM($C611:D611)&gt;0,C266+1,0),0)</f>
        <v>0</v>
      </c>
      <c r="E266" s="169">
        <f>IF(E$2&lt;=AnalysisPeriod,IF(SUM($C611:E611)&gt;0,D266+1,0),0)</f>
        <v>0</v>
      </c>
      <c r="F266" s="169">
        <f>IF(F$2&lt;=AnalysisPeriod,IF(SUM($C611:F611)&gt;0,E266+1,0),0)</f>
        <v>0</v>
      </c>
      <c r="G266" s="169">
        <f>IF(G$2&lt;=AnalysisPeriod,IF(SUM($C611:G611)&gt;0,F266+1,0),0)</f>
        <v>0</v>
      </c>
      <c r="H266" s="169">
        <f>IF(H$2&lt;=AnalysisPeriod,IF(SUM($C611:H611)&gt;0,G266+1,0),0)</f>
        <v>0</v>
      </c>
      <c r="I266" s="169">
        <f>IF(I$2&lt;=AnalysisPeriod,IF(SUM($C611:I611)&gt;0,H266+1,0),0)</f>
        <v>0</v>
      </c>
      <c r="J266" s="169">
        <f>IF(J$2&lt;=AnalysisPeriod,IF(SUM($C611:J611)&gt;0,I266+1,0),0)</f>
        <v>0</v>
      </c>
      <c r="K266" s="169">
        <f>IF(K$2&lt;=AnalysisPeriod,IF(SUM($C611:K611)&gt;0,J266+1,0),0)</f>
        <v>0</v>
      </c>
      <c r="L266" s="169">
        <f>IF(L$2&lt;=AnalysisPeriod,IF(SUM($C611:L611)&gt;0,K266+1,0),0)</f>
        <v>0</v>
      </c>
      <c r="M266" s="169">
        <f>IF(M$2&lt;=AnalysisPeriod,IF(SUM($C611:M611)&gt;0,L266+1,0),0)</f>
        <v>0</v>
      </c>
      <c r="N266" s="169">
        <f>IF(N$2&lt;=AnalysisPeriod,IF(SUM($C611:N611)&gt;0,M266+1,0),0)</f>
        <v>1</v>
      </c>
      <c r="O266" s="169">
        <f>IF(O$2&lt;=AnalysisPeriod,IF(SUM($C611:O611)&gt;0,N266+1,0),0)</f>
        <v>2</v>
      </c>
      <c r="P266" s="169">
        <f>IF(P$2&lt;=AnalysisPeriod,IF(SUM($C611:P611)&gt;0,O266+1,0),0)</f>
        <v>3</v>
      </c>
      <c r="Q266" s="169">
        <f>IF(Q$2&lt;=AnalysisPeriod,IF(SUM($C611:Q611)&gt;0,P266+1,0),0)</f>
        <v>4</v>
      </c>
      <c r="R266" s="169">
        <f>IF(R$2&lt;=AnalysisPeriod,IF(SUM($C611:R611)&gt;0,Q266+1,0),0)</f>
        <v>5</v>
      </c>
      <c r="S266" s="169">
        <f>IF(S$2&lt;=AnalysisPeriod,IF(SUM($C611:S611)&gt;0,R266+1,0),0)</f>
        <v>6</v>
      </c>
      <c r="T266" s="169">
        <f>IF(T$2&lt;=AnalysisPeriod,IF(SUM($C611:T611)&gt;0,S266+1,0),0)</f>
        <v>7</v>
      </c>
      <c r="U266" s="169">
        <f>IF(U$2&lt;=AnalysisPeriod,IF(SUM($C611:U611)&gt;0,T266+1,0),0)</f>
        <v>8</v>
      </c>
      <c r="V266" s="169">
        <f>IF(V$2&lt;=AnalysisPeriod,IF(SUM($C611:V611)&gt;0,U266+1,0),0)</f>
        <v>9</v>
      </c>
      <c r="W266" s="169">
        <f>IF(W$2&lt;=AnalysisPeriod,IF(SUM($C611:W611)&gt;0,V266+1,0),0)</f>
        <v>10</v>
      </c>
      <c r="X266" s="169">
        <f>IF(X$2&lt;=AnalysisPeriod,IF(SUM($C611:X611)&gt;0,W266+1,0),0)</f>
        <v>11</v>
      </c>
      <c r="Y266" s="169">
        <f>IF(Y$2&lt;=AnalysisPeriod,IF(SUM($C611:Y611)&gt;0,X266+1,0),0)</f>
        <v>12</v>
      </c>
      <c r="Z266" s="169">
        <f>IF(Z$2&lt;=AnalysisPeriod,IF(SUM($C611:Z611)&gt;0,Y266+1,0),0)</f>
        <v>13</v>
      </c>
      <c r="AA266" s="169">
        <f>IF(AA$2&lt;=AnalysisPeriod,IF(SUM($C611:AA611)&gt;0,Z266+1,0),0)</f>
        <v>14</v>
      </c>
      <c r="AB266" s="169">
        <f>IF(AB$2&lt;=AnalysisPeriod,IF(SUM($C611:AB611)&gt;0,AA266+1,0),0)</f>
        <v>15</v>
      </c>
      <c r="AC266" s="169">
        <f>IF(AC$2&lt;=AnalysisPeriod,IF(SUM($C611:AC611)&gt;0,AB266+1,0),0)</f>
        <v>16</v>
      </c>
      <c r="AD266" s="169">
        <f>IF(AD$2&lt;=AnalysisPeriod,IF(SUM($C611:AD611)&gt;0,AC266+1,0),0)</f>
        <v>17</v>
      </c>
      <c r="AE266" s="169">
        <f>IF(AE$2&lt;=AnalysisPeriod,IF(SUM($C611:AE611)&gt;0,AD266+1,0),0)</f>
        <v>18</v>
      </c>
      <c r="AF266" s="169">
        <f>IF(AF$2&lt;=AnalysisPeriod,IF(SUM($C611:AF611)&gt;0,AE266+1,0),0)</f>
        <v>19</v>
      </c>
      <c r="AG266" s="169">
        <f>IF(AG$2&lt;=AnalysisPeriod,IF(SUM($C611:AG611)&gt;0,AF266+1,0),0)</f>
        <v>20</v>
      </c>
      <c r="AH266" s="169">
        <f>IF(AH$2&lt;=AnalysisPeriod,IF(SUM($C611:AH611)&gt;0,AG266+1,0),0)</f>
        <v>21</v>
      </c>
      <c r="AI266" s="169">
        <f>IF(AI$2&lt;=AnalysisPeriod,IF(SUM($C611:AI611)&gt;0,AH266+1,0),0)</f>
        <v>22</v>
      </c>
      <c r="AJ266" s="169">
        <f>IF(AJ$2&lt;=AnalysisPeriod,IF(SUM($C611:AJ611)&gt;0,AI266+1,0),0)</f>
        <v>23</v>
      </c>
      <c r="AK266" s="169">
        <f>IF(AK$2&lt;=AnalysisPeriod,IF(SUM($C611:AK611)&gt;0,AJ266+1,0),0)</f>
        <v>24</v>
      </c>
      <c r="AL266" s="169">
        <f>IF(AL$2&lt;=AnalysisPeriod,IF(SUM($C611:AL611)&gt;0,AK266+1,0),0)</f>
        <v>25</v>
      </c>
      <c r="AM266" s="169">
        <f>IF(AM$2&lt;=AnalysisPeriod,IF(SUM($C611:AM611)&gt;0,AL266+1,0),0)</f>
        <v>26</v>
      </c>
      <c r="AN266" s="169">
        <f>IF(AN$2&lt;=AnalysisPeriod,IF(SUM($C611:AN611)&gt;0,AM266+1,0),0)</f>
        <v>27</v>
      </c>
      <c r="AO266" s="169">
        <f>IF(AO$2&lt;=AnalysisPeriod,IF(SUM($C611:AO611)&gt;0,AN266+1,0),0)</f>
        <v>28</v>
      </c>
      <c r="AP266" s="169">
        <f>IF(AP$2&lt;=AnalysisPeriod,IF(SUM($C611:AP611)&gt;0,AO266+1,0),0)</f>
        <v>29</v>
      </c>
    </row>
    <row r="267" spans="1:42" x14ac:dyDescent="0.2">
      <c r="A267" s="20">
        <f>A266+1</f>
        <v>2</v>
      </c>
      <c r="C267" s="169">
        <f>IF(C$2&lt;=AnalysisPeriod,IF(SUM($C612:C612)&gt;0,B267+1,0),0)</f>
        <v>0</v>
      </c>
      <c r="D267" s="169">
        <f>IF(D$2&lt;=AnalysisPeriod,IF(SUM($C612:D612)&gt;0,C267+1,0),0)</f>
        <v>0</v>
      </c>
      <c r="E267" s="169">
        <f>IF(E$2&lt;=AnalysisPeriod,IF(SUM($C612:E612)&gt;0,D267+1,0),0)</f>
        <v>0</v>
      </c>
      <c r="F267" s="169">
        <f>IF(F$2&lt;=AnalysisPeriod,IF(SUM($C612:F612)&gt;0,E267+1,0),0)</f>
        <v>0</v>
      </c>
      <c r="G267" s="169">
        <f>IF(G$2&lt;=AnalysisPeriod,IF(SUM($C612:G612)&gt;0,F267+1,0),0)</f>
        <v>0</v>
      </c>
      <c r="H267" s="169">
        <f>IF(H$2&lt;=AnalysisPeriod,IF(SUM($C612:H612)&gt;0,G267+1,0),0)</f>
        <v>0</v>
      </c>
      <c r="I267" s="169">
        <f>IF(I$2&lt;=AnalysisPeriod,IF(SUM($C612:I612)&gt;0,H267+1,0),0)</f>
        <v>0</v>
      </c>
      <c r="J267" s="169">
        <f>IF(J$2&lt;=AnalysisPeriod,IF(SUM($C612:J612)&gt;0,I267+1,0),0)</f>
        <v>0</v>
      </c>
      <c r="K267" s="169">
        <f>IF(K$2&lt;=AnalysisPeriod,IF(SUM($C612:K612)&gt;0,J267+1,0),0)</f>
        <v>0</v>
      </c>
      <c r="L267" s="169">
        <f>IF(L$2&lt;=AnalysisPeriod,IF(SUM($C612:L612)&gt;0,K267+1,0),0)</f>
        <v>0</v>
      </c>
      <c r="M267" s="169">
        <f>IF(M$2&lt;=AnalysisPeriod,IF(SUM($C612:M612)&gt;0,L267+1,0),0)</f>
        <v>0</v>
      </c>
      <c r="N267" s="169">
        <f>IF(N$2&lt;=AnalysisPeriod,IF(SUM($C612:N612)&gt;0,M267+1,0),0)</f>
        <v>0</v>
      </c>
      <c r="O267" s="169">
        <f>IF(O$2&lt;=AnalysisPeriod,IF(SUM($C612:O612)&gt;0,N267+1,0),0)</f>
        <v>0</v>
      </c>
      <c r="P267" s="169">
        <f>IF(P$2&lt;=AnalysisPeriod,IF(SUM($C612:P612)&gt;0,O267+1,0),0)</f>
        <v>0</v>
      </c>
      <c r="Q267" s="169">
        <f>IF(Q$2&lt;=AnalysisPeriod,IF(SUM($C612:Q612)&gt;0,P267+1,0),0)</f>
        <v>0</v>
      </c>
      <c r="R267" s="169">
        <f>IF(R$2&lt;=AnalysisPeriod,IF(SUM($C612:R612)&gt;0,Q267+1,0),0)</f>
        <v>0</v>
      </c>
      <c r="S267" s="169">
        <f>IF(S$2&lt;=AnalysisPeriod,IF(SUM($C612:S612)&gt;0,R267+1,0),0)</f>
        <v>0</v>
      </c>
      <c r="T267" s="169">
        <f>IF(T$2&lt;=AnalysisPeriod,IF(SUM($C612:T612)&gt;0,S267+1,0),0)</f>
        <v>0</v>
      </c>
      <c r="U267" s="169">
        <f>IF(U$2&lt;=AnalysisPeriod,IF(SUM($C612:U612)&gt;0,T267+1,0),0)</f>
        <v>0</v>
      </c>
      <c r="V267" s="169">
        <f>IF(V$2&lt;=AnalysisPeriod,IF(SUM($C612:V612)&gt;0,U267+1,0),0)</f>
        <v>0</v>
      </c>
      <c r="W267" s="169">
        <f>IF(W$2&lt;=AnalysisPeriod,IF(SUM($C612:W612)&gt;0,V267+1,0),0)</f>
        <v>0</v>
      </c>
      <c r="X267" s="169">
        <f>IF(X$2&lt;=AnalysisPeriod,IF(SUM($C612:X612)&gt;0,W267+1,0),0)</f>
        <v>0</v>
      </c>
      <c r="Y267" s="169">
        <f>IF(Y$2&lt;=AnalysisPeriod,IF(SUM($C612:Y612)&gt;0,X267+1,0),0)</f>
        <v>0</v>
      </c>
      <c r="Z267" s="169">
        <f>IF(Z$2&lt;=AnalysisPeriod,IF(SUM($C612:Z612)&gt;0,Y267+1,0),0)</f>
        <v>1</v>
      </c>
      <c r="AA267" s="169">
        <f>IF(AA$2&lt;=AnalysisPeriod,IF(SUM($C612:AA612)&gt;0,Z267+1,0),0)</f>
        <v>2</v>
      </c>
      <c r="AB267" s="169">
        <f>IF(AB$2&lt;=AnalysisPeriod,IF(SUM($C612:AB612)&gt;0,AA267+1,0),0)</f>
        <v>3</v>
      </c>
      <c r="AC267" s="169">
        <f>IF(AC$2&lt;=AnalysisPeriod,IF(SUM($C612:AC612)&gt;0,AB267+1,0),0)</f>
        <v>4</v>
      </c>
      <c r="AD267" s="169">
        <f>IF(AD$2&lt;=AnalysisPeriod,IF(SUM($C612:AD612)&gt;0,AC267+1,0),0)</f>
        <v>5</v>
      </c>
      <c r="AE267" s="169">
        <f>IF(AE$2&lt;=AnalysisPeriod,IF(SUM($C612:AE612)&gt;0,AD267+1,0),0)</f>
        <v>6</v>
      </c>
      <c r="AF267" s="169">
        <f>IF(AF$2&lt;=AnalysisPeriod,IF(SUM($C612:AF612)&gt;0,AE267+1,0),0)</f>
        <v>7</v>
      </c>
      <c r="AG267" s="169">
        <f>IF(AG$2&lt;=AnalysisPeriod,IF(SUM($C612:AG612)&gt;0,AF267+1,0),0)</f>
        <v>8</v>
      </c>
      <c r="AH267" s="169">
        <f>IF(AH$2&lt;=AnalysisPeriod,IF(SUM($C612:AH612)&gt;0,AG267+1,0),0)</f>
        <v>9</v>
      </c>
      <c r="AI267" s="169">
        <f>IF(AI$2&lt;=AnalysisPeriod,IF(SUM($C612:AI612)&gt;0,AH267+1,0),0)</f>
        <v>10</v>
      </c>
      <c r="AJ267" s="169">
        <f>IF(AJ$2&lt;=AnalysisPeriod,IF(SUM($C612:AJ612)&gt;0,AI267+1,0),0)</f>
        <v>11</v>
      </c>
      <c r="AK267" s="169">
        <f>IF(AK$2&lt;=AnalysisPeriod,IF(SUM($C612:AK612)&gt;0,AJ267+1,0),0)</f>
        <v>12</v>
      </c>
      <c r="AL267" s="169">
        <f>IF(AL$2&lt;=AnalysisPeriod,IF(SUM($C612:AL612)&gt;0,AK267+1,0),0)</f>
        <v>13</v>
      </c>
      <c r="AM267" s="169">
        <f>IF(AM$2&lt;=AnalysisPeriod,IF(SUM($C612:AM612)&gt;0,AL267+1,0),0)</f>
        <v>14</v>
      </c>
      <c r="AN267" s="169">
        <f>IF(AN$2&lt;=AnalysisPeriod,IF(SUM($C612:AN612)&gt;0,AM267+1,0),0)</f>
        <v>15</v>
      </c>
      <c r="AO267" s="169">
        <f>IF(AO$2&lt;=AnalysisPeriod,IF(SUM($C612:AO612)&gt;0,AN267+1,0),0)</f>
        <v>16</v>
      </c>
      <c r="AP267" s="169">
        <f>IF(AP$2&lt;=AnalysisPeriod,IF(SUM($C612:AP612)&gt;0,AO267+1,0),0)</f>
        <v>17</v>
      </c>
    </row>
    <row r="268" spans="1:42" x14ac:dyDescent="0.2">
      <c r="A268" s="20">
        <f t="shared" ref="A268:A275" si="142">A267+1</f>
        <v>3</v>
      </c>
      <c r="C268" s="169">
        <f>IF(C$2&lt;=AnalysisPeriod,IF(SUM($C613:C613)&gt;0,B268+1,0),0)</f>
        <v>0</v>
      </c>
      <c r="D268" s="169">
        <f>IF(D$2&lt;=AnalysisPeriod,IF(SUM($C613:D613)&gt;0,C268+1,0),0)</f>
        <v>0</v>
      </c>
      <c r="E268" s="169">
        <f>IF(E$2&lt;=AnalysisPeriod,IF(SUM($C613:E613)&gt;0,D268+1,0),0)</f>
        <v>0</v>
      </c>
      <c r="F268" s="169">
        <f>IF(F$2&lt;=AnalysisPeriod,IF(SUM($C613:F613)&gt;0,E268+1,0),0)</f>
        <v>0</v>
      </c>
      <c r="G268" s="169">
        <f>IF(G$2&lt;=AnalysisPeriod,IF(SUM($C613:G613)&gt;0,F268+1,0),0)</f>
        <v>0</v>
      </c>
      <c r="H268" s="169">
        <f>IF(H$2&lt;=AnalysisPeriod,IF(SUM($C613:H613)&gt;0,G268+1,0),0)</f>
        <v>0</v>
      </c>
      <c r="I268" s="169">
        <f>IF(I$2&lt;=AnalysisPeriod,IF(SUM($C613:I613)&gt;0,H268+1,0),0)</f>
        <v>0</v>
      </c>
      <c r="J268" s="169">
        <f>IF(J$2&lt;=AnalysisPeriod,IF(SUM($C613:J613)&gt;0,I268+1,0),0)</f>
        <v>0</v>
      </c>
      <c r="K268" s="169">
        <f>IF(K$2&lt;=AnalysisPeriod,IF(SUM($C613:K613)&gt;0,J268+1,0),0)</f>
        <v>0</v>
      </c>
      <c r="L268" s="169">
        <f>IF(L$2&lt;=AnalysisPeriod,IF(SUM($C613:L613)&gt;0,K268+1,0),0)</f>
        <v>0</v>
      </c>
      <c r="M268" s="169">
        <f>IF(M$2&lt;=AnalysisPeriod,IF(SUM($C613:M613)&gt;0,L268+1,0),0)</f>
        <v>0</v>
      </c>
      <c r="N268" s="169">
        <f>IF(N$2&lt;=AnalysisPeriod,IF(SUM($C613:N613)&gt;0,M268+1,0),0)</f>
        <v>0</v>
      </c>
      <c r="O268" s="169">
        <f>IF(O$2&lt;=AnalysisPeriod,IF(SUM($C613:O613)&gt;0,N268+1,0),0)</f>
        <v>0</v>
      </c>
      <c r="P268" s="169">
        <f>IF(P$2&lt;=AnalysisPeriod,IF(SUM($C613:P613)&gt;0,O268+1,0),0)</f>
        <v>0</v>
      </c>
      <c r="Q268" s="169">
        <f>IF(Q$2&lt;=AnalysisPeriod,IF(SUM($C613:Q613)&gt;0,P268+1,0),0)</f>
        <v>0</v>
      </c>
      <c r="R268" s="169">
        <f>IF(R$2&lt;=AnalysisPeriod,IF(SUM($C613:R613)&gt;0,Q268+1,0),0)</f>
        <v>0</v>
      </c>
      <c r="S268" s="169">
        <f>IF(S$2&lt;=AnalysisPeriod,IF(SUM($C613:S613)&gt;0,R268+1,0),0)</f>
        <v>0</v>
      </c>
      <c r="T268" s="169">
        <f>IF(T$2&lt;=AnalysisPeriod,IF(SUM($C613:T613)&gt;0,S268+1,0),0)</f>
        <v>0</v>
      </c>
      <c r="U268" s="169">
        <f>IF(U$2&lt;=AnalysisPeriod,IF(SUM($C613:U613)&gt;0,T268+1,0),0)</f>
        <v>0</v>
      </c>
      <c r="V268" s="169">
        <f>IF(V$2&lt;=AnalysisPeriod,IF(SUM($C613:V613)&gt;0,U268+1,0),0)</f>
        <v>0</v>
      </c>
      <c r="W268" s="169">
        <f>IF(W$2&lt;=AnalysisPeriod,IF(SUM($C613:W613)&gt;0,V268+1,0),0)</f>
        <v>0</v>
      </c>
      <c r="X268" s="169">
        <f>IF(X$2&lt;=AnalysisPeriod,IF(SUM($C613:X613)&gt;0,W268+1,0),0)</f>
        <v>0</v>
      </c>
      <c r="Y268" s="169">
        <f>IF(Y$2&lt;=AnalysisPeriod,IF(SUM($C613:Y613)&gt;0,X268+1,0),0)</f>
        <v>0</v>
      </c>
      <c r="Z268" s="169">
        <f>IF(Z$2&lt;=AnalysisPeriod,IF(SUM($C613:Z613)&gt;0,Y268+1,0),0)</f>
        <v>0</v>
      </c>
      <c r="AA268" s="169">
        <f>IF(AA$2&lt;=AnalysisPeriod,IF(SUM($C613:AA613)&gt;0,Z268+1,0),0)</f>
        <v>0</v>
      </c>
      <c r="AB268" s="169">
        <f>IF(AB$2&lt;=AnalysisPeriod,IF(SUM($C613:AB613)&gt;0,AA268+1,0),0)</f>
        <v>0</v>
      </c>
      <c r="AC268" s="169">
        <f>IF(AC$2&lt;=AnalysisPeriod,IF(SUM($C613:AC613)&gt;0,AB268+1,0),0)</f>
        <v>0</v>
      </c>
      <c r="AD268" s="169">
        <f>IF(AD$2&lt;=AnalysisPeriod,IF(SUM($C613:AD613)&gt;0,AC268+1,0),0)</f>
        <v>0</v>
      </c>
      <c r="AE268" s="169">
        <f>IF(AE$2&lt;=AnalysisPeriod,IF(SUM($C613:AE613)&gt;0,AD268+1,0),0)</f>
        <v>0</v>
      </c>
      <c r="AF268" s="169">
        <f>IF(AF$2&lt;=AnalysisPeriod,IF(SUM($C613:AF613)&gt;0,AE268+1,0),0)</f>
        <v>0</v>
      </c>
      <c r="AG268" s="169">
        <f>IF(AG$2&lt;=AnalysisPeriod,IF(SUM($C613:AG613)&gt;0,AF268+1,0),0)</f>
        <v>0</v>
      </c>
      <c r="AH268" s="169">
        <f>IF(AH$2&lt;=AnalysisPeriod,IF(SUM($C613:AH613)&gt;0,AG268+1,0),0)</f>
        <v>0</v>
      </c>
      <c r="AI268" s="169">
        <f>IF(AI$2&lt;=AnalysisPeriod,IF(SUM($C613:AI613)&gt;0,AH268+1,0),0)</f>
        <v>0</v>
      </c>
      <c r="AJ268" s="169">
        <f>IF(AJ$2&lt;=AnalysisPeriod,IF(SUM($C613:AJ613)&gt;0,AI268+1,0),0)</f>
        <v>0</v>
      </c>
      <c r="AK268" s="169">
        <f>IF(AK$2&lt;=AnalysisPeriod,IF(SUM($C613:AK613)&gt;0,AJ268+1,0),0)</f>
        <v>0</v>
      </c>
      <c r="AL268" s="169">
        <f>IF(AL$2&lt;=AnalysisPeriod,IF(SUM($C613:AL613)&gt;0,AK268+1,0),0)</f>
        <v>1</v>
      </c>
      <c r="AM268" s="169">
        <f>IF(AM$2&lt;=AnalysisPeriod,IF(SUM($C613:AM613)&gt;0,AL268+1,0),0)</f>
        <v>2</v>
      </c>
      <c r="AN268" s="169">
        <f>IF(AN$2&lt;=AnalysisPeriod,IF(SUM($C613:AN613)&gt;0,AM268+1,0),0)</f>
        <v>3</v>
      </c>
      <c r="AO268" s="169">
        <f>IF(AO$2&lt;=AnalysisPeriod,IF(SUM($C613:AO613)&gt;0,AN268+1,0),0)</f>
        <v>4</v>
      </c>
      <c r="AP268" s="169">
        <f>IF(AP$2&lt;=AnalysisPeriod,IF(SUM($C613:AP613)&gt;0,AO268+1,0),0)</f>
        <v>5</v>
      </c>
    </row>
    <row r="269" spans="1:42" x14ac:dyDescent="0.2">
      <c r="A269" s="20">
        <f t="shared" si="142"/>
        <v>4</v>
      </c>
      <c r="C269" s="169">
        <f>IF(C$2&lt;=AnalysisPeriod,IF(SUM($C614:C614)&gt;0,B269+1,0),0)</f>
        <v>0</v>
      </c>
      <c r="D269" s="169">
        <f>IF(D$2&lt;=AnalysisPeriod,IF(SUM($C614:D614)&gt;0,C269+1,0),0)</f>
        <v>0</v>
      </c>
      <c r="E269" s="169">
        <f>IF(E$2&lt;=AnalysisPeriod,IF(SUM($C614:E614)&gt;0,D269+1,0),0)</f>
        <v>0</v>
      </c>
      <c r="F269" s="169">
        <f>IF(F$2&lt;=AnalysisPeriod,IF(SUM($C614:F614)&gt;0,E269+1,0),0)</f>
        <v>0</v>
      </c>
      <c r="G269" s="169">
        <f>IF(G$2&lt;=AnalysisPeriod,IF(SUM($C614:G614)&gt;0,F269+1,0),0)</f>
        <v>0</v>
      </c>
      <c r="H269" s="169">
        <f>IF(H$2&lt;=AnalysisPeriod,IF(SUM($C614:H614)&gt;0,G269+1,0),0)</f>
        <v>0</v>
      </c>
      <c r="I269" s="169">
        <f>IF(I$2&lt;=AnalysisPeriod,IF(SUM($C614:I614)&gt;0,H269+1,0),0)</f>
        <v>0</v>
      </c>
      <c r="J269" s="169">
        <f>IF(J$2&lt;=AnalysisPeriod,IF(SUM($C614:J614)&gt;0,I269+1,0),0)</f>
        <v>0</v>
      </c>
      <c r="K269" s="169">
        <f>IF(K$2&lt;=AnalysisPeriod,IF(SUM($C614:K614)&gt;0,J269+1,0),0)</f>
        <v>0</v>
      </c>
      <c r="L269" s="169">
        <f>IF(L$2&lt;=AnalysisPeriod,IF(SUM($C614:L614)&gt;0,K269+1,0),0)</f>
        <v>0</v>
      </c>
      <c r="M269" s="169">
        <f>IF(M$2&lt;=AnalysisPeriod,IF(SUM($C614:M614)&gt;0,L269+1,0),0)</f>
        <v>0</v>
      </c>
      <c r="N269" s="169">
        <f>IF(N$2&lt;=AnalysisPeriod,IF(SUM($C614:N614)&gt;0,M269+1,0),0)</f>
        <v>0</v>
      </c>
      <c r="O269" s="169">
        <f>IF(O$2&lt;=AnalysisPeriod,IF(SUM($C614:O614)&gt;0,N269+1,0),0)</f>
        <v>0</v>
      </c>
      <c r="P269" s="169">
        <f>IF(P$2&lt;=AnalysisPeriod,IF(SUM($C614:P614)&gt;0,O269+1,0),0)</f>
        <v>0</v>
      </c>
      <c r="Q269" s="169">
        <f>IF(Q$2&lt;=AnalysisPeriod,IF(SUM($C614:Q614)&gt;0,P269+1,0),0)</f>
        <v>0</v>
      </c>
      <c r="R269" s="169">
        <f>IF(R$2&lt;=AnalysisPeriod,IF(SUM($C614:R614)&gt;0,Q269+1,0),0)</f>
        <v>0</v>
      </c>
      <c r="S269" s="169">
        <f>IF(S$2&lt;=AnalysisPeriod,IF(SUM($C614:S614)&gt;0,R269+1,0),0)</f>
        <v>0</v>
      </c>
      <c r="T269" s="169">
        <f>IF(T$2&lt;=AnalysisPeriod,IF(SUM($C614:T614)&gt;0,S269+1,0),0)</f>
        <v>0</v>
      </c>
      <c r="U269" s="169">
        <f>IF(U$2&lt;=AnalysisPeriod,IF(SUM($C614:U614)&gt;0,T269+1,0),0)</f>
        <v>0</v>
      </c>
      <c r="V269" s="169">
        <f>IF(V$2&lt;=AnalysisPeriod,IF(SUM($C614:V614)&gt;0,U269+1,0),0)</f>
        <v>0</v>
      </c>
      <c r="W269" s="169">
        <f>IF(W$2&lt;=AnalysisPeriod,IF(SUM($C614:W614)&gt;0,V269+1,0),0)</f>
        <v>0</v>
      </c>
      <c r="X269" s="169">
        <f>IF(X$2&lt;=AnalysisPeriod,IF(SUM($C614:X614)&gt;0,W269+1,0),0)</f>
        <v>0</v>
      </c>
      <c r="Y269" s="169">
        <f>IF(Y$2&lt;=AnalysisPeriod,IF(SUM($C614:Y614)&gt;0,X269+1,0),0)</f>
        <v>0</v>
      </c>
      <c r="Z269" s="169">
        <f>IF(Z$2&lt;=AnalysisPeriod,IF(SUM($C614:Z614)&gt;0,Y269+1,0),0)</f>
        <v>0</v>
      </c>
      <c r="AA269" s="169">
        <f>IF(AA$2&lt;=AnalysisPeriod,IF(SUM($C614:AA614)&gt;0,Z269+1,0),0)</f>
        <v>0</v>
      </c>
      <c r="AB269" s="169">
        <f>IF(AB$2&lt;=AnalysisPeriod,IF(SUM($C614:AB614)&gt;0,AA269+1,0),0)</f>
        <v>0</v>
      </c>
      <c r="AC269" s="169">
        <f>IF(AC$2&lt;=AnalysisPeriod,IF(SUM($C614:AC614)&gt;0,AB269+1,0),0)</f>
        <v>0</v>
      </c>
      <c r="AD269" s="169">
        <f>IF(AD$2&lt;=AnalysisPeriod,IF(SUM($C614:AD614)&gt;0,AC269+1,0),0)</f>
        <v>0</v>
      </c>
      <c r="AE269" s="169">
        <f>IF(AE$2&lt;=AnalysisPeriod,IF(SUM($C614:AE614)&gt;0,AD269+1,0),0)</f>
        <v>0</v>
      </c>
      <c r="AF269" s="169">
        <f>IF(AF$2&lt;=AnalysisPeriod,IF(SUM($C614:AF614)&gt;0,AE269+1,0),0)</f>
        <v>0</v>
      </c>
      <c r="AG269" s="169">
        <f>IF(AG$2&lt;=AnalysisPeriod,IF(SUM($C614:AG614)&gt;0,AF269+1,0),0)</f>
        <v>0</v>
      </c>
      <c r="AH269" s="169">
        <f>IF(AH$2&lt;=AnalysisPeriod,IF(SUM($C614:AH614)&gt;0,AG269+1,0),0)</f>
        <v>0</v>
      </c>
      <c r="AI269" s="169">
        <f>IF(AI$2&lt;=AnalysisPeriod,IF(SUM($C614:AI614)&gt;0,AH269+1,0),0)</f>
        <v>0</v>
      </c>
      <c r="AJ269" s="169">
        <f>IF(AJ$2&lt;=AnalysisPeriod,IF(SUM($C614:AJ614)&gt;0,AI269+1,0),0)</f>
        <v>0</v>
      </c>
      <c r="AK269" s="169">
        <f>IF(AK$2&lt;=AnalysisPeriod,IF(SUM($C614:AK614)&gt;0,AJ269+1,0),0)</f>
        <v>0</v>
      </c>
      <c r="AL269" s="169">
        <f>IF(AL$2&lt;=AnalysisPeriod,IF(SUM($C614:AL614)&gt;0,AK269+1,0),0)</f>
        <v>0</v>
      </c>
      <c r="AM269" s="169">
        <f>IF(AM$2&lt;=AnalysisPeriod,IF(SUM($C614:AM614)&gt;0,AL269+1,0),0)</f>
        <v>0</v>
      </c>
      <c r="AN269" s="169">
        <f>IF(AN$2&lt;=AnalysisPeriod,IF(SUM($C614:AN614)&gt;0,AM269+1,0),0)</f>
        <v>0</v>
      </c>
      <c r="AO269" s="169">
        <f>IF(AO$2&lt;=AnalysisPeriod,IF(SUM($C614:AO614)&gt;0,AN269+1,0),0)</f>
        <v>0</v>
      </c>
      <c r="AP269" s="169">
        <f>IF(AP$2&lt;=AnalysisPeriod,IF(SUM($C614:AP614)&gt;0,AO269+1,0),0)</f>
        <v>0</v>
      </c>
    </row>
    <row r="270" spans="1:42" x14ac:dyDescent="0.2">
      <c r="A270" s="20">
        <f t="shared" si="142"/>
        <v>5</v>
      </c>
      <c r="C270" s="169">
        <f>IF(C$2&lt;=AnalysisPeriod,IF(SUM($C615:C615)&gt;0,B270+1,0),0)</f>
        <v>0</v>
      </c>
      <c r="D270" s="169">
        <f>IF(D$2&lt;=AnalysisPeriod,IF(SUM($C615:D615)&gt;0,C270+1,0),0)</f>
        <v>0</v>
      </c>
      <c r="E270" s="169">
        <f>IF(E$2&lt;=AnalysisPeriod,IF(SUM($C615:E615)&gt;0,D270+1,0),0)</f>
        <v>0</v>
      </c>
      <c r="F270" s="169">
        <f>IF(F$2&lt;=AnalysisPeriod,IF(SUM($C615:F615)&gt;0,E270+1,0),0)</f>
        <v>0</v>
      </c>
      <c r="G270" s="169">
        <f>IF(G$2&lt;=AnalysisPeriod,IF(SUM($C615:G615)&gt;0,F270+1,0),0)</f>
        <v>0</v>
      </c>
      <c r="H270" s="169">
        <f>IF(H$2&lt;=AnalysisPeriod,IF(SUM($C615:H615)&gt;0,G270+1,0),0)</f>
        <v>0</v>
      </c>
      <c r="I270" s="169">
        <f>IF(I$2&lt;=AnalysisPeriod,IF(SUM($C615:I615)&gt;0,H270+1,0),0)</f>
        <v>0</v>
      </c>
      <c r="J270" s="169">
        <f>IF(J$2&lt;=AnalysisPeriod,IF(SUM($C615:J615)&gt;0,I270+1,0),0)</f>
        <v>0</v>
      </c>
      <c r="K270" s="169">
        <f>IF(K$2&lt;=AnalysisPeriod,IF(SUM($C615:K615)&gt;0,J270+1,0),0)</f>
        <v>0</v>
      </c>
      <c r="L270" s="169">
        <f>IF(L$2&lt;=AnalysisPeriod,IF(SUM($C615:L615)&gt;0,K270+1,0),0)</f>
        <v>0</v>
      </c>
      <c r="M270" s="169">
        <f>IF(M$2&lt;=AnalysisPeriod,IF(SUM($C615:M615)&gt;0,L270+1,0),0)</f>
        <v>0</v>
      </c>
      <c r="N270" s="169">
        <f>IF(N$2&lt;=AnalysisPeriod,IF(SUM($C615:N615)&gt;0,M270+1,0),0)</f>
        <v>0</v>
      </c>
      <c r="O270" s="169">
        <f>IF(O$2&lt;=AnalysisPeriod,IF(SUM($C615:O615)&gt;0,N270+1,0),0)</f>
        <v>0</v>
      </c>
      <c r="P270" s="169">
        <f>IF(P$2&lt;=AnalysisPeriod,IF(SUM($C615:P615)&gt;0,O270+1,0),0)</f>
        <v>0</v>
      </c>
      <c r="Q270" s="169">
        <f>IF(Q$2&lt;=AnalysisPeriod,IF(SUM($C615:Q615)&gt;0,P270+1,0),0)</f>
        <v>0</v>
      </c>
      <c r="R270" s="169">
        <f>IF(R$2&lt;=AnalysisPeriod,IF(SUM($C615:R615)&gt;0,Q270+1,0),0)</f>
        <v>0</v>
      </c>
      <c r="S270" s="169">
        <f>IF(S$2&lt;=AnalysisPeriod,IF(SUM($C615:S615)&gt;0,R270+1,0),0)</f>
        <v>0</v>
      </c>
      <c r="T270" s="169">
        <f>IF(T$2&lt;=AnalysisPeriod,IF(SUM($C615:T615)&gt;0,S270+1,0),0)</f>
        <v>0</v>
      </c>
      <c r="U270" s="169">
        <f>IF(U$2&lt;=AnalysisPeriod,IF(SUM($C615:U615)&gt;0,T270+1,0),0)</f>
        <v>0</v>
      </c>
      <c r="V270" s="169">
        <f>IF(V$2&lt;=AnalysisPeriod,IF(SUM($C615:V615)&gt;0,U270+1,0),0)</f>
        <v>0</v>
      </c>
      <c r="W270" s="169">
        <f>IF(W$2&lt;=AnalysisPeriod,IF(SUM($C615:W615)&gt;0,V270+1,0),0)</f>
        <v>0</v>
      </c>
      <c r="X270" s="169">
        <f>IF(X$2&lt;=AnalysisPeriod,IF(SUM($C615:X615)&gt;0,W270+1,0),0)</f>
        <v>0</v>
      </c>
      <c r="Y270" s="169">
        <f>IF(Y$2&lt;=AnalysisPeriod,IF(SUM($C615:Y615)&gt;0,X270+1,0),0)</f>
        <v>0</v>
      </c>
      <c r="Z270" s="169">
        <f>IF(Z$2&lt;=AnalysisPeriod,IF(SUM($C615:Z615)&gt;0,Y270+1,0),0)</f>
        <v>0</v>
      </c>
      <c r="AA270" s="169">
        <f>IF(AA$2&lt;=AnalysisPeriod,IF(SUM($C615:AA615)&gt;0,Z270+1,0),0)</f>
        <v>0</v>
      </c>
      <c r="AB270" s="169">
        <f>IF(AB$2&lt;=AnalysisPeriod,IF(SUM($C615:AB615)&gt;0,AA270+1,0),0)</f>
        <v>0</v>
      </c>
      <c r="AC270" s="169">
        <f>IF(AC$2&lt;=AnalysisPeriod,IF(SUM($C615:AC615)&gt;0,AB270+1,0),0)</f>
        <v>0</v>
      </c>
      <c r="AD270" s="169">
        <f>IF(AD$2&lt;=AnalysisPeriod,IF(SUM($C615:AD615)&gt;0,AC270+1,0),0)</f>
        <v>0</v>
      </c>
      <c r="AE270" s="169">
        <f>IF(AE$2&lt;=AnalysisPeriod,IF(SUM($C615:AE615)&gt;0,AD270+1,0),0)</f>
        <v>0</v>
      </c>
      <c r="AF270" s="169">
        <f>IF(AF$2&lt;=AnalysisPeriod,IF(SUM($C615:AF615)&gt;0,AE270+1,0),0)</f>
        <v>0</v>
      </c>
      <c r="AG270" s="169">
        <f>IF(AG$2&lt;=AnalysisPeriod,IF(SUM($C615:AG615)&gt;0,AF270+1,0),0)</f>
        <v>0</v>
      </c>
      <c r="AH270" s="169">
        <f>IF(AH$2&lt;=AnalysisPeriod,IF(SUM($C615:AH615)&gt;0,AG270+1,0),0)</f>
        <v>0</v>
      </c>
      <c r="AI270" s="169">
        <f>IF(AI$2&lt;=AnalysisPeriod,IF(SUM($C615:AI615)&gt;0,AH270+1,0),0)</f>
        <v>0</v>
      </c>
      <c r="AJ270" s="169">
        <f>IF(AJ$2&lt;=AnalysisPeriod,IF(SUM($C615:AJ615)&gt;0,AI270+1,0),0)</f>
        <v>0</v>
      </c>
      <c r="AK270" s="169">
        <f>IF(AK$2&lt;=AnalysisPeriod,IF(SUM($C615:AK615)&gt;0,AJ270+1,0),0)</f>
        <v>0</v>
      </c>
      <c r="AL270" s="169">
        <f>IF(AL$2&lt;=AnalysisPeriod,IF(SUM($C615:AL615)&gt;0,AK270+1,0),0)</f>
        <v>0</v>
      </c>
      <c r="AM270" s="169">
        <f>IF(AM$2&lt;=AnalysisPeriod,IF(SUM($C615:AM615)&gt;0,AL270+1,0),0)</f>
        <v>0</v>
      </c>
      <c r="AN270" s="169">
        <f>IF(AN$2&lt;=AnalysisPeriod,IF(SUM($C615:AN615)&gt;0,AM270+1,0),0)</f>
        <v>0</v>
      </c>
      <c r="AO270" s="169">
        <f>IF(AO$2&lt;=AnalysisPeriod,IF(SUM($C615:AO615)&gt;0,AN270+1,0),0)</f>
        <v>0</v>
      </c>
      <c r="AP270" s="169">
        <f>IF(AP$2&lt;=AnalysisPeriod,IF(SUM($C615:AP615)&gt;0,AO270+1,0),0)</f>
        <v>0</v>
      </c>
    </row>
    <row r="271" spans="1:42" x14ac:dyDescent="0.2">
      <c r="A271" s="20">
        <f t="shared" si="142"/>
        <v>6</v>
      </c>
      <c r="C271" s="169">
        <f>IF(C$2&lt;=AnalysisPeriod,IF(SUM($C616:C616)&gt;0,B271+1,0),0)</f>
        <v>0</v>
      </c>
      <c r="D271" s="169">
        <f>IF(D$2&lt;=AnalysisPeriod,IF(SUM($C616:D616)&gt;0,C271+1,0),0)</f>
        <v>0</v>
      </c>
      <c r="E271" s="169">
        <f>IF(E$2&lt;=AnalysisPeriod,IF(SUM($C616:E616)&gt;0,D271+1,0),0)</f>
        <v>0</v>
      </c>
      <c r="F271" s="169">
        <f>IF(F$2&lt;=AnalysisPeriod,IF(SUM($C616:F616)&gt;0,E271+1,0),0)</f>
        <v>0</v>
      </c>
      <c r="G271" s="169">
        <f>IF(G$2&lt;=AnalysisPeriod,IF(SUM($C616:G616)&gt;0,F271+1,0),0)</f>
        <v>0</v>
      </c>
      <c r="H271" s="169">
        <f>IF(H$2&lt;=AnalysisPeriod,IF(SUM($C616:H616)&gt;0,G271+1,0),0)</f>
        <v>0</v>
      </c>
      <c r="I271" s="169">
        <f>IF(I$2&lt;=AnalysisPeriod,IF(SUM($C616:I616)&gt;0,H271+1,0),0)</f>
        <v>0</v>
      </c>
      <c r="J271" s="169">
        <f>IF(J$2&lt;=AnalysisPeriod,IF(SUM($C616:J616)&gt;0,I271+1,0),0)</f>
        <v>0</v>
      </c>
      <c r="K271" s="169">
        <f>IF(K$2&lt;=AnalysisPeriod,IF(SUM($C616:K616)&gt;0,J271+1,0),0)</f>
        <v>0</v>
      </c>
      <c r="L271" s="169">
        <f>IF(L$2&lt;=AnalysisPeriod,IF(SUM($C616:L616)&gt;0,K271+1,0),0)</f>
        <v>0</v>
      </c>
      <c r="M271" s="169">
        <f>IF(M$2&lt;=AnalysisPeriod,IF(SUM($C616:M616)&gt;0,L271+1,0),0)</f>
        <v>0</v>
      </c>
      <c r="N271" s="169">
        <f>IF(N$2&lt;=AnalysisPeriod,IF(SUM($C616:N616)&gt;0,M271+1,0),0)</f>
        <v>0</v>
      </c>
      <c r="O271" s="169">
        <f>IF(O$2&lt;=AnalysisPeriod,IF(SUM($C616:O616)&gt;0,N271+1,0),0)</f>
        <v>0</v>
      </c>
      <c r="P271" s="169">
        <f>IF(P$2&lt;=AnalysisPeriod,IF(SUM($C616:P616)&gt;0,O271+1,0),0)</f>
        <v>0</v>
      </c>
      <c r="Q271" s="169">
        <f>IF(Q$2&lt;=AnalysisPeriod,IF(SUM($C616:Q616)&gt;0,P271+1,0),0)</f>
        <v>0</v>
      </c>
      <c r="R271" s="169">
        <f>IF(R$2&lt;=AnalysisPeriod,IF(SUM($C616:R616)&gt;0,Q271+1,0),0)</f>
        <v>0</v>
      </c>
      <c r="S271" s="169">
        <f>IF(S$2&lt;=AnalysisPeriod,IF(SUM($C616:S616)&gt;0,R271+1,0),0)</f>
        <v>0</v>
      </c>
      <c r="T271" s="169">
        <f>IF(T$2&lt;=AnalysisPeriod,IF(SUM($C616:T616)&gt;0,S271+1,0),0)</f>
        <v>0</v>
      </c>
      <c r="U271" s="169">
        <f>IF(U$2&lt;=AnalysisPeriod,IF(SUM($C616:U616)&gt;0,T271+1,0),0)</f>
        <v>0</v>
      </c>
      <c r="V271" s="169">
        <f>IF(V$2&lt;=AnalysisPeriod,IF(SUM($C616:V616)&gt;0,U271+1,0),0)</f>
        <v>0</v>
      </c>
      <c r="W271" s="169">
        <f>IF(W$2&lt;=AnalysisPeriod,IF(SUM($C616:W616)&gt;0,V271+1,0),0)</f>
        <v>0</v>
      </c>
      <c r="X271" s="169">
        <f>IF(X$2&lt;=AnalysisPeriod,IF(SUM($C616:X616)&gt;0,W271+1,0),0)</f>
        <v>0</v>
      </c>
      <c r="Y271" s="169">
        <f>IF(Y$2&lt;=AnalysisPeriod,IF(SUM($C616:Y616)&gt;0,X271+1,0),0)</f>
        <v>0</v>
      </c>
      <c r="Z271" s="169">
        <f>IF(Z$2&lt;=AnalysisPeriod,IF(SUM($C616:Z616)&gt;0,Y271+1,0),0)</f>
        <v>0</v>
      </c>
      <c r="AA271" s="169">
        <f>IF(AA$2&lt;=AnalysisPeriod,IF(SUM($C616:AA616)&gt;0,Z271+1,0),0)</f>
        <v>0</v>
      </c>
      <c r="AB271" s="169">
        <f>IF(AB$2&lt;=AnalysisPeriod,IF(SUM($C616:AB616)&gt;0,AA271+1,0),0)</f>
        <v>0</v>
      </c>
      <c r="AC271" s="169">
        <f>IF(AC$2&lt;=AnalysisPeriod,IF(SUM($C616:AC616)&gt;0,AB271+1,0),0)</f>
        <v>0</v>
      </c>
      <c r="AD271" s="169">
        <f>IF(AD$2&lt;=AnalysisPeriod,IF(SUM($C616:AD616)&gt;0,AC271+1,0),0)</f>
        <v>0</v>
      </c>
      <c r="AE271" s="169">
        <f>IF(AE$2&lt;=AnalysisPeriod,IF(SUM($C616:AE616)&gt;0,AD271+1,0),0)</f>
        <v>0</v>
      </c>
      <c r="AF271" s="169">
        <f>IF(AF$2&lt;=AnalysisPeriod,IF(SUM($C616:AF616)&gt;0,AE271+1,0),0)</f>
        <v>0</v>
      </c>
      <c r="AG271" s="169">
        <f>IF(AG$2&lt;=AnalysisPeriod,IF(SUM($C616:AG616)&gt;0,AF271+1,0),0)</f>
        <v>0</v>
      </c>
      <c r="AH271" s="169">
        <f>IF(AH$2&lt;=AnalysisPeriod,IF(SUM($C616:AH616)&gt;0,AG271+1,0),0)</f>
        <v>0</v>
      </c>
      <c r="AI271" s="169">
        <f>IF(AI$2&lt;=AnalysisPeriod,IF(SUM($C616:AI616)&gt;0,AH271+1,0),0)</f>
        <v>0</v>
      </c>
      <c r="AJ271" s="169">
        <f>IF(AJ$2&lt;=AnalysisPeriod,IF(SUM($C616:AJ616)&gt;0,AI271+1,0),0)</f>
        <v>0</v>
      </c>
      <c r="AK271" s="169">
        <f>IF(AK$2&lt;=AnalysisPeriod,IF(SUM($C616:AK616)&gt;0,AJ271+1,0),0)</f>
        <v>0</v>
      </c>
      <c r="AL271" s="169">
        <f>IF(AL$2&lt;=AnalysisPeriod,IF(SUM($C616:AL616)&gt;0,AK271+1,0),0)</f>
        <v>0</v>
      </c>
      <c r="AM271" s="169">
        <f>IF(AM$2&lt;=AnalysisPeriod,IF(SUM($C616:AM616)&gt;0,AL271+1,0),0)</f>
        <v>0</v>
      </c>
      <c r="AN271" s="169">
        <f>IF(AN$2&lt;=AnalysisPeriod,IF(SUM($C616:AN616)&gt;0,AM271+1,0),0)</f>
        <v>0</v>
      </c>
      <c r="AO271" s="169">
        <f>IF(AO$2&lt;=AnalysisPeriod,IF(SUM($C616:AO616)&gt;0,AN271+1,0),0)</f>
        <v>0</v>
      </c>
      <c r="AP271" s="169">
        <f>IF(AP$2&lt;=AnalysisPeriod,IF(SUM($C616:AP616)&gt;0,AO271+1,0),0)</f>
        <v>0</v>
      </c>
    </row>
    <row r="272" spans="1:42" x14ac:dyDescent="0.2">
      <c r="A272" s="20">
        <f t="shared" si="142"/>
        <v>7</v>
      </c>
      <c r="C272" s="169">
        <f>IF(C$2&lt;=AnalysisPeriod,IF(SUM($C617:C617)&gt;0,B272+1,0),0)</f>
        <v>0</v>
      </c>
      <c r="D272" s="169">
        <f>IF(D$2&lt;=AnalysisPeriod,IF(SUM($C617:D617)&gt;0,C272+1,0),0)</f>
        <v>0</v>
      </c>
      <c r="E272" s="169">
        <f>IF(E$2&lt;=AnalysisPeriod,IF(SUM($C617:E617)&gt;0,D272+1,0),0)</f>
        <v>0</v>
      </c>
      <c r="F272" s="169">
        <f>IF(F$2&lt;=AnalysisPeriod,IF(SUM($C617:F617)&gt;0,E272+1,0),0)</f>
        <v>0</v>
      </c>
      <c r="G272" s="169">
        <f>IF(G$2&lt;=AnalysisPeriod,IF(SUM($C617:G617)&gt;0,F272+1,0),0)</f>
        <v>0</v>
      </c>
      <c r="H272" s="169">
        <f>IF(H$2&lt;=AnalysisPeriod,IF(SUM($C617:H617)&gt;0,G272+1,0),0)</f>
        <v>0</v>
      </c>
      <c r="I272" s="169">
        <f>IF(I$2&lt;=AnalysisPeriod,IF(SUM($C617:I617)&gt;0,H272+1,0),0)</f>
        <v>0</v>
      </c>
      <c r="J272" s="169">
        <f>IF(J$2&lt;=AnalysisPeriod,IF(SUM($C617:J617)&gt;0,I272+1,0),0)</f>
        <v>0</v>
      </c>
      <c r="K272" s="169">
        <f>IF(K$2&lt;=AnalysisPeriod,IF(SUM($C617:K617)&gt;0,J272+1,0),0)</f>
        <v>0</v>
      </c>
      <c r="L272" s="169">
        <f>IF(L$2&lt;=AnalysisPeriod,IF(SUM($C617:L617)&gt;0,K272+1,0),0)</f>
        <v>0</v>
      </c>
      <c r="M272" s="169">
        <f>IF(M$2&lt;=AnalysisPeriod,IF(SUM($C617:M617)&gt;0,L272+1,0),0)</f>
        <v>0</v>
      </c>
      <c r="N272" s="169">
        <f>IF(N$2&lt;=AnalysisPeriod,IF(SUM($C617:N617)&gt;0,M272+1,0),0)</f>
        <v>0</v>
      </c>
      <c r="O272" s="169">
        <f>IF(O$2&lt;=AnalysisPeriod,IF(SUM($C617:O617)&gt;0,N272+1,0),0)</f>
        <v>0</v>
      </c>
      <c r="P272" s="169">
        <f>IF(P$2&lt;=AnalysisPeriod,IF(SUM($C617:P617)&gt;0,O272+1,0),0)</f>
        <v>0</v>
      </c>
      <c r="Q272" s="169">
        <f>IF(Q$2&lt;=AnalysisPeriod,IF(SUM($C617:Q617)&gt;0,P272+1,0),0)</f>
        <v>0</v>
      </c>
      <c r="R272" s="169">
        <f>IF(R$2&lt;=AnalysisPeriod,IF(SUM($C617:R617)&gt;0,Q272+1,0),0)</f>
        <v>0</v>
      </c>
      <c r="S272" s="169">
        <f>IF(S$2&lt;=AnalysisPeriod,IF(SUM($C617:S617)&gt;0,R272+1,0),0)</f>
        <v>0</v>
      </c>
      <c r="T272" s="169">
        <f>IF(T$2&lt;=AnalysisPeriod,IF(SUM($C617:T617)&gt;0,S272+1,0),0)</f>
        <v>0</v>
      </c>
      <c r="U272" s="169">
        <f>IF(U$2&lt;=AnalysisPeriod,IF(SUM($C617:U617)&gt;0,T272+1,0),0)</f>
        <v>0</v>
      </c>
      <c r="V272" s="169">
        <f>IF(V$2&lt;=AnalysisPeriod,IF(SUM($C617:V617)&gt;0,U272+1,0),0)</f>
        <v>0</v>
      </c>
      <c r="W272" s="169">
        <f>IF(W$2&lt;=AnalysisPeriod,IF(SUM($C617:W617)&gt;0,V272+1,0),0)</f>
        <v>0</v>
      </c>
      <c r="X272" s="169">
        <f>IF(X$2&lt;=AnalysisPeriod,IF(SUM($C617:X617)&gt;0,W272+1,0),0)</f>
        <v>0</v>
      </c>
      <c r="Y272" s="169">
        <f>IF(Y$2&lt;=AnalysisPeriod,IF(SUM($C617:Y617)&gt;0,X272+1,0),0)</f>
        <v>0</v>
      </c>
      <c r="Z272" s="169">
        <f>IF(Z$2&lt;=AnalysisPeriod,IF(SUM($C617:Z617)&gt;0,Y272+1,0),0)</f>
        <v>0</v>
      </c>
      <c r="AA272" s="169">
        <f>IF(AA$2&lt;=AnalysisPeriod,IF(SUM($C617:AA617)&gt;0,Z272+1,0),0)</f>
        <v>0</v>
      </c>
      <c r="AB272" s="169">
        <f>IF(AB$2&lt;=AnalysisPeriod,IF(SUM($C617:AB617)&gt;0,AA272+1,0),0)</f>
        <v>0</v>
      </c>
      <c r="AC272" s="169">
        <f>IF(AC$2&lt;=AnalysisPeriod,IF(SUM($C617:AC617)&gt;0,AB272+1,0),0)</f>
        <v>0</v>
      </c>
      <c r="AD272" s="169">
        <f>IF(AD$2&lt;=AnalysisPeriod,IF(SUM($C617:AD617)&gt;0,AC272+1,0),0)</f>
        <v>0</v>
      </c>
      <c r="AE272" s="169">
        <f>IF(AE$2&lt;=AnalysisPeriod,IF(SUM($C617:AE617)&gt;0,AD272+1,0),0)</f>
        <v>0</v>
      </c>
      <c r="AF272" s="169">
        <f>IF(AF$2&lt;=AnalysisPeriod,IF(SUM($C617:AF617)&gt;0,AE272+1,0),0)</f>
        <v>0</v>
      </c>
      <c r="AG272" s="169">
        <f>IF(AG$2&lt;=AnalysisPeriod,IF(SUM($C617:AG617)&gt;0,AF272+1,0),0)</f>
        <v>0</v>
      </c>
      <c r="AH272" s="169">
        <f>IF(AH$2&lt;=AnalysisPeriod,IF(SUM($C617:AH617)&gt;0,AG272+1,0),0)</f>
        <v>0</v>
      </c>
      <c r="AI272" s="169">
        <f>IF(AI$2&lt;=AnalysisPeriod,IF(SUM($C617:AI617)&gt;0,AH272+1,0),0)</f>
        <v>0</v>
      </c>
      <c r="AJ272" s="169">
        <f>IF(AJ$2&lt;=AnalysisPeriod,IF(SUM($C617:AJ617)&gt;0,AI272+1,0),0)</f>
        <v>0</v>
      </c>
      <c r="AK272" s="169">
        <f>IF(AK$2&lt;=AnalysisPeriod,IF(SUM($C617:AK617)&gt;0,AJ272+1,0),0)</f>
        <v>0</v>
      </c>
      <c r="AL272" s="169">
        <f>IF(AL$2&lt;=AnalysisPeriod,IF(SUM($C617:AL617)&gt;0,AK272+1,0),0)</f>
        <v>0</v>
      </c>
      <c r="AM272" s="169">
        <f>IF(AM$2&lt;=AnalysisPeriod,IF(SUM($C617:AM617)&gt;0,AL272+1,0),0)</f>
        <v>0</v>
      </c>
      <c r="AN272" s="169">
        <f>IF(AN$2&lt;=AnalysisPeriod,IF(SUM($C617:AN617)&gt;0,AM272+1,0),0)</f>
        <v>0</v>
      </c>
      <c r="AO272" s="169">
        <f>IF(AO$2&lt;=AnalysisPeriod,IF(SUM($C617:AO617)&gt;0,AN272+1,0),0)</f>
        <v>0</v>
      </c>
      <c r="AP272" s="169">
        <f>IF(AP$2&lt;=AnalysisPeriod,IF(SUM($C617:AP617)&gt;0,AO272+1,0),0)</f>
        <v>0</v>
      </c>
    </row>
    <row r="273" spans="1:42" x14ac:dyDescent="0.2">
      <c r="A273" s="20">
        <f t="shared" si="142"/>
        <v>8</v>
      </c>
      <c r="C273" s="169">
        <f>IF(C$2&lt;=AnalysisPeriod,IF(SUM($C618:C618)&gt;0,B273+1,0),0)</f>
        <v>0</v>
      </c>
      <c r="D273" s="169">
        <f>IF(D$2&lt;=AnalysisPeriod,IF(SUM($C618:D618)&gt;0,C273+1,0),0)</f>
        <v>0</v>
      </c>
      <c r="E273" s="169">
        <f>IF(E$2&lt;=AnalysisPeriod,IF(SUM($C618:E618)&gt;0,D273+1,0),0)</f>
        <v>0</v>
      </c>
      <c r="F273" s="169">
        <f>IF(F$2&lt;=AnalysisPeriod,IF(SUM($C618:F618)&gt;0,E273+1,0),0)</f>
        <v>0</v>
      </c>
      <c r="G273" s="169">
        <f>IF(G$2&lt;=AnalysisPeriod,IF(SUM($C618:G618)&gt;0,F273+1,0),0)</f>
        <v>0</v>
      </c>
      <c r="H273" s="169">
        <f>IF(H$2&lt;=AnalysisPeriod,IF(SUM($C618:H618)&gt;0,G273+1,0),0)</f>
        <v>0</v>
      </c>
      <c r="I273" s="169">
        <f>IF(I$2&lt;=AnalysisPeriod,IF(SUM($C618:I618)&gt;0,H273+1,0),0)</f>
        <v>0</v>
      </c>
      <c r="J273" s="169">
        <f>IF(J$2&lt;=AnalysisPeriod,IF(SUM($C618:J618)&gt;0,I273+1,0),0)</f>
        <v>0</v>
      </c>
      <c r="K273" s="169">
        <f>IF(K$2&lt;=AnalysisPeriod,IF(SUM($C618:K618)&gt;0,J273+1,0),0)</f>
        <v>0</v>
      </c>
      <c r="L273" s="169">
        <f>IF(L$2&lt;=AnalysisPeriod,IF(SUM($C618:L618)&gt;0,K273+1,0),0)</f>
        <v>0</v>
      </c>
      <c r="M273" s="169">
        <f>IF(M$2&lt;=AnalysisPeriod,IF(SUM($C618:M618)&gt;0,L273+1,0),0)</f>
        <v>0</v>
      </c>
      <c r="N273" s="169">
        <f>IF(N$2&lt;=AnalysisPeriod,IF(SUM($C618:N618)&gt;0,M273+1,0),0)</f>
        <v>0</v>
      </c>
      <c r="O273" s="169">
        <f>IF(O$2&lt;=AnalysisPeriod,IF(SUM($C618:O618)&gt;0,N273+1,0),0)</f>
        <v>0</v>
      </c>
      <c r="P273" s="169">
        <f>IF(P$2&lt;=AnalysisPeriod,IF(SUM($C618:P618)&gt;0,O273+1,0),0)</f>
        <v>0</v>
      </c>
      <c r="Q273" s="169">
        <f>IF(Q$2&lt;=AnalysisPeriod,IF(SUM($C618:Q618)&gt;0,P273+1,0),0)</f>
        <v>0</v>
      </c>
      <c r="R273" s="169">
        <f>IF(R$2&lt;=AnalysisPeriod,IF(SUM($C618:R618)&gt;0,Q273+1,0),0)</f>
        <v>0</v>
      </c>
      <c r="S273" s="169">
        <f>IF(S$2&lt;=AnalysisPeriod,IF(SUM($C618:S618)&gt;0,R273+1,0),0)</f>
        <v>0</v>
      </c>
      <c r="T273" s="169">
        <f>IF(T$2&lt;=AnalysisPeriod,IF(SUM($C618:T618)&gt;0,S273+1,0),0)</f>
        <v>0</v>
      </c>
      <c r="U273" s="169">
        <f>IF(U$2&lt;=AnalysisPeriod,IF(SUM($C618:U618)&gt;0,T273+1,0),0)</f>
        <v>0</v>
      </c>
      <c r="V273" s="169">
        <f>IF(V$2&lt;=AnalysisPeriod,IF(SUM($C618:V618)&gt;0,U273+1,0),0)</f>
        <v>0</v>
      </c>
      <c r="W273" s="169">
        <f>IF(W$2&lt;=AnalysisPeriod,IF(SUM($C618:W618)&gt;0,V273+1,0),0)</f>
        <v>0</v>
      </c>
      <c r="X273" s="169">
        <f>IF(X$2&lt;=AnalysisPeriod,IF(SUM($C618:X618)&gt;0,W273+1,0),0)</f>
        <v>0</v>
      </c>
      <c r="Y273" s="169">
        <f>IF(Y$2&lt;=AnalysisPeriod,IF(SUM($C618:Y618)&gt;0,X273+1,0),0)</f>
        <v>0</v>
      </c>
      <c r="Z273" s="169">
        <f>IF(Z$2&lt;=AnalysisPeriod,IF(SUM($C618:Z618)&gt;0,Y273+1,0),0)</f>
        <v>0</v>
      </c>
      <c r="AA273" s="169">
        <f>IF(AA$2&lt;=AnalysisPeriod,IF(SUM($C618:AA618)&gt;0,Z273+1,0),0)</f>
        <v>0</v>
      </c>
      <c r="AB273" s="169">
        <f>IF(AB$2&lt;=AnalysisPeriod,IF(SUM($C618:AB618)&gt;0,AA273+1,0),0)</f>
        <v>0</v>
      </c>
      <c r="AC273" s="169">
        <f>IF(AC$2&lt;=AnalysisPeriod,IF(SUM($C618:AC618)&gt;0,AB273+1,0),0)</f>
        <v>0</v>
      </c>
      <c r="AD273" s="169">
        <f>IF(AD$2&lt;=AnalysisPeriod,IF(SUM($C618:AD618)&gt;0,AC273+1,0),0)</f>
        <v>0</v>
      </c>
      <c r="AE273" s="169">
        <f>IF(AE$2&lt;=AnalysisPeriod,IF(SUM($C618:AE618)&gt;0,AD273+1,0),0)</f>
        <v>0</v>
      </c>
      <c r="AF273" s="169">
        <f>IF(AF$2&lt;=AnalysisPeriod,IF(SUM($C618:AF618)&gt;0,AE273+1,0),0)</f>
        <v>0</v>
      </c>
      <c r="AG273" s="169">
        <f>IF(AG$2&lt;=AnalysisPeriod,IF(SUM($C618:AG618)&gt;0,AF273+1,0),0)</f>
        <v>0</v>
      </c>
      <c r="AH273" s="169">
        <f>IF(AH$2&lt;=AnalysisPeriod,IF(SUM($C618:AH618)&gt;0,AG273+1,0),0)</f>
        <v>0</v>
      </c>
      <c r="AI273" s="169">
        <f>IF(AI$2&lt;=AnalysisPeriod,IF(SUM($C618:AI618)&gt;0,AH273+1,0),0)</f>
        <v>0</v>
      </c>
      <c r="AJ273" s="169">
        <f>IF(AJ$2&lt;=AnalysisPeriod,IF(SUM($C618:AJ618)&gt;0,AI273+1,0),0)</f>
        <v>0</v>
      </c>
      <c r="AK273" s="169">
        <f>IF(AK$2&lt;=AnalysisPeriod,IF(SUM($C618:AK618)&gt;0,AJ273+1,0),0)</f>
        <v>0</v>
      </c>
      <c r="AL273" s="169">
        <f>IF(AL$2&lt;=AnalysisPeriod,IF(SUM($C618:AL618)&gt;0,AK273+1,0),0)</f>
        <v>0</v>
      </c>
      <c r="AM273" s="169">
        <f>IF(AM$2&lt;=AnalysisPeriod,IF(SUM($C618:AM618)&gt;0,AL273+1,0),0)</f>
        <v>0</v>
      </c>
      <c r="AN273" s="169">
        <f>IF(AN$2&lt;=AnalysisPeriod,IF(SUM($C618:AN618)&gt;0,AM273+1,0),0)</f>
        <v>0</v>
      </c>
      <c r="AO273" s="169">
        <f>IF(AO$2&lt;=AnalysisPeriod,IF(SUM($C618:AO618)&gt;0,AN273+1,0),0)</f>
        <v>0</v>
      </c>
      <c r="AP273" s="169">
        <f>IF(AP$2&lt;=AnalysisPeriod,IF(SUM($C618:AP618)&gt;0,AO273+1,0),0)</f>
        <v>0</v>
      </c>
    </row>
    <row r="274" spans="1:42" x14ac:dyDescent="0.2">
      <c r="A274" s="20">
        <f>A273+1</f>
        <v>9</v>
      </c>
      <c r="C274" s="169">
        <f>IF(C$2&lt;=AnalysisPeriod,IF(SUM($C619:C619)&gt;0,B274+1,0),0)</f>
        <v>0</v>
      </c>
      <c r="D274" s="169">
        <f>IF(D$2&lt;=AnalysisPeriod,IF(SUM($C619:D619)&gt;0,C274+1,0),0)</f>
        <v>0</v>
      </c>
      <c r="E274" s="169">
        <f>IF(E$2&lt;=AnalysisPeriod,IF(SUM($C619:E619)&gt;0,D274+1,0),0)</f>
        <v>0</v>
      </c>
      <c r="F274" s="169">
        <f>IF(F$2&lt;=AnalysisPeriod,IF(SUM($C619:F619)&gt;0,E274+1,0),0)</f>
        <v>0</v>
      </c>
      <c r="G274" s="169">
        <f>IF(G$2&lt;=AnalysisPeriod,IF(SUM($C619:G619)&gt;0,F274+1,0),0)</f>
        <v>0</v>
      </c>
      <c r="H274" s="169">
        <f>IF(H$2&lt;=AnalysisPeriod,IF(SUM($C619:H619)&gt;0,G274+1,0),0)</f>
        <v>0</v>
      </c>
      <c r="I274" s="169">
        <f>IF(I$2&lt;=AnalysisPeriod,IF(SUM($C619:I619)&gt;0,H274+1,0),0)</f>
        <v>0</v>
      </c>
      <c r="J274" s="169">
        <f>IF(J$2&lt;=AnalysisPeriod,IF(SUM($C619:J619)&gt;0,I274+1,0),0)</f>
        <v>0</v>
      </c>
      <c r="K274" s="169">
        <f>IF(K$2&lt;=AnalysisPeriod,IF(SUM($C619:K619)&gt;0,J274+1,0),0)</f>
        <v>0</v>
      </c>
      <c r="L274" s="169">
        <f>IF(L$2&lt;=AnalysisPeriod,IF(SUM($C619:L619)&gt;0,K274+1,0),0)</f>
        <v>0</v>
      </c>
      <c r="M274" s="169">
        <f>IF(M$2&lt;=AnalysisPeriod,IF(SUM($C619:M619)&gt;0,L274+1,0),0)</f>
        <v>0</v>
      </c>
      <c r="N274" s="169">
        <f>IF(N$2&lt;=AnalysisPeriod,IF(SUM($C619:N619)&gt;0,M274+1,0),0)</f>
        <v>0</v>
      </c>
      <c r="O274" s="169">
        <f>IF(O$2&lt;=AnalysisPeriod,IF(SUM($C619:O619)&gt;0,N274+1,0),0)</f>
        <v>0</v>
      </c>
      <c r="P274" s="169">
        <f>IF(P$2&lt;=AnalysisPeriod,IF(SUM($C619:P619)&gt;0,O274+1,0),0)</f>
        <v>0</v>
      </c>
      <c r="Q274" s="169">
        <f>IF(Q$2&lt;=AnalysisPeriod,IF(SUM($C619:Q619)&gt;0,P274+1,0),0)</f>
        <v>0</v>
      </c>
      <c r="R274" s="169">
        <f>IF(R$2&lt;=AnalysisPeriod,IF(SUM($C619:R619)&gt;0,Q274+1,0),0)</f>
        <v>0</v>
      </c>
      <c r="S274" s="169">
        <f>IF(S$2&lt;=AnalysisPeriod,IF(SUM($C619:S619)&gt;0,R274+1,0),0)</f>
        <v>0</v>
      </c>
      <c r="T274" s="169">
        <f>IF(T$2&lt;=AnalysisPeriod,IF(SUM($C619:T619)&gt;0,S274+1,0),0)</f>
        <v>0</v>
      </c>
      <c r="U274" s="169">
        <f>IF(U$2&lt;=AnalysisPeriod,IF(SUM($C619:U619)&gt;0,T274+1,0),0)</f>
        <v>0</v>
      </c>
      <c r="V274" s="169">
        <f>IF(V$2&lt;=AnalysisPeriod,IF(SUM($C619:V619)&gt;0,U274+1,0),0)</f>
        <v>0</v>
      </c>
      <c r="W274" s="169">
        <f>IF(W$2&lt;=AnalysisPeriod,IF(SUM($C619:W619)&gt;0,V274+1,0),0)</f>
        <v>0</v>
      </c>
      <c r="X274" s="169">
        <f>IF(X$2&lt;=AnalysisPeriod,IF(SUM($C619:X619)&gt;0,W274+1,0),0)</f>
        <v>0</v>
      </c>
      <c r="Y274" s="169">
        <f>IF(Y$2&lt;=AnalysisPeriod,IF(SUM($C619:Y619)&gt;0,X274+1,0),0)</f>
        <v>0</v>
      </c>
      <c r="Z274" s="169">
        <f>IF(Z$2&lt;=AnalysisPeriod,IF(SUM($C619:Z619)&gt;0,Y274+1,0),0)</f>
        <v>0</v>
      </c>
      <c r="AA274" s="169">
        <f>IF(AA$2&lt;=AnalysisPeriod,IF(SUM($C619:AA619)&gt;0,Z274+1,0),0)</f>
        <v>0</v>
      </c>
      <c r="AB274" s="169">
        <f>IF(AB$2&lt;=AnalysisPeriod,IF(SUM($C619:AB619)&gt;0,AA274+1,0),0)</f>
        <v>0</v>
      </c>
      <c r="AC274" s="169">
        <f>IF(AC$2&lt;=AnalysisPeriod,IF(SUM($C619:AC619)&gt;0,AB274+1,0),0)</f>
        <v>0</v>
      </c>
      <c r="AD274" s="169">
        <f>IF(AD$2&lt;=AnalysisPeriod,IF(SUM($C619:AD619)&gt;0,AC274+1,0),0)</f>
        <v>0</v>
      </c>
      <c r="AE274" s="169">
        <f>IF(AE$2&lt;=AnalysisPeriod,IF(SUM($C619:AE619)&gt;0,AD274+1,0),0)</f>
        <v>0</v>
      </c>
      <c r="AF274" s="169">
        <f>IF(AF$2&lt;=AnalysisPeriod,IF(SUM($C619:AF619)&gt;0,AE274+1,0),0)</f>
        <v>0</v>
      </c>
      <c r="AG274" s="169">
        <f>IF(AG$2&lt;=AnalysisPeriod,IF(SUM($C619:AG619)&gt;0,AF274+1,0),0)</f>
        <v>0</v>
      </c>
      <c r="AH274" s="169">
        <f>IF(AH$2&lt;=AnalysisPeriod,IF(SUM($C619:AH619)&gt;0,AG274+1,0),0)</f>
        <v>0</v>
      </c>
      <c r="AI274" s="169">
        <f>IF(AI$2&lt;=AnalysisPeriod,IF(SUM($C619:AI619)&gt;0,AH274+1,0),0)</f>
        <v>0</v>
      </c>
      <c r="AJ274" s="169">
        <f>IF(AJ$2&lt;=AnalysisPeriod,IF(SUM($C619:AJ619)&gt;0,AI274+1,0),0)</f>
        <v>0</v>
      </c>
      <c r="AK274" s="169">
        <f>IF(AK$2&lt;=AnalysisPeriod,IF(SUM($C619:AK619)&gt;0,AJ274+1,0),0)</f>
        <v>0</v>
      </c>
      <c r="AL274" s="169">
        <f>IF(AL$2&lt;=AnalysisPeriod,IF(SUM($C619:AL619)&gt;0,AK274+1,0),0)</f>
        <v>0</v>
      </c>
      <c r="AM274" s="169">
        <f>IF(AM$2&lt;=AnalysisPeriod,IF(SUM($C619:AM619)&gt;0,AL274+1,0),0)</f>
        <v>0</v>
      </c>
      <c r="AN274" s="169">
        <f>IF(AN$2&lt;=AnalysisPeriod,IF(SUM($C619:AN619)&gt;0,AM274+1,0),0)</f>
        <v>0</v>
      </c>
      <c r="AO274" s="169">
        <f>IF(AO$2&lt;=AnalysisPeriod,IF(SUM($C619:AO619)&gt;0,AN274+1,0),0)</f>
        <v>0</v>
      </c>
      <c r="AP274" s="169">
        <f>IF(AP$2&lt;=AnalysisPeriod,IF(SUM($C619:AP619)&gt;0,AO274+1,0),0)</f>
        <v>0</v>
      </c>
    </row>
    <row r="275" spans="1:42" x14ac:dyDescent="0.2">
      <c r="A275" s="20">
        <f t="shared" si="142"/>
        <v>10</v>
      </c>
      <c r="C275" s="169">
        <f>IF(C$2&lt;=AnalysisPeriod,IF(SUM($C620:C620)&gt;0,B275+1,0),0)</f>
        <v>0</v>
      </c>
      <c r="D275" s="169">
        <f>IF(D$2&lt;=AnalysisPeriod,IF(SUM($C620:D620)&gt;0,C275+1,0),0)</f>
        <v>0</v>
      </c>
      <c r="E275" s="169">
        <f>IF(E$2&lt;=AnalysisPeriod,IF(SUM($C620:E620)&gt;0,D275+1,0),0)</f>
        <v>0</v>
      </c>
      <c r="F275" s="169">
        <f>IF(F$2&lt;=AnalysisPeriod,IF(SUM($C620:F620)&gt;0,E275+1,0),0)</f>
        <v>0</v>
      </c>
      <c r="G275" s="169">
        <f>IF(G$2&lt;=AnalysisPeriod,IF(SUM($C620:G620)&gt;0,F275+1,0),0)</f>
        <v>0</v>
      </c>
      <c r="H275" s="169">
        <f>IF(H$2&lt;=AnalysisPeriod,IF(SUM($C620:H620)&gt;0,G275+1,0),0)</f>
        <v>0</v>
      </c>
      <c r="I275" s="169">
        <f>IF(I$2&lt;=AnalysisPeriod,IF(SUM($C620:I620)&gt;0,H275+1,0),0)</f>
        <v>0</v>
      </c>
      <c r="J275" s="169">
        <f>IF(J$2&lt;=AnalysisPeriod,IF(SUM($C620:J620)&gt;0,I275+1,0),0)</f>
        <v>0</v>
      </c>
      <c r="K275" s="169">
        <f>IF(K$2&lt;=AnalysisPeriod,IF(SUM($C620:K620)&gt;0,J275+1,0),0)</f>
        <v>0</v>
      </c>
      <c r="L275" s="169">
        <f>IF(L$2&lt;=AnalysisPeriod,IF(SUM($C620:L620)&gt;0,K275+1,0),0)</f>
        <v>0</v>
      </c>
      <c r="M275" s="169">
        <f>IF(M$2&lt;=AnalysisPeriod,IF(SUM($C620:M620)&gt;0,L275+1,0),0)</f>
        <v>0</v>
      </c>
      <c r="N275" s="169">
        <f>IF(N$2&lt;=AnalysisPeriod,IF(SUM($C620:N620)&gt;0,M275+1,0),0)</f>
        <v>0</v>
      </c>
      <c r="O275" s="169">
        <f>IF(O$2&lt;=AnalysisPeriod,IF(SUM($C620:O620)&gt;0,N275+1,0),0)</f>
        <v>0</v>
      </c>
      <c r="P275" s="169">
        <f>IF(P$2&lt;=AnalysisPeriod,IF(SUM($C620:P620)&gt;0,O275+1,0),0)</f>
        <v>0</v>
      </c>
      <c r="Q275" s="169">
        <f>IF(Q$2&lt;=AnalysisPeriod,IF(SUM($C620:Q620)&gt;0,P275+1,0),0)</f>
        <v>0</v>
      </c>
      <c r="R275" s="169">
        <f>IF(R$2&lt;=AnalysisPeriod,IF(SUM($C620:R620)&gt;0,Q275+1,0),0)</f>
        <v>0</v>
      </c>
      <c r="S275" s="169">
        <f>IF(S$2&lt;=AnalysisPeriod,IF(SUM($C620:S620)&gt;0,R275+1,0),0)</f>
        <v>0</v>
      </c>
      <c r="T275" s="169">
        <f>IF(T$2&lt;=AnalysisPeriod,IF(SUM($C620:T620)&gt;0,S275+1,0),0)</f>
        <v>0</v>
      </c>
      <c r="U275" s="169">
        <f>IF(U$2&lt;=AnalysisPeriod,IF(SUM($C620:U620)&gt;0,T275+1,0),0)</f>
        <v>0</v>
      </c>
      <c r="V275" s="169">
        <f>IF(V$2&lt;=AnalysisPeriod,IF(SUM($C620:V620)&gt;0,U275+1,0),0)</f>
        <v>0</v>
      </c>
      <c r="W275" s="169">
        <f>IF(W$2&lt;=AnalysisPeriod,IF(SUM($C620:W620)&gt;0,V275+1,0),0)</f>
        <v>0</v>
      </c>
      <c r="X275" s="169">
        <f>IF(X$2&lt;=AnalysisPeriod,IF(SUM($C620:X620)&gt;0,W275+1,0),0)</f>
        <v>0</v>
      </c>
      <c r="Y275" s="169">
        <f>IF(Y$2&lt;=AnalysisPeriod,IF(SUM($C620:Y620)&gt;0,X275+1,0),0)</f>
        <v>0</v>
      </c>
      <c r="Z275" s="169">
        <f>IF(Z$2&lt;=AnalysisPeriod,IF(SUM($C620:Z620)&gt;0,Y275+1,0),0)</f>
        <v>0</v>
      </c>
      <c r="AA275" s="169">
        <f>IF(AA$2&lt;=AnalysisPeriod,IF(SUM($C620:AA620)&gt;0,Z275+1,0),0)</f>
        <v>0</v>
      </c>
      <c r="AB275" s="169">
        <f>IF(AB$2&lt;=AnalysisPeriod,IF(SUM($C620:AB620)&gt;0,AA275+1,0),0)</f>
        <v>0</v>
      </c>
      <c r="AC275" s="169">
        <f>IF(AC$2&lt;=AnalysisPeriod,IF(SUM($C620:AC620)&gt;0,AB275+1,0),0)</f>
        <v>0</v>
      </c>
      <c r="AD275" s="169">
        <f>IF(AD$2&lt;=AnalysisPeriod,IF(SUM($C620:AD620)&gt;0,AC275+1,0),0)</f>
        <v>0</v>
      </c>
      <c r="AE275" s="169">
        <f>IF(AE$2&lt;=AnalysisPeriod,IF(SUM($C620:AE620)&gt;0,AD275+1,0),0)</f>
        <v>0</v>
      </c>
      <c r="AF275" s="169">
        <f>IF(AF$2&lt;=AnalysisPeriod,IF(SUM($C620:AF620)&gt;0,AE275+1,0),0)</f>
        <v>0</v>
      </c>
      <c r="AG275" s="169">
        <f>IF(AG$2&lt;=AnalysisPeriod,IF(SUM($C620:AG620)&gt;0,AF275+1,0),0)</f>
        <v>0</v>
      </c>
      <c r="AH275" s="169">
        <f>IF(AH$2&lt;=AnalysisPeriod,IF(SUM($C620:AH620)&gt;0,AG275+1,0),0)</f>
        <v>0</v>
      </c>
      <c r="AI275" s="169">
        <f>IF(AI$2&lt;=AnalysisPeriod,IF(SUM($C620:AI620)&gt;0,AH275+1,0),0)</f>
        <v>0</v>
      </c>
      <c r="AJ275" s="169">
        <f>IF(AJ$2&lt;=AnalysisPeriod,IF(SUM($C620:AJ620)&gt;0,AI275+1,0),0)</f>
        <v>0</v>
      </c>
      <c r="AK275" s="169">
        <f>IF(AK$2&lt;=AnalysisPeriod,IF(SUM($C620:AK620)&gt;0,AJ275+1,0),0)</f>
        <v>0</v>
      </c>
      <c r="AL275" s="169">
        <f>IF(AL$2&lt;=AnalysisPeriod,IF(SUM($C620:AL620)&gt;0,AK275+1,0),0)</f>
        <v>0</v>
      </c>
      <c r="AM275" s="169">
        <f>IF(AM$2&lt;=AnalysisPeriod,IF(SUM($C620:AM620)&gt;0,AL275+1,0),0)</f>
        <v>0</v>
      </c>
      <c r="AN275" s="169">
        <f>IF(AN$2&lt;=AnalysisPeriod,IF(SUM($C620:AN620)&gt;0,AM275+1,0),0)</f>
        <v>0</v>
      </c>
      <c r="AO275" s="169">
        <f>IF(AO$2&lt;=AnalysisPeriod,IF(SUM($C620:AO620)&gt;0,AN275+1,0),0)</f>
        <v>0</v>
      </c>
      <c r="AP275" s="169">
        <f>IF(AP$2&lt;=AnalysisPeriod,IF(SUM($C620:AP620)&gt;0,AO275+1,0),0)</f>
        <v>0</v>
      </c>
    </row>
    <row r="276" spans="1:42" x14ac:dyDescent="0.2">
      <c r="A276" s="187" t="s">
        <v>196</v>
      </c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</row>
    <row r="277" spans="1:42" x14ac:dyDescent="0.2">
      <c r="A277" s="20">
        <v>1</v>
      </c>
      <c r="B277" s="179">
        <f t="shared" ref="B277:B286" si="143">SUM(C277:AP277)</f>
        <v>2944872.3435013141</v>
      </c>
      <c r="C277" s="169">
        <f t="shared" ref="C277:AP277" si="144">LOOKUP(C266,$B$261:$AP$261,$B$262:$AP$262)*$B611</f>
        <v>0</v>
      </c>
      <c r="D277" s="169">
        <f t="shared" si="144"/>
        <v>0</v>
      </c>
      <c r="E277" s="169">
        <f t="shared" si="144"/>
        <v>0</v>
      </c>
      <c r="F277" s="169">
        <f t="shared" si="144"/>
        <v>0</v>
      </c>
      <c r="G277" s="169">
        <f t="shared" si="144"/>
        <v>0</v>
      </c>
      <c r="H277" s="169">
        <f t="shared" si="144"/>
        <v>0</v>
      </c>
      <c r="I277" s="169">
        <f t="shared" si="144"/>
        <v>0</v>
      </c>
      <c r="J277" s="169">
        <f t="shared" si="144"/>
        <v>0</v>
      </c>
      <c r="K277" s="169">
        <f t="shared" si="144"/>
        <v>0</v>
      </c>
      <c r="L277" s="169">
        <f t="shared" si="144"/>
        <v>0</v>
      </c>
      <c r="M277" s="169">
        <f t="shared" si="144"/>
        <v>0</v>
      </c>
      <c r="N277" s="169">
        <f t="shared" si="144"/>
        <v>588974.46870026283</v>
      </c>
      <c r="O277" s="169">
        <f t="shared" si="144"/>
        <v>942359.14992042049</v>
      </c>
      <c r="P277" s="169">
        <f t="shared" si="144"/>
        <v>565415.48995225236</v>
      </c>
      <c r="Q277" s="169">
        <f t="shared" si="144"/>
        <v>339249.29397135135</v>
      </c>
      <c r="R277" s="169">
        <f t="shared" si="144"/>
        <v>339249.29397135135</v>
      </c>
      <c r="S277" s="169">
        <f t="shared" si="144"/>
        <v>169624.64698567567</v>
      </c>
      <c r="T277" s="169">
        <f t="shared" si="144"/>
        <v>0</v>
      </c>
      <c r="U277" s="169">
        <f t="shared" si="144"/>
        <v>0</v>
      </c>
      <c r="V277" s="169">
        <f t="shared" si="144"/>
        <v>0</v>
      </c>
      <c r="W277" s="169">
        <f t="shared" si="144"/>
        <v>0</v>
      </c>
      <c r="X277" s="169">
        <f t="shared" si="144"/>
        <v>0</v>
      </c>
      <c r="Y277" s="169">
        <f t="shared" si="144"/>
        <v>0</v>
      </c>
      <c r="Z277" s="169">
        <f t="shared" si="144"/>
        <v>0</v>
      </c>
      <c r="AA277" s="169">
        <f t="shared" si="144"/>
        <v>0</v>
      </c>
      <c r="AB277" s="169">
        <f t="shared" si="144"/>
        <v>0</v>
      </c>
      <c r="AC277" s="169">
        <f t="shared" si="144"/>
        <v>0</v>
      </c>
      <c r="AD277" s="169">
        <f t="shared" si="144"/>
        <v>0</v>
      </c>
      <c r="AE277" s="169">
        <f t="shared" si="144"/>
        <v>0</v>
      </c>
      <c r="AF277" s="169">
        <f t="shared" si="144"/>
        <v>0</v>
      </c>
      <c r="AG277" s="169">
        <f t="shared" si="144"/>
        <v>0</v>
      </c>
      <c r="AH277" s="169">
        <f t="shared" si="144"/>
        <v>0</v>
      </c>
      <c r="AI277" s="169">
        <f t="shared" si="144"/>
        <v>0</v>
      </c>
      <c r="AJ277" s="169">
        <f t="shared" si="144"/>
        <v>0</v>
      </c>
      <c r="AK277" s="169">
        <f t="shared" si="144"/>
        <v>0</v>
      </c>
      <c r="AL277" s="169">
        <f t="shared" si="144"/>
        <v>0</v>
      </c>
      <c r="AM277" s="169">
        <f t="shared" si="144"/>
        <v>0</v>
      </c>
      <c r="AN277" s="169">
        <f t="shared" si="144"/>
        <v>0</v>
      </c>
      <c r="AO277" s="169">
        <f t="shared" si="144"/>
        <v>0</v>
      </c>
      <c r="AP277" s="169">
        <f t="shared" si="144"/>
        <v>0</v>
      </c>
    </row>
    <row r="278" spans="1:42" x14ac:dyDescent="0.2">
      <c r="A278" s="20">
        <f>A277+1</f>
        <v>2</v>
      </c>
      <c r="B278" s="179">
        <f t="shared" si="143"/>
        <v>3520942.886524681</v>
      </c>
      <c r="C278" s="169">
        <f t="shared" ref="C278:AP278" si="145">LOOKUP(C267,$B$261:$AP$261,$B$262:$AP$262)*$B612</f>
        <v>0</v>
      </c>
      <c r="D278" s="169">
        <f t="shared" si="145"/>
        <v>0</v>
      </c>
      <c r="E278" s="169">
        <f t="shared" si="145"/>
        <v>0</v>
      </c>
      <c r="F278" s="169">
        <f t="shared" si="145"/>
        <v>0</v>
      </c>
      <c r="G278" s="169">
        <f t="shared" si="145"/>
        <v>0</v>
      </c>
      <c r="H278" s="169">
        <f t="shared" si="145"/>
        <v>0</v>
      </c>
      <c r="I278" s="169">
        <f t="shared" si="145"/>
        <v>0</v>
      </c>
      <c r="J278" s="169">
        <f t="shared" si="145"/>
        <v>0</v>
      </c>
      <c r="K278" s="169">
        <f t="shared" si="145"/>
        <v>0</v>
      </c>
      <c r="L278" s="169">
        <f t="shared" si="145"/>
        <v>0</v>
      </c>
      <c r="M278" s="169">
        <f t="shared" si="145"/>
        <v>0</v>
      </c>
      <c r="N278" s="169">
        <f t="shared" si="145"/>
        <v>0</v>
      </c>
      <c r="O278" s="169">
        <f t="shared" si="145"/>
        <v>0</v>
      </c>
      <c r="P278" s="169">
        <f t="shared" si="145"/>
        <v>0</v>
      </c>
      <c r="Q278" s="169">
        <f t="shared" si="145"/>
        <v>0</v>
      </c>
      <c r="R278" s="169">
        <f t="shared" si="145"/>
        <v>0</v>
      </c>
      <c r="S278" s="169">
        <f t="shared" si="145"/>
        <v>0</v>
      </c>
      <c r="T278" s="169">
        <f t="shared" si="145"/>
        <v>0</v>
      </c>
      <c r="U278" s="169">
        <f t="shared" si="145"/>
        <v>0</v>
      </c>
      <c r="V278" s="169">
        <f t="shared" si="145"/>
        <v>0</v>
      </c>
      <c r="W278" s="169">
        <f t="shared" si="145"/>
        <v>0</v>
      </c>
      <c r="X278" s="169">
        <f t="shared" si="145"/>
        <v>0</v>
      </c>
      <c r="Y278" s="169">
        <f t="shared" si="145"/>
        <v>0</v>
      </c>
      <c r="Z278" s="169">
        <f t="shared" si="145"/>
        <v>704188.57730493625</v>
      </c>
      <c r="AA278" s="169">
        <f t="shared" si="145"/>
        <v>1126701.7236878979</v>
      </c>
      <c r="AB278" s="169">
        <f t="shared" si="145"/>
        <v>676021.03421273874</v>
      </c>
      <c r="AC278" s="169">
        <f t="shared" si="145"/>
        <v>405612.62052764324</v>
      </c>
      <c r="AD278" s="169">
        <f t="shared" si="145"/>
        <v>405612.62052764324</v>
      </c>
      <c r="AE278" s="169">
        <f t="shared" si="145"/>
        <v>202806.31026382162</v>
      </c>
      <c r="AF278" s="169">
        <f t="shared" si="145"/>
        <v>0</v>
      </c>
      <c r="AG278" s="169">
        <f t="shared" si="145"/>
        <v>0</v>
      </c>
      <c r="AH278" s="169">
        <f t="shared" si="145"/>
        <v>0</v>
      </c>
      <c r="AI278" s="169">
        <f t="shared" si="145"/>
        <v>0</v>
      </c>
      <c r="AJ278" s="169">
        <f t="shared" si="145"/>
        <v>0</v>
      </c>
      <c r="AK278" s="169">
        <f t="shared" si="145"/>
        <v>0</v>
      </c>
      <c r="AL278" s="169">
        <f t="shared" si="145"/>
        <v>0</v>
      </c>
      <c r="AM278" s="169">
        <f t="shared" si="145"/>
        <v>0</v>
      </c>
      <c r="AN278" s="169">
        <f t="shared" si="145"/>
        <v>0</v>
      </c>
      <c r="AO278" s="169">
        <f t="shared" si="145"/>
        <v>0</v>
      </c>
      <c r="AP278" s="169">
        <f t="shared" si="145"/>
        <v>0</v>
      </c>
    </row>
    <row r="279" spans="1:42" x14ac:dyDescent="0.2">
      <c r="A279" s="20">
        <f t="shared" ref="A279:A286" si="146">A278+1</f>
        <v>3</v>
      </c>
      <c r="B279" s="179">
        <f t="shared" si="143"/>
        <v>3967224.3859686418</v>
      </c>
      <c r="C279" s="169">
        <f t="shared" ref="C279:AP279" si="147">LOOKUP(C268,$B$261:$AP$261,$B$262:$AP$262)*$B613</f>
        <v>0</v>
      </c>
      <c r="D279" s="169">
        <f t="shared" si="147"/>
        <v>0</v>
      </c>
      <c r="E279" s="169">
        <f t="shared" si="147"/>
        <v>0</v>
      </c>
      <c r="F279" s="169">
        <f t="shared" si="147"/>
        <v>0</v>
      </c>
      <c r="G279" s="169">
        <f t="shared" si="147"/>
        <v>0</v>
      </c>
      <c r="H279" s="169">
        <f t="shared" si="147"/>
        <v>0</v>
      </c>
      <c r="I279" s="169">
        <f t="shared" si="147"/>
        <v>0</v>
      </c>
      <c r="J279" s="169">
        <f t="shared" si="147"/>
        <v>0</v>
      </c>
      <c r="K279" s="169">
        <f t="shared" si="147"/>
        <v>0</v>
      </c>
      <c r="L279" s="169">
        <f t="shared" si="147"/>
        <v>0</v>
      </c>
      <c r="M279" s="169">
        <f t="shared" si="147"/>
        <v>0</v>
      </c>
      <c r="N279" s="169">
        <f t="shared" si="147"/>
        <v>0</v>
      </c>
      <c r="O279" s="169">
        <f t="shared" si="147"/>
        <v>0</v>
      </c>
      <c r="P279" s="169">
        <f t="shared" si="147"/>
        <v>0</v>
      </c>
      <c r="Q279" s="169">
        <f t="shared" si="147"/>
        <v>0</v>
      </c>
      <c r="R279" s="169">
        <f t="shared" si="147"/>
        <v>0</v>
      </c>
      <c r="S279" s="169">
        <f t="shared" si="147"/>
        <v>0</v>
      </c>
      <c r="T279" s="169">
        <f t="shared" si="147"/>
        <v>0</v>
      </c>
      <c r="U279" s="169">
        <f t="shared" si="147"/>
        <v>0</v>
      </c>
      <c r="V279" s="169">
        <f t="shared" si="147"/>
        <v>0</v>
      </c>
      <c r="W279" s="169">
        <f t="shared" si="147"/>
        <v>0</v>
      </c>
      <c r="X279" s="169">
        <f t="shared" si="147"/>
        <v>0</v>
      </c>
      <c r="Y279" s="169">
        <f t="shared" si="147"/>
        <v>0</v>
      </c>
      <c r="Z279" s="169">
        <f t="shared" si="147"/>
        <v>0</v>
      </c>
      <c r="AA279" s="169">
        <f t="shared" si="147"/>
        <v>0</v>
      </c>
      <c r="AB279" s="169">
        <f t="shared" si="147"/>
        <v>0</v>
      </c>
      <c r="AC279" s="169">
        <f t="shared" si="147"/>
        <v>0</v>
      </c>
      <c r="AD279" s="169">
        <f t="shared" si="147"/>
        <v>0</v>
      </c>
      <c r="AE279" s="169">
        <f t="shared" si="147"/>
        <v>0</v>
      </c>
      <c r="AF279" s="169">
        <f t="shared" si="147"/>
        <v>0</v>
      </c>
      <c r="AG279" s="169">
        <f t="shared" si="147"/>
        <v>0</v>
      </c>
      <c r="AH279" s="169">
        <f t="shared" si="147"/>
        <v>0</v>
      </c>
      <c r="AI279" s="169">
        <f t="shared" si="147"/>
        <v>0</v>
      </c>
      <c r="AJ279" s="169">
        <f t="shared" si="147"/>
        <v>0</v>
      </c>
      <c r="AK279" s="169">
        <f t="shared" si="147"/>
        <v>0</v>
      </c>
      <c r="AL279" s="169">
        <f t="shared" si="147"/>
        <v>841940.65916142659</v>
      </c>
      <c r="AM279" s="169">
        <f t="shared" si="147"/>
        <v>1347105.0546582823</v>
      </c>
      <c r="AN279" s="169">
        <f t="shared" si="147"/>
        <v>808263.03279496951</v>
      </c>
      <c r="AO279" s="169">
        <f t="shared" si="147"/>
        <v>484957.81967698166</v>
      </c>
      <c r="AP279" s="169">
        <f t="shared" si="147"/>
        <v>484957.81967698166</v>
      </c>
    </row>
    <row r="280" spans="1:42" x14ac:dyDescent="0.2">
      <c r="A280" s="20">
        <f t="shared" si="146"/>
        <v>4</v>
      </c>
      <c r="B280" s="179">
        <f t="shared" si="143"/>
        <v>0</v>
      </c>
      <c r="C280" s="169">
        <f t="shared" ref="C280:AP280" si="148">LOOKUP(C269,$B$261:$AP$261,$B$262:$AP$262)*$B614</f>
        <v>0</v>
      </c>
      <c r="D280" s="169">
        <f t="shared" si="148"/>
        <v>0</v>
      </c>
      <c r="E280" s="169">
        <f t="shared" si="148"/>
        <v>0</v>
      </c>
      <c r="F280" s="169">
        <f t="shared" si="148"/>
        <v>0</v>
      </c>
      <c r="G280" s="169">
        <f t="shared" si="148"/>
        <v>0</v>
      </c>
      <c r="H280" s="169">
        <f t="shared" si="148"/>
        <v>0</v>
      </c>
      <c r="I280" s="169">
        <f t="shared" si="148"/>
        <v>0</v>
      </c>
      <c r="J280" s="169">
        <f t="shared" si="148"/>
        <v>0</v>
      </c>
      <c r="K280" s="169">
        <f t="shared" si="148"/>
        <v>0</v>
      </c>
      <c r="L280" s="169">
        <f t="shared" si="148"/>
        <v>0</v>
      </c>
      <c r="M280" s="169">
        <f t="shared" si="148"/>
        <v>0</v>
      </c>
      <c r="N280" s="169">
        <f t="shared" si="148"/>
        <v>0</v>
      </c>
      <c r="O280" s="169">
        <f t="shared" si="148"/>
        <v>0</v>
      </c>
      <c r="P280" s="169">
        <f t="shared" si="148"/>
        <v>0</v>
      </c>
      <c r="Q280" s="169">
        <f t="shared" si="148"/>
        <v>0</v>
      </c>
      <c r="R280" s="169">
        <f t="shared" si="148"/>
        <v>0</v>
      </c>
      <c r="S280" s="169">
        <f t="shared" si="148"/>
        <v>0</v>
      </c>
      <c r="T280" s="169">
        <f t="shared" si="148"/>
        <v>0</v>
      </c>
      <c r="U280" s="169">
        <f t="shared" si="148"/>
        <v>0</v>
      </c>
      <c r="V280" s="169">
        <f t="shared" si="148"/>
        <v>0</v>
      </c>
      <c r="W280" s="169">
        <f t="shared" si="148"/>
        <v>0</v>
      </c>
      <c r="X280" s="169">
        <f t="shared" si="148"/>
        <v>0</v>
      </c>
      <c r="Y280" s="169">
        <f t="shared" si="148"/>
        <v>0</v>
      </c>
      <c r="Z280" s="169">
        <f t="shared" si="148"/>
        <v>0</v>
      </c>
      <c r="AA280" s="169">
        <f t="shared" si="148"/>
        <v>0</v>
      </c>
      <c r="AB280" s="169">
        <f t="shared" si="148"/>
        <v>0</v>
      </c>
      <c r="AC280" s="169">
        <f t="shared" si="148"/>
        <v>0</v>
      </c>
      <c r="AD280" s="169">
        <f t="shared" si="148"/>
        <v>0</v>
      </c>
      <c r="AE280" s="169">
        <f t="shared" si="148"/>
        <v>0</v>
      </c>
      <c r="AF280" s="169">
        <f t="shared" si="148"/>
        <v>0</v>
      </c>
      <c r="AG280" s="169">
        <f t="shared" si="148"/>
        <v>0</v>
      </c>
      <c r="AH280" s="169">
        <f t="shared" si="148"/>
        <v>0</v>
      </c>
      <c r="AI280" s="169">
        <f t="shared" si="148"/>
        <v>0</v>
      </c>
      <c r="AJ280" s="169">
        <f t="shared" si="148"/>
        <v>0</v>
      </c>
      <c r="AK280" s="169">
        <f t="shared" si="148"/>
        <v>0</v>
      </c>
      <c r="AL280" s="169">
        <f t="shared" si="148"/>
        <v>0</v>
      </c>
      <c r="AM280" s="169">
        <f t="shared" si="148"/>
        <v>0</v>
      </c>
      <c r="AN280" s="169">
        <f t="shared" si="148"/>
        <v>0</v>
      </c>
      <c r="AO280" s="169">
        <f t="shared" si="148"/>
        <v>0</v>
      </c>
      <c r="AP280" s="169">
        <f t="shared" si="148"/>
        <v>0</v>
      </c>
    </row>
    <row r="281" spans="1:42" x14ac:dyDescent="0.2">
      <c r="A281" s="20">
        <f t="shared" si="146"/>
        <v>5</v>
      </c>
      <c r="B281" s="179">
        <f t="shared" si="143"/>
        <v>0</v>
      </c>
      <c r="C281" s="169">
        <f t="shared" ref="C281:AP281" si="149">LOOKUP(C270,$B$261:$AP$261,$B$262:$AP$262)*$B615</f>
        <v>0</v>
      </c>
      <c r="D281" s="169">
        <f t="shared" si="149"/>
        <v>0</v>
      </c>
      <c r="E281" s="169">
        <f t="shared" si="149"/>
        <v>0</v>
      </c>
      <c r="F281" s="169">
        <f t="shared" si="149"/>
        <v>0</v>
      </c>
      <c r="G281" s="169">
        <f t="shared" si="149"/>
        <v>0</v>
      </c>
      <c r="H281" s="169">
        <f t="shared" si="149"/>
        <v>0</v>
      </c>
      <c r="I281" s="169">
        <f t="shared" si="149"/>
        <v>0</v>
      </c>
      <c r="J281" s="169">
        <f t="shared" si="149"/>
        <v>0</v>
      </c>
      <c r="K281" s="169">
        <f t="shared" si="149"/>
        <v>0</v>
      </c>
      <c r="L281" s="169">
        <f t="shared" si="149"/>
        <v>0</v>
      </c>
      <c r="M281" s="169">
        <f t="shared" si="149"/>
        <v>0</v>
      </c>
      <c r="N281" s="169">
        <f t="shared" si="149"/>
        <v>0</v>
      </c>
      <c r="O281" s="169">
        <f t="shared" si="149"/>
        <v>0</v>
      </c>
      <c r="P281" s="169">
        <f t="shared" si="149"/>
        <v>0</v>
      </c>
      <c r="Q281" s="169">
        <f t="shared" si="149"/>
        <v>0</v>
      </c>
      <c r="R281" s="169">
        <f t="shared" si="149"/>
        <v>0</v>
      </c>
      <c r="S281" s="169">
        <f t="shared" si="149"/>
        <v>0</v>
      </c>
      <c r="T281" s="169">
        <f t="shared" si="149"/>
        <v>0</v>
      </c>
      <c r="U281" s="169">
        <f t="shared" si="149"/>
        <v>0</v>
      </c>
      <c r="V281" s="169">
        <f t="shared" si="149"/>
        <v>0</v>
      </c>
      <c r="W281" s="169">
        <f t="shared" si="149"/>
        <v>0</v>
      </c>
      <c r="X281" s="169">
        <f t="shared" si="149"/>
        <v>0</v>
      </c>
      <c r="Y281" s="169">
        <f t="shared" si="149"/>
        <v>0</v>
      </c>
      <c r="Z281" s="169">
        <f t="shared" si="149"/>
        <v>0</v>
      </c>
      <c r="AA281" s="169">
        <f t="shared" si="149"/>
        <v>0</v>
      </c>
      <c r="AB281" s="169">
        <f t="shared" si="149"/>
        <v>0</v>
      </c>
      <c r="AC281" s="169">
        <f t="shared" si="149"/>
        <v>0</v>
      </c>
      <c r="AD281" s="169">
        <f t="shared" si="149"/>
        <v>0</v>
      </c>
      <c r="AE281" s="169">
        <f t="shared" si="149"/>
        <v>0</v>
      </c>
      <c r="AF281" s="169">
        <f t="shared" si="149"/>
        <v>0</v>
      </c>
      <c r="AG281" s="169">
        <f t="shared" si="149"/>
        <v>0</v>
      </c>
      <c r="AH281" s="169">
        <f t="shared" si="149"/>
        <v>0</v>
      </c>
      <c r="AI281" s="169">
        <f t="shared" si="149"/>
        <v>0</v>
      </c>
      <c r="AJ281" s="169">
        <f t="shared" si="149"/>
        <v>0</v>
      </c>
      <c r="AK281" s="169">
        <f t="shared" si="149"/>
        <v>0</v>
      </c>
      <c r="AL281" s="169">
        <f t="shared" si="149"/>
        <v>0</v>
      </c>
      <c r="AM281" s="169">
        <f t="shared" si="149"/>
        <v>0</v>
      </c>
      <c r="AN281" s="169">
        <f t="shared" si="149"/>
        <v>0</v>
      </c>
      <c r="AO281" s="169">
        <f t="shared" si="149"/>
        <v>0</v>
      </c>
      <c r="AP281" s="169">
        <f t="shared" si="149"/>
        <v>0</v>
      </c>
    </row>
    <row r="282" spans="1:42" x14ac:dyDescent="0.2">
      <c r="A282" s="101">
        <f t="shared" si="146"/>
        <v>6</v>
      </c>
      <c r="B282" s="179">
        <f t="shared" si="143"/>
        <v>0</v>
      </c>
      <c r="C282" s="169">
        <f t="shared" ref="C282:AP282" si="150">LOOKUP(C271,$B$261:$AP$261,$B$262:$AP$262)*$B616</f>
        <v>0</v>
      </c>
      <c r="D282" s="169">
        <f t="shared" si="150"/>
        <v>0</v>
      </c>
      <c r="E282" s="169">
        <f t="shared" si="150"/>
        <v>0</v>
      </c>
      <c r="F282" s="169">
        <f t="shared" si="150"/>
        <v>0</v>
      </c>
      <c r="G282" s="169">
        <f t="shared" si="150"/>
        <v>0</v>
      </c>
      <c r="H282" s="169">
        <f t="shared" si="150"/>
        <v>0</v>
      </c>
      <c r="I282" s="169">
        <f t="shared" si="150"/>
        <v>0</v>
      </c>
      <c r="J282" s="169">
        <f t="shared" si="150"/>
        <v>0</v>
      </c>
      <c r="K282" s="169">
        <f t="shared" si="150"/>
        <v>0</v>
      </c>
      <c r="L282" s="169">
        <f t="shared" si="150"/>
        <v>0</v>
      </c>
      <c r="M282" s="169">
        <f t="shared" si="150"/>
        <v>0</v>
      </c>
      <c r="N282" s="169">
        <f t="shared" si="150"/>
        <v>0</v>
      </c>
      <c r="O282" s="169">
        <f t="shared" si="150"/>
        <v>0</v>
      </c>
      <c r="P282" s="169">
        <f t="shared" si="150"/>
        <v>0</v>
      </c>
      <c r="Q282" s="169">
        <f t="shared" si="150"/>
        <v>0</v>
      </c>
      <c r="R282" s="169">
        <f t="shared" si="150"/>
        <v>0</v>
      </c>
      <c r="S282" s="169">
        <f t="shared" si="150"/>
        <v>0</v>
      </c>
      <c r="T282" s="169">
        <f t="shared" si="150"/>
        <v>0</v>
      </c>
      <c r="U282" s="169">
        <f t="shared" si="150"/>
        <v>0</v>
      </c>
      <c r="V282" s="169">
        <f t="shared" si="150"/>
        <v>0</v>
      </c>
      <c r="W282" s="169">
        <f t="shared" si="150"/>
        <v>0</v>
      </c>
      <c r="X282" s="169">
        <f t="shared" si="150"/>
        <v>0</v>
      </c>
      <c r="Y282" s="169">
        <f t="shared" si="150"/>
        <v>0</v>
      </c>
      <c r="Z282" s="169">
        <f t="shared" si="150"/>
        <v>0</v>
      </c>
      <c r="AA282" s="169">
        <f t="shared" si="150"/>
        <v>0</v>
      </c>
      <c r="AB282" s="169">
        <f t="shared" si="150"/>
        <v>0</v>
      </c>
      <c r="AC282" s="169">
        <f t="shared" si="150"/>
        <v>0</v>
      </c>
      <c r="AD282" s="169">
        <f t="shared" si="150"/>
        <v>0</v>
      </c>
      <c r="AE282" s="169">
        <f t="shared" si="150"/>
        <v>0</v>
      </c>
      <c r="AF282" s="169">
        <f t="shared" si="150"/>
        <v>0</v>
      </c>
      <c r="AG282" s="169">
        <f t="shared" si="150"/>
        <v>0</v>
      </c>
      <c r="AH282" s="169">
        <f t="shared" si="150"/>
        <v>0</v>
      </c>
      <c r="AI282" s="169">
        <f t="shared" si="150"/>
        <v>0</v>
      </c>
      <c r="AJ282" s="169">
        <f t="shared" si="150"/>
        <v>0</v>
      </c>
      <c r="AK282" s="169">
        <f t="shared" si="150"/>
        <v>0</v>
      </c>
      <c r="AL282" s="169">
        <f t="shared" si="150"/>
        <v>0</v>
      </c>
      <c r="AM282" s="169">
        <f t="shared" si="150"/>
        <v>0</v>
      </c>
      <c r="AN282" s="169">
        <f t="shared" si="150"/>
        <v>0</v>
      </c>
      <c r="AO282" s="169">
        <f t="shared" si="150"/>
        <v>0</v>
      </c>
      <c r="AP282" s="169">
        <f t="shared" si="150"/>
        <v>0</v>
      </c>
    </row>
    <row r="283" spans="1:42" x14ac:dyDescent="0.2">
      <c r="A283" s="101">
        <f t="shared" si="146"/>
        <v>7</v>
      </c>
      <c r="B283" s="179">
        <f t="shared" si="143"/>
        <v>0</v>
      </c>
      <c r="C283" s="169">
        <f t="shared" ref="C283:AP283" si="151">LOOKUP(C272,$B$261:$AP$261,$B$262:$AP$262)*$B617</f>
        <v>0</v>
      </c>
      <c r="D283" s="169">
        <f t="shared" si="151"/>
        <v>0</v>
      </c>
      <c r="E283" s="169">
        <f t="shared" si="151"/>
        <v>0</v>
      </c>
      <c r="F283" s="169">
        <f t="shared" si="151"/>
        <v>0</v>
      </c>
      <c r="G283" s="169">
        <f t="shared" si="151"/>
        <v>0</v>
      </c>
      <c r="H283" s="169">
        <f t="shared" si="151"/>
        <v>0</v>
      </c>
      <c r="I283" s="169">
        <f t="shared" si="151"/>
        <v>0</v>
      </c>
      <c r="J283" s="169">
        <f t="shared" si="151"/>
        <v>0</v>
      </c>
      <c r="K283" s="169">
        <f t="shared" si="151"/>
        <v>0</v>
      </c>
      <c r="L283" s="169">
        <f t="shared" si="151"/>
        <v>0</v>
      </c>
      <c r="M283" s="169">
        <f t="shared" si="151"/>
        <v>0</v>
      </c>
      <c r="N283" s="169">
        <f t="shared" si="151"/>
        <v>0</v>
      </c>
      <c r="O283" s="169">
        <f t="shared" si="151"/>
        <v>0</v>
      </c>
      <c r="P283" s="169">
        <f t="shared" si="151"/>
        <v>0</v>
      </c>
      <c r="Q283" s="169">
        <f t="shared" si="151"/>
        <v>0</v>
      </c>
      <c r="R283" s="169">
        <f t="shared" si="151"/>
        <v>0</v>
      </c>
      <c r="S283" s="169">
        <f t="shared" si="151"/>
        <v>0</v>
      </c>
      <c r="T283" s="169">
        <f t="shared" si="151"/>
        <v>0</v>
      </c>
      <c r="U283" s="169">
        <f t="shared" si="151"/>
        <v>0</v>
      </c>
      <c r="V283" s="169">
        <f t="shared" si="151"/>
        <v>0</v>
      </c>
      <c r="W283" s="169">
        <f t="shared" si="151"/>
        <v>0</v>
      </c>
      <c r="X283" s="169">
        <f t="shared" si="151"/>
        <v>0</v>
      </c>
      <c r="Y283" s="169">
        <f t="shared" si="151"/>
        <v>0</v>
      </c>
      <c r="Z283" s="169">
        <f t="shared" si="151"/>
        <v>0</v>
      </c>
      <c r="AA283" s="169">
        <f t="shared" si="151"/>
        <v>0</v>
      </c>
      <c r="AB283" s="169">
        <f t="shared" si="151"/>
        <v>0</v>
      </c>
      <c r="AC283" s="169">
        <f t="shared" si="151"/>
        <v>0</v>
      </c>
      <c r="AD283" s="169">
        <f t="shared" si="151"/>
        <v>0</v>
      </c>
      <c r="AE283" s="169">
        <f t="shared" si="151"/>
        <v>0</v>
      </c>
      <c r="AF283" s="169">
        <f t="shared" si="151"/>
        <v>0</v>
      </c>
      <c r="AG283" s="169">
        <f t="shared" si="151"/>
        <v>0</v>
      </c>
      <c r="AH283" s="169">
        <f t="shared" si="151"/>
        <v>0</v>
      </c>
      <c r="AI283" s="169">
        <f t="shared" si="151"/>
        <v>0</v>
      </c>
      <c r="AJ283" s="169">
        <f t="shared" si="151"/>
        <v>0</v>
      </c>
      <c r="AK283" s="169">
        <f t="shared" si="151"/>
        <v>0</v>
      </c>
      <c r="AL283" s="169">
        <f t="shared" si="151"/>
        <v>0</v>
      </c>
      <c r="AM283" s="169">
        <f t="shared" si="151"/>
        <v>0</v>
      </c>
      <c r="AN283" s="169">
        <f t="shared" si="151"/>
        <v>0</v>
      </c>
      <c r="AO283" s="169">
        <f t="shared" si="151"/>
        <v>0</v>
      </c>
      <c r="AP283" s="169">
        <f t="shared" si="151"/>
        <v>0</v>
      </c>
    </row>
    <row r="284" spans="1:42" x14ac:dyDescent="0.2">
      <c r="A284" s="101">
        <f t="shared" si="146"/>
        <v>8</v>
      </c>
      <c r="B284" s="179">
        <f t="shared" si="143"/>
        <v>0</v>
      </c>
      <c r="C284" s="169">
        <f t="shared" ref="C284:AP284" si="152">LOOKUP(C273,$B$261:$AP$261,$B$262:$AP$262)*$B618</f>
        <v>0</v>
      </c>
      <c r="D284" s="169">
        <f t="shared" si="152"/>
        <v>0</v>
      </c>
      <c r="E284" s="169">
        <f t="shared" si="152"/>
        <v>0</v>
      </c>
      <c r="F284" s="169">
        <f t="shared" si="152"/>
        <v>0</v>
      </c>
      <c r="G284" s="169">
        <f t="shared" si="152"/>
        <v>0</v>
      </c>
      <c r="H284" s="169">
        <f t="shared" si="152"/>
        <v>0</v>
      </c>
      <c r="I284" s="169">
        <f t="shared" si="152"/>
        <v>0</v>
      </c>
      <c r="J284" s="169">
        <f t="shared" si="152"/>
        <v>0</v>
      </c>
      <c r="K284" s="169">
        <f t="shared" si="152"/>
        <v>0</v>
      </c>
      <c r="L284" s="169">
        <f t="shared" si="152"/>
        <v>0</v>
      </c>
      <c r="M284" s="169">
        <f t="shared" si="152"/>
        <v>0</v>
      </c>
      <c r="N284" s="169">
        <f t="shared" si="152"/>
        <v>0</v>
      </c>
      <c r="O284" s="169">
        <f t="shared" si="152"/>
        <v>0</v>
      </c>
      <c r="P284" s="169">
        <f t="shared" si="152"/>
        <v>0</v>
      </c>
      <c r="Q284" s="169">
        <f t="shared" si="152"/>
        <v>0</v>
      </c>
      <c r="R284" s="169">
        <f t="shared" si="152"/>
        <v>0</v>
      </c>
      <c r="S284" s="169">
        <f t="shared" si="152"/>
        <v>0</v>
      </c>
      <c r="T284" s="169">
        <f t="shared" si="152"/>
        <v>0</v>
      </c>
      <c r="U284" s="169">
        <f t="shared" si="152"/>
        <v>0</v>
      </c>
      <c r="V284" s="169">
        <f t="shared" si="152"/>
        <v>0</v>
      </c>
      <c r="W284" s="169">
        <f t="shared" si="152"/>
        <v>0</v>
      </c>
      <c r="X284" s="169">
        <f t="shared" si="152"/>
        <v>0</v>
      </c>
      <c r="Y284" s="169">
        <f t="shared" si="152"/>
        <v>0</v>
      </c>
      <c r="Z284" s="169">
        <f t="shared" si="152"/>
        <v>0</v>
      </c>
      <c r="AA284" s="169">
        <f t="shared" si="152"/>
        <v>0</v>
      </c>
      <c r="AB284" s="169">
        <f t="shared" si="152"/>
        <v>0</v>
      </c>
      <c r="AC284" s="169">
        <f t="shared" si="152"/>
        <v>0</v>
      </c>
      <c r="AD284" s="169">
        <f t="shared" si="152"/>
        <v>0</v>
      </c>
      <c r="AE284" s="169">
        <f t="shared" si="152"/>
        <v>0</v>
      </c>
      <c r="AF284" s="169">
        <f t="shared" si="152"/>
        <v>0</v>
      </c>
      <c r="AG284" s="169">
        <f t="shared" si="152"/>
        <v>0</v>
      </c>
      <c r="AH284" s="169">
        <f t="shared" si="152"/>
        <v>0</v>
      </c>
      <c r="AI284" s="169">
        <f t="shared" si="152"/>
        <v>0</v>
      </c>
      <c r="AJ284" s="169">
        <f t="shared" si="152"/>
        <v>0</v>
      </c>
      <c r="AK284" s="169">
        <f t="shared" si="152"/>
        <v>0</v>
      </c>
      <c r="AL284" s="169">
        <f t="shared" si="152"/>
        <v>0</v>
      </c>
      <c r="AM284" s="169">
        <f t="shared" si="152"/>
        <v>0</v>
      </c>
      <c r="AN284" s="169">
        <f t="shared" si="152"/>
        <v>0</v>
      </c>
      <c r="AO284" s="169">
        <f t="shared" si="152"/>
        <v>0</v>
      </c>
      <c r="AP284" s="169">
        <f t="shared" si="152"/>
        <v>0</v>
      </c>
    </row>
    <row r="285" spans="1:42" x14ac:dyDescent="0.2">
      <c r="A285" s="101">
        <f>A284+1</f>
        <v>9</v>
      </c>
      <c r="B285" s="179">
        <f t="shared" si="143"/>
        <v>0</v>
      </c>
      <c r="C285" s="169">
        <f t="shared" ref="C285:AP285" si="153">LOOKUP(C274,$B$261:$AP$261,$B$262:$AP$262)*$B619</f>
        <v>0</v>
      </c>
      <c r="D285" s="169">
        <f t="shared" si="153"/>
        <v>0</v>
      </c>
      <c r="E285" s="169">
        <f t="shared" si="153"/>
        <v>0</v>
      </c>
      <c r="F285" s="169">
        <f t="shared" si="153"/>
        <v>0</v>
      </c>
      <c r="G285" s="169">
        <f t="shared" si="153"/>
        <v>0</v>
      </c>
      <c r="H285" s="169">
        <f t="shared" si="153"/>
        <v>0</v>
      </c>
      <c r="I285" s="169">
        <f t="shared" si="153"/>
        <v>0</v>
      </c>
      <c r="J285" s="169">
        <f t="shared" si="153"/>
        <v>0</v>
      </c>
      <c r="K285" s="169">
        <f t="shared" si="153"/>
        <v>0</v>
      </c>
      <c r="L285" s="169">
        <f t="shared" si="153"/>
        <v>0</v>
      </c>
      <c r="M285" s="169">
        <f t="shared" si="153"/>
        <v>0</v>
      </c>
      <c r="N285" s="169">
        <f t="shared" si="153"/>
        <v>0</v>
      </c>
      <c r="O285" s="169">
        <f t="shared" si="153"/>
        <v>0</v>
      </c>
      <c r="P285" s="169">
        <f t="shared" si="153"/>
        <v>0</v>
      </c>
      <c r="Q285" s="169">
        <f t="shared" si="153"/>
        <v>0</v>
      </c>
      <c r="R285" s="169">
        <f t="shared" si="153"/>
        <v>0</v>
      </c>
      <c r="S285" s="169">
        <f t="shared" si="153"/>
        <v>0</v>
      </c>
      <c r="T285" s="169">
        <f t="shared" si="153"/>
        <v>0</v>
      </c>
      <c r="U285" s="169">
        <f t="shared" si="153"/>
        <v>0</v>
      </c>
      <c r="V285" s="169">
        <f t="shared" si="153"/>
        <v>0</v>
      </c>
      <c r="W285" s="169">
        <f t="shared" si="153"/>
        <v>0</v>
      </c>
      <c r="X285" s="169">
        <f t="shared" si="153"/>
        <v>0</v>
      </c>
      <c r="Y285" s="169">
        <f t="shared" si="153"/>
        <v>0</v>
      </c>
      <c r="Z285" s="169">
        <f t="shared" si="153"/>
        <v>0</v>
      </c>
      <c r="AA285" s="169">
        <f t="shared" si="153"/>
        <v>0</v>
      </c>
      <c r="AB285" s="169">
        <f t="shared" si="153"/>
        <v>0</v>
      </c>
      <c r="AC285" s="169">
        <f t="shared" si="153"/>
        <v>0</v>
      </c>
      <c r="AD285" s="169">
        <f t="shared" si="153"/>
        <v>0</v>
      </c>
      <c r="AE285" s="169">
        <f t="shared" si="153"/>
        <v>0</v>
      </c>
      <c r="AF285" s="169">
        <f t="shared" si="153"/>
        <v>0</v>
      </c>
      <c r="AG285" s="169">
        <f t="shared" si="153"/>
        <v>0</v>
      </c>
      <c r="AH285" s="169">
        <f t="shared" si="153"/>
        <v>0</v>
      </c>
      <c r="AI285" s="169">
        <f t="shared" si="153"/>
        <v>0</v>
      </c>
      <c r="AJ285" s="169">
        <f t="shared" si="153"/>
        <v>0</v>
      </c>
      <c r="AK285" s="169">
        <f t="shared" si="153"/>
        <v>0</v>
      </c>
      <c r="AL285" s="169">
        <f t="shared" si="153"/>
        <v>0</v>
      </c>
      <c r="AM285" s="169">
        <f t="shared" si="153"/>
        <v>0</v>
      </c>
      <c r="AN285" s="169">
        <f t="shared" si="153"/>
        <v>0</v>
      </c>
      <c r="AO285" s="169">
        <f t="shared" si="153"/>
        <v>0</v>
      </c>
      <c r="AP285" s="169">
        <f t="shared" si="153"/>
        <v>0</v>
      </c>
    </row>
    <row r="286" spans="1:42" x14ac:dyDescent="0.2">
      <c r="A286" s="101">
        <f t="shared" si="146"/>
        <v>10</v>
      </c>
      <c r="B286" s="179">
        <f t="shared" si="143"/>
        <v>0</v>
      </c>
      <c r="C286" s="204">
        <f t="shared" ref="C286:AP286" si="154">LOOKUP(C275,$B$261:$AP$261,$B$262:$AP$262)*$B620</f>
        <v>0</v>
      </c>
      <c r="D286" s="170">
        <f t="shared" si="154"/>
        <v>0</v>
      </c>
      <c r="E286" s="170">
        <f t="shared" si="154"/>
        <v>0</v>
      </c>
      <c r="F286" s="170">
        <f t="shared" si="154"/>
        <v>0</v>
      </c>
      <c r="G286" s="170">
        <f t="shared" si="154"/>
        <v>0</v>
      </c>
      <c r="H286" s="170">
        <f t="shared" si="154"/>
        <v>0</v>
      </c>
      <c r="I286" s="170">
        <f t="shared" si="154"/>
        <v>0</v>
      </c>
      <c r="J286" s="170">
        <f t="shared" si="154"/>
        <v>0</v>
      </c>
      <c r="K286" s="170">
        <f t="shared" si="154"/>
        <v>0</v>
      </c>
      <c r="L286" s="170">
        <f t="shared" si="154"/>
        <v>0</v>
      </c>
      <c r="M286" s="170">
        <f t="shared" si="154"/>
        <v>0</v>
      </c>
      <c r="N286" s="170">
        <f t="shared" si="154"/>
        <v>0</v>
      </c>
      <c r="O286" s="170">
        <f t="shared" si="154"/>
        <v>0</v>
      </c>
      <c r="P286" s="170">
        <f t="shared" si="154"/>
        <v>0</v>
      </c>
      <c r="Q286" s="170">
        <f t="shared" si="154"/>
        <v>0</v>
      </c>
      <c r="R286" s="170">
        <f t="shared" si="154"/>
        <v>0</v>
      </c>
      <c r="S286" s="170">
        <f t="shared" si="154"/>
        <v>0</v>
      </c>
      <c r="T286" s="170">
        <f t="shared" si="154"/>
        <v>0</v>
      </c>
      <c r="U286" s="170">
        <f t="shared" si="154"/>
        <v>0</v>
      </c>
      <c r="V286" s="170">
        <f t="shared" si="154"/>
        <v>0</v>
      </c>
      <c r="W286" s="170">
        <f t="shared" si="154"/>
        <v>0</v>
      </c>
      <c r="X286" s="170">
        <f t="shared" si="154"/>
        <v>0</v>
      </c>
      <c r="Y286" s="170">
        <f t="shared" si="154"/>
        <v>0</v>
      </c>
      <c r="Z286" s="170">
        <f t="shared" si="154"/>
        <v>0</v>
      </c>
      <c r="AA286" s="170">
        <f t="shared" si="154"/>
        <v>0</v>
      </c>
      <c r="AB286" s="170">
        <f t="shared" si="154"/>
        <v>0</v>
      </c>
      <c r="AC286" s="170">
        <f t="shared" si="154"/>
        <v>0</v>
      </c>
      <c r="AD286" s="170">
        <f t="shared" si="154"/>
        <v>0</v>
      </c>
      <c r="AE286" s="170">
        <f t="shared" si="154"/>
        <v>0</v>
      </c>
      <c r="AF286" s="170">
        <f t="shared" si="154"/>
        <v>0</v>
      </c>
      <c r="AG286" s="170">
        <f t="shared" si="154"/>
        <v>0</v>
      </c>
      <c r="AH286" s="170">
        <f t="shared" si="154"/>
        <v>0</v>
      </c>
      <c r="AI286" s="170">
        <f t="shared" si="154"/>
        <v>0</v>
      </c>
      <c r="AJ286" s="170">
        <f t="shared" si="154"/>
        <v>0</v>
      </c>
      <c r="AK286" s="170">
        <f t="shared" si="154"/>
        <v>0</v>
      </c>
      <c r="AL286" s="170">
        <f t="shared" si="154"/>
        <v>0</v>
      </c>
      <c r="AM286" s="170">
        <f t="shared" si="154"/>
        <v>0</v>
      </c>
      <c r="AN286" s="170">
        <f t="shared" si="154"/>
        <v>0</v>
      </c>
      <c r="AO286" s="170">
        <f t="shared" si="154"/>
        <v>0</v>
      </c>
      <c r="AP286" s="170">
        <f t="shared" si="154"/>
        <v>0</v>
      </c>
    </row>
    <row r="287" spans="1:42" s="101" customFormat="1" ht="12" customHeight="1" x14ac:dyDescent="0.2">
      <c r="A287" s="205" t="s">
        <v>53</v>
      </c>
      <c r="B287" s="124"/>
      <c r="C287" s="124">
        <f>SUM(C277:C286)</f>
        <v>0</v>
      </c>
      <c r="D287" s="124">
        <f t="shared" ref="D287:AP287" si="155">SUM(D277:D286)</f>
        <v>0</v>
      </c>
      <c r="E287" s="124">
        <f t="shared" si="155"/>
        <v>0</v>
      </c>
      <c r="F287" s="124">
        <f t="shared" si="155"/>
        <v>0</v>
      </c>
      <c r="G287" s="124">
        <f t="shared" si="155"/>
        <v>0</v>
      </c>
      <c r="H287" s="124">
        <f t="shared" si="155"/>
        <v>0</v>
      </c>
      <c r="I287" s="124">
        <f t="shared" si="155"/>
        <v>0</v>
      </c>
      <c r="J287" s="124">
        <f t="shared" si="155"/>
        <v>0</v>
      </c>
      <c r="K287" s="124">
        <f t="shared" si="155"/>
        <v>0</v>
      </c>
      <c r="L287" s="124">
        <f t="shared" si="155"/>
        <v>0</v>
      </c>
      <c r="M287" s="124">
        <f t="shared" si="155"/>
        <v>0</v>
      </c>
      <c r="N287" s="124">
        <f t="shared" si="155"/>
        <v>588974.46870026283</v>
      </c>
      <c r="O287" s="124">
        <f t="shared" si="155"/>
        <v>942359.14992042049</v>
      </c>
      <c r="P287" s="124">
        <f t="shared" si="155"/>
        <v>565415.48995225236</v>
      </c>
      <c r="Q287" s="124">
        <f t="shared" si="155"/>
        <v>339249.29397135135</v>
      </c>
      <c r="R287" s="124">
        <f t="shared" si="155"/>
        <v>339249.29397135135</v>
      </c>
      <c r="S287" s="124">
        <f t="shared" si="155"/>
        <v>169624.64698567567</v>
      </c>
      <c r="T287" s="124">
        <f t="shared" si="155"/>
        <v>0</v>
      </c>
      <c r="U287" s="124">
        <f t="shared" si="155"/>
        <v>0</v>
      </c>
      <c r="V287" s="124">
        <f t="shared" si="155"/>
        <v>0</v>
      </c>
      <c r="W287" s="124">
        <f t="shared" si="155"/>
        <v>0</v>
      </c>
      <c r="X287" s="124">
        <f t="shared" si="155"/>
        <v>0</v>
      </c>
      <c r="Y287" s="124">
        <f t="shared" si="155"/>
        <v>0</v>
      </c>
      <c r="Z287" s="124">
        <f t="shared" si="155"/>
        <v>704188.57730493625</v>
      </c>
      <c r="AA287" s="124">
        <f t="shared" si="155"/>
        <v>1126701.7236878979</v>
      </c>
      <c r="AB287" s="124">
        <f t="shared" si="155"/>
        <v>676021.03421273874</v>
      </c>
      <c r="AC287" s="124">
        <f t="shared" si="155"/>
        <v>405612.62052764324</v>
      </c>
      <c r="AD287" s="124">
        <f t="shared" si="155"/>
        <v>405612.62052764324</v>
      </c>
      <c r="AE287" s="124">
        <f t="shared" si="155"/>
        <v>202806.31026382162</v>
      </c>
      <c r="AF287" s="124">
        <f t="shared" si="155"/>
        <v>0</v>
      </c>
      <c r="AG287" s="124">
        <f t="shared" si="155"/>
        <v>0</v>
      </c>
      <c r="AH287" s="124">
        <f t="shared" si="155"/>
        <v>0</v>
      </c>
      <c r="AI287" s="124">
        <f t="shared" si="155"/>
        <v>0</v>
      </c>
      <c r="AJ287" s="124">
        <f t="shared" si="155"/>
        <v>0</v>
      </c>
      <c r="AK287" s="124">
        <f t="shared" si="155"/>
        <v>0</v>
      </c>
      <c r="AL287" s="124">
        <f t="shared" si="155"/>
        <v>841940.65916142659</v>
      </c>
      <c r="AM287" s="124">
        <f t="shared" si="155"/>
        <v>1347105.0546582823</v>
      </c>
      <c r="AN287" s="124">
        <f t="shared" si="155"/>
        <v>808263.03279496951</v>
      </c>
      <c r="AO287" s="124">
        <f t="shared" si="155"/>
        <v>484957.81967698166</v>
      </c>
      <c r="AP287" s="124">
        <f t="shared" si="155"/>
        <v>484957.81967698166</v>
      </c>
    </row>
    <row r="288" spans="1:42" x14ac:dyDescent="0.2">
      <c r="A288" s="187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</row>
    <row r="289" spans="1:42" x14ac:dyDescent="0.2">
      <c r="A289" s="180" t="s">
        <v>304</v>
      </c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</row>
    <row r="290" spans="1:42" x14ac:dyDescent="0.2">
      <c r="A290" s="187" t="s">
        <v>192</v>
      </c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</row>
    <row r="291" spans="1:42" x14ac:dyDescent="0.2">
      <c r="A291" s="101">
        <v>1</v>
      </c>
      <c r="C291" s="169">
        <f>IF(C$2&lt;=AnalysisPeriod,IF(SUM($C643:C643)&gt;0,B291+1,0),0)</f>
        <v>0</v>
      </c>
      <c r="D291" s="169">
        <f>IF(D$2&lt;=AnalysisPeriod,IF(SUM($C643:D643)&gt;0,C291+1,0),0)</f>
        <v>0</v>
      </c>
      <c r="E291" s="169">
        <f>IF(E$2&lt;=AnalysisPeriod,IF(SUM($C643:E643)&gt;0,D291+1,0),0)</f>
        <v>0</v>
      </c>
      <c r="F291" s="169">
        <f>IF(F$2&lt;=AnalysisPeriod,IF(SUM($C643:F643)&gt;0,E291+1,0),0)</f>
        <v>0</v>
      </c>
      <c r="G291" s="169">
        <f>IF(G$2&lt;=AnalysisPeriod,IF(SUM($C643:G643)&gt;0,F291+1,0),0)</f>
        <v>0</v>
      </c>
      <c r="H291" s="169">
        <f>IF(H$2&lt;=AnalysisPeriod,IF(SUM($C643:H643)&gt;0,G291+1,0),0)</f>
        <v>0</v>
      </c>
      <c r="I291" s="169">
        <f>IF(I$2&lt;=AnalysisPeriod,IF(SUM($C643:I643)&gt;0,H291+1,0),0)</f>
        <v>0</v>
      </c>
      <c r="J291" s="169">
        <f>IF(J$2&lt;=AnalysisPeriod,IF(SUM($C643:J643)&gt;0,I291+1,0),0)</f>
        <v>0</v>
      </c>
      <c r="K291" s="169">
        <f>IF(K$2&lt;=AnalysisPeriod,IF(SUM($C643:K643)&gt;0,J291+1,0),0)</f>
        <v>0</v>
      </c>
      <c r="L291" s="169">
        <f>IF(L$2&lt;=AnalysisPeriod,IF(SUM($C643:L643)&gt;0,K291+1,0),0)</f>
        <v>0</v>
      </c>
      <c r="M291" s="169">
        <f>IF(M$2&lt;=AnalysisPeriod,IF(SUM($C643:M643)&gt;0,L291+1,0),0)</f>
        <v>0</v>
      </c>
      <c r="N291" s="169">
        <f>IF(N$2&lt;=AnalysisPeriod,IF(SUM($C643:N643)&gt;0,M291+1,0),0)</f>
        <v>0</v>
      </c>
      <c r="O291" s="169">
        <f>IF(O$2&lt;=AnalysisPeriod,IF(SUM($C643:O643)&gt;0,N291+1,0),0)</f>
        <v>0</v>
      </c>
      <c r="P291" s="169">
        <f>IF(P$2&lt;=AnalysisPeriod,IF(SUM($C643:P643)&gt;0,O291+1,0),0)</f>
        <v>0</v>
      </c>
      <c r="Q291" s="169">
        <f>IF(Q$2&lt;=AnalysisPeriod,IF(SUM($C643:Q643)&gt;0,P291+1,0),0)</f>
        <v>0</v>
      </c>
      <c r="R291" s="169">
        <f>IF(R$2&lt;=AnalysisPeriod,IF(SUM($C643:R643)&gt;0,Q291+1,0),0)</f>
        <v>0</v>
      </c>
      <c r="S291" s="169">
        <f>IF(S$2&lt;=AnalysisPeriod,IF(SUM($C643:S643)&gt;0,R291+1,0),0)</f>
        <v>0</v>
      </c>
      <c r="T291" s="169">
        <f>IF(T$2&lt;=AnalysisPeriod,IF(SUM($C643:T643)&gt;0,S291+1,0),0)</f>
        <v>0</v>
      </c>
      <c r="U291" s="169">
        <f>IF(U$2&lt;=AnalysisPeriod,IF(SUM($C643:U643)&gt;0,T291+1,0),0)</f>
        <v>0</v>
      </c>
      <c r="V291" s="169">
        <f>IF(V$2&lt;=AnalysisPeriod,IF(SUM($C643:V643)&gt;0,U291+1,0),0)</f>
        <v>0</v>
      </c>
      <c r="W291" s="169">
        <f>IF(W$2&lt;=AnalysisPeriod,IF(SUM($C643:W643)&gt;0,V291+1,0),0)</f>
        <v>0</v>
      </c>
      <c r="X291" s="169">
        <f>IF(X$2&lt;=AnalysisPeriod,IF(SUM($C643:X643)&gt;0,W291+1,0),0)</f>
        <v>0</v>
      </c>
      <c r="Y291" s="169">
        <f>IF(Y$2&lt;=AnalysisPeriod,IF(SUM($C643:Y643)&gt;0,X291+1,0),0)</f>
        <v>0</v>
      </c>
      <c r="Z291" s="169">
        <f>IF(Z$2&lt;=AnalysisPeriod,IF(SUM($C643:Z643)&gt;0,Y291+1,0),0)</f>
        <v>0</v>
      </c>
      <c r="AA291" s="169">
        <f>IF(AA$2&lt;=AnalysisPeriod,IF(SUM($C643:AA643)&gt;0,Z291+1,0),0)</f>
        <v>0</v>
      </c>
      <c r="AB291" s="169">
        <f>IF(AB$2&lt;=AnalysisPeriod,IF(SUM($C643:AB643)&gt;0,AA291+1,0),0)</f>
        <v>0</v>
      </c>
      <c r="AC291" s="169">
        <f>IF(AC$2&lt;=AnalysisPeriod,IF(SUM($C643:AC643)&gt;0,AB291+1,0),0)</f>
        <v>0</v>
      </c>
      <c r="AD291" s="169">
        <f>IF(AD$2&lt;=AnalysisPeriod,IF(SUM($C643:AD643)&gt;0,AC291+1,0),0)</f>
        <v>0</v>
      </c>
      <c r="AE291" s="169">
        <f>IF(AE$2&lt;=AnalysisPeriod,IF(SUM($C643:AE643)&gt;0,AD291+1,0),0)</f>
        <v>0</v>
      </c>
      <c r="AF291" s="169">
        <f>IF(AF$2&lt;=AnalysisPeriod,IF(SUM($C643:AF643)&gt;0,AE291+1,0),0)</f>
        <v>0</v>
      </c>
      <c r="AG291" s="169">
        <f>IF(AG$2&lt;=AnalysisPeriod,IF(SUM($C643:AG643)&gt;0,AF291+1,0),0)</f>
        <v>0</v>
      </c>
      <c r="AH291" s="169">
        <f>IF(AH$2&lt;=AnalysisPeriod,IF(SUM($C643:AH643)&gt;0,AG291+1,0),0)</f>
        <v>0</v>
      </c>
      <c r="AI291" s="169">
        <f>IF(AI$2&lt;=AnalysisPeriod,IF(SUM($C643:AI643)&gt;0,AH291+1,0),0)</f>
        <v>0</v>
      </c>
      <c r="AJ291" s="169">
        <f>IF(AJ$2&lt;=AnalysisPeriod,IF(SUM($C643:AJ643)&gt;0,AI291+1,0),0)</f>
        <v>0</v>
      </c>
      <c r="AK291" s="169">
        <f>IF(AK$2&lt;=AnalysisPeriod,IF(SUM($C643:AK643)&gt;0,AJ291+1,0),0)</f>
        <v>0</v>
      </c>
      <c r="AL291" s="169">
        <f>IF(AL$2&lt;=AnalysisPeriod,IF(SUM($C643:AL643)&gt;0,AK291+1,0),0)</f>
        <v>0</v>
      </c>
      <c r="AM291" s="169">
        <f>IF(AM$2&lt;=AnalysisPeriod,IF(SUM($C643:AM643)&gt;0,AL291+1,0),0)</f>
        <v>0</v>
      </c>
      <c r="AN291" s="169">
        <f>IF(AN$2&lt;=AnalysisPeriod,IF(SUM($C643:AN643)&gt;0,AM291+1,0),0)</f>
        <v>0</v>
      </c>
      <c r="AO291" s="169">
        <f>IF(AO$2&lt;=AnalysisPeriod,IF(SUM($C643:AO643)&gt;0,AN291+1,0),0)</f>
        <v>0</v>
      </c>
      <c r="AP291" s="169">
        <f>IF(AP$2&lt;=AnalysisPeriod,IF(SUM($C643:AP643)&gt;0,AO291+1,0),0)</f>
        <v>0</v>
      </c>
    </row>
    <row r="292" spans="1:42" x14ac:dyDescent="0.2">
      <c r="A292" s="101">
        <f>A291+1</f>
        <v>2</v>
      </c>
      <c r="C292" s="169">
        <f>IF(C$2&lt;=AnalysisPeriod,IF(SUM($C644:C644)&gt;0,B292+1,0),0)</f>
        <v>0</v>
      </c>
      <c r="D292" s="169">
        <f>IF(D$2&lt;=AnalysisPeriod,IF(SUM($C644:D644)&gt;0,C292+1,0),0)</f>
        <v>0</v>
      </c>
      <c r="E292" s="169">
        <f>IF(E$2&lt;=AnalysisPeriod,IF(SUM($C644:E644)&gt;0,D292+1,0),0)</f>
        <v>0</v>
      </c>
      <c r="F292" s="169">
        <f>IF(F$2&lt;=AnalysisPeriod,IF(SUM($C644:F644)&gt;0,E292+1,0),0)</f>
        <v>0</v>
      </c>
      <c r="G292" s="169">
        <f>IF(G$2&lt;=AnalysisPeriod,IF(SUM($C644:G644)&gt;0,F292+1,0),0)</f>
        <v>0</v>
      </c>
      <c r="H292" s="169">
        <f>IF(H$2&lt;=AnalysisPeriod,IF(SUM($C644:H644)&gt;0,G292+1,0),0)</f>
        <v>0</v>
      </c>
      <c r="I292" s="169">
        <f>IF(I$2&lt;=AnalysisPeriod,IF(SUM($C644:I644)&gt;0,H292+1,0),0)</f>
        <v>0</v>
      </c>
      <c r="J292" s="169">
        <f>IF(J$2&lt;=AnalysisPeriod,IF(SUM($C644:J644)&gt;0,I292+1,0),0)</f>
        <v>0</v>
      </c>
      <c r="K292" s="169">
        <f>IF(K$2&lt;=AnalysisPeriod,IF(SUM($C644:K644)&gt;0,J292+1,0),0)</f>
        <v>0</v>
      </c>
      <c r="L292" s="169">
        <f>IF(L$2&lt;=AnalysisPeriod,IF(SUM($C644:L644)&gt;0,K292+1,0),0)</f>
        <v>0</v>
      </c>
      <c r="M292" s="169">
        <f>IF(M$2&lt;=AnalysisPeriod,IF(SUM($C644:M644)&gt;0,L292+1,0),0)</f>
        <v>0</v>
      </c>
      <c r="N292" s="169">
        <f>IF(N$2&lt;=AnalysisPeriod,IF(SUM($C644:N644)&gt;0,M292+1,0),0)</f>
        <v>0</v>
      </c>
      <c r="O292" s="169">
        <f>IF(O$2&lt;=AnalysisPeriod,IF(SUM($C644:O644)&gt;0,N292+1,0),0)</f>
        <v>0</v>
      </c>
      <c r="P292" s="169">
        <f>IF(P$2&lt;=AnalysisPeriod,IF(SUM($C644:P644)&gt;0,O292+1,0),0)</f>
        <v>0</v>
      </c>
      <c r="Q292" s="169">
        <f>IF(Q$2&lt;=AnalysisPeriod,IF(SUM($C644:Q644)&gt;0,P292+1,0),0)</f>
        <v>0</v>
      </c>
      <c r="R292" s="169">
        <f>IF(R$2&lt;=AnalysisPeriod,IF(SUM($C644:R644)&gt;0,Q292+1,0),0)</f>
        <v>0</v>
      </c>
      <c r="S292" s="169">
        <f>IF(S$2&lt;=AnalysisPeriod,IF(SUM($C644:S644)&gt;0,R292+1,0),0)</f>
        <v>0</v>
      </c>
      <c r="T292" s="169">
        <f>IF(T$2&lt;=AnalysisPeriod,IF(SUM($C644:T644)&gt;0,S292+1,0),0)</f>
        <v>0</v>
      </c>
      <c r="U292" s="169">
        <f>IF(U$2&lt;=AnalysisPeriod,IF(SUM($C644:U644)&gt;0,T292+1,0),0)</f>
        <v>0</v>
      </c>
      <c r="V292" s="169">
        <f>IF(V$2&lt;=AnalysisPeriod,IF(SUM($C644:V644)&gt;0,U292+1,0),0)</f>
        <v>0</v>
      </c>
      <c r="W292" s="169">
        <f>IF(W$2&lt;=AnalysisPeriod,IF(SUM($C644:W644)&gt;0,V292+1,0),0)</f>
        <v>0</v>
      </c>
      <c r="X292" s="169">
        <f>IF(X$2&lt;=AnalysisPeriod,IF(SUM($C644:X644)&gt;0,W292+1,0),0)</f>
        <v>0</v>
      </c>
      <c r="Y292" s="169">
        <f>IF(Y$2&lt;=AnalysisPeriod,IF(SUM($C644:Y644)&gt;0,X292+1,0),0)</f>
        <v>0</v>
      </c>
      <c r="Z292" s="169">
        <f>IF(Z$2&lt;=AnalysisPeriod,IF(SUM($C644:Z644)&gt;0,Y292+1,0),0)</f>
        <v>0</v>
      </c>
      <c r="AA292" s="169">
        <f>IF(AA$2&lt;=AnalysisPeriod,IF(SUM($C644:AA644)&gt;0,Z292+1,0),0)</f>
        <v>0</v>
      </c>
      <c r="AB292" s="169">
        <f>IF(AB$2&lt;=AnalysisPeriod,IF(SUM($C644:AB644)&gt;0,AA292+1,0),0)</f>
        <v>0</v>
      </c>
      <c r="AC292" s="169">
        <f>IF(AC$2&lt;=AnalysisPeriod,IF(SUM($C644:AC644)&gt;0,AB292+1,0),0)</f>
        <v>0</v>
      </c>
      <c r="AD292" s="169">
        <f>IF(AD$2&lt;=AnalysisPeriod,IF(SUM($C644:AD644)&gt;0,AC292+1,0),0)</f>
        <v>0</v>
      </c>
      <c r="AE292" s="169">
        <f>IF(AE$2&lt;=AnalysisPeriod,IF(SUM($C644:AE644)&gt;0,AD292+1,0),0)</f>
        <v>0</v>
      </c>
      <c r="AF292" s="169">
        <f>IF(AF$2&lt;=AnalysisPeriod,IF(SUM($C644:AF644)&gt;0,AE292+1,0),0)</f>
        <v>0</v>
      </c>
      <c r="AG292" s="169">
        <f>IF(AG$2&lt;=AnalysisPeriod,IF(SUM($C644:AG644)&gt;0,AF292+1,0),0)</f>
        <v>0</v>
      </c>
      <c r="AH292" s="169">
        <f>IF(AH$2&lt;=AnalysisPeriod,IF(SUM($C644:AH644)&gt;0,AG292+1,0),0)</f>
        <v>0</v>
      </c>
      <c r="AI292" s="169">
        <f>IF(AI$2&lt;=AnalysisPeriod,IF(SUM($C644:AI644)&gt;0,AH292+1,0),0)</f>
        <v>0</v>
      </c>
      <c r="AJ292" s="169">
        <f>IF(AJ$2&lt;=AnalysisPeriod,IF(SUM($C644:AJ644)&gt;0,AI292+1,0),0)</f>
        <v>0</v>
      </c>
      <c r="AK292" s="169">
        <f>IF(AK$2&lt;=AnalysisPeriod,IF(SUM($C644:AK644)&gt;0,AJ292+1,0),0)</f>
        <v>0</v>
      </c>
      <c r="AL292" s="169">
        <f>IF(AL$2&lt;=AnalysisPeriod,IF(SUM($C644:AL644)&gt;0,AK292+1,0),0)</f>
        <v>0</v>
      </c>
      <c r="AM292" s="169">
        <f>IF(AM$2&lt;=AnalysisPeriod,IF(SUM($C644:AM644)&gt;0,AL292+1,0),0)</f>
        <v>0</v>
      </c>
      <c r="AN292" s="169">
        <f>IF(AN$2&lt;=AnalysisPeriod,IF(SUM($C644:AN644)&gt;0,AM292+1,0),0)</f>
        <v>0</v>
      </c>
      <c r="AO292" s="169">
        <f>IF(AO$2&lt;=AnalysisPeriod,IF(SUM($C644:AO644)&gt;0,AN292+1,0),0)</f>
        <v>0</v>
      </c>
      <c r="AP292" s="169">
        <f>IF(AP$2&lt;=AnalysisPeriod,IF(SUM($C644:AP644)&gt;0,AO292+1,0),0)</f>
        <v>0</v>
      </c>
    </row>
    <row r="293" spans="1:42" x14ac:dyDescent="0.2">
      <c r="A293" s="101">
        <f t="shared" ref="A293:A300" si="156">A292+1</f>
        <v>3</v>
      </c>
      <c r="C293" s="169">
        <f>IF(C$2&lt;=AnalysisPeriod,IF(SUM($C645:C645)&gt;0,B293+1,0),0)</f>
        <v>0</v>
      </c>
      <c r="D293" s="169">
        <f>IF(D$2&lt;=AnalysisPeriod,IF(SUM($C645:D645)&gt;0,C293+1,0),0)</f>
        <v>0</v>
      </c>
      <c r="E293" s="169">
        <f>IF(E$2&lt;=AnalysisPeriod,IF(SUM($C645:E645)&gt;0,D293+1,0),0)</f>
        <v>0</v>
      </c>
      <c r="F293" s="169">
        <f>IF(F$2&lt;=AnalysisPeriod,IF(SUM($C645:F645)&gt;0,E293+1,0),0)</f>
        <v>0</v>
      </c>
      <c r="G293" s="169">
        <f>IF(G$2&lt;=AnalysisPeriod,IF(SUM($C645:G645)&gt;0,F293+1,0),0)</f>
        <v>0</v>
      </c>
      <c r="H293" s="169">
        <f>IF(H$2&lt;=AnalysisPeriod,IF(SUM($C645:H645)&gt;0,G293+1,0),0)</f>
        <v>0</v>
      </c>
      <c r="I293" s="169">
        <f>IF(I$2&lt;=AnalysisPeriod,IF(SUM($C645:I645)&gt;0,H293+1,0),0)</f>
        <v>0</v>
      </c>
      <c r="J293" s="169">
        <f>IF(J$2&lt;=AnalysisPeriod,IF(SUM($C645:J645)&gt;0,I293+1,0),0)</f>
        <v>0</v>
      </c>
      <c r="K293" s="169">
        <f>IF(K$2&lt;=AnalysisPeriod,IF(SUM($C645:K645)&gt;0,J293+1,0),0)</f>
        <v>0</v>
      </c>
      <c r="L293" s="169">
        <f>IF(L$2&lt;=AnalysisPeriod,IF(SUM($C645:L645)&gt;0,K293+1,0),0)</f>
        <v>0</v>
      </c>
      <c r="M293" s="169">
        <f>IF(M$2&lt;=AnalysisPeriod,IF(SUM($C645:M645)&gt;0,L293+1,0),0)</f>
        <v>0</v>
      </c>
      <c r="N293" s="169">
        <f>IF(N$2&lt;=AnalysisPeriod,IF(SUM($C645:N645)&gt;0,M293+1,0),0)</f>
        <v>0</v>
      </c>
      <c r="O293" s="169">
        <f>IF(O$2&lt;=AnalysisPeriod,IF(SUM($C645:O645)&gt;0,N293+1,0),0)</f>
        <v>0</v>
      </c>
      <c r="P293" s="169">
        <f>IF(P$2&lt;=AnalysisPeriod,IF(SUM($C645:P645)&gt;0,O293+1,0),0)</f>
        <v>0</v>
      </c>
      <c r="Q293" s="169">
        <f>IF(Q$2&lt;=AnalysisPeriod,IF(SUM($C645:Q645)&gt;0,P293+1,0),0)</f>
        <v>0</v>
      </c>
      <c r="R293" s="169">
        <f>IF(R$2&lt;=AnalysisPeriod,IF(SUM($C645:R645)&gt;0,Q293+1,0),0)</f>
        <v>0</v>
      </c>
      <c r="S293" s="169">
        <f>IF(S$2&lt;=AnalysisPeriod,IF(SUM($C645:S645)&gt;0,R293+1,0),0)</f>
        <v>0</v>
      </c>
      <c r="T293" s="169">
        <f>IF(T$2&lt;=AnalysisPeriod,IF(SUM($C645:T645)&gt;0,S293+1,0),0)</f>
        <v>0</v>
      </c>
      <c r="U293" s="169">
        <f>IF(U$2&lt;=AnalysisPeriod,IF(SUM($C645:U645)&gt;0,T293+1,0),0)</f>
        <v>0</v>
      </c>
      <c r="V293" s="169">
        <f>IF(V$2&lt;=AnalysisPeriod,IF(SUM($C645:V645)&gt;0,U293+1,0),0)</f>
        <v>0</v>
      </c>
      <c r="W293" s="169">
        <f>IF(W$2&lt;=AnalysisPeriod,IF(SUM($C645:W645)&gt;0,V293+1,0),0)</f>
        <v>0</v>
      </c>
      <c r="X293" s="169">
        <f>IF(X$2&lt;=AnalysisPeriod,IF(SUM($C645:X645)&gt;0,W293+1,0),0)</f>
        <v>0</v>
      </c>
      <c r="Y293" s="169">
        <f>IF(Y$2&lt;=AnalysisPeriod,IF(SUM($C645:Y645)&gt;0,X293+1,0),0)</f>
        <v>0</v>
      </c>
      <c r="Z293" s="169">
        <f>IF(Z$2&lt;=AnalysisPeriod,IF(SUM($C645:Z645)&gt;0,Y293+1,0),0)</f>
        <v>0</v>
      </c>
      <c r="AA293" s="169">
        <f>IF(AA$2&lt;=AnalysisPeriod,IF(SUM($C645:AA645)&gt;0,Z293+1,0),0)</f>
        <v>0</v>
      </c>
      <c r="AB293" s="169">
        <f>IF(AB$2&lt;=AnalysisPeriod,IF(SUM($C645:AB645)&gt;0,AA293+1,0),0)</f>
        <v>0</v>
      </c>
      <c r="AC293" s="169">
        <f>IF(AC$2&lt;=AnalysisPeriod,IF(SUM($C645:AC645)&gt;0,AB293+1,0),0)</f>
        <v>0</v>
      </c>
      <c r="AD293" s="169">
        <f>IF(AD$2&lt;=AnalysisPeriod,IF(SUM($C645:AD645)&gt;0,AC293+1,0),0)</f>
        <v>0</v>
      </c>
      <c r="AE293" s="169">
        <f>IF(AE$2&lt;=AnalysisPeriod,IF(SUM($C645:AE645)&gt;0,AD293+1,0),0)</f>
        <v>0</v>
      </c>
      <c r="AF293" s="169">
        <f>IF(AF$2&lt;=AnalysisPeriod,IF(SUM($C645:AF645)&gt;0,AE293+1,0),0)</f>
        <v>0</v>
      </c>
      <c r="AG293" s="169">
        <f>IF(AG$2&lt;=AnalysisPeriod,IF(SUM($C645:AG645)&gt;0,AF293+1,0),0)</f>
        <v>0</v>
      </c>
      <c r="AH293" s="169">
        <f>IF(AH$2&lt;=AnalysisPeriod,IF(SUM($C645:AH645)&gt;0,AG293+1,0),0)</f>
        <v>0</v>
      </c>
      <c r="AI293" s="169">
        <f>IF(AI$2&lt;=AnalysisPeriod,IF(SUM($C645:AI645)&gt;0,AH293+1,0),0)</f>
        <v>0</v>
      </c>
      <c r="AJ293" s="169">
        <f>IF(AJ$2&lt;=AnalysisPeriod,IF(SUM($C645:AJ645)&gt;0,AI293+1,0),0)</f>
        <v>0</v>
      </c>
      <c r="AK293" s="169">
        <f>IF(AK$2&lt;=AnalysisPeriod,IF(SUM($C645:AK645)&gt;0,AJ293+1,0),0)</f>
        <v>0</v>
      </c>
      <c r="AL293" s="169">
        <f>IF(AL$2&lt;=AnalysisPeriod,IF(SUM($C645:AL645)&gt;0,AK293+1,0),0)</f>
        <v>0</v>
      </c>
      <c r="AM293" s="169">
        <f>IF(AM$2&lt;=AnalysisPeriod,IF(SUM($C645:AM645)&gt;0,AL293+1,0),0)</f>
        <v>0</v>
      </c>
      <c r="AN293" s="169">
        <f>IF(AN$2&lt;=AnalysisPeriod,IF(SUM($C645:AN645)&gt;0,AM293+1,0),0)</f>
        <v>0</v>
      </c>
      <c r="AO293" s="169">
        <f>IF(AO$2&lt;=AnalysisPeriod,IF(SUM($C645:AO645)&gt;0,AN293+1,0),0)</f>
        <v>0</v>
      </c>
      <c r="AP293" s="169">
        <f>IF(AP$2&lt;=AnalysisPeriod,IF(SUM($C645:AP645)&gt;0,AO293+1,0),0)</f>
        <v>0</v>
      </c>
    </row>
    <row r="294" spans="1:42" x14ac:dyDescent="0.2">
      <c r="A294" s="101">
        <f t="shared" si="156"/>
        <v>4</v>
      </c>
      <c r="C294" s="169">
        <f>IF(C$2&lt;=AnalysisPeriod,IF(SUM($C646:C646)&gt;0,B294+1,0),0)</f>
        <v>0</v>
      </c>
      <c r="D294" s="169">
        <f>IF(D$2&lt;=AnalysisPeriod,IF(SUM($C646:D646)&gt;0,C294+1,0),0)</f>
        <v>0</v>
      </c>
      <c r="E294" s="169">
        <f>IF(E$2&lt;=AnalysisPeriod,IF(SUM($C646:E646)&gt;0,D294+1,0),0)</f>
        <v>0</v>
      </c>
      <c r="F294" s="169">
        <f>IF(F$2&lt;=AnalysisPeriod,IF(SUM($C646:F646)&gt;0,E294+1,0),0)</f>
        <v>0</v>
      </c>
      <c r="G294" s="169">
        <f>IF(G$2&lt;=AnalysisPeriod,IF(SUM($C646:G646)&gt;0,F294+1,0),0)</f>
        <v>0</v>
      </c>
      <c r="H294" s="169">
        <f>IF(H$2&lt;=AnalysisPeriod,IF(SUM($C646:H646)&gt;0,G294+1,0),0)</f>
        <v>0</v>
      </c>
      <c r="I294" s="169">
        <f>IF(I$2&lt;=AnalysisPeriod,IF(SUM($C646:I646)&gt;0,H294+1,0),0)</f>
        <v>0</v>
      </c>
      <c r="J294" s="169">
        <f>IF(J$2&lt;=AnalysisPeriod,IF(SUM($C646:J646)&gt;0,I294+1,0),0)</f>
        <v>0</v>
      </c>
      <c r="K294" s="169">
        <f>IF(K$2&lt;=AnalysisPeriod,IF(SUM($C646:K646)&gt;0,J294+1,0),0)</f>
        <v>0</v>
      </c>
      <c r="L294" s="169">
        <f>IF(L$2&lt;=AnalysisPeriod,IF(SUM($C646:L646)&gt;0,K294+1,0),0)</f>
        <v>0</v>
      </c>
      <c r="M294" s="169">
        <f>IF(M$2&lt;=AnalysisPeriod,IF(SUM($C646:M646)&gt;0,L294+1,0),0)</f>
        <v>0</v>
      </c>
      <c r="N294" s="169">
        <f>IF(N$2&lt;=AnalysisPeriod,IF(SUM($C646:N646)&gt;0,M294+1,0),0)</f>
        <v>0</v>
      </c>
      <c r="O294" s="169">
        <f>IF(O$2&lt;=AnalysisPeriod,IF(SUM($C646:O646)&gt;0,N294+1,0),0)</f>
        <v>0</v>
      </c>
      <c r="P294" s="169">
        <f>IF(P$2&lt;=AnalysisPeriod,IF(SUM($C646:P646)&gt;0,O294+1,0),0)</f>
        <v>0</v>
      </c>
      <c r="Q294" s="169">
        <f>IF(Q$2&lt;=AnalysisPeriod,IF(SUM($C646:Q646)&gt;0,P294+1,0),0)</f>
        <v>0</v>
      </c>
      <c r="R294" s="169">
        <f>IF(R$2&lt;=AnalysisPeriod,IF(SUM($C646:R646)&gt;0,Q294+1,0),0)</f>
        <v>0</v>
      </c>
      <c r="S294" s="169">
        <f>IF(S$2&lt;=AnalysisPeriod,IF(SUM($C646:S646)&gt;0,R294+1,0),0)</f>
        <v>0</v>
      </c>
      <c r="T294" s="169">
        <f>IF(T$2&lt;=AnalysisPeriod,IF(SUM($C646:T646)&gt;0,S294+1,0),0)</f>
        <v>0</v>
      </c>
      <c r="U294" s="169">
        <f>IF(U$2&lt;=AnalysisPeriod,IF(SUM($C646:U646)&gt;0,T294+1,0),0)</f>
        <v>0</v>
      </c>
      <c r="V294" s="169">
        <f>IF(V$2&lt;=AnalysisPeriod,IF(SUM($C646:V646)&gt;0,U294+1,0),0)</f>
        <v>0</v>
      </c>
      <c r="W294" s="169">
        <f>IF(W$2&lt;=AnalysisPeriod,IF(SUM($C646:W646)&gt;0,V294+1,0),0)</f>
        <v>0</v>
      </c>
      <c r="X294" s="169">
        <f>IF(X$2&lt;=AnalysisPeriod,IF(SUM($C646:X646)&gt;0,W294+1,0),0)</f>
        <v>0</v>
      </c>
      <c r="Y294" s="169">
        <f>IF(Y$2&lt;=AnalysisPeriod,IF(SUM($C646:Y646)&gt;0,X294+1,0),0)</f>
        <v>0</v>
      </c>
      <c r="Z294" s="169">
        <f>IF(Z$2&lt;=AnalysisPeriod,IF(SUM($C646:Z646)&gt;0,Y294+1,0),0)</f>
        <v>0</v>
      </c>
      <c r="AA294" s="169">
        <f>IF(AA$2&lt;=AnalysisPeriod,IF(SUM($C646:AA646)&gt;0,Z294+1,0),0)</f>
        <v>0</v>
      </c>
      <c r="AB294" s="169">
        <f>IF(AB$2&lt;=AnalysisPeriod,IF(SUM($C646:AB646)&gt;0,AA294+1,0),0)</f>
        <v>0</v>
      </c>
      <c r="AC294" s="169">
        <f>IF(AC$2&lt;=AnalysisPeriod,IF(SUM($C646:AC646)&gt;0,AB294+1,0),0)</f>
        <v>0</v>
      </c>
      <c r="AD294" s="169">
        <f>IF(AD$2&lt;=AnalysisPeriod,IF(SUM($C646:AD646)&gt;0,AC294+1,0),0)</f>
        <v>0</v>
      </c>
      <c r="AE294" s="169">
        <f>IF(AE$2&lt;=AnalysisPeriod,IF(SUM($C646:AE646)&gt;0,AD294+1,0),0)</f>
        <v>0</v>
      </c>
      <c r="AF294" s="169">
        <f>IF(AF$2&lt;=AnalysisPeriod,IF(SUM($C646:AF646)&gt;0,AE294+1,0),0)</f>
        <v>0</v>
      </c>
      <c r="AG294" s="169">
        <f>IF(AG$2&lt;=AnalysisPeriod,IF(SUM($C646:AG646)&gt;0,AF294+1,0),0)</f>
        <v>0</v>
      </c>
      <c r="AH294" s="169">
        <f>IF(AH$2&lt;=AnalysisPeriod,IF(SUM($C646:AH646)&gt;0,AG294+1,0),0)</f>
        <v>0</v>
      </c>
      <c r="AI294" s="169">
        <f>IF(AI$2&lt;=AnalysisPeriod,IF(SUM($C646:AI646)&gt;0,AH294+1,0),0)</f>
        <v>0</v>
      </c>
      <c r="AJ294" s="169">
        <f>IF(AJ$2&lt;=AnalysisPeriod,IF(SUM($C646:AJ646)&gt;0,AI294+1,0),0)</f>
        <v>0</v>
      </c>
      <c r="AK294" s="169">
        <f>IF(AK$2&lt;=AnalysisPeriod,IF(SUM($C646:AK646)&gt;0,AJ294+1,0),0)</f>
        <v>0</v>
      </c>
      <c r="AL294" s="169">
        <f>IF(AL$2&lt;=AnalysisPeriod,IF(SUM($C646:AL646)&gt;0,AK294+1,0),0)</f>
        <v>0</v>
      </c>
      <c r="AM294" s="169">
        <f>IF(AM$2&lt;=AnalysisPeriod,IF(SUM($C646:AM646)&gt;0,AL294+1,0),0)</f>
        <v>0</v>
      </c>
      <c r="AN294" s="169">
        <f>IF(AN$2&lt;=AnalysisPeriod,IF(SUM($C646:AN646)&gt;0,AM294+1,0),0)</f>
        <v>0</v>
      </c>
      <c r="AO294" s="169">
        <f>IF(AO$2&lt;=AnalysisPeriod,IF(SUM($C646:AO646)&gt;0,AN294+1,0),0)</f>
        <v>0</v>
      </c>
      <c r="AP294" s="169">
        <f>IF(AP$2&lt;=AnalysisPeriod,IF(SUM($C646:AP646)&gt;0,AO294+1,0),0)</f>
        <v>0</v>
      </c>
    </row>
    <row r="295" spans="1:42" x14ac:dyDescent="0.2">
      <c r="A295" s="101">
        <f t="shared" si="156"/>
        <v>5</v>
      </c>
      <c r="C295" s="169">
        <f>IF(C$2&lt;=AnalysisPeriod,IF(SUM($C647:C647)&gt;0,B295+1,0),0)</f>
        <v>0</v>
      </c>
      <c r="D295" s="169">
        <f>IF(D$2&lt;=AnalysisPeriod,IF(SUM($C647:D647)&gt;0,C295+1,0),0)</f>
        <v>0</v>
      </c>
      <c r="E295" s="169">
        <f>IF(E$2&lt;=AnalysisPeriod,IF(SUM($C647:E647)&gt;0,D295+1,0),0)</f>
        <v>0</v>
      </c>
      <c r="F295" s="169">
        <f>IF(F$2&lt;=AnalysisPeriod,IF(SUM($C647:F647)&gt;0,E295+1,0),0)</f>
        <v>0</v>
      </c>
      <c r="G295" s="169">
        <f>IF(G$2&lt;=AnalysisPeriod,IF(SUM($C647:G647)&gt;0,F295+1,0),0)</f>
        <v>0</v>
      </c>
      <c r="H295" s="169">
        <f>IF(H$2&lt;=AnalysisPeriod,IF(SUM($C647:H647)&gt;0,G295+1,0),0)</f>
        <v>0</v>
      </c>
      <c r="I295" s="169">
        <f>IF(I$2&lt;=AnalysisPeriod,IF(SUM($C647:I647)&gt;0,H295+1,0),0)</f>
        <v>0</v>
      </c>
      <c r="J295" s="169">
        <f>IF(J$2&lt;=AnalysisPeriod,IF(SUM($C647:J647)&gt;0,I295+1,0),0)</f>
        <v>0</v>
      </c>
      <c r="K295" s="169">
        <f>IF(K$2&lt;=AnalysisPeriod,IF(SUM($C647:K647)&gt;0,J295+1,0),0)</f>
        <v>0</v>
      </c>
      <c r="L295" s="169">
        <f>IF(L$2&lt;=AnalysisPeriod,IF(SUM($C647:L647)&gt;0,K295+1,0),0)</f>
        <v>0</v>
      </c>
      <c r="M295" s="169">
        <f>IF(M$2&lt;=AnalysisPeriod,IF(SUM($C647:M647)&gt;0,L295+1,0),0)</f>
        <v>0</v>
      </c>
      <c r="N295" s="169">
        <f>IF(N$2&lt;=AnalysisPeriod,IF(SUM($C647:N647)&gt;0,M295+1,0),0)</f>
        <v>0</v>
      </c>
      <c r="O295" s="169">
        <f>IF(O$2&lt;=AnalysisPeriod,IF(SUM($C647:O647)&gt;0,N295+1,0),0)</f>
        <v>0</v>
      </c>
      <c r="P295" s="169">
        <f>IF(P$2&lt;=AnalysisPeriod,IF(SUM($C647:P647)&gt;0,O295+1,0),0)</f>
        <v>0</v>
      </c>
      <c r="Q295" s="169">
        <f>IF(Q$2&lt;=AnalysisPeriod,IF(SUM($C647:Q647)&gt;0,P295+1,0),0)</f>
        <v>0</v>
      </c>
      <c r="R295" s="169">
        <f>IF(R$2&lt;=AnalysisPeriod,IF(SUM($C647:R647)&gt;0,Q295+1,0),0)</f>
        <v>0</v>
      </c>
      <c r="S295" s="169">
        <f>IF(S$2&lt;=AnalysisPeriod,IF(SUM($C647:S647)&gt;0,R295+1,0),0)</f>
        <v>0</v>
      </c>
      <c r="T295" s="169">
        <f>IF(T$2&lt;=AnalysisPeriod,IF(SUM($C647:T647)&gt;0,S295+1,0),0)</f>
        <v>0</v>
      </c>
      <c r="U295" s="169">
        <f>IF(U$2&lt;=AnalysisPeriod,IF(SUM($C647:U647)&gt;0,T295+1,0),0)</f>
        <v>0</v>
      </c>
      <c r="V295" s="169">
        <f>IF(V$2&lt;=AnalysisPeriod,IF(SUM($C647:V647)&gt;0,U295+1,0),0)</f>
        <v>0</v>
      </c>
      <c r="W295" s="169">
        <f>IF(W$2&lt;=AnalysisPeriod,IF(SUM($C647:W647)&gt;0,V295+1,0),0)</f>
        <v>0</v>
      </c>
      <c r="X295" s="169">
        <f>IF(X$2&lt;=AnalysisPeriod,IF(SUM($C647:X647)&gt;0,W295+1,0),0)</f>
        <v>0</v>
      </c>
      <c r="Y295" s="169">
        <f>IF(Y$2&lt;=AnalysisPeriod,IF(SUM($C647:Y647)&gt;0,X295+1,0),0)</f>
        <v>0</v>
      </c>
      <c r="Z295" s="169">
        <f>IF(Z$2&lt;=AnalysisPeriod,IF(SUM($C647:Z647)&gt;0,Y295+1,0),0)</f>
        <v>0</v>
      </c>
      <c r="AA295" s="169">
        <f>IF(AA$2&lt;=AnalysisPeriod,IF(SUM($C647:AA647)&gt;0,Z295+1,0),0)</f>
        <v>0</v>
      </c>
      <c r="AB295" s="169">
        <f>IF(AB$2&lt;=AnalysisPeriod,IF(SUM($C647:AB647)&gt;0,AA295+1,0),0)</f>
        <v>0</v>
      </c>
      <c r="AC295" s="169">
        <f>IF(AC$2&lt;=AnalysisPeriod,IF(SUM($C647:AC647)&gt;0,AB295+1,0),0)</f>
        <v>0</v>
      </c>
      <c r="AD295" s="169">
        <f>IF(AD$2&lt;=AnalysisPeriod,IF(SUM($C647:AD647)&gt;0,AC295+1,0),0)</f>
        <v>0</v>
      </c>
      <c r="AE295" s="169">
        <f>IF(AE$2&lt;=AnalysisPeriod,IF(SUM($C647:AE647)&gt;0,AD295+1,0),0)</f>
        <v>0</v>
      </c>
      <c r="AF295" s="169">
        <f>IF(AF$2&lt;=AnalysisPeriod,IF(SUM($C647:AF647)&gt;0,AE295+1,0),0)</f>
        <v>0</v>
      </c>
      <c r="AG295" s="169">
        <f>IF(AG$2&lt;=AnalysisPeriod,IF(SUM($C647:AG647)&gt;0,AF295+1,0),0)</f>
        <v>0</v>
      </c>
      <c r="AH295" s="169">
        <f>IF(AH$2&lt;=AnalysisPeriod,IF(SUM($C647:AH647)&gt;0,AG295+1,0),0)</f>
        <v>0</v>
      </c>
      <c r="AI295" s="169">
        <f>IF(AI$2&lt;=AnalysisPeriod,IF(SUM($C647:AI647)&gt;0,AH295+1,0),0)</f>
        <v>0</v>
      </c>
      <c r="AJ295" s="169">
        <f>IF(AJ$2&lt;=AnalysisPeriod,IF(SUM($C647:AJ647)&gt;0,AI295+1,0),0)</f>
        <v>0</v>
      </c>
      <c r="AK295" s="169">
        <f>IF(AK$2&lt;=AnalysisPeriod,IF(SUM($C647:AK647)&gt;0,AJ295+1,0),0)</f>
        <v>0</v>
      </c>
      <c r="AL295" s="169">
        <f>IF(AL$2&lt;=AnalysisPeriod,IF(SUM($C647:AL647)&gt;0,AK295+1,0),0)</f>
        <v>0</v>
      </c>
      <c r="AM295" s="169">
        <f>IF(AM$2&lt;=AnalysisPeriod,IF(SUM($C647:AM647)&gt;0,AL295+1,0),0)</f>
        <v>0</v>
      </c>
      <c r="AN295" s="169">
        <f>IF(AN$2&lt;=AnalysisPeriod,IF(SUM($C647:AN647)&gt;0,AM295+1,0),0)</f>
        <v>0</v>
      </c>
      <c r="AO295" s="169">
        <f>IF(AO$2&lt;=AnalysisPeriod,IF(SUM($C647:AO647)&gt;0,AN295+1,0),0)</f>
        <v>0</v>
      </c>
      <c r="AP295" s="169">
        <f>IF(AP$2&lt;=AnalysisPeriod,IF(SUM($C647:AP647)&gt;0,AO295+1,0),0)</f>
        <v>0</v>
      </c>
    </row>
    <row r="296" spans="1:42" x14ac:dyDescent="0.2">
      <c r="A296" s="101">
        <f t="shared" si="156"/>
        <v>6</v>
      </c>
      <c r="C296" s="169">
        <f>IF(C$2&lt;=AnalysisPeriod,IF(SUM($C648:C648)&gt;0,B296+1,0),0)</f>
        <v>0</v>
      </c>
      <c r="D296" s="169">
        <f>IF(D$2&lt;=AnalysisPeriod,IF(SUM($C648:D648)&gt;0,C296+1,0),0)</f>
        <v>0</v>
      </c>
      <c r="E296" s="169">
        <f>IF(E$2&lt;=AnalysisPeriod,IF(SUM($C648:E648)&gt;0,D296+1,0),0)</f>
        <v>0</v>
      </c>
      <c r="F296" s="169">
        <f>IF(F$2&lt;=AnalysisPeriod,IF(SUM($C648:F648)&gt;0,E296+1,0),0)</f>
        <v>0</v>
      </c>
      <c r="G296" s="169">
        <f>IF(G$2&lt;=AnalysisPeriod,IF(SUM($C648:G648)&gt;0,F296+1,0),0)</f>
        <v>0</v>
      </c>
      <c r="H296" s="169">
        <f>IF(H$2&lt;=AnalysisPeriod,IF(SUM($C648:H648)&gt;0,G296+1,0),0)</f>
        <v>0</v>
      </c>
      <c r="I296" s="169">
        <f>IF(I$2&lt;=AnalysisPeriod,IF(SUM($C648:I648)&gt;0,H296+1,0),0)</f>
        <v>0</v>
      </c>
      <c r="J296" s="169">
        <f>IF(J$2&lt;=AnalysisPeriod,IF(SUM($C648:J648)&gt;0,I296+1,0),0)</f>
        <v>0</v>
      </c>
      <c r="K296" s="169">
        <f>IF(K$2&lt;=AnalysisPeriod,IF(SUM($C648:K648)&gt;0,J296+1,0),0)</f>
        <v>0</v>
      </c>
      <c r="L296" s="169">
        <f>IF(L$2&lt;=AnalysisPeriod,IF(SUM($C648:L648)&gt;0,K296+1,0),0)</f>
        <v>0</v>
      </c>
      <c r="M296" s="169">
        <f>IF(M$2&lt;=AnalysisPeriod,IF(SUM($C648:M648)&gt;0,L296+1,0),0)</f>
        <v>0</v>
      </c>
      <c r="N296" s="169">
        <f>IF(N$2&lt;=AnalysisPeriod,IF(SUM($C648:N648)&gt;0,M296+1,0),0)</f>
        <v>0</v>
      </c>
      <c r="O296" s="169">
        <f>IF(O$2&lt;=AnalysisPeriod,IF(SUM($C648:O648)&gt;0,N296+1,0),0)</f>
        <v>0</v>
      </c>
      <c r="P296" s="169">
        <f>IF(P$2&lt;=AnalysisPeriod,IF(SUM($C648:P648)&gt;0,O296+1,0),0)</f>
        <v>0</v>
      </c>
      <c r="Q296" s="169">
        <f>IF(Q$2&lt;=AnalysisPeriod,IF(SUM($C648:Q648)&gt;0,P296+1,0),0)</f>
        <v>0</v>
      </c>
      <c r="R296" s="169">
        <f>IF(R$2&lt;=AnalysisPeriod,IF(SUM($C648:R648)&gt;0,Q296+1,0),0)</f>
        <v>0</v>
      </c>
      <c r="S296" s="169">
        <f>IF(S$2&lt;=AnalysisPeriod,IF(SUM($C648:S648)&gt;0,R296+1,0),0)</f>
        <v>0</v>
      </c>
      <c r="T296" s="169">
        <f>IF(T$2&lt;=AnalysisPeriod,IF(SUM($C648:T648)&gt;0,S296+1,0),0)</f>
        <v>0</v>
      </c>
      <c r="U296" s="169">
        <f>IF(U$2&lt;=AnalysisPeriod,IF(SUM($C648:U648)&gt;0,T296+1,0),0)</f>
        <v>0</v>
      </c>
      <c r="V296" s="169">
        <f>IF(V$2&lt;=AnalysisPeriod,IF(SUM($C648:V648)&gt;0,U296+1,0),0)</f>
        <v>0</v>
      </c>
      <c r="W296" s="169">
        <f>IF(W$2&lt;=AnalysisPeriod,IF(SUM($C648:W648)&gt;0,V296+1,0),0)</f>
        <v>0</v>
      </c>
      <c r="X296" s="169">
        <f>IF(X$2&lt;=AnalysisPeriod,IF(SUM($C648:X648)&gt;0,W296+1,0),0)</f>
        <v>0</v>
      </c>
      <c r="Y296" s="169">
        <f>IF(Y$2&lt;=AnalysisPeriod,IF(SUM($C648:Y648)&gt;0,X296+1,0),0)</f>
        <v>0</v>
      </c>
      <c r="Z296" s="169">
        <f>IF(Z$2&lt;=AnalysisPeriod,IF(SUM($C648:Z648)&gt;0,Y296+1,0),0)</f>
        <v>0</v>
      </c>
      <c r="AA296" s="169">
        <f>IF(AA$2&lt;=AnalysisPeriod,IF(SUM($C648:AA648)&gt;0,Z296+1,0),0)</f>
        <v>0</v>
      </c>
      <c r="AB296" s="169">
        <f>IF(AB$2&lt;=AnalysisPeriod,IF(SUM($C648:AB648)&gt;0,AA296+1,0),0)</f>
        <v>0</v>
      </c>
      <c r="AC296" s="169">
        <f>IF(AC$2&lt;=AnalysisPeriod,IF(SUM($C648:AC648)&gt;0,AB296+1,0),0)</f>
        <v>0</v>
      </c>
      <c r="AD296" s="169">
        <f>IF(AD$2&lt;=AnalysisPeriod,IF(SUM($C648:AD648)&gt;0,AC296+1,0),0)</f>
        <v>0</v>
      </c>
      <c r="AE296" s="169">
        <f>IF(AE$2&lt;=AnalysisPeriod,IF(SUM($C648:AE648)&gt;0,AD296+1,0),0)</f>
        <v>0</v>
      </c>
      <c r="AF296" s="169">
        <f>IF(AF$2&lt;=AnalysisPeriod,IF(SUM($C648:AF648)&gt;0,AE296+1,0),0)</f>
        <v>0</v>
      </c>
      <c r="AG296" s="169">
        <f>IF(AG$2&lt;=AnalysisPeriod,IF(SUM($C648:AG648)&gt;0,AF296+1,0),0)</f>
        <v>0</v>
      </c>
      <c r="AH296" s="169">
        <f>IF(AH$2&lt;=AnalysisPeriod,IF(SUM($C648:AH648)&gt;0,AG296+1,0),0)</f>
        <v>0</v>
      </c>
      <c r="AI296" s="169">
        <f>IF(AI$2&lt;=AnalysisPeriod,IF(SUM($C648:AI648)&gt;0,AH296+1,0),0)</f>
        <v>0</v>
      </c>
      <c r="AJ296" s="169">
        <f>IF(AJ$2&lt;=AnalysisPeriod,IF(SUM($C648:AJ648)&gt;0,AI296+1,0),0)</f>
        <v>0</v>
      </c>
      <c r="AK296" s="169">
        <f>IF(AK$2&lt;=AnalysisPeriod,IF(SUM($C648:AK648)&gt;0,AJ296+1,0),0)</f>
        <v>0</v>
      </c>
      <c r="AL296" s="169">
        <f>IF(AL$2&lt;=AnalysisPeriod,IF(SUM($C648:AL648)&gt;0,AK296+1,0),0)</f>
        <v>0</v>
      </c>
      <c r="AM296" s="169">
        <f>IF(AM$2&lt;=AnalysisPeriod,IF(SUM($C648:AM648)&gt;0,AL296+1,0),0)</f>
        <v>0</v>
      </c>
      <c r="AN296" s="169">
        <f>IF(AN$2&lt;=AnalysisPeriod,IF(SUM($C648:AN648)&gt;0,AM296+1,0),0)</f>
        <v>0</v>
      </c>
      <c r="AO296" s="169">
        <f>IF(AO$2&lt;=AnalysisPeriod,IF(SUM($C648:AO648)&gt;0,AN296+1,0),0)</f>
        <v>0</v>
      </c>
      <c r="AP296" s="169">
        <f>IF(AP$2&lt;=AnalysisPeriod,IF(SUM($C648:AP648)&gt;0,AO296+1,0),0)</f>
        <v>0</v>
      </c>
    </row>
    <row r="297" spans="1:42" x14ac:dyDescent="0.2">
      <c r="A297" s="101">
        <f t="shared" si="156"/>
        <v>7</v>
      </c>
      <c r="C297" s="169">
        <f>IF(C$2&lt;=AnalysisPeriod,IF(SUM($C649:C649)&gt;0,B297+1,0),0)</f>
        <v>0</v>
      </c>
      <c r="D297" s="169">
        <f>IF(D$2&lt;=AnalysisPeriod,IF(SUM($C649:D649)&gt;0,C297+1,0),0)</f>
        <v>0</v>
      </c>
      <c r="E297" s="169">
        <f>IF(E$2&lt;=AnalysisPeriod,IF(SUM($C649:E649)&gt;0,D297+1,0),0)</f>
        <v>0</v>
      </c>
      <c r="F297" s="169">
        <f>IF(F$2&lt;=AnalysisPeriod,IF(SUM($C649:F649)&gt;0,E297+1,0),0)</f>
        <v>0</v>
      </c>
      <c r="G297" s="169">
        <f>IF(G$2&lt;=AnalysisPeriod,IF(SUM($C649:G649)&gt;0,F297+1,0),0)</f>
        <v>0</v>
      </c>
      <c r="H297" s="169">
        <f>IF(H$2&lt;=AnalysisPeriod,IF(SUM($C649:H649)&gt;0,G297+1,0),0)</f>
        <v>0</v>
      </c>
      <c r="I297" s="169">
        <f>IF(I$2&lt;=AnalysisPeriod,IF(SUM($C649:I649)&gt;0,H297+1,0),0)</f>
        <v>0</v>
      </c>
      <c r="J297" s="169">
        <f>IF(J$2&lt;=AnalysisPeriod,IF(SUM($C649:J649)&gt;0,I297+1,0),0)</f>
        <v>0</v>
      </c>
      <c r="K297" s="169">
        <f>IF(K$2&lt;=AnalysisPeriod,IF(SUM($C649:K649)&gt;0,J297+1,0),0)</f>
        <v>0</v>
      </c>
      <c r="L297" s="169">
        <f>IF(L$2&lt;=AnalysisPeriod,IF(SUM($C649:L649)&gt;0,K297+1,0),0)</f>
        <v>0</v>
      </c>
      <c r="M297" s="169">
        <f>IF(M$2&lt;=AnalysisPeriod,IF(SUM($C649:M649)&gt;0,L297+1,0),0)</f>
        <v>0</v>
      </c>
      <c r="N297" s="169">
        <f>IF(N$2&lt;=AnalysisPeriod,IF(SUM($C649:N649)&gt;0,M297+1,0),0)</f>
        <v>0</v>
      </c>
      <c r="O297" s="169">
        <f>IF(O$2&lt;=AnalysisPeriod,IF(SUM($C649:O649)&gt;0,N297+1,0),0)</f>
        <v>0</v>
      </c>
      <c r="P297" s="169">
        <f>IF(P$2&lt;=AnalysisPeriod,IF(SUM($C649:P649)&gt;0,O297+1,0),0)</f>
        <v>0</v>
      </c>
      <c r="Q297" s="169">
        <f>IF(Q$2&lt;=AnalysisPeriod,IF(SUM($C649:Q649)&gt;0,P297+1,0),0)</f>
        <v>0</v>
      </c>
      <c r="R297" s="169">
        <f>IF(R$2&lt;=AnalysisPeriod,IF(SUM($C649:R649)&gt;0,Q297+1,0),0)</f>
        <v>0</v>
      </c>
      <c r="S297" s="169">
        <f>IF(S$2&lt;=AnalysisPeriod,IF(SUM($C649:S649)&gt;0,R297+1,0),0)</f>
        <v>0</v>
      </c>
      <c r="T297" s="169">
        <f>IF(T$2&lt;=AnalysisPeriod,IF(SUM($C649:T649)&gt;0,S297+1,0),0)</f>
        <v>0</v>
      </c>
      <c r="U297" s="169">
        <f>IF(U$2&lt;=AnalysisPeriod,IF(SUM($C649:U649)&gt;0,T297+1,0),0)</f>
        <v>0</v>
      </c>
      <c r="V297" s="169">
        <f>IF(V$2&lt;=AnalysisPeriod,IF(SUM($C649:V649)&gt;0,U297+1,0),0)</f>
        <v>0</v>
      </c>
      <c r="W297" s="169">
        <f>IF(W$2&lt;=AnalysisPeriod,IF(SUM($C649:W649)&gt;0,V297+1,0),0)</f>
        <v>0</v>
      </c>
      <c r="X297" s="169">
        <f>IF(X$2&lt;=AnalysisPeriod,IF(SUM($C649:X649)&gt;0,W297+1,0),0)</f>
        <v>0</v>
      </c>
      <c r="Y297" s="169">
        <f>IF(Y$2&lt;=AnalysisPeriod,IF(SUM($C649:Y649)&gt;0,X297+1,0),0)</f>
        <v>0</v>
      </c>
      <c r="Z297" s="169">
        <f>IF(Z$2&lt;=AnalysisPeriod,IF(SUM($C649:Z649)&gt;0,Y297+1,0),0)</f>
        <v>0</v>
      </c>
      <c r="AA297" s="169">
        <f>IF(AA$2&lt;=AnalysisPeriod,IF(SUM($C649:AA649)&gt;0,Z297+1,0),0)</f>
        <v>0</v>
      </c>
      <c r="AB297" s="169">
        <f>IF(AB$2&lt;=AnalysisPeriod,IF(SUM($C649:AB649)&gt;0,AA297+1,0),0)</f>
        <v>0</v>
      </c>
      <c r="AC297" s="169">
        <f>IF(AC$2&lt;=AnalysisPeriod,IF(SUM($C649:AC649)&gt;0,AB297+1,0),0)</f>
        <v>0</v>
      </c>
      <c r="AD297" s="169">
        <f>IF(AD$2&lt;=AnalysisPeriod,IF(SUM($C649:AD649)&gt;0,AC297+1,0),0)</f>
        <v>0</v>
      </c>
      <c r="AE297" s="169">
        <f>IF(AE$2&lt;=AnalysisPeriod,IF(SUM($C649:AE649)&gt;0,AD297+1,0),0)</f>
        <v>0</v>
      </c>
      <c r="AF297" s="169">
        <f>IF(AF$2&lt;=AnalysisPeriod,IF(SUM($C649:AF649)&gt;0,AE297+1,0),0)</f>
        <v>0</v>
      </c>
      <c r="AG297" s="169">
        <f>IF(AG$2&lt;=AnalysisPeriod,IF(SUM($C649:AG649)&gt;0,AF297+1,0),0)</f>
        <v>0</v>
      </c>
      <c r="AH297" s="169">
        <f>IF(AH$2&lt;=AnalysisPeriod,IF(SUM($C649:AH649)&gt;0,AG297+1,0),0)</f>
        <v>0</v>
      </c>
      <c r="AI297" s="169">
        <f>IF(AI$2&lt;=AnalysisPeriod,IF(SUM($C649:AI649)&gt;0,AH297+1,0),0)</f>
        <v>0</v>
      </c>
      <c r="AJ297" s="169">
        <f>IF(AJ$2&lt;=AnalysisPeriod,IF(SUM($C649:AJ649)&gt;0,AI297+1,0),0)</f>
        <v>0</v>
      </c>
      <c r="AK297" s="169">
        <f>IF(AK$2&lt;=AnalysisPeriod,IF(SUM($C649:AK649)&gt;0,AJ297+1,0),0)</f>
        <v>0</v>
      </c>
      <c r="AL297" s="169">
        <f>IF(AL$2&lt;=AnalysisPeriod,IF(SUM($C649:AL649)&gt;0,AK297+1,0),0)</f>
        <v>0</v>
      </c>
      <c r="AM297" s="169">
        <f>IF(AM$2&lt;=AnalysisPeriod,IF(SUM($C649:AM649)&gt;0,AL297+1,0),0)</f>
        <v>0</v>
      </c>
      <c r="AN297" s="169">
        <f>IF(AN$2&lt;=AnalysisPeriod,IF(SUM($C649:AN649)&gt;0,AM297+1,0),0)</f>
        <v>0</v>
      </c>
      <c r="AO297" s="169">
        <f>IF(AO$2&lt;=AnalysisPeriod,IF(SUM($C649:AO649)&gt;0,AN297+1,0),0)</f>
        <v>0</v>
      </c>
      <c r="AP297" s="169">
        <f>IF(AP$2&lt;=AnalysisPeriod,IF(SUM($C649:AP649)&gt;0,AO297+1,0),0)</f>
        <v>0</v>
      </c>
    </row>
    <row r="298" spans="1:42" x14ac:dyDescent="0.2">
      <c r="A298" s="101">
        <f t="shared" si="156"/>
        <v>8</v>
      </c>
      <c r="C298" s="169">
        <f>IF(C$2&lt;=AnalysisPeriod,IF(SUM($C650:C650)&gt;0,B298+1,0),0)</f>
        <v>0</v>
      </c>
      <c r="D298" s="169">
        <f>IF(D$2&lt;=AnalysisPeriod,IF(SUM($C650:D650)&gt;0,C298+1,0),0)</f>
        <v>0</v>
      </c>
      <c r="E298" s="169">
        <f>IF(E$2&lt;=AnalysisPeriod,IF(SUM($C650:E650)&gt;0,D298+1,0),0)</f>
        <v>0</v>
      </c>
      <c r="F298" s="169">
        <f>IF(F$2&lt;=AnalysisPeriod,IF(SUM($C650:F650)&gt;0,E298+1,0),0)</f>
        <v>0</v>
      </c>
      <c r="G298" s="169">
        <f>IF(G$2&lt;=AnalysisPeriod,IF(SUM($C650:G650)&gt;0,F298+1,0),0)</f>
        <v>0</v>
      </c>
      <c r="H298" s="169">
        <f>IF(H$2&lt;=AnalysisPeriod,IF(SUM($C650:H650)&gt;0,G298+1,0),0)</f>
        <v>0</v>
      </c>
      <c r="I298" s="169">
        <f>IF(I$2&lt;=AnalysisPeriod,IF(SUM($C650:I650)&gt;0,H298+1,0),0)</f>
        <v>0</v>
      </c>
      <c r="J298" s="169">
        <f>IF(J$2&lt;=AnalysisPeriod,IF(SUM($C650:J650)&gt;0,I298+1,0),0)</f>
        <v>0</v>
      </c>
      <c r="K298" s="169">
        <f>IF(K$2&lt;=AnalysisPeriod,IF(SUM($C650:K650)&gt;0,J298+1,0),0)</f>
        <v>0</v>
      </c>
      <c r="L298" s="169">
        <f>IF(L$2&lt;=AnalysisPeriod,IF(SUM($C650:L650)&gt;0,K298+1,0),0)</f>
        <v>0</v>
      </c>
      <c r="M298" s="169">
        <f>IF(M$2&lt;=AnalysisPeriod,IF(SUM($C650:M650)&gt;0,L298+1,0),0)</f>
        <v>0</v>
      </c>
      <c r="N298" s="169">
        <f>IF(N$2&lt;=AnalysisPeriod,IF(SUM($C650:N650)&gt;0,M298+1,0),0)</f>
        <v>0</v>
      </c>
      <c r="O298" s="169">
        <f>IF(O$2&lt;=AnalysisPeriod,IF(SUM($C650:O650)&gt;0,N298+1,0),0)</f>
        <v>0</v>
      </c>
      <c r="P298" s="169">
        <f>IF(P$2&lt;=AnalysisPeriod,IF(SUM($C650:P650)&gt;0,O298+1,0),0)</f>
        <v>0</v>
      </c>
      <c r="Q298" s="169">
        <f>IF(Q$2&lt;=AnalysisPeriod,IF(SUM($C650:Q650)&gt;0,P298+1,0),0)</f>
        <v>0</v>
      </c>
      <c r="R298" s="169">
        <f>IF(R$2&lt;=AnalysisPeriod,IF(SUM($C650:R650)&gt;0,Q298+1,0),0)</f>
        <v>0</v>
      </c>
      <c r="S298" s="169">
        <f>IF(S$2&lt;=AnalysisPeriod,IF(SUM($C650:S650)&gt;0,R298+1,0),0)</f>
        <v>0</v>
      </c>
      <c r="T298" s="169">
        <f>IF(T$2&lt;=AnalysisPeriod,IF(SUM($C650:T650)&gt;0,S298+1,0),0)</f>
        <v>0</v>
      </c>
      <c r="U298" s="169">
        <f>IF(U$2&lt;=AnalysisPeriod,IF(SUM($C650:U650)&gt;0,T298+1,0),0)</f>
        <v>0</v>
      </c>
      <c r="V298" s="169">
        <f>IF(V$2&lt;=AnalysisPeriod,IF(SUM($C650:V650)&gt;0,U298+1,0),0)</f>
        <v>0</v>
      </c>
      <c r="W298" s="169">
        <f>IF(W$2&lt;=AnalysisPeriod,IF(SUM($C650:W650)&gt;0,V298+1,0),0)</f>
        <v>0</v>
      </c>
      <c r="X298" s="169">
        <f>IF(X$2&lt;=AnalysisPeriod,IF(SUM($C650:X650)&gt;0,W298+1,0),0)</f>
        <v>0</v>
      </c>
      <c r="Y298" s="169">
        <f>IF(Y$2&lt;=AnalysisPeriod,IF(SUM($C650:Y650)&gt;0,X298+1,0),0)</f>
        <v>0</v>
      </c>
      <c r="Z298" s="169">
        <f>IF(Z$2&lt;=AnalysisPeriod,IF(SUM($C650:Z650)&gt;0,Y298+1,0),0)</f>
        <v>0</v>
      </c>
      <c r="AA298" s="169">
        <f>IF(AA$2&lt;=AnalysisPeriod,IF(SUM($C650:AA650)&gt;0,Z298+1,0),0)</f>
        <v>0</v>
      </c>
      <c r="AB298" s="169">
        <f>IF(AB$2&lt;=AnalysisPeriod,IF(SUM($C650:AB650)&gt;0,AA298+1,0),0)</f>
        <v>0</v>
      </c>
      <c r="AC298" s="169">
        <f>IF(AC$2&lt;=AnalysisPeriod,IF(SUM($C650:AC650)&gt;0,AB298+1,0),0)</f>
        <v>0</v>
      </c>
      <c r="AD298" s="169">
        <f>IF(AD$2&lt;=AnalysisPeriod,IF(SUM($C650:AD650)&gt;0,AC298+1,0),0)</f>
        <v>0</v>
      </c>
      <c r="AE298" s="169">
        <f>IF(AE$2&lt;=AnalysisPeriod,IF(SUM($C650:AE650)&gt;0,AD298+1,0),0)</f>
        <v>0</v>
      </c>
      <c r="AF298" s="169">
        <f>IF(AF$2&lt;=AnalysisPeriod,IF(SUM($C650:AF650)&gt;0,AE298+1,0),0)</f>
        <v>0</v>
      </c>
      <c r="AG298" s="169">
        <f>IF(AG$2&lt;=AnalysisPeriod,IF(SUM($C650:AG650)&gt;0,AF298+1,0),0)</f>
        <v>0</v>
      </c>
      <c r="AH298" s="169">
        <f>IF(AH$2&lt;=AnalysisPeriod,IF(SUM($C650:AH650)&gt;0,AG298+1,0),0)</f>
        <v>0</v>
      </c>
      <c r="AI298" s="169">
        <f>IF(AI$2&lt;=AnalysisPeriod,IF(SUM($C650:AI650)&gt;0,AH298+1,0),0)</f>
        <v>0</v>
      </c>
      <c r="AJ298" s="169">
        <f>IF(AJ$2&lt;=AnalysisPeriod,IF(SUM($C650:AJ650)&gt;0,AI298+1,0),0)</f>
        <v>0</v>
      </c>
      <c r="AK298" s="169">
        <f>IF(AK$2&lt;=AnalysisPeriod,IF(SUM($C650:AK650)&gt;0,AJ298+1,0),0)</f>
        <v>0</v>
      </c>
      <c r="AL298" s="169">
        <f>IF(AL$2&lt;=AnalysisPeriod,IF(SUM($C650:AL650)&gt;0,AK298+1,0),0)</f>
        <v>0</v>
      </c>
      <c r="AM298" s="169">
        <f>IF(AM$2&lt;=AnalysisPeriod,IF(SUM($C650:AM650)&gt;0,AL298+1,0),0)</f>
        <v>0</v>
      </c>
      <c r="AN298" s="169">
        <f>IF(AN$2&lt;=AnalysisPeriod,IF(SUM($C650:AN650)&gt;0,AM298+1,0),0)</f>
        <v>0</v>
      </c>
      <c r="AO298" s="169">
        <f>IF(AO$2&lt;=AnalysisPeriod,IF(SUM($C650:AO650)&gt;0,AN298+1,0),0)</f>
        <v>0</v>
      </c>
      <c r="AP298" s="169">
        <f>IF(AP$2&lt;=AnalysisPeriod,IF(SUM($C650:AP650)&gt;0,AO298+1,0),0)</f>
        <v>0</v>
      </c>
    </row>
    <row r="299" spans="1:42" x14ac:dyDescent="0.2">
      <c r="A299" s="101">
        <f>A298+1</f>
        <v>9</v>
      </c>
      <c r="C299" s="169">
        <f>IF(C$2&lt;=AnalysisPeriod,IF(SUM($C651:C651)&gt;0,B299+1,0),0)</f>
        <v>0</v>
      </c>
      <c r="D299" s="169">
        <f>IF(D$2&lt;=AnalysisPeriod,IF(SUM($C651:D651)&gt;0,C299+1,0),0)</f>
        <v>0</v>
      </c>
      <c r="E299" s="169">
        <f>IF(E$2&lt;=AnalysisPeriod,IF(SUM($C651:E651)&gt;0,D299+1,0),0)</f>
        <v>0</v>
      </c>
      <c r="F299" s="169">
        <f>IF(F$2&lt;=AnalysisPeriod,IF(SUM($C651:F651)&gt;0,E299+1,0),0)</f>
        <v>0</v>
      </c>
      <c r="G299" s="169">
        <f>IF(G$2&lt;=AnalysisPeriod,IF(SUM($C651:G651)&gt;0,F299+1,0),0)</f>
        <v>0</v>
      </c>
      <c r="H299" s="169">
        <f>IF(H$2&lt;=AnalysisPeriod,IF(SUM($C651:H651)&gt;0,G299+1,0),0)</f>
        <v>0</v>
      </c>
      <c r="I299" s="169">
        <f>IF(I$2&lt;=AnalysisPeriod,IF(SUM($C651:I651)&gt;0,H299+1,0),0)</f>
        <v>0</v>
      </c>
      <c r="J299" s="169">
        <f>IF(J$2&lt;=AnalysisPeriod,IF(SUM($C651:J651)&gt;0,I299+1,0),0)</f>
        <v>0</v>
      </c>
      <c r="K299" s="169">
        <f>IF(K$2&lt;=AnalysisPeriod,IF(SUM($C651:K651)&gt;0,J299+1,0),0)</f>
        <v>0</v>
      </c>
      <c r="L299" s="169">
        <f>IF(L$2&lt;=AnalysisPeriod,IF(SUM($C651:L651)&gt;0,K299+1,0),0)</f>
        <v>0</v>
      </c>
      <c r="M299" s="169">
        <f>IF(M$2&lt;=AnalysisPeriod,IF(SUM($C651:M651)&gt;0,L299+1,0),0)</f>
        <v>0</v>
      </c>
      <c r="N299" s="169">
        <f>IF(N$2&lt;=AnalysisPeriod,IF(SUM($C651:N651)&gt;0,M299+1,0),0)</f>
        <v>0</v>
      </c>
      <c r="O299" s="169">
        <f>IF(O$2&lt;=AnalysisPeriod,IF(SUM($C651:O651)&gt;0,N299+1,0),0)</f>
        <v>0</v>
      </c>
      <c r="P299" s="169">
        <f>IF(P$2&lt;=AnalysisPeriod,IF(SUM($C651:P651)&gt;0,O299+1,0),0)</f>
        <v>0</v>
      </c>
      <c r="Q299" s="169">
        <f>IF(Q$2&lt;=AnalysisPeriod,IF(SUM($C651:Q651)&gt;0,P299+1,0),0)</f>
        <v>0</v>
      </c>
      <c r="R299" s="169">
        <f>IF(R$2&lt;=AnalysisPeriod,IF(SUM($C651:R651)&gt;0,Q299+1,0),0)</f>
        <v>0</v>
      </c>
      <c r="S299" s="169">
        <f>IF(S$2&lt;=AnalysisPeriod,IF(SUM($C651:S651)&gt;0,R299+1,0),0)</f>
        <v>0</v>
      </c>
      <c r="T299" s="169">
        <f>IF(T$2&lt;=AnalysisPeriod,IF(SUM($C651:T651)&gt;0,S299+1,0),0)</f>
        <v>0</v>
      </c>
      <c r="U299" s="169">
        <f>IF(U$2&lt;=AnalysisPeriod,IF(SUM($C651:U651)&gt;0,T299+1,0),0)</f>
        <v>0</v>
      </c>
      <c r="V299" s="169">
        <f>IF(V$2&lt;=AnalysisPeriod,IF(SUM($C651:V651)&gt;0,U299+1,0),0)</f>
        <v>0</v>
      </c>
      <c r="W299" s="169">
        <f>IF(W$2&lt;=AnalysisPeriod,IF(SUM($C651:W651)&gt;0,V299+1,0),0)</f>
        <v>0</v>
      </c>
      <c r="X299" s="169">
        <f>IF(X$2&lt;=AnalysisPeriod,IF(SUM($C651:X651)&gt;0,W299+1,0),0)</f>
        <v>0</v>
      </c>
      <c r="Y299" s="169">
        <f>IF(Y$2&lt;=AnalysisPeriod,IF(SUM($C651:Y651)&gt;0,X299+1,0),0)</f>
        <v>0</v>
      </c>
      <c r="Z299" s="169">
        <f>IF(Z$2&lt;=AnalysisPeriod,IF(SUM($C651:Z651)&gt;0,Y299+1,0),0)</f>
        <v>0</v>
      </c>
      <c r="AA299" s="169">
        <f>IF(AA$2&lt;=AnalysisPeriod,IF(SUM($C651:AA651)&gt;0,Z299+1,0),0)</f>
        <v>0</v>
      </c>
      <c r="AB299" s="169">
        <f>IF(AB$2&lt;=AnalysisPeriod,IF(SUM($C651:AB651)&gt;0,AA299+1,0),0)</f>
        <v>0</v>
      </c>
      <c r="AC299" s="169">
        <f>IF(AC$2&lt;=AnalysisPeriod,IF(SUM($C651:AC651)&gt;0,AB299+1,0),0)</f>
        <v>0</v>
      </c>
      <c r="AD299" s="169">
        <f>IF(AD$2&lt;=AnalysisPeriod,IF(SUM($C651:AD651)&gt;0,AC299+1,0),0)</f>
        <v>0</v>
      </c>
      <c r="AE299" s="169">
        <f>IF(AE$2&lt;=AnalysisPeriod,IF(SUM($C651:AE651)&gt;0,AD299+1,0),0)</f>
        <v>0</v>
      </c>
      <c r="AF299" s="169">
        <f>IF(AF$2&lt;=AnalysisPeriod,IF(SUM($C651:AF651)&gt;0,AE299+1,0),0)</f>
        <v>0</v>
      </c>
      <c r="AG299" s="169">
        <f>IF(AG$2&lt;=AnalysisPeriod,IF(SUM($C651:AG651)&gt;0,AF299+1,0),0)</f>
        <v>0</v>
      </c>
      <c r="AH299" s="169">
        <f>IF(AH$2&lt;=AnalysisPeriod,IF(SUM($C651:AH651)&gt;0,AG299+1,0),0)</f>
        <v>0</v>
      </c>
      <c r="AI299" s="169">
        <f>IF(AI$2&lt;=AnalysisPeriod,IF(SUM($C651:AI651)&gt;0,AH299+1,0),0)</f>
        <v>0</v>
      </c>
      <c r="AJ299" s="169">
        <f>IF(AJ$2&lt;=AnalysisPeriod,IF(SUM($C651:AJ651)&gt;0,AI299+1,0),0)</f>
        <v>0</v>
      </c>
      <c r="AK299" s="169">
        <f>IF(AK$2&lt;=AnalysisPeriod,IF(SUM($C651:AK651)&gt;0,AJ299+1,0),0)</f>
        <v>0</v>
      </c>
      <c r="AL299" s="169">
        <f>IF(AL$2&lt;=AnalysisPeriod,IF(SUM($C651:AL651)&gt;0,AK299+1,0),0)</f>
        <v>0</v>
      </c>
      <c r="AM299" s="169">
        <f>IF(AM$2&lt;=AnalysisPeriod,IF(SUM($C651:AM651)&gt;0,AL299+1,0),0)</f>
        <v>0</v>
      </c>
      <c r="AN299" s="169">
        <f>IF(AN$2&lt;=AnalysisPeriod,IF(SUM($C651:AN651)&gt;0,AM299+1,0),0)</f>
        <v>0</v>
      </c>
      <c r="AO299" s="169">
        <f>IF(AO$2&lt;=AnalysisPeriod,IF(SUM($C651:AO651)&gt;0,AN299+1,0),0)</f>
        <v>0</v>
      </c>
      <c r="AP299" s="169">
        <f>IF(AP$2&lt;=AnalysisPeriod,IF(SUM($C651:AP651)&gt;0,AO299+1,0),0)</f>
        <v>0</v>
      </c>
    </row>
    <row r="300" spans="1:42" x14ac:dyDescent="0.2">
      <c r="A300" s="101">
        <f t="shared" si="156"/>
        <v>10</v>
      </c>
      <c r="C300" s="169">
        <f>IF(C$2&lt;=AnalysisPeriod,IF(SUM($C652:C652)&gt;0,B300+1,0),0)</f>
        <v>0</v>
      </c>
      <c r="D300" s="169">
        <f>IF(D$2&lt;=AnalysisPeriod,IF(SUM($C652:D652)&gt;0,C300+1,0),0)</f>
        <v>0</v>
      </c>
      <c r="E300" s="169">
        <f>IF(E$2&lt;=AnalysisPeriod,IF(SUM($C652:E652)&gt;0,D300+1,0),0)</f>
        <v>0</v>
      </c>
      <c r="F300" s="169">
        <f>IF(F$2&lt;=AnalysisPeriod,IF(SUM($C652:F652)&gt;0,E300+1,0),0)</f>
        <v>0</v>
      </c>
      <c r="G300" s="169">
        <f>IF(G$2&lt;=AnalysisPeriod,IF(SUM($C652:G652)&gt;0,F300+1,0),0)</f>
        <v>0</v>
      </c>
      <c r="H300" s="169">
        <f>IF(H$2&lt;=AnalysisPeriod,IF(SUM($C652:H652)&gt;0,G300+1,0),0)</f>
        <v>0</v>
      </c>
      <c r="I300" s="169">
        <f>IF(I$2&lt;=AnalysisPeriod,IF(SUM($C652:I652)&gt;0,H300+1,0),0)</f>
        <v>0</v>
      </c>
      <c r="J300" s="169">
        <f>IF(J$2&lt;=AnalysisPeriod,IF(SUM($C652:J652)&gt;0,I300+1,0),0)</f>
        <v>0</v>
      </c>
      <c r="K300" s="169">
        <f>IF(K$2&lt;=AnalysisPeriod,IF(SUM($C652:K652)&gt;0,J300+1,0),0)</f>
        <v>0</v>
      </c>
      <c r="L300" s="169">
        <f>IF(L$2&lt;=AnalysisPeriod,IF(SUM($C652:L652)&gt;0,K300+1,0),0)</f>
        <v>0</v>
      </c>
      <c r="M300" s="169">
        <f>IF(M$2&lt;=AnalysisPeriod,IF(SUM($C652:M652)&gt;0,L300+1,0),0)</f>
        <v>0</v>
      </c>
      <c r="N300" s="169">
        <f>IF(N$2&lt;=AnalysisPeriod,IF(SUM($C652:N652)&gt;0,M300+1,0),0)</f>
        <v>0</v>
      </c>
      <c r="O300" s="169">
        <f>IF(O$2&lt;=AnalysisPeriod,IF(SUM($C652:O652)&gt;0,N300+1,0),0)</f>
        <v>0</v>
      </c>
      <c r="P300" s="169">
        <f>IF(P$2&lt;=AnalysisPeriod,IF(SUM($C652:P652)&gt;0,O300+1,0),0)</f>
        <v>0</v>
      </c>
      <c r="Q300" s="169">
        <f>IF(Q$2&lt;=AnalysisPeriod,IF(SUM($C652:Q652)&gt;0,P300+1,0),0)</f>
        <v>0</v>
      </c>
      <c r="R300" s="169">
        <f>IF(R$2&lt;=AnalysisPeriod,IF(SUM($C652:R652)&gt;0,Q300+1,0),0)</f>
        <v>0</v>
      </c>
      <c r="S300" s="169">
        <f>IF(S$2&lt;=AnalysisPeriod,IF(SUM($C652:S652)&gt;0,R300+1,0),0)</f>
        <v>0</v>
      </c>
      <c r="T300" s="169">
        <f>IF(T$2&lt;=AnalysisPeriod,IF(SUM($C652:T652)&gt;0,S300+1,0),0)</f>
        <v>0</v>
      </c>
      <c r="U300" s="169">
        <f>IF(U$2&lt;=AnalysisPeriod,IF(SUM($C652:U652)&gt;0,T300+1,0),0)</f>
        <v>0</v>
      </c>
      <c r="V300" s="169">
        <f>IF(V$2&lt;=AnalysisPeriod,IF(SUM($C652:V652)&gt;0,U300+1,0),0)</f>
        <v>0</v>
      </c>
      <c r="W300" s="169">
        <f>IF(W$2&lt;=AnalysisPeriod,IF(SUM($C652:W652)&gt;0,V300+1,0),0)</f>
        <v>0</v>
      </c>
      <c r="X300" s="169">
        <f>IF(X$2&lt;=AnalysisPeriod,IF(SUM($C652:X652)&gt;0,W300+1,0),0)</f>
        <v>0</v>
      </c>
      <c r="Y300" s="169">
        <f>IF(Y$2&lt;=AnalysisPeriod,IF(SUM($C652:Y652)&gt;0,X300+1,0),0)</f>
        <v>0</v>
      </c>
      <c r="Z300" s="169">
        <f>IF(Z$2&lt;=AnalysisPeriod,IF(SUM($C652:Z652)&gt;0,Y300+1,0),0)</f>
        <v>0</v>
      </c>
      <c r="AA300" s="169">
        <f>IF(AA$2&lt;=AnalysisPeriod,IF(SUM($C652:AA652)&gt;0,Z300+1,0),0)</f>
        <v>0</v>
      </c>
      <c r="AB300" s="169">
        <f>IF(AB$2&lt;=AnalysisPeriod,IF(SUM($C652:AB652)&gt;0,AA300+1,0),0)</f>
        <v>0</v>
      </c>
      <c r="AC300" s="169">
        <f>IF(AC$2&lt;=AnalysisPeriod,IF(SUM($C652:AC652)&gt;0,AB300+1,0),0)</f>
        <v>0</v>
      </c>
      <c r="AD300" s="169">
        <f>IF(AD$2&lt;=AnalysisPeriod,IF(SUM($C652:AD652)&gt;0,AC300+1,0),0)</f>
        <v>0</v>
      </c>
      <c r="AE300" s="169">
        <f>IF(AE$2&lt;=AnalysisPeriod,IF(SUM($C652:AE652)&gt;0,AD300+1,0),0)</f>
        <v>0</v>
      </c>
      <c r="AF300" s="169">
        <f>IF(AF$2&lt;=AnalysisPeriod,IF(SUM($C652:AF652)&gt;0,AE300+1,0),0)</f>
        <v>0</v>
      </c>
      <c r="AG300" s="169">
        <f>IF(AG$2&lt;=AnalysisPeriod,IF(SUM($C652:AG652)&gt;0,AF300+1,0),0)</f>
        <v>0</v>
      </c>
      <c r="AH300" s="169">
        <f>IF(AH$2&lt;=AnalysisPeriod,IF(SUM($C652:AH652)&gt;0,AG300+1,0),0)</f>
        <v>0</v>
      </c>
      <c r="AI300" s="169">
        <f>IF(AI$2&lt;=AnalysisPeriod,IF(SUM($C652:AI652)&gt;0,AH300+1,0),0)</f>
        <v>0</v>
      </c>
      <c r="AJ300" s="169">
        <f>IF(AJ$2&lt;=AnalysisPeriod,IF(SUM($C652:AJ652)&gt;0,AI300+1,0),0)</f>
        <v>0</v>
      </c>
      <c r="AK300" s="169">
        <f>IF(AK$2&lt;=AnalysisPeriod,IF(SUM($C652:AK652)&gt;0,AJ300+1,0),0)</f>
        <v>0</v>
      </c>
      <c r="AL300" s="169">
        <f>IF(AL$2&lt;=AnalysisPeriod,IF(SUM($C652:AL652)&gt;0,AK300+1,0),0)</f>
        <v>0</v>
      </c>
      <c r="AM300" s="169">
        <f>IF(AM$2&lt;=AnalysisPeriod,IF(SUM($C652:AM652)&gt;0,AL300+1,0),0)</f>
        <v>0</v>
      </c>
      <c r="AN300" s="169">
        <f>IF(AN$2&lt;=AnalysisPeriod,IF(SUM($C652:AN652)&gt;0,AM300+1,0),0)</f>
        <v>0</v>
      </c>
      <c r="AO300" s="169">
        <f>IF(AO$2&lt;=AnalysisPeriod,IF(SUM($C652:AO652)&gt;0,AN300+1,0),0)</f>
        <v>0</v>
      </c>
      <c r="AP300" s="169">
        <f>IF(AP$2&lt;=AnalysisPeriod,IF(SUM($C652:AP652)&gt;0,AO300+1,0),0)</f>
        <v>0</v>
      </c>
    </row>
    <row r="301" spans="1:42" x14ac:dyDescent="0.2">
      <c r="A301" s="187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</row>
    <row r="302" spans="1:42" x14ac:dyDescent="0.2">
      <c r="A302" s="187" t="s">
        <v>196</v>
      </c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</row>
    <row r="303" spans="1:42" x14ac:dyDescent="0.2">
      <c r="A303" s="101">
        <v>1</v>
      </c>
      <c r="B303" s="179">
        <f t="shared" ref="B303:B312" si="157">SUM(C303:AP303)</f>
        <v>0</v>
      </c>
      <c r="C303" s="208">
        <f t="shared" ref="C303:AP303" si="158">LOOKUP(C291,$B$261:$AP$261,$B$262:$AP$262)*$B643</f>
        <v>0</v>
      </c>
      <c r="D303" s="169">
        <f t="shared" si="158"/>
        <v>0</v>
      </c>
      <c r="E303" s="169">
        <f t="shared" si="158"/>
        <v>0</v>
      </c>
      <c r="F303" s="169">
        <f t="shared" si="158"/>
        <v>0</v>
      </c>
      <c r="G303" s="169">
        <f t="shared" si="158"/>
        <v>0</v>
      </c>
      <c r="H303" s="169">
        <f t="shared" si="158"/>
        <v>0</v>
      </c>
      <c r="I303" s="169">
        <f t="shared" si="158"/>
        <v>0</v>
      </c>
      <c r="J303" s="169">
        <f t="shared" si="158"/>
        <v>0</v>
      </c>
      <c r="K303" s="169">
        <f t="shared" si="158"/>
        <v>0</v>
      </c>
      <c r="L303" s="169">
        <f t="shared" si="158"/>
        <v>0</v>
      </c>
      <c r="M303" s="169">
        <f t="shared" si="158"/>
        <v>0</v>
      </c>
      <c r="N303" s="169">
        <f t="shared" si="158"/>
        <v>0</v>
      </c>
      <c r="O303" s="169">
        <f t="shared" si="158"/>
        <v>0</v>
      </c>
      <c r="P303" s="169">
        <f t="shared" si="158"/>
        <v>0</v>
      </c>
      <c r="Q303" s="169">
        <f t="shared" si="158"/>
        <v>0</v>
      </c>
      <c r="R303" s="169">
        <f t="shared" si="158"/>
        <v>0</v>
      </c>
      <c r="S303" s="169">
        <f t="shared" si="158"/>
        <v>0</v>
      </c>
      <c r="T303" s="169">
        <f t="shared" si="158"/>
        <v>0</v>
      </c>
      <c r="U303" s="169">
        <f t="shared" si="158"/>
        <v>0</v>
      </c>
      <c r="V303" s="169">
        <f t="shared" si="158"/>
        <v>0</v>
      </c>
      <c r="W303" s="169">
        <f t="shared" si="158"/>
        <v>0</v>
      </c>
      <c r="X303" s="169">
        <f t="shared" si="158"/>
        <v>0</v>
      </c>
      <c r="Y303" s="169">
        <f t="shared" si="158"/>
        <v>0</v>
      </c>
      <c r="Z303" s="169">
        <f t="shared" si="158"/>
        <v>0</v>
      </c>
      <c r="AA303" s="169">
        <f t="shared" si="158"/>
        <v>0</v>
      </c>
      <c r="AB303" s="169">
        <f t="shared" si="158"/>
        <v>0</v>
      </c>
      <c r="AC303" s="169">
        <f t="shared" si="158"/>
        <v>0</v>
      </c>
      <c r="AD303" s="169">
        <f t="shared" si="158"/>
        <v>0</v>
      </c>
      <c r="AE303" s="169">
        <f t="shared" si="158"/>
        <v>0</v>
      </c>
      <c r="AF303" s="169">
        <f t="shared" si="158"/>
        <v>0</v>
      </c>
      <c r="AG303" s="169">
        <f t="shared" si="158"/>
        <v>0</v>
      </c>
      <c r="AH303" s="169">
        <f t="shared" si="158"/>
        <v>0</v>
      </c>
      <c r="AI303" s="169">
        <f t="shared" si="158"/>
        <v>0</v>
      </c>
      <c r="AJ303" s="169">
        <f t="shared" si="158"/>
        <v>0</v>
      </c>
      <c r="AK303" s="169">
        <f t="shared" si="158"/>
        <v>0</v>
      </c>
      <c r="AL303" s="169">
        <f t="shared" si="158"/>
        <v>0</v>
      </c>
      <c r="AM303" s="169">
        <f t="shared" si="158"/>
        <v>0</v>
      </c>
      <c r="AN303" s="169">
        <f t="shared" si="158"/>
        <v>0</v>
      </c>
      <c r="AO303" s="169">
        <f t="shared" si="158"/>
        <v>0</v>
      </c>
      <c r="AP303" s="169">
        <f t="shared" si="158"/>
        <v>0</v>
      </c>
    </row>
    <row r="304" spans="1:42" x14ac:dyDescent="0.2">
      <c r="A304" s="101">
        <f>A303+1</f>
        <v>2</v>
      </c>
      <c r="B304" s="179">
        <f t="shared" si="157"/>
        <v>0</v>
      </c>
      <c r="C304" s="208">
        <f t="shared" ref="C304:AP304" si="159">LOOKUP(C292,$B$261:$AP$261,$B$262:$AP$262)*$B644</f>
        <v>0</v>
      </c>
      <c r="D304" s="169">
        <f t="shared" si="159"/>
        <v>0</v>
      </c>
      <c r="E304" s="169">
        <f t="shared" si="159"/>
        <v>0</v>
      </c>
      <c r="F304" s="169">
        <f t="shared" si="159"/>
        <v>0</v>
      </c>
      <c r="G304" s="169">
        <f t="shared" si="159"/>
        <v>0</v>
      </c>
      <c r="H304" s="169">
        <f t="shared" si="159"/>
        <v>0</v>
      </c>
      <c r="I304" s="169">
        <f t="shared" si="159"/>
        <v>0</v>
      </c>
      <c r="J304" s="169">
        <f t="shared" si="159"/>
        <v>0</v>
      </c>
      <c r="K304" s="169">
        <f t="shared" si="159"/>
        <v>0</v>
      </c>
      <c r="L304" s="169">
        <f t="shared" si="159"/>
        <v>0</v>
      </c>
      <c r="M304" s="169">
        <f t="shared" si="159"/>
        <v>0</v>
      </c>
      <c r="N304" s="169">
        <f t="shared" si="159"/>
        <v>0</v>
      </c>
      <c r="O304" s="169">
        <f t="shared" si="159"/>
        <v>0</v>
      </c>
      <c r="P304" s="169">
        <f t="shared" si="159"/>
        <v>0</v>
      </c>
      <c r="Q304" s="169">
        <f t="shared" si="159"/>
        <v>0</v>
      </c>
      <c r="R304" s="169">
        <f t="shared" si="159"/>
        <v>0</v>
      </c>
      <c r="S304" s="169">
        <f t="shared" si="159"/>
        <v>0</v>
      </c>
      <c r="T304" s="169">
        <f t="shared" si="159"/>
        <v>0</v>
      </c>
      <c r="U304" s="169">
        <f t="shared" si="159"/>
        <v>0</v>
      </c>
      <c r="V304" s="169">
        <f t="shared" si="159"/>
        <v>0</v>
      </c>
      <c r="W304" s="169">
        <f t="shared" si="159"/>
        <v>0</v>
      </c>
      <c r="X304" s="169">
        <f t="shared" si="159"/>
        <v>0</v>
      </c>
      <c r="Y304" s="169">
        <f t="shared" si="159"/>
        <v>0</v>
      </c>
      <c r="Z304" s="169">
        <f t="shared" si="159"/>
        <v>0</v>
      </c>
      <c r="AA304" s="169">
        <f t="shared" si="159"/>
        <v>0</v>
      </c>
      <c r="AB304" s="169">
        <f t="shared" si="159"/>
        <v>0</v>
      </c>
      <c r="AC304" s="169">
        <f t="shared" si="159"/>
        <v>0</v>
      </c>
      <c r="AD304" s="169">
        <f t="shared" si="159"/>
        <v>0</v>
      </c>
      <c r="AE304" s="169">
        <f t="shared" si="159"/>
        <v>0</v>
      </c>
      <c r="AF304" s="169">
        <f t="shared" si="159"/>
        <v>0</v>
      </c>
      <c r="AG304" s="169">
        <f t="shared" si="159"/>
        <v>0</v>
      </c>
      <c r="AH304" s="169">
        <f t="shared" si="159"/>
        <v>0</v>
      </c>
      <c r="AI304" s="169">
        <f t="shared" si="159"/>
        <v>0</v>
      </c>
      <c r="AJ304" s="169">
        <f t="shared" si="159"/>
        <v>0</v>
      </c>
      <c r="AK304" s="169">
        <f t="shared" si="159"/>
        <v>0</v>
      </c>
      <c r="AL304" s="169">
        <f t="shared" si="159"/>
        <v>0</v>
      </c>
      <c r="AM304" s="169">
        <f t="shared" si="159"/>
        <v>0</v>
      </c>
      <c r="AN304" s="169">
        <f t="shared" si="159"/>
        <v>0</v>
      </c>
      <c r="AO304" s="169">
        <f t="shared" si="159"/>
        <v>0</v>
      </c>
      <c r="AP304" s="169">
        <f t="shared" si="159"/>
        <v>0</v>
      </c>
    </row>
    <row r="305" spans="1:42" x14ac:dyDescent="0.2">
      <c r="A305" s="101">
        <f t="shared" ref="A305:A312" si="160">A304+1</f>
        <v>3</v>
      </c>
      <c r="B305" s="179">
        <f t="shared" si="157"/>
        <v>0</v>
      </c>
      <c r="C305" s="208">
        <f t="shared" ref="C305:AP305" si="161">LOOKUP(C293,$B$261:$AP$261,$B$262:$AP$262)*$B645</f>
        <v>0</v>
      </c>
      <c r="D305" s="169">
        <f t="shared" si="161"/>
        <v>0</v>
      </c>
      <c r="E305" s="169">
        <f t="shared" si="161"/>
        <v>0</v>
      </c>
      <c r="F305" s="169">
        <f t="shared" si="161"/>
        <v>0</v>
      </c>
      <c r="G305" s="169">
        <f t="shared" si="161"/>
        <v>0</v>
      </c>
      <c r="H305" s="169">
        <f t="shared" si="161"/>
        <v>0</v>
      </c>
      <c r="I305" s="169">
        <f t="shared" si="161"/>
        <v>0</v>
      </c>
      <c r="J305" s="169">
        <f t="shared" si="161"/>
        <v>0</v>
      </c>
      <c r="K305" s="169">
        <f t="shared" si="161"/>
        <v>0</v>
      </c>
      <c r="L305" s="169">
        <f t="shared" si="161"/>
        <v>0</v>
      </c>
      <c r="M305" s="169">
        <f t="shared" si="161"/>
        <v>0</v>
      </c>
      <c r="N305" s="169">
        <f t="shared" si="161"/>
        <v>0</v>
      </c>
      <c r="O305" s="169">
        <f t="shared" si="161"/>
        <v>0</v>
      </c>
      <c r="P305" s="169">
        <f t="shared" si="161"/>
        <v>0</v>
      </c>
      <c r="Q305" s="169">
        <f t="shared" si="161"/>
        <v>0</v>
      </c>
      <c r="R305" s="169">
        <f t="shared" si="161"/>
        <v>0</v>
      </c>
      <c r="S305" s="169">
        <f t="shared" si="161"/>
        <v>0</v>
      </c>
      <c r="T305" s="169">
        <f t="shared" si="161"/>
        <v>0</v>
      </c>
      <c r="U305" s="169">
        <f t="shared" si="161"/>
        <v>0</v>
      </c>
      <c r="V305" s="169">
        <f t="shared" si="161"/>
        <v>0</v>
      </c>
      <c r="W305" s="169">
        <f t="shared" si="161"/>
        <v>0</v>
      </c>
      <c r="X305" s="169">
        <f t="shared" si="161"/>
        <v>0</v>
      </c>
      <c r="Y305" s="169">
        <f t="shared" si="161"/>
        <v>0</v>
      </c>
      <c r="Z305" s="169">
        <f t="shared" si="161"/>
        <v>0</v>
      </c>
      <c r="AA305" s="169">
        <f t="shared" si="161"/>
        <v>0</v>
      </c>
      <c r="AB305" s="169">
        <f t="shared" si="161"/>
        <v>0</v>
      </c>
      <c r="AC305" s="169">
        <f t="shared" si="161"/>
        <v>0</v>
      </c>
      <c r="AD305" s="169">
        <f t="shared" si="161"/>
        <v>0</v>
      </c>
      <c r="AE305" s="169">
        <f t="shared" si="161"/>
        <v>0</v>
      </c>
      <c r="AF305" s="169">
        <f t="shared" si="161"/>
        <v>0</v>
      </c>
      <c r="AG305" s="169">
        <f t="shared" si="161"/>
        <v>0</v>
      </c>
      <c r="AH305" s="169">
        <f t="shared" si="161"/>
        <v>0</v>
      </c>
      <c r="AI305" s="169">
        <f t="shared" si="161"/>
        <v>0</v>
      </c>
      <c r="AJ305" s="169">
        <f t="shared" si="161"/>
        <v>0</v>
      </c>
      <c r="AK305" s="169">
        <f t="shared" si="161"/>
        <v>0</v>
      </c>
      <c r="AL305" s="169">
        <f t="shared" si="161"/>
        <v>0</v>
      </c>
      <c r="AM305" s="169">
        <f t="shared" si="161"/>
        <v>0</v>
      </c>
      <c r="AN305" s="169">
        <f t="shared" si="161"/>
        <v>0</v>
      </c>
      <c r="AO305" s="169">
        <f t="shared" si="161"/>
        <v>0</v>
      </c>
      <c r="AP305" s="169">
        <f t="shared" si="161"/>
        <v>0</v>
      </c>
    </row>
    <row r="306" spans="1:42" x14ac:dyDescent="0.2">
      <c r="A306" s="101">
        <f t="shared" si="160"/>
        <v>4</v>
      </c>
      <c r="B306" s="179">
        <f t="shared" si="157"/>
        <v>0</v>
      </c>
      <c r="C306" s="208">
        <f t="shared" ref="C306:AP306" si="162">LOOKUP(C294,$B$261:$AP$261,$B$262:$AP$262)*$B646</f>
        <v>0</v>
      </c>
      <c r="D306" s="169">
        <f t="shared" si="162"/>
        <v>0</v>
      </c>
      <c r="E306" s="169">
        <f t="shared" si="162"/>
        <v>0</v>
      </c>
      <c r="F306" s="169">
        <f t="shared" si="162"/>
        <v>0</v>
      </c>
      <c r="G306" s="169">
        <f t="shared" si="162"/>
        <v>0</v>
      </c>
      <c r="H306" s="169">
        <f t="shared" si="162"/>
        <v>0</v>
      </c>
      <c r="I306" s="169">
        <f t="shared" si="162"/>
        <v>0</v>
      </c>
      <c r="J306" s="169">
        <f t="shared" si="162"/>
        <v>0</v>
      </c>
      <c r="K306" s="169">
        <f t="shared" si="162"/>
        <v>0</v>
      </c>
      <c r="L306" s="169">
        <f t="shared" si="162"/>
        <v>0</v>
      </c>
      <c r="M306" s="169">
        <f t="shared" si="162"/>
        <v>0</v>
      </c>
      <c r="N306" s="169">
        <f t="shared" si="162"/>
        <v>0</v>
      </c>
      <c r="O306" s="169">
        <f t="shared" si="162"/>
        <v>0</v>
      </c>
      <c r="P306" s="169">
        <f t="shared" si="162"/>
        <v>0</v>
      </c>
      <c r="Q306" s="169">
        <f t="shared" si="162"/>
        <v>0</v>
      </c>
      <c r="R306" s="169">
        <f t="shared" si="162"/>
        <v>0</v>
      </c>
      <c r="S306" s="169">
        <f t="shared" si="162"/>
        <v>0</v>
      </c>
      <c r="T306" s="169">
        <f t="shared" si="162"/>
        <v>0</v>
      </c>
      <c r="U306" s="169">
        <f t="shared" si="162"/>
        <v>0</v>
      </c>
      <c r="V306" s="169">
        <f t="shared" si="162"/>
        <v>0</v>
      </c>
      <c r="W306" s="169">
        <f t="shared" si="162"/>
        <v>0</v>
      </c>
      <c r="X306" s="169">
        <f t="shared" si="162"/>
        <v>0</v>
      </c>
      <c r="Y306" s="169">
        <f t="shared" si="162"/>
        <v>0</v>
      </c>
      <c r="Z306" s="169">
        <f t="shared" si="162"/>
        <v>0</v>
      </c>
      <c r="AA306" s="169">
        <f t="shared" si="162"/>
        <v>0</v>
      </c>
      <c r="AB306" s="169">
        <f t="shared" si="162"/>
        <v>0</v>
      </c>
      <c r="AC306" s="169">
        <f t="shared" si="162"/>
        <v>0</v>
      </c>
      <c r="AD306" s="169">
        <f t="shared" si="162"/>
        <v>0</v>
      </c>
      <c r="AE306" s="169">
        <f t="shared" si="162"/>
        <v>0</v>
      </c>
      <c r="AF306" s="169">
        <f t="shared" si="162"/>
        <v>0</v>
      </c>
      <c r="AG306" s="169">
        <f t="shared" si="162"/>
        <v>0</v>
      </c>
      <c r="AH306" s="169">
        <f t="shared" si="162"/>
        <v>0</v>
      </c>
      <c r="AI306" s="169">
        <f t="shared" si="162"/>
        <v>0</v>
      </c>
      <c r="AJ306" s="169">
        <f t="shared" si="162"/>
        <v>0</v>
      </c>
      <c r="AK306" s="169">
        <f t="shared" si="162"/>
        <v>0</v>
      </c>
      <c r="AL306" s="169">
        <f t="shared" si="162"/>
        <v>0</v>
      </c>
      <c r="AM306" s="169">
        <f t="shared" si="162"/>
        <v>0</v>
      </c>
      <c r="AN306" s="169">
        <f t="shared" si="162"/>
        <v>0</v>
      </c>
      <c r="AO306" s="169">
        <f t="shared" si="162"/>
        <v>0</v>
      </c>
      <c r="AP306" s="169">
        <f t="shared" si="162"/>
        <v>0</v>
      </c>
    </row>
    <row r="307" spans="1:42" x14ac:dyDescent="0.2">
      <c r="A307" s="101">
        <f t="shared" si="160"/>
        <v>5</v>
      </c>
      <c r="B307" s="179">
        <f t="shared" si="157"/>
        <v>0</v>
      </c>
      <c r="C307" s="208">
        <f t="shared" ref="C307:AP307" si="163">LOOKUP(C295,$B$261:$AP$261,$B$262:$AP$262)*$B647</f>
        <v>0</v>
      </c>
      <c r="D307" s="169">
        <f t="shared" si="163"/>
        <v>0</v>
      </c>
      <c r="E307" s="169">
        <f t="shared" si="163"/>
        <v>0</v>
      </c>
      <c r="F307" s="169">
        <f t="shared" si="163"/>
        <v>0</v>
      </c>
      <c r="G307" s="169">
        <f t="shared" si="163"/>
        <v>0</v>
      </c>
      <c r="H307" s="169">
        <f t="shared" si="163"/>
        <v>0</v>
      </c>
      <c r="I307" s="169">
        <f t="shared" si="163"/>
        <v>0</v>
      </c>
      <c r="J307" s="169">
        <f t="shared" si="163"/>
        <v>0</v>
      </c>
      <c r="K307" s="169">
        <f t="shared" si="163"/>
        <v>0</v>
      </c>
      <c r="L307" s="169">
        <f t="shared" si="163"/>
        <v>0</v>
      </c>
      <c r="M307" s="169">
        <f t="shared" si="163"/>
        <v>0</v>
      </c>
      <c r="N307" s="169">
        <f t="shared" si="163"/>
        <v>0</v>
      </c>
      <c r="O307" s="169">
        <f t="shared" si="163"/>
        <v>0</v>
      </c>
      <c r="P307" s="169">
        <f t="shared" si="163"/>
        <v>0</v>
      </c>
      <c r="Q307" s="169">
        <f t="shared" si="163"/>
        <v>0</v>
      </c>
      <c r="R307" s="169">
        <f t="shared" si="163"/>
        <v>0</v>
      </c>
      <c r="S307" s="169">
        <f t="shared" si="163"/>
        <v>0</v>
      </c>
      <c r="T307" s="169">
        <f t="shared" si="163"/>
        <v>0</v>
      </c>
      <c r="U307" s="169">
        <f t="shared" si="163"/>
        <v>0</v>
      </c>
      <c r="V307" s="169">
        <f t="shared" si="163"/>
        <v>0</v>
      </c>
      <c r="W307" s="169">
        <f t="shared" si="163"/>
        <v>0</v>
      </c>
      <c r="X307" s="169">
        <f t="shared" si="163"/>
        <v>0</v>
      </c>
      <c r="Y307" s="169">
        <f t="shared" si="163"/>
        <v>0</v>
      </c>
      <c r="Z307" s="169">
        <f t="shared" si="163"/>
        <v>0</v>
      </c>
      <c r="AA307" s="169">
        <f t="shared" si="163"/>
        <v>0</v>
      </c>
      <c r="AB307" s="169">
        <f t="shared" si="163"/>
        <v>0</v>
      </c>
      <c r="AC307" s="169">
        <f t="shared" si="163"/>
        <v>0</v>
      </c>
      <c r="AD307" s="169">
        <f t="shared" si="163"/>
        <v>0</v>
      </c>
      <c r="AE307" s="169">
        <f t="shared" si="163"/>
        <v>0</v>
      </c>
      <c r="AF307" s="169">
        <f t="shared" si="163"/>
        <v>0</v>
      </c>
      <c r="AG307" s="169">
        <f t="shared" si="163"/>
        <v>0</v>
      </c>
      <c r="AH307" s="169">
        <f t="shared" si="163"/>
        <v>0</v>
      </c>
      <c r="AI307" s="169">
        <f t="shared" si="163"/>
        <v>0</v>
      </c>
      <c r="AJ307" s="169">
        <f t="shared" si="163"/>
        <v>0</v>
      </c>
      <c r="AK307" s="169">
        <f t="shared" si="163"/>
        <v>0</v>
      </c>
      <c r="AL307" s="169">
        <f t="shared" si="163"/>
        <v>0</v>
      </c>
      <c r="AM307" s="169">
        <f t="shared" si="163"/>
        <v>0</v>
      </c>
      <c r="AN307" s="169">
        <f t="shared" si="163"/>
        <v>0</v>
      </c>
      <c r="AO307" s="169">
        <f t="shared" si="163"/>
        <v>0</v>
      </c>
      <c r="AP307" s="169">
        <f t="shared" si="163"/>
        <v>0</v>
      </c>
    </row>
    <row r="308" spans="1:42" x14ac:dyDescent="0.2">
      <c r="A308" s="101">
        <f t="shared" si="160"/>
        <v>6</v>
      </c>
      <c r="B308" s="179">
        <f t="shared" si="157"/>
        <v>0</v>
      </c>
      <c r="C308" s="208">
        <f t="shared" ref="C308:AP308" si="164">LOOKUP(C296,$B$261:$AP$261,$B$262:$AP$262)*$B648</f>
        <v>0</v>
      </c>
      <c r="D308" s="169">
        <f t="shared" si="164"/>
        <v>0</v>
      </c>
      <c r="E308" s="169">
        <f t="shared" si="164"/>
        <v>0</v>
      </c>
      <c r="F308" s="169">
        <f t="shared" si="164"/>
        <v>0</v>
      </c>
      <c r="G308" s="169">
        <f t="shared" si="164"/>
        <v>0</v>
      </c>
      <c r="H308" s="169">
        <f t="shared" si="164"/>
        <v>0</v>
      </c>
      <c r="I308" s="169">
        <f t="shared" si="164"/>
        <v>0</v>
      </c>
      <c r="J308" s="169">
        <f t="shared" si="164"/>
        <v>0</v>
      </c>
      <c r="K308" s="169">
        <f t="shared" si="164"/>
        <v>0</v>
      </c>
      <c r="L308" s="169">
        <f t="shared" si="164"/>
        <v>0</v>
      </c>
      <c r="M308" s="169">
        <f t="shared" si="164"/>
        <v>0</v>
      </c>
      <c r="N308" s="169">
        <f t="shared" si="164"/>
        <v>0</v>
      </c>
      <c r="O308" s="169">
        <f t="shared" si="164"/>
        <v>0</v>
      </c>
      <c r="P308" s="169">
        <f t="shared" si="164"/>
        <v>0</v>
      </c>
      <c r="Q308" s="169">
        <f t="shared" si="164"/>
        <v>0</v>
      </c>
      <c r="R308" s="169">
        <f t="shared" si="164"/>
        <v>0</v>
      </c>
      <c r="S308" s="169">
        <f t="shared" si="164"/>
        <v>0</v>
      </c>
      <c r="T308" s="169">
        <f t="shared" si="164"/>
        <v>0</v>
      </c>
      <c r="U308" s="169">
        <f t="shared" si="164"/>
        <v>0</v>
      </c>
      <c r="V308" s="169">
        <f t="shared" si="164"/>
        <v>0</v>
      </c>
      <c r="W308" s="169">
        <f t="shared" si="164"/>
        <v>0</v>
      </c>
      <c r="X308" s="169">
        <f t="shared" si="164"/>
        <v>0</v>
      </c>
      <c r="Y308" s="169">
        <f t="shared" si="164"/>
        <v>0</v>
      </c>
      <c r="Z308" s="169">
        <f t="shared" si="164"/>
        <v>0</v>
      </c>
      <c r="AA308" s="169">
        <f t="shared" si="164"/>
        <v>0</v>
      </c>
      <c r="AB308" s="169">
        <f t="shared" si="164"/>
        <v>0</v>
      </c>
      <c r="AC308" s="169">
        <f t="shared" si="164"/>
        <v>0</v>
      </c>
      <c r="AD308" s="169">
        <f t="shared" si="164"/>
        <v>0</v>
      </c>
      <c r="AE308" s="169">
        <f t="shared" si="164"/>
        <v>0</v>
      </c>
      <c r="AF308" s="169">
        <f t="shared" si="164"/>
        <v>0</v>
      </c>
      <c r="AG308" s="169">
        <f t="shared" si="164"/>
        <v>0</v>
      </c>
      <c r="AH308" s="169">
        <f t="shared" si="164"/>
        <v>0</v>
      </c>
      <c r="AI308" s="169">
        <f t="shared" si="164"/>
        <v>0</v>
      </c>
      <c r="AJ308" s="169">
        <f t="shared" si="164"/>
        <v>0</v>
      </c>
      <c r="AK308" s="169">
        <f t="shared" si="164"/>
        <v>0</v>
      </c>
      <c r="AL308" s="169">
        <f t="shared" si="164"/>
        <v>0</v>
      </c>
      <c r="AM308" s="169">
        <f t="shared" si="164"/>
        <v>0</v>
      </c>
      <c r="AN308" s="169">
        <f t="shared" si="164"/>
        <v>0</v>
      </c>
      <c r="AO308" s="169">
        <f t="shared" si="164"/>
        <v>0</v>
      </c>
      <c r="AP308" s="169">
        <f t="shared" si="164"/>
        <v>0</v>
      </c>
    </row>
    <row r="309" spans="1:42" x14ac:dyDescent="0.2">
      <c r="A309" s="101">
        <f t="shared" si="160"/>
        <v>7</v>
      </c>
      <c r="B309" s="179">
        <f t="shared" si="157"/>
        <v>0</v>
      </c>
      <c r="C309" s="208">
        <f t="shared" ref="C309:AP309" si="165">LOOKUP(C297,$B$261:$AP$261,$B$262:$AP$262)*$B649</f>
        <v>0</v>
      </c>
      <c r="D309" s="169">
        <f t="shared" si="165"/>
        <v>0</v>
      </c>
      <c r="E309" s="169">
        <f t="shared" si="165"/>
        <v>0</v>
      </c>
      <c r="F309" s="169">
        <f t="shared" si="165"/>
        <v>0</v>
      </c>
      <c r="G309" s="169">
        <f t="shared" si="165"/>
        <v>0</v>
      </c>
      <c r="H309" s="169">
        <f t="shared" si="165"/>
        <v>0</v>
      </c>
      <c r="I309" s="169">
        <f t="shared" si="165"/>
        <v>0</v>
      </c>
      <c r="J309" s="169">
        <f t="shared" si="165"/>
        <v>0</v>
      </c>
      <c r="K309" s="169">
        <f t="shared" si="165"/>
        <v>0</v>
      </c>
      <c r="L309" s="169">
        <f t="shared" si="165"/>
        <v>0</v>
      </c>
      <c r="M309" s="169">
        <f t="shared" si="165"/>
        <v>0</v>
      </c>
      <c r="N309" s="169">
        <f t="shared" si="165"/>
        <v>0</v>
      </c>
      <c r="O309" s="169">
        <f t="shared" si="165"/>
        <v>0</v>
      </c>
      <c r="P309" s="169">
        <f t="shared" si="165"/>
        <v>0</v>
      </c>
      <c r="Q309" s="169">
        <f t="shared" si="165"/>
        <v>0</v>
      </c>
      <c r="R309" s="169">
        <f t="shared" si="165"/>
        <v>0</v>
      </c>
      <c r="S309" s="169">
        <f t="shared" si="165"/>
        <v>0</v>
      </c>
      <c r="T309" s="169">
        <f t="shared" si="165"/>
        <v>0</v>
      </c>
      <c r="U309" s="169">
        <f t="shared" si="165"/>
        <v>0</v>
      </c>
      <c r="V309" s="169">
        <f t="shared" si="165"/>
        <v>0</v>
      </c>
      <c r="W309" s="169">
        <f t="shared" si="165"/>
        <v>0</v>
      </c>
      <c r="X309" s="169">
        <f t="shared" si="165"/>
        <v>0</v>
      </c>
      <c r="Y309" s="169">
        <f t="shared" si="165"/>
        <v>0</v>
      </c>
      <c r="Z309" s="169">
        <f t="shared" si="165"/>
        <v>0</v>
      </c>
      <c r="AA309" s="169">
        <f t="shared" si="165"/>
        <v>0</v>
      </c>
      <c r="AB309" s="169">
        <f t="shared" si="165"/>
        <v>0</v>
      </c>
      <c r="AC309" s="169">
        <f t="shared" si="165"/>
        <v>0</v>
      </c>
      <c r="AD309" s="169">
        <f t="shared" si="165"/>
        <v>0</v>
      </c>
      <c r="AE309" s="169">
        <f t="shared" si="165"/>
        <v>0</v>
      </c>
      <c r="AF309" s="169">
        <f t="shared" si="165"/>
        <v>0</v>
      </c>
      <c r="AG309" s="169">
        <f t="shared" si="165"/>
        <v>0</v>
      </c>
      <c r="AH309" s="169">
        <f t="shared" si="165"/>
        <v>0</v>
      </c>
      <c r="AI309" s="169">
        <f t="shared" si="165"/>
        <v>0</v>
      </c>
      <c r="AJ309" s="169">
        <f t="shared" si="165"/>
        <v>0</v>
      </c>
      <c r="AK309" s="169">
        <f t="shared" si="165"/>
        <v>0</v>
      </c>
      <c r="AL309" s="169">
        <f t="shared" si="165"/>
        <v>0</v>
      </c>
      <c r="AM309" s="169">
        <f t="shared" si="165"/>
        <v>0</v>
      </c>
      <c r="AN309" s="169">
        <f t="shared" si="165"/>
        <v>0</v>
      </c>
      <c r="AO309" s="169">
        <f t="shared" si="165"/>
        <v>0</v>
      </c>
      <c r="AP309" s="169">
        <f t="shared" si="165"/>
        <v>0</v>
      </c>
    </row>
    <row r="310" spans="1:42" x14ac:dyDescent="0.2">
      <c r="A310" s="101">
        <f t="shared" si="160"/>
        <v>8</v>
      </c>
      <c r="B310" s="179">
        <f t="shared" si="157"/>
        <v>0</v>
      </c>
      <c r="C310" s="208">
        <f t="shared" ref="C310:AP310" si="166">LOOKUP(C298,$B$261:$AP$261,$B$262:$AP$262)*$B650</f>
        <v>0</v>
      </c>
      <c r="D310" s="169">
        <f t="shared" si="166"/>
        <v>0</v>
      </c>
      <c r="E310" s="169">
        <f t="shared" si="166"/>
        <v>0</v>
      </c>
      <c r="F310" s="169">
        <f t="shared" si="166"/>
        <v>0</v>
      </c>
      <c r="G310" s="169">
        <f t="shared" si="166"/>
        <v>0</v>
      </c>
      <c r="H310" s="169">
        <f t="shared" si="166"/>
        <v>0</v>
      </c>
      <c r="I310" s="169">
        <f t="shared" si="166"/>
        <v>0</v>
      </c>
      <c r="J310" s="169">
        <f t="shared" si="166"/>
        <v>0</v>
      </c>
      <c r="K310" s="169">
        <f t="shared" si="166"/>
        <v>0</v>
      </c>
      <c r="L310" s="169">
        <f t="shared" si="166"/>
        <v>0</v>
      </c>
      <c r="M310" s="169">
        <f t="shared" si="166"/>
        <v>0</v>
      </c>
      <c r="N310" s="169">
        <f t="shared" si="166"/>
        <v>0</v>
      </c>
      <c r="O310" s="169">
        <f t="shared" si="166"/>
        <v>0</v>
      </c>
      <c r="P310" s="169">
        <f t="shared" si="166"/>
        <v>0</v>
      </c>
      <c r="Q310" s="169">
        <f t="shared" si="166"/>
        <v>0</v>
      </c>
      <c r="R310" s="169">
        <f t="shared" si="166"/>
        <v>0</v>
      </c>
      <c r="S310" s="169">
        <f t="shared" si="166"/>
        <v>0</v>
      </c>
      <c r="T310" s="169">
        <f t="shared" si="166"/>
        <v>0</v>
      </c>
      <c r="U310" s="169">
        <f t="shared" si="166"/>
        <v>0</v>
      </c>
      <c r="V310" s="169">
        <f t="shared" si="166"/>
        <v>0</v>
      </c>
      <c r="W310" s="169">
        <f t="shared" si="166"/>
        <v>0</v>
      </c>
      <c r="X310" s="169">
        <f t="shared" si="166"/>
        <v>0</v>
      </c>
      <c r="Y310" s="169">
        <f t="shared" si="166"/>
        <v>0</v>
      </c>
      <c r="Z310" s="169">
        <f t="shared" si="166"/>
        <v>0</v>
      </c>
      <c r="AA310" s="169">
        <f t="shared" si="166"/>
        <v>0</v>
      </c>
      <c r="AB310" s="169">
        <f t="shared" si="166"/>
        <v>0</v>
      </c>
      <c r="AC310" s="169">
        <f t="shared" si="166"/>
        <v>0</v>
      </c>
      <c r="AD310" s="169">
        <f t="shared" si="166"/>
        <v>0</v>
      </c>
      <c r="AE310" s="169">
        <f t="shared" si="166"/>
        <v>0</v>
      </c>
      <c r="AF310" s="169">
        <f t="shared" si="166"/>
        <v>0</v>
      </c>
      <c r="AG310" s="169">
        <f t="shared" si="166"/>
        <v>0</v>
      </c>
      <c r="AH310" s="169">
        <f t="shared" si="166"/>
        <v>0</v>
      </c>
      <c r="AI310" s="169">
        <f t="shared" si="166"/>
        <v>0</v>
      </c>
      <c r="AJ310" s="169">
        <f t="shared" si="166"/>
        <v>0</v>
      </c>
      <c r="AK310" s="169">
        <f t="shared" si="166"/>
        <v>0</v>
      </c>
      <c r="AL310" s="169">
        <f t="shared" si="166"/>
        <v>0</v>
      </c>
      <c r="AM310" s="169">
        <f t="shared" si="166"/>
        <v>0</v>
      </c>
      <c r="AN310" s="169">
        <f t="shared" si="166"/>
        <v>0</v>
      </c>
      <c r="AO310" s="169">
        <f t="shared" si="166"/>
        <v>0</v>
      </c>
      <c r="AP310" s="169">
        <f t="shared" si="166"/>
        <v>0</v>
      </c>
    </row>
    <row r="311" spans="1:42" x14ac:dyDescent="0.2">
      <c r="A311" s="101">
        <f>A310+1</f>
        <v>9</v>
      </c>
      <c r="B311" s="179">
        <f t="shared" si="157"/>
        <v>0</v>
      </c>
      <c r="C311" s="208">
        <f t="shared" ref="C311:AP311" si="167">LOOKUP(C299,$B$261:$AP$261,$B$262:$AP$262)*$B651</f>
        <v>0</v>
      </c>
      <c r="D311" s="169">
        <f t="shared" si="167"/>
        <v>0</v>
      </c>
      <c r="E311" s="169">
        <f t="shared" si="167"/>
        <v>0</v>
      </c>
      <c r="F311" s="169">
        <f t="shared" si="167"/>
        <v>0</v>
      </c>
      <c r="G311" s="169">
        <f t="shared" si="167"/>
        <v>0</v>
      </c>
      <c r="H311" s="169">
        <f t="shared" si="167"/>
        <v>0</v>
      </c>
      <c r="I311" s="169">
        <f t="shared" si="167"/>
        <v>0</v>
      </c>
      <c r="J311" s="169">
        <f t="shared" si="167"/>
        <v>0</v>
      </c>
      <c r="K311" s="169">
        <f t="shared" si="167"/>
        <v>0</v>
      </c>
      <c r="L311" s="169">
        <f t="shared" si="167"/>
        <v>0</v>
      </c>
      <c r="M311" s="169">
        <f t="shared" si="167"/>
        <v>0</v>
      </c>
      <c r="N311" s="169">
        <f t="shared" si="167"/>
        <v>0</v>
      </c>
      <c r="O311" s="169">
        <f t="shared" si="167"/>
        <v>0</v>
      </c>
      <c r="P311" s="169">
        <f t="shared" si="167"/>
        <v>0</v>
      </c>
      <c r="Q311" s="169">
        <f t="shared" si="167"/>
        <v>0</v>
      </c>
      <c r="R311" s="169">
        <f t="shared" si="167"/>
        <v>0</v>
      </c>
      <c r="S311" s="169">
        <f t="shared" si="167"/>
        <v>0</v>
      </c>
      <c r="T311" s="169">
        <f t="shared" si="167"/>
        <v>0</v>
      </c>
      <c r="U311" s="169">
        <f t="shared" si="167"/>
        <v>0</v>
      </c>
      <c r="V311" s="169">
        <f t="shared" si="167"/>
        <v>0</v>
      </c>
      <c r="W311" s="169">
        <f t="shared" si="167"/>
        <v>0</v>
      </c>
      <c r="X311" s="169">
        <f t="shared" si="167"/>
        <v>0</v>
      </c>
      <c r="Y311" s="169">
        <f t="shared" si="167"/>
        <v>0</v>
      </c>
      <c r="Z311" s="169">
        <f t="shared" si="167"/>
        <v>0</v>
      </c>
      <c r="AA311" s="169">
        <f t="shared" si="167"/>
        <v>0</v>
      </c>
      <c r="AB311" s="169">
        <f t="shared" si="167"/>
        <v>0</v>
      </c>
      <c r="AC311" s="169">
        <f t="shared" si="167"/>
        <v>0</v>
      </c>
      <c r="AD311" s="169">
        <f t="shared" si="167"/>
        <v>0</v>
      </c>
      <c r="AE311" s="169">
        <f t="shared" si="167"/>
        <v>0</v>
      </c>
      <c r="AF311" s="169">
        <f t="shared" si="167"/>
        <v>0</v>
      </c>
      <c r="AG311" s="169">
        <f t="shared" si="167"/>
        <v>0</v>
      </c>
      <c r="AH311" s="169">
        <f t="shared" si="167"/>
        <v>0</v>
      </c>
      <c r="AI311" s="169">
        <f t="shared" si="167"/>
        <v>0</v>
      </c>
      <c r="AJ311" s="169">
        <f t="shared" si="167"/>
        <v>0</v>
      </c>
      <c r="AK311" s="169">
        <f t="shared" si="167"/>
        <v>0</v>
      </c>
      <c r="AL311" s="169">
        <f t="shared" si="167"/>
        <v>0</v>
      </c>
      <c r="AM311" s="169">
        <f t="shared" si="167"/>
        <v>0</v>
      </c>
      <c r="AN311" s="169">
        <f t="shared" si="167"/>
        <v>0</v>
      </c>
      <c r="AO311" s="169">
        <f t="shared" si="167"/>
        <v>0</v>
      </c>
      <c r="AP311" s="169">
        <f t="shared" si="167"/>
        <v>0</v>
      </c>
    </row>
    <row r="312" spans="1:42" x14ac:dyDescent="0.2">
      <c r="A312" s="101">
        <f t="shared" si="160"/>
        <v>10</v>
      </c>
      <c r="B312" s="179">
        <f t="shared" si="157"/>
        <v>0</v>
      </c>
      <c r="C312" s="204">
        <f t="shared" ref="C312:AP312" si="168">LOOKUP(C300,$B$261:$AP$261,$B$262:$AP$262)*$B652</f>
        <v>0</v>
      </c>
      <c r="D312" s="170">
        <f t="shared" si="168"/>
        <v>0</v>
      </c>
      <c r="E312" s="170">
        <f t="shared" si="168"/>
        <v>0</v>
      </c>
      <c r="F312" s="170">
        <f t="shared" si="168"/>
        <v>0</v>
      </c>
      <c r="G312" s="170">
        <f t="shared" si="168"/>
        <v>0</v>
      </c>
      <c r="H312" s="170">
        <f t="shared" si="168"/>
        <v>0</v>
      </c>
      <c r="I312" s="170">
        <f t="shared" si="168"/>
        <v>0</v>
      </c>
      <c r="J312" s="170">
        <f t="shared" si="168"/>
        <v>0</v>
      </c>
      <c r="K312" s="170">
        <f t="shared" si="168"/>
        <v>0</v>
      </c>
      <c r="L312" s="170">
        <f t="shared" si="168"/>
        <v>0</v>
      </c>
      <c r="M312" s="170">
        <f t="shared" si="168"/>
        <v>0</v>
      </c>
      <c r="N312" s="170">
        <f t="shared" si="168"/>
        <v>0</v>
      </c>
      <c r="O312" s="170">
        <f t="shared" si="168"/>
        <v>0</v>
      </c>
      <c r="P312" s="170">
        <f t="shared" si="168"/>
        <v>0</v>
      </c>
      <c r="Q312" s="170">
        <f t="shared" si="168"/>
        <v>0</v>
      </c>
      <c r="R312" s="170">
        <f t="shared" si="168"/>
        <v>0</v>
      </c>
      <c r="S312" s="170">
        <f t="shared" si="168"/>
        <v>0</v>
      </c>
      <c r="T312" s="170">
        <f t="shared" si="168"/>
        <v>0</v>
      </c>
      <c r="U312" s="170">
        <f t="shared" si="168"/>
        <v>0</v>
      </c>
      <c r="V312" s="170">
        <f t="shared" si="168"/>
        <v>0</v>
      </c>
      <c r="W312" s="170">
        <f t="shared" si="168"/>
        <v>0</v>
      </c>
      <c r="X312" s="170">
        <f t="shared" si="168"/>
        <v>0</v>
      </c>
      <c r="Y312" s="170">
        <f t="shared" si="168"/>
        <v>0</v>
      </c>
      <c r="Z312" s="170">
        <f t="shared" si="168"/>
        <v>0</v>
      </c>
      <c r="AA312" s="170">
        <f t="shared" si="168"/>
        <v>0</v>
      </c>
      <c r="AB312" s="170">
        <f t="shared" si="168"/>
        <v>0</v>
      </c>
      <c r="AC312" s="170">
        <f t="shared" si="168"/>
        <v>0</v>
      </c>
      <c r="AD312" s="170">
        <f t="shared" si="168"/>
        <v>0</v>
      </c>
      <c r="AE312" s="170">
        <f t="shared" si="168"/>
        <v>0</v>
      </c>
      <c r="AF312" s="170">
        <f t="shared" si="168"/>
        <v>0</v>
      </c>
      <c r="AG312" s="170">
        <f t="shared" si="168"/>
        <v>0</v>
      </c>
      <c r="AH312" s="170">
        <f t="shared" si="168"/>
        <v>0</v>
      </c>
      <c r="AI312" s="170">
        <f t="shared" si="168"/>
        <v>0</v>
      </c>
      <c r="AJ312" s="170">
        <f t="shared" si="168"/>
        <v>0</v>
      </c>
      <c r="AK312" s="170">
        <f t="shared" si="168"/>
        <v>0</v>
      </c>
      <c r="AL312" s="170">
        <f t="shared" si="168"/>
        <v>0</v>
      </c>
      <c r="AM312" s="170">
        <f t="shared" si="168"/>
        <v>0</v>
      </c>
      <c r="AN312" s="170">
        <f t="shared" si="168"/>
        <v>0</v>
      </c>
      <c r="AO312" s="170">
        <f t="shared" si="168"/>
        <v>0</v>
      </c>
      <c r="AP312" s="170">
        <f t="shared" si="168"/>
        <v>0</v>
      </c>
    </row>
    <row r="313" spans="1:42" s="101" customFormat="1" ht="12" customHeight="1" x14ac:dyDescent="0.2">
      <c r="A313" s="205" t="s">
        <v>53</v>
      </c>
      <c r="B313" s="124"/>
      <c r="C313" s="124">
        <f>SUM(C303:C312)</f>
        <v>0</v>
      </c>
      <c r="D313" s="124">
        <f t="shared" ref="D313:AP313" si="169">SUM(D303:D312)</f>
        <v>0</v>
      </c>
      <c r="E313" s="124">
        <f t="shared" si="169"/>
        <v>0</v>
      </c>
      <c r="F313" s="124">
        <f t="shared" si="169"/>
        <v>0</v>
      </c>
      <c r="G313" s="124">
        <f t="shared" si="169"/>
        <v>0</v>
      </c>
      <c r="H313" s="124">
        <f t="shared" si="169"/>
        <v>0</v>
      </c>
      <c r="I313" s="124">
        <f t="shared" si="169"/>
        <v>0</v>
      </c>
      <c r="J313" s="124">
        <f t="shared" si="169"/>
        <v>0</v>
      </c>
      <c r="K313" s="124">
        <f t="shared" si="169"/>
        <v>0</v>
      </c>
      <c r="L313" s="124">
        <f t="shared" si="169"/>
        <v>0</v>
      </c>
      <c r="M313" s="124">
        <f t="shared" si="169"/>
        <v>0</v>
      </c>
      <c r="N313" s="124">
        <f t="shared" si="169"/>
        <v>0</v>
      </c>
      <c r="O313" s="124">
        <f t="shared" si="169"/>
        <v>0</v>
      </c>
      <c r="P313" s="124">
        <f t="shared" si="169"/>
        <v>0</v>
      </c>
      <c r="Q313" s="124">
        <f t="shared" si="169"/>
        <v>0</v>
      </c>
      <c r="R313" s="124">
        <f t="shared" si="169"/>
        <v>0</v>
      </c>
      <c r="S313" s="124">
        <f t="shared" si="169"/>
        <v>0</v>
      </c>
      <c r="T313" s="124">
        <f t="shared" si="169"/>
        <v>0</v>
      </c>
      <c r="U313" s="124">
        <f t="shared" si="169"/>
        <v>0</v>
      </c>
      <c r="V313" s="124">
        <f t="shared" si="169"/>
        <v>0</v>
      </c>
      <c r="W313" s="124">
        <f t="shared" si="169"/>
        <v>0</v>
      </c>
      <c r="X313" s="124">
        <f t="shared" si="169"/>
        <v>0</v>
      </c>
      <c r="Y313" s="124">
        <f t="shared" si="169"/>
        <v>0</v>
      </c>
      <c r="Z313" s="124">
        <f t="shared" si="169"/>
        <v>0</v>
      </c>
      <c r="AA313" s="124">
        <f t="shared" si="169"/>
        <v>0</v>
      </c>
      <c r="AB313" s="124">
        <f t="shared" si="169"/>
        <v>0</v>
      </c>
      <c r="AC313" s="124">
        <f t="shared" si="169"/>
        <v>0</v>
      </c>
      <c r="AD313" s="124">
        <f t="shared" si="169"/>
        <v>0</v>
      </c>
      <c r="AE313" s="124">
        <f t="shared" si="169"/>
        <v>0</v>
      </c>
      <c r="AF313" s="124">
        <f t="shared" si="169"/>
        <v>0</v>
      </c>
      <c r="AG313" s="124">
        <f t="shared" si="169"/>
        <v>0</v>
      </c>
      <c r="AH313" s="124">
        <f t="shared" si="169"/>
        <v>0</v>
      </c>
      <c r="AI313" s="124">
        <f t="shared" si="169"/>
        <v>0</v>
      </c>
      <c r="AJ313" s="124">
        <f t="shared" si="169"/>
        <v>0</v>
      </c>
      <c r="AK313" s="124">
        <f t="shared" si="169"/>
        <v>0</v>
      </c>
      <c r="AL313" s="124">
        <f t="shared" si="169"/>
        <v>0</v>
      </c>
      <c r="AM313" s="124">
        <f t="shared" si="169"/>
        <v>0</v>
      </c>
      <c r="AN313" s="124">
        <f t="shared" si="169"/>
        <v>0</v>
      </c>
      <c r="AO313" s="124">
        <f t="shared" si="169"/>
        <v>0</v>
      </c>
      <c r="AP313" s="124">
        <f t="shared" si="169"/>
        <v>0</v>
      </c>
    </row>
    <row r="314" spans="1:42" x14ac:dyDescent="0.2">
      <c r="A314" s="187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</row>
    <row r="315" spans="1:42" x14ac:dyDescent="0.2">
      <c r="A315" s="180" t="s">
        <v>305</v>
      </c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</row>
    <row r="316" spans="1:42" x14ac:dyDescent="0.2">
      <c r="A316" s="187" t="s">
        <v>192</v>
      </c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</row>
    <row r="317" spans="1:42" x14ac:dyDescent="0.2">
      <c r="A317" s="101">
        <v>1</v>
      </c>
      <c r="C317" s="169">
        <f>IF(C$2&lt;=AnalysisPeriod,IF(SUM($C675:C675)&gt;0,B317+1,0),0)</f>
        <v>0</v>
      </c>
      <c r="D317" s="169">
        <f>IF(D$2&lt;=AnalysisPeriod,IF(SUM($C675:D675)&gt;0,C317+1,0),0)</f>
        <v>0</v>
      </c>
      <c r="E317" s="169">
        <f>IF(E$2&lt;=AnalysisPeriod,IF(SUM($C675:E675)&gt;0,D317+1,0),0)</f>
        <v>0</v>
      </c>
      <c r="F317" s="169">
        <f>IF(F$2&lt;=AnalysisPeriod,IF(SUM($C675:F675)&gt;0,E317+1,0),0)</f>
        <v>0</v>
      </c>
      <c r="G317" s="169">
        <f>IF(G$2&lt;=AnalysisPeriod,IF(SUM($C675:G675)&gt;0,F317+1,0),0)</f>
        <v>0</v>
      </c>
      <c r="H317" s="169">
        <f>IF(H$2&lt;=AnalysisPeriod,IF(SUM($C675:H675)&gt;0,G317+1,0),0)</f>
        <v>0</v>
      </c>
      <c r="I317" s="169">
        <f>IF(I$2&lt;=AnalysisPeriod,IF(SUM($C675:I675)&gt;0,H317+1,0),0)</f>
        <v>0</v>
      </c>
      <c r="J317" s="169">
        <f>IF(J$2&lt;=AnalysisPeriod,IF(SUM($C675:J675)&gt;0,I317+1,0),0)</f>
        <v>0</v>
      </c>
      <c r="K317" s="169">
        <f>IF(K$2&lt;=AnalysisPeriod,IF(SUM($C675:K675)&gt;0,J317+1,0),0)</f>
        <v>0</v>
      </c>
      <c r="L317" s="169">
        <f>IF(L$2&lt;=AnalysisPeriod,IF(SUM($C675:L675)&gt;0,K317+1,0),0)</f>
        <v>0</v>
      </c>
      <c r="M317" s="169">
        <f>IF(M$2&lt;=AnalysisPeriod,IF(SUM($C675:M675)&gt;0,L317+1,0),0)</f>
        <v>0</v>
      </c>
      <c r="N317" s="169">
        <f>IF(N$2&lt;=AnalysisPeriod,IF(SUM($C675:N675)&gt;0,M317+1,0),0)</f>
        <v>0</v>
      </c>
      <c r="O317" s="169">
        <f>IF(O$2&lt;=AnalysisPeriod,IF(SUM($C675:O675)&gt;0,N317+1,0),0)</f>
        <v>0</v>
      </c>
      <c r="P317" s="169">
        <f>IF(P$2&lt;=AnalysisPeriod,IF(SUM($C675:P675)&gt;0,O317+1,0),0)</f>
        <v>0</v>
      </c>
      <c r="Q317" s="169">
        <f>IF(Q$2&lt;=AnalysisPeriod,IF(SUM($C675:Q675)&gt;0,P317+1,0),0)</f>
        <v>0</v>
      </c>
      <c r="R317" s="169">
        <f>IF(R$2&lt;=AnalysisPeriod,IF(SUM($C675:R675)&gt;0,Q317+1,0),0)</f>
        <v>0</v>
      </c>
      <c r="S317" s="169">
        <f>IF(S$2&lt;=AnalysisPeriod,IF(SUM($C675:S675)&gt;0,R317+1,0),0)</f>
        <v>0</v>
      </c>
      <c r="T317" s="169">
        <f>IF(T$2&lt;=AnalysisPeriod,IF(SUM($C675:T675)&gt;0,S317+1,0),0)</f>
        <v>0</v>
      </c>
      <c r="U317" s="169">
        <f>IF(U$2&lt;=AnalysisPeriod,IF(SUM($C675:U675)&gt;0,T317+1,0),0)</f>
        <v>0</v>
      </c>
      <c r="V317" s="169">
        <f>IF(V$2&lt;=AnalysisPeriod,IF(SUM($C675:V675)&gt;0,U317+1,0),0)</f>
        <v>0</v>
      </c>
      <c r="W317" s="169">
        <f>IF(W$2&lt;=AnalysisPeriod,IF(SUM($C675:W675)&gt;0,V317+1,0),0)</f>
        <v>0</v>
      </c>
      <c r="X317" s="169">
        <f>IF(X$2&lt;=AnalysisPeriod,IF(SUM($C675:X675)&gt;0,W317+1,0),0)</f>
        <v>0</v>
      </c>
      <c r="Y317" s="169">
        <f>IF(Y$2&lt;=AnalysisPeriod,IF(SUM($C675:Y675)&gt;0,X317+1,0),0)</f>
        <v>0</v>
      </c>
      <c r="Z317" s="169">
        <f>IF(Z$2&lt;=AnalysisPeriod,IF(SUM($C675:Z675)&gt;0,Y317+1,0),0)</f>
        <v>0</v>
      </c>
      <c r="AA317" s="169">
        <f>IF(AA$2&lt;=AnalysisPeriod,IF(SUM($C675:AA675)&gt;0,Z317+1,0),0)</f>
        <v>0</v>
      </c>
      <c r="AB317" s="169">
        <f>IF(AB$2&lt;=AnalysisPeriod,IF(SUM($C675:AB675)&gt;0,AA317+1,0),0)</f>
        <v>0</v>
      </c>
      <c r="AC317" s="169">
        <f>IF(AC$2&lt;=AnalysisPeriod,IF(SUM($C675:AC675)&gt;0,AB317+1,0),0)</f>
        <v>0</v>
      </c>
      <c r="AD317" s="169">
        <f>IF(AD$2&lt;=AnalysisPeriod,IF(SUM($C675:AD675)&gt;0,AC317+1,0),0)</f>
        <v>0</v>
      </c>
      <c r="AE317" s="169">
        <f>IF(AE$2&lt;=AnalysisPeriod,IF(SUM($C675:AE675)&gt;0,AD317+1,0),0)</f>
        <v>0</v>
      </c>
      <c r="AF317" s="169">
        <f>IF(AF$2&lt;=AnalysisPeriod,IF(SUM($C675:AF675)&gt;0,AE317+1,0),0)</f>
        <v>0</v>
      </c>
      <c r="AG317" s="169">
        <f>IF(AG$2&lt;=AnalysisPeriod,IF(SUM($C675:AG675)&gt;0,AF317+1,0),0)</f>
        <v>0</v>
      </c>
      <c r="AH317" s="169">
        <f>IF(AH$2&lt;=AnalysisPeriod,IF(SUM($C675:AH675)&gt;0,AG317+1,0),0)</f>
        <v>0</v>
      </c>
      <c r="AI317" s="169">
        <f>IF(AI$2&lt;=AnalysisPeriod,IF(SUM($C675:AI675)&gt;0,AH317+1,0),0)</f>
        <v>0</v>
      </c>
      <c r="AJ317" s="169">
        <f>IF(AJ$2&lt;=AnalysisPeriod,IF(SUM($C675:AJ675)&gt;0,AI317+1,0),0)</f>
        <v>0</v>
      </c>
      <c r="AK317" s="169">
        <f>IF(AK$2&lt;=AnalysisPeriod,IF(SUM($C675:AK675)&gt;0,AJ317+1,0),0)</f>
        <v>0</v>
      </c>
      <c r="AL317" s="169">
        <f>IF(AL$2&lt;=AnalysisPeriod,IF(SUM($C675:AL675)&gt;0,AK317+1,0),0)</f>
        <v>0</v>
      </c>
      <c r="AM317" s="169">
        <f>IF(AM$2&lt;=AnalysisPeriod,IF(SUM($C675:AM675)&gt;0,AL317+1,0),0)</f>
        <v>0</v>
      </c>
      <c r="AN317" s="169">
        <f>IF(AN$2&lt;=AnalysisPeriod,IF(SUM($C675:AN675)&gt;0,AM317+1,0),0)</f>
        <v>0</v>
      </c>
      <c r="AO317" s="169">
        <f>IF(AO$2&lt;=AnalysisPeriod,IF(SUM($C675:AO675)&gt;0,AN317+1,0),0)</f>
        <v>0</v>
      </c>
      <c r="AP317" s="169">
        <f>IF(AP$2&lt;=AnalysisPeriod,IF(SUM($C675:AP675)&gt;0,AO317+1,0),0)</f>
        <v>0</v>
      </c>
    </row>
    <row r="318" spans="1:42" x14ac:dyDescent="0.2">
      <c r="A318" s="101">
        <f>A317+1</f>
        <v>2</v>
      </c>
      <c r="C318" s="169">
        <f>IF(C$2&lt;=AnalysisPeriod,IF(SUM($C676:C676)&gt;0,B318+1,0),0)</f>
        <v>0</v>
      </c>
      <c r="D318" s="169">
        <f>IF(D$2&lt;=AnalysisPeriod,IF(SUM($C676:D676)&gt;0,C318+1,0),0)</f>
        <v>0</v>
      </c>
      <c r="E318" s="169">
        <f>IF(E$2&lt;=AnalysisPeriod,IF(SUM($C676:E676)&gt;0,D318+1,0),0)</f>
        <v>0</v>
      </c>
      <c r="F318" s="169">
        <f>IF(F$2&lt;=AnalysisPeriod,IF(SUM($C676:F676)&gt;0,E318+1,0),0)</f>
        <v>0</v>
      </c>
      <c r="G318" s="169">
        <f>IF(G$2&lt;=AnalysisPeriod,IF(SUM($C676:G676)&gt;0,F318+1,0),0)</f>
        <v>0</v>
      </c>
      <c r="H318" s="169">
        <f>IF(H$2&lt;=AnalysisPeriod,IF(SUM($C676:H676)&gt;0,G318+1,0),0)</f>
        <v>0</v>
      </c>
      <c r="I318" s="169">
        <f>IF(I$2&lt;=AnalysisPeriod,IF(SUM($C676:I676)&gt;0,H318+1,0),0)</f>
        <v>0</v>
      </c>
      <c r="J318" s="169">
        <f>IF(J$2&lt;=AnalysisPeriod,IF(SUM($C676:J676)&gt;0,I318+1,0),0)</f>
        <v>0</v>
      </c>
      <c r="K318" s="169">
        <f>IF(K$2&lt;=AnalysisPeriod,IF(SUM($C676:K676)&gt;0,J318+1,0),0)</f>
        <v>0</v>
      </c>
      <c r="L318" s="169">
        <f>IF(L$2&lt;=AnalysisPeriod,IF(SUM($C676:L676)&gt;0,K318+1,0),0)</f>
        <v>0</v>
      </c>
      <c r="M318" s="169">
        <f>IF(M$2&lt;=AnalysisPeriod,IF(SUM($C676:M676)&gt;0,L318+1,0),0)</f>
        <v>0</v>
      </c>
      <c r="N318" s="169">
        <f>IF(N$2&lt;=AnalysisPeriod,IF(SUM($C676:N676)&gt;0,M318+1,0),0)</f>
        <v>0</v>
      </c>
      <c r="O318" s="169">
        <f>IF(O$2&lt;=AnalysisPeriod,IF(SUM($C676:O676)&gt;0,N318+1,0),0)</f>
        <v>0</v>
      </c>
      <c r="P318" s="169">
        <f>IF(P$2&lt;=AnalysisPeriod,IF(SUM($C676:P676)&gt;0,O318+1,0),0)</f>
        <v>0</v>
      </c>
      <c r="Q318" s="169">
        <f>IF(Q$2&lt;=AnalysisPeriod,IF(SUM($C676:Q676)&gt;0,P318+1,0),0)</f>
        <v>0</v>
      </c>
      <c r="R318" s="169">
        <f>IF(R$2&lt;=AnalysisPeriod,IF(SUM($C676:R676)&gt;0,Q318+1,0),0)</f>
        <v>0</v>
      </c>
      <c r="S318" s="169">
        <f>IF(S$2&lt;=AnalysisPeriod,IF(SUM($C676:S676)&gt;0,R318+1,0),0)</f>
        <v>0</v>
      </c>
      <c r="T318" s="169">
        <f>IF(T$2&lt;=AnalysisPeriod,IF(SUM($C676:T676)&gt;0,S318+1,0),0)</f>
        <v>0</v>
      </c>
      <c r="U318" s="169">
        <f>IF(U$2&lt;=AnalysisPeriod,IF(SUM($C676:U676)&gt;0,T318+1,0),0)</f>
        <v>0</v>
      </c>
      <c r="V318" s="169">
        <f>IF(V$2&lt;=AnalysisPeriod,IF(SUM($C676:V676)&gt;0,U318+1,0),0)</f>
        <v>0</v>
      </c>
      <c r="W318" s="169">
        <f>IF(W$2&lt;=AnalysisPeriod,IF(SUM($C676:W676)&gt;0,V318+1,0),0)</f>
        <v>0</v>
      </c>
      <c r="X318" s="169">
        <f>IF(X$2&lt;=AnalysisPeriod,IF(SUM($C676:X676)&gt;0,W318+1,0),0)</f>
        <v>0</v>
      </c>
      <c r="Y318" s="169">
        <f>IF(Y$2&lt;=AnalysisPeriod,IF(SUM($C676:Y676)&gt;0,X318+1,0),0)</f>
        <v>0</v>
      </c>
      <c r="Z318" s="169">
        <f>IF(Z$2&lt;=AnalysisPeriod,IF(SUM($C676:Z676)&gt;0,Y318+1,0),0)</f>
        <v>0</v>
      </c>
      <c r="AA318" s="169">
        <f>IF(AA$2&lt;=AnalysisPeriod,IF(SUM($C676:AA676)&gt;0,Z318+1,0),0)</f>
        <v>0</v>
      </c>
      <c r="AB318" s="169">
        <f>IF(AB$2&lt;=AnalysisPeriod,IF(SUM($C676:AB676)&gt;0,AA318+1,0),0)</f>
        <v>0</v>
      </c>
      <c r="AC318" s="169">
        <f>IF(AC$2&lt;=AnalysisPeriod,IF(SUM($C676:AC676)&gt;0,AB318+1,0),0)</f>
        <v>0</v>
      </c>
      <c r="AD318" s="169">
        <f>IF(AD$2&lt;=AnalysisPeriod,IF(SUM($C676:AD676)&gt;0,AC318+1,0),0)</f>
        <v>0</v>
      </c>
      <c r="AE318" s="169">
        <f>IF(AE$2&lt;=AnalysisPeriod,IF(SUM($C676:AE676)&gt;0,AD318+1,0),0)</f>
        <v>0</v>
      </c>
      <c r="AF318" s="169">
        <f>IF(AF$2&lt;=AnalysisPeriod,IF(SUM($C676:AF676)&gt;0,AE318+1,0),0)</f>
        <v>0</v>
      </c>
      <c r="AG318" s="169">
        <f>IF(AG$2&lt;=AnalysisPeriod,IF(SUM($C676:AG676)&gt;0,AF318+1,0),0)</f>
        <v>0</v>
      </c>
      <c r="AH318" s="169">
        <f>IF(AH$2&lt;=AnalysisPeriod,IF(SUM($C676:AH676)&gt;0,AG318+1,0),0)</f>
        <v>0</v>
      </c>
      <c r="AI318" s="169">
        <f>IF(AI$2&lt;=AnalysisPeriod,IF(SUM($C676:AI676)&gt;0,AH318+1,0),0)</f>
        <v>0</v>
      </c>
      <c r="AJ318" s="169">
        <f>IF(AJ$2&lt;=AnalysisPeriod,IF(SUM($C676:AJ676)&gt;0,AI318+1,0),0)</f>
        <v>0</v>
      </c>
      <c r="AK318" s="169">
        <f>IF(AK$2&lt;=AnalysisPeriod,IF(SUM($C676:AK676)&gt;0,AJ318+1,0),0)</f>
        <v>0</v>
      </c>
      <c r="AL318" s="169">
        <f>IF(AL$2&lt;=AnalysisPeriod,IF(SUM($C676:AL676)&gt;0,AK318+1,0),0)</f>
        <v>0</v>
      </c>
      <c r="AM318" s="169">
        <f>IF(AM$2&lt;=AnalysisPeriod,IF(SUM($C676:AM676)&gt;0,AL318+1,0),0)</f>
        <v>0</v>
      </c>
      <c r="AN318" s="169">
        <f>IF(AN$2&lt;=AnalysisPeriod,IF(SUM($C676:AN676)&gt;0,AM318+1,0),0)</f>
        <v>0</v>
      </c>
      <c r="AO318" s="169">
        <f>IF(AO$2&lt;=AnalysisPeriod,IF(SUM($C676:AO676)&gt;0,AN318+1,0),0)</f>
        <v>0</v>
      </c>
      <c r="AP318" s="169">
        <f>IF(AP$2&lt;=AnalysisPeriod,IF(SUM($C676:AP676)&gt;0,AO318+1,0),0)</f>
        <v>0</v>
      </c>
    </row>
    <row r="319" spans="1:42" x14ac:dyDescent="0.2">
      <c r="A319" s="101">
        <f t="shared" ref="A319:A326" si="170">A318+1</f>
        <v>3</v>
      </c>
      <c r="C319" s="169">
        <f>IF(C$2&lt;=AnalysisPeriod,IF(SUM($C677:C677)&gt;0,B319+1,0),0)</f>
        <v>0</v>
      </c>
      <c r="D319" s="169">
        <f>IF(D$2&lt;=AnalysisPeriod,IF(SUM($C677:D677)&gt;0,C319+1,0),0)</f>
        <v>0</v>
      </c>
      <c r="E319" s="169">
        <f>IF(E$2&lt;=AnalysisPeriod,IF(SUM($C677:E677)&gt;0,D319+1,0),0)</f>
        <v>0</v>
      </c>
      <c r="F319" s="169">
        <f>IF(F$2&lt;=AnalysisPeriod,IF(SUM($C677:F677)&gt;0,E319+1,0),0)</f>
        <v>0</v>
      </c>
      <c r="G319" s="169">
        <f>IF(G$2&lt;=AnalysisPeriod,IF(SUM($C677:G677)&gt;0,F319+1,0),0)</f>
        <v>0</v>
      </c>
      <c r="H319" s="169">
        <f>IF(H$2&lt;=AnalysisPeriod,IF(SUM($C677:H677)&gt;0,G319+1,0),0)</f>
        <v>0</v>
      </c>
      <c r="I319" s="169">
        <f>IF(I$2&lt;=AnalysisPeriod,IF(SUM($C677:I677)&gt;0,H319+1,0),0)</f>
        <v>0</v>
      </c>
      <c r="J319" s="169">
        <f>IF(J$2&lt;=AnalysisPeriod,IF(SUM($C677:J677)&gt;0,I319+1,0),0)</f>
        <v>0</v>
      </c>
      <c r="K319" s="169">
        <f>IF(K$2&lt;=AnalysisPeriod,IF(SUM($C677:K677)&gt;0,J319+1,0),0)</f>
        <v>0</v>
      </c>
      <c r="L319" s="169">
        <f>IF(L$2&lt;=AnalysisPeriod,IF(SUM($C677:L677)&gt;0,K319+1,0),0)</f>
        <v>0</v>
      </c>
      <c r="M319" s="169">
        <f>IF(M$2&lt;=AnalysisPeriod,IF(SUM($C677:M677)&gt;0,L319+1,0),0)</f>
        <v>0</v>
      </c>
      <c r="N319" s="169">
        <f>IF(N$2&lt;=AnalysisPeriod,IF(SUM($C677:N677)&gt;0,M319+1,0),0)</f>
        <v>0</v>
      </c>
      <c r="O319" s="169">
        <f>IF(O$2&lt;=AnalysisPeriod,IF(SUM($C677:O677)&gt;0,N319+1,0),0)</f>
        <v>0</v>
      </c>
      <c r="P319" s="169">
        <f>IF(P$2&lt;=AnalysisPeriod,IF(SUM($C677:P677)&gt;0,O319+1,0),0)</f>
        <v>0</v>
      </c>
      <c r="Q319" s="169">
        <f>IF(Q$2&lt;=AnalysisPeriod,IF(SUM($C677:Q677)&gt;0,P319+1,0),0)</f>
        <v>0</v>
      </c>
      <c r="R319" s="169">
        <f>IF(R$2&lt;=AnalysisPeriod,IF(SUM($C677:R677)&gt;0,Q319+1,0),0)</f>
        <v>0</v>
      </c>
      <c r="S319" s="169">
        <f>IF(S$2&lt;=AnalysisPeriod,IF(SUM($C677:S677)&gt;0,R319+1,0),0)</f>
        <v>0</v>
      </c>
      <c r="T319" s="169">
        <f>IF(T$2&lt;=AnalysisPeriod,IF(SUM($C677:T677)&gt;0,S319+1,0),0)</f>
        <v>0</v>
      </c>
      <c r="U319" s="169">
        <f>IF(U$2&lt;=AnalysisPeriod,IF(SUM($C677:U677)&gt;0,T319+1,0),0)</f>
        <v>0</v>
      </c>
      <c r="V319" s="169">
        <f>IF(V$2&lt;=AnalysisPeriod,IF(SUM($C677:V677)&gt;0,U319+1,0),0)</f>
        <v>0</v>
      </c>
      <c r="W319" s="169">
        <f>IF(W$2&lt;=AnalysisPeriod,IF(SUM($C677:W677)&gt;0,V319+1,0),0)</f>
        <v>0</v>
      </c>
      <c r="X319" s="169">
        <f>IF(X$2&lt;=AnalysisPeriod,IF(SUM($C677:X677)&gt;0,W319+1,0),0)</f>
        <v>0</v>
      </c>
      <c r="Y319" s="169">
        <f>IF(Y$2&lt;=AnalysisPeriod,IF(SUM($C677:Y677)&gt;0,X319+1,0),0)</f>
        <v>0</v>
      </c>
      <c r="Z319" s="169">
        <f>IF(Z$2&lt;=AnalysisPeriod,IF(SUM($C677:Z677)&gt;0,Y319+1,0),0)</f>
        <v>0</v>
      </c>
      <c r="AA319" s="169">
        <f>IF(AA$2&lt;=AnalysisPeriod,IF(SUM($C677:AA677)&gt;0,Z319+1,0),0)</f>
        <v>0</v>
      </c>
      <c r="AB319" s="169">
        <f>IF(AB$2&lt;=AnalysisPeriod,IF(SUM($C677:AB677)&gt;0,AA319+1,0),0)</f>
        <v>0</v>
      </c>
      <c r="AC319" s="169">
        <f>IF(AC$2&lt;=AnalysisPeriod,IF(SUM($C677:AC677)&gt;0,AB319+1,0),0)</f>
        <v>0</v>
      </c>
      <c r="AD319" s="169">
        <f>IF(AD$2&lt;=AnalysisPeriod,IF(SUM($C677:AD677)&gt;0,AC319+1,0),0)</f>
        <v>0</v>
      </c>
      <c r="AE319" s="169">
        <f>IF(AE$2&lt;=AnalysisPeriod,IF(SUM($C677:AE677)&gt;0,AD319+1,0),0)</f>
        <v>0</v>
      </c>
      <c r="AF319" s="169">
        <f>IF(AF$2&lt;=AnalysisPeriod,IF(SUM($C677:AF677)&gt;0,AE319+1,0),0)</f>
        <v>0</v>
      </c>
      <c r="AG319" s="169">
        <f>IF(AG$2&lt;=AnalysisPeriod,IF(SUM($C677:AG677)&gt;0,AF319+1,0),0)</f>
        <v>0</v>
      </c>
      <c r="AH319" s="169">
        <f>IF(AH$2&lt;=AnalysisPeriod,IF(SUM($C677:AH677)&gt;0,AG319+1,0),0)</f>
        <v>0</v>
      </c>
      <c r="AI319" s="169">
        <f>IF(AI$2&lt;=AnalysisPeriod,IF(SUM($C677:AI677)&gt;0,AH319+1,0),0)</f>
        <v>0</v>
      </c>
      <c r="AJ319" s="169">
        <f>IF(AJ$2&lt;=AnalysisPeriod,IF(SUM($C677:AJ677)&gt;0,AI319+1,0),0)</f>
        <v>0</v>
      </c>
      <c r="AK319" s="169">
        <f>IF(AK$2&lt;=AnalysisPeriod,IF(SUM($C677:AK677)&gt;0,AJ319+1,0),0)</f>
        <v>0</v>
      </c>
      <c r="AL319" s="169">
        <f>IF(AL$2&lt;=AnalysisPeriod,IF(SUM($C677:AL677)&gt;0,AK319+1,0),0)</f>
        <v>0</v>
      </c>
      <c r="AM319" s="169">
        <f>IF(AM$2&lt;=AnalysisPeriod,IF(SUM($C677:AM677)&gt;0,AL319+1,0),0)</f>
        <v>0</v>
      </c>
      <c r="AN319" s="169">
        <f>IF(AN$2&lt;=AnalysisPeriod,IF(SUM($C677:AN677)&gt;0,AM319+1,0),0)</f>
        <v>0</v>
      </c>
      <c r="AO319" s="169">
        <f>IF(AO$2&lt;=AnalysisPeriod,IF(SUM($C677:AO677)&gt;0,AN319+1,0),0)</f>
        <v>0</v>
      </c>
      <c r="AP319" s="169">
        <f>IF(AP$2&lt;=AnalysisPeriod,IF(SUM($C677:AP677)&gt;0,AO319+1,0),0)</f>
        <v>0</v>
      </c>
    </row>
    <row r="320" spans="1:42" x14ac:dyDescent="0.2">
      <c r="A320" s="101">
        <f t="shared" si="170"/>
        <v>4</v>
      </c>
      <c r="C320" s="169">
        <f>IF(C$2&lt;=AnalysisPeriod,IF(SUM($C678:C678)&gt;0,B320+1,0),0)</f>
        <v>0</v>
      </c>
      <c r="D320" s="169">
        <f>IF(D$2&lt;=AnalysisPeriod,IF(SUM($C678:D678)&gt;0,C320+1,0),0)</f>
        <v>0</v>
      </c>
      <c r="E320" s="169">
        <f>IF(E$2&lt;=AnalysisPeriod,IF(SUM($C678:E678)&gt;0,D320+1,0),0)</f>
        <v>0</v>
      </c>
      <c r="F320" s="169">
        <f>IF(F$2&lt;=AnalysisPeriod,IF(SUM($C678:F678)&gt;0,E320+1,0),0)</f>
        <v>0</v>
      </c>
      <c r="G320" s="169">
        <f>IF(G$2&lt;=AnalysisPeriod,IF(SUM($C678:G678)&gt;0,F320+1,0),0)</f>
        <v>0</v>
      </c>
      <c r="H320" s="169">
        <f>IF(H$2&lt;=AnalysisPeriod,IF(SUM($C678:H678)&gt;0,G320+1,0),0)</f>
        <v>0</v>
      </c>
      <c r="I320" s="169">
        <f>IF(I$2&lt;=AnalysisPeriod,IF(SUM($C678:I678)&gt;0,H320+1,0),0)</f>
        <v>0</v>
      </c>
      <c r="J320" s="169">
        <f>IF(J$2&lt;=AnalysisPeriod,IF(SUM($C678:J678)&gt;0,I320+1,0),0)</f>
        <v>0</v>
      </c>
      <c r="K320" s="169">
        <f>IF(K$2&lt;=AnalysisPeriod,IF(SUM($C678:K678)&gt;0,J320+1,0),0)</f>
        <v>0</v>
      </c>
      <c r="L320" s="169">
        <f>IF(L$2&lt;=AnalysisPeriod,IF(SUM($C678:L678)&gt;0,K320+1,0),0)</f>
        <v>0</v>
      </c>
      <c r="M320" s="169">
        <f>IF(M$2&lt;=AnalysisPeriod,IF(SUM($C678:M678)&gt;0,L320+1,0),0)</f>
        <v>0</v>
      </c>
      <c r="N320" s="169">
        <f>IF(N$2&lt;=AnalysisPeriod,IF(SUM($C678:N678)&gt;0,M320+1,0),0)</f>
        <v>0</v>
      </c>
      <c r="O320" s="169">
        <f>IF(O$2&lt;=AnalysisPeriod,IF(SUM($C678:O678)&gt;0,N320+1,0),0)</f>
        <v>0</v>
      </c>
      <c r="P320" s="169">
        <f>IF(P$2&lt;=AnalysisPeriod,IF(SUM($C678:P678)&gt;0,O320+1,0),0)</f>
        <v>0</v>
      </c>
      <c r="Q320" s="169">
        <f>IF(Q$2&lt;=AnalysisPeriod,IF(SUM($C678:Q678)&gt;0,P320+1,0),0)</f>
        <v>0</v>
      </c>
      <c r="R320" s="169">
        <f>IF(R$2&lt;=AnalysisPeriod,IF(SUM($C678:R678)&gt;0,Q320+1,0),0)</f>
        <v>0</v>
      </c>
      <c r="S320" s="169">
        <f>IF(S$2&lt;=AnalysisPeriod,IF(SUM($C678:S678)&gt;0,R320+1,0),0)</f>
        <v>0</v>
      </c>
      <c r="T320" s="169">
        <f>IF(T$2&lt;=AnalysisPeriod,IF(SUM($C678:T678)&gt;0,S320+1,0),0)</f>
        <v>0</v>
      </c>
      <c r="U320" s="169">
        <f>IF(U$2&lt;=AnalysisPeriod,IF(SUM($C678:U678)&gt;0,T320+1,0),0)</f>
        <v>0</v>
      </c>
      <c r="V320" s="169">
        <f>IF(V$2&lt;=AnalysisPeriod,IF(SUM($C678:V678)&gt;0,U320+1,0),0)</f>
        <v>0</v>
      </c>
      <c r="W320" s="169">
        <f>IF(W$2&lt;=AnalysisPeriod,IF(SUM($C678:W678)&gt;0,V320+1,0),0)</f>
        <v>0</v>
      </c>
      <c r="X320" s="169">
        <f>IF(X$2&lt;=AnalysisPeriod,IF(SUM($C678:X678)&gt;0,W320+1,0),0)</f>
        <v>0</v>
      </c>
      <c r="Y320" s="169">
        <f>IF(Y$2&lt;=AnalysisPeriod,IF(SUM($C678:Y678)&gt;0,X320+1,0),0)</f>
        <v>0</v>
      </c>
      <c r="Z320" s="169">
        <f>IF(Z$2&lt;=AnalysisPeriod,IF(SUM($C678:Z678)&gt;0,Y320+1,0),0)</f>
        <v>0</v>
      </c>
      <c r="AA320" s="169">
        <f>IF(AA$2&lt;=AnalysisPeriod,IF(SUM($C678:AA678)&gt;0,Z320+1,0),0)</f>
        <v>0</v>
      </c>
      <c r="AB320" s="169">
        <f>IF(AB$2&lt;=AnalysisPeriod,IF(SUM($C678:AB678)&gt;0,AA320+1,0),0)</f>
        <v>0</v>
      </c>
      <c r="AC320" s="169">
        <f>IF(AC$2&lt;=AnalysisPeriod,IF(SUM($C678:AC678)&gt;0,AB320+1,0),0)</f>
        <v>0</v>
      </c>
      <c r="AD320" s="169">
        <f>IF(AD$2&lt;=AnalysisPeriod,IF(SUM($C678:AD678)&gt;0,AC320+1,0),0)</f>
        <v>0</v>
      </c>
      <c r="AE320" s="169">
        <f>IF(AE$2&lt;=AnalysisPeriod,IF(SUM($C678:AE678)&gt;0,AD320+1,0),0)</f>
        <v>0</v>
      </c>
      <c r="AF320" s="169">
        <f>IF(AF$2&lt;=AnalysisPeriod,IF(SUM($C678:AF678)&gt;0,AE320+1,0),0)</f>
        <v>0</v>
      </c>
      <c r="AG320" s="169">
        <f>IF(AG$2&lt;=AnalysisPeriod,IF(SUM($C678:AG678)&gt;0,AF320+1,0),0)</f>
        <v>0</v>
      </c>
      <c r="AH320" s="169">
        <f>IF(AH$2&lt;=AnalysisPeriod,IF(SUM($C678:AH678)&gt;0,AG320+1,0),0)</f>
        <v>0</v>
      </c>
      <c r="AI320" s="169">
        <f>IF(AI$2&lt;=AnalysisPeriod,IF(SUM($C678:AI678)&gt;0,AH320+1,0),0)</f>
        <v>0</v>
      </c>
      <c r="AJ320" s="169">
        <f>IF(AJ$2&lt;=AnalysisPeriod,IF(SUM($C678:AJ678)&gt;0,AI320+1,0),0)</f>
        <v>0</v>
      </c>
      <c r="AK320" s="169">
        <f>IF(AK$2&lt;=AnalysisPeriod,IF(SUM($C678:AK678)&gt;0,AJ320+1,0),0)</f>
        <v>0</v>
      </c>
      <c r="AL320" s="169">
        <f>IF(AL$2&lt;=AnalysisPeriod,IF(SUM($C678:AL678)&gt;0,AK320+1,0),0)</f>
        <v>0</v>
      </c>
      <c r="AM320" s="169">
        <f>IF(AM$2&lt;=AnalysisPeriod,IF(SUM($C678:AM678)&gt;0,AL320+1,0),0)</f>
        <v>0</v>
      </c>
      <c r="AN320" s="169">
        <f>IF(AN$2&lt;=AnalysisPeriod,IF(SUM($C678:AN678)&gt;0,AM320+1,0),0)</f>
        <v>0</v>
      </c>
      <c r="AO320" s="169">
        <f>IF(AO$2&lt;=AnalysisPeriod,IF(SUM($C678:AO678)&gt;0,AN320+1,0),0)</f>
        <v>0</v>
      </c>
      <c r="AP320" s="169">
        <f>IF(AP$2&lt;=AnalysisPeriod,IF(SUM($C678:AP678)&gt;0,AO320+1,0),0)</f>
        <v>0</v>
      </c>
    </row>
    <row r="321" spans="1:42" x14ac:dyDescent="0.2">
      <c r="A321" s="101">
        <f t="shared" si="170"/>
        <v>5</v>
      </c>
      <c r="C321" s="169">
        <f>IF(C$2&lt;=AnalysisPeriod,IF(SUM($C679:C679)&gt;0,B321+1,0),0)</f>
        <v>0</v>
      </c>
      <c r="D321" s="169">
        <f>IF(D$2&lt;=AnalysisPeriod,IF(SUM($C679:D679)&gt;0,C321+1,0),0)</f>
        <v>0</v>
      </c>
      <c r="E321" s="169">
        <f>IF(E$2&lt;=AnalysisPeriod,IF(SUM($C679:E679)&gt;0,D321+1,0),0)</f>
        <v>0</v>
      </c>
      <c r="F321" s="169">
        <f>IF(F$2&lt;=AnalysisPeriod,IF(SUM($C679:F679)&gt;0,E321+1,0),0)</f>
        <v>0</v>
      </c>
      <c r="G321" s="169">
        <f>IF(G$2&lt;=AnalysisPeriod,IF(SUM($C679:G679)&gt;0,F321+1,0),0)</f>
        <v>0</v>
      </c>
      <c r="H321" s="169">
        <f>IF(H$2&lt;=AnalysisPeriod,IF(SUM($C679:H679)&gt;0,G321+1,0),0)</f>
        <v>0</v>
      </c>
      <c r="I321" s="169">
        <f>IF(I$2&lt;=AnalysisPeriod,IF(SUM($C679:I679)&gt;0,H321+1,0),0)</f>
        <v>0</v>
      </c>
      <c r="J321" s="169">
        <f>IF(J$2&lt;=AnalysisPeriod,IF(SUM($C679:J679)&gt;0,I321+1,0),0)</f>
        <v>0</v>
      </c>
      <c r="K321" s="169">
        <f>IF(K$2&lt;=AnalysisPeriod,IF(SUM($C679:K679)&gt;0,J321+1,0),0)</f>
        <v>0</v>
      </c>
      <c r="L321" s="169">
        <f>IF(L$2&lt;=AnalysisPeriod,IF(SUM($C679:L679)&gt;0,K321+1,0),0)</f>
        <v>0</v>
      </c>
      <c r="M321" s="169">
        <f>IF(M$2&lt;=AnalysisPeriod,IF(SUM($C679:M679)&gt;0,L321+1,0),0)</f>
        <v>0</v>
      </c>
      <c r="N321" s="169">
        <f>IF(N$2&lt;=AnalysisPeriod,IF(SUM($C679:N679)&gt;0,M321+1,0),0)</f>
        <v>0</v>
      </c>
      <c r="O321" s="169">
        <f>IF(O$2&lt;=AnalysisPeriod,IF(SUM($C679:O679)&gt;0,N321+1,0),0)</f>
        <v>0</v>
      </c>
      <c r="P321" s="169">
        <f>IF(P$2&lt;=AnalysisPeriod,IF(SUM($C679:P679)&gt;0,O321+1,0),0)</f>
        <v>0</v>
      </c>
      <c r="Q321" s="169">
        <f>IF(Q$2&lt;=AnalysisPeriod,IF(SUM($C679:Q679)&gt;0,P321+1,0),0)</f>
        <v>0</v>
      </c>
      <c r="R321" s="169">
        <f>IF(R$2&lt;=AnalysisPeriod,IF(SUM($C679:R679)&gt;0,Q321+1,0),0)</f>
        <v>0</v>
      </c>
      <c r="S321" s="169">
        <f>IF(S$2&lt;=AnalysisPeriod,IF(SUM($C679:S679)&gt;0,R321+1,0),0)</f>
        <v>0</v>
      </c>
      <c r="T321" s="169">
        <f>IF(T$2&lt;=AnalysisPeriod,IF(SUM($C679:T679)&gt;0,S321+1,0),0)</f>
        <v>0</v>
      </c>
      <c r="U321" s="169">
        <f>IF(U$2&lt;=AnalysisPeriod,IF(SUM($C679:U679)&gt;0,T321+1,0),0)</f>
        <v>0</v>
      </c>
      <c r="V321" s="169">
        <f>IF(V$2&lt;=AnalysisPeriod,IF(SUM($C679:V679)&gt;0,U321+1,0),0)</f>
        <v>0</v>
      </c>
      <c r="W321" s="169">
        <f>IF(W$2&lt;=AnalysisPeriod,IF(SUM($C679:W679)&gt;0,V321+1,0),0)</f>
        <v>0</v>
      </c>
      <c r="X321" s="169">
        <f>IF(X$2&lt;=AnalysisPeriod,IF(SUM($C679:X679)&gt;0,W321+1,0),0)</f>
        <v>0</v>
      </c>
      <c r="Y321" s="169">
        <f>IF(Y$2&lt;=AnalysisPeriod,IF(SUM($C679:Y679)&gt;0,X321+1,0),0)</f>
        <v>0</v>
      </c>
      <c r="Z321" s="169">
        <f>IF(Z$2&lt;=AnalysisPeriod,IF(SUM($C679:Z679)&gt;0,Y321+1,0),0)</f>
        <v>0</v>
      </c>
      <c r="AA321" s="169">
        <f>IF(AA$2&lt;=AnalysisPeriod,IF(SUM($C679:AA679)&gt;0,Z321+1,0),0)</f>
        <v>0</v>
      </c>
      <c r="AB321" s="169">
        <f>IF(AB$2&lt;=AnalysisPeriod,IF(SUM($C679:AB679)&gt;0,AA321+1,0),0)</f>
        <v>0</v>
      </c>
      <c r="AC321" s="169">
        <f>IF(AC$2&lt;=AnalysisPeriod,IF(SUM($C679:AC679)&gt;0,AB321+1,0),0)</f>
        <v>0</v>
      </c>
      <c r="AD321" s="169">
        <f>IF(AD$2&lt;=AnalysisPeriod,IF(SUM($C679:AD679)&gt;0,AC321+1,0),0)</f>
        <v>0</v>
      </c>
      <c r="AE321" s="169">
        <f>IF(AE$2&lt;=AnalysisPeriod,IF(SUM($C679:AE679)&gt;0,AD321+1,0),0)</f>
        <v>0</v>
      </c>
      <c r="AF321" s="169">
        <f>IF(AF$2&lt;=AnalysisPeriod,IF(SUM($C679:AF679)&gt;0,AE321+1,0),0)</f>
        <v>0</v>
      </c>
      <c r="AG321" s="169">
        <f>IF(AG$2&lt;=AnalysisPeriod,IF(SUM($C679:AG679)&gt;0,AF321+1,0),0)</f>
        <v>0</v>
      </c>
      <c r="AH321" s="169">
        <f>IF(AH$2&lt;=AnalysisPeriod,IF(SUM($C679:AH679)&gt;0,AG321+1,0),0)</f>
        <v>0</v>
      </c>
      <c r="AI321" s="169">
        <f>IF(AI$2&lt;=AnalysisPeriod,IF(SUM($C679:AI679)&gt;0,AH321+1,0),0)</f>
        <v>0</v>
      </c>
      <c r="AJ321" s="169">
        <f>IF(AJ$2&lt;=AnalysisPeriod,IF(SUM($C679:AJ679)&gt;0,AI321+1,0),0)</f>
        <v>0</v>
      </c>
      <c r="AK321" s="169">
        <f>IF(AK$2&lt;=AnalysisPeriod,IF(SUM($C679:AK679)&gt;0,AJ321+1,0),0)</f>
        <v>0</v>
      </c>
      <c r="AL321" s="169">
        <f>IF(AL$2&lt;=AnalysisPeriod,IF(SUM($C679:AL679)&gt;0,AK321+1,0),0)</f>
        <v>0</v>
      </c>
      <c r="AM321" s="169">
        <f>IF(AM$2&lt;=AnalysisPeriod,IF(SUM($C679:AM679)&gt;0,AL321+1,0),0)</f>
        <v>0</v>
      </c>
      <c r="AN321" s="169">
        <f>IF(AN$2&lt;=AnalysisPeriod,IF(SUM($C679:AN679)&gt;0,AM321+1,0),0)</f>
        <v>0</v>
      </c>
      <c r="AO321" s="169">
        <f>IF(AO$2&lt;=AnalysisPeriod,IF(SUM($C679:AO679)&gt;0,AN321+1,0),0)</f>
        <v>0</v>
      </c>
      <c r="AP321" s="169">
        <f>IF(AP$2&lt;=AnalysisPeriod,IF(SUM($C679:AP679)&gt;0,AO321+1,0),0)</f>
        <v>0</v>
      </c>
    </row>
    <row r="322" spans="1:42" x14ac:dyDescent="0.2">
      <c r="A322" s="101">
        <f t="shared" si="170"/>
        <v>6</v>
      </c>
      <c r="C322" s="169">
        <f>IF(C$2&lt;=AnalysisPeriod,IF(SUM($C680:C680)&gt;0,B322+1,0),0)</f>
        <v>0</v>
      </c>
      <c r="D322" s="169">
        <f>IF(D$2&lt;=AnalysisPeriod,IF(SUM($C680:D680)&gt;0,C322+1,0),0)</f>
        <v>0</v>
      </c>
      <c r="E322" s="169">
        <f>IF(E$2&lt;=AnalysisPeriod,IF(SUM($C680:E680)&gt;0,D322+1,0),0)</f>
        <v>0</v>
      </c>
      <c r="F322" s="169">
        <f>IF(F$2&lt;=AnalysisPeriod,IF(SUM($C680:F680)&gt;0,E322+1,0),0)</f>
        <v>0</v>
      </c>
      <c r="G322" s="169">
        <f>IF(G$2&lt;=AnalysisPeriod,IF(SUM($C680:G680)&gt;0,F322+1,0),0)</f>
        <v>0</v>
      </c>
      <c r="H322" s="169">
        <f>IF(H$2&lt;=AnalysisPeriod,IF(SUM($C680:H680)&gt;0,G322+1,0),0)</f>
        <v>0</v>
      </c>
      <c r="I322" s="169">
        <f>IF(I$2&lt;=AnalysisPeriod,IF(SUM($C680:I680)&gt;0,H322+1,0),0)</f>
        <v>0</v>
      </c>
      <c r="J322" s="169">
        <f>IF(J$2&lt;=AnalysisPeriod,IF(SUM($C680:J680)&gt;0,I322+1,0),0)</f>
        <v>0</v>
      </c>
      <c r="K322" s="169">
        <f>IF(K$2&lt;=AnalysisPeriod,IF(SUM($C680:K680)&gt;0,J322+1,0),0)</f>
        <v>0</v>
      </c>
      <c r="L322" s="169">
        <f>IF(L$2&lt;=AnalysisPeriod,IF(SUM($C680:L680)&gt;0,K322+1,0),0)</f>
        <v>0</v>
      </c>
      <c r="M322" s="169">
        <f>IF(M$2&lt;=AnalysisPeriod,IF(SUM($C680:M680)&gt;0,L322+1,0),0)</f>
        <v>0</v>
      </c>
      <c r="N322" s="169">
        <f>IF(N$2&lt;=AnalysisPeriod,IF(SUM($C680:N680)&gt;0,M322+1,0),0)</f>
        <v>0</v>
      </c>
      <c r="O322" s="169">
        <f>IF(O$2&lt;=AnalysisPeriod,IF(SUM($C680:O680)&gt;0,N322+1,0),0)</f>
        <v>0</v>
      </c>
      <c r="P322" s="169">
        <f>IF(P$2&lt;=AnalysisPeriod,IF(SUM($C680:P680)&gt;0,O322+1,0),0)</f>
        <v>0</v>
      </c>
      <c r="Q322" s="169">
        <f>IF(Q$2&lt;=AnalysisPeriod,IF(SUM($C680:Q680)&gt;0,P322+1,0),0)</f>
        <v>0</v>
      </c>
      <c r="R322" s="169">
        <f>IF(R$2&lt;=AnalysisPeriod,IF(SUM($C680:R680)&gt;0,Q322+1,0),0)</f>
        <v>0</v>
      </c>
      <c r="S322" s="169">
        <f>IF(S$2&lt;=AnalysisPeriod,IF(SUM($C680:S680)&gt;0,R322+1,0),0)</f>
        <v>0</v>
      </c>
      <c r="T322" s="169">
        <f>IF(T$2&lt;=AnalysisPeriod,IF(SUM($C680:T680)&gt;0,S322+1,0),0)</f>
        <v>0</v>
      </c>
      <c r="U322" s="169">
        <f>IF(U$2&lt;=AnalysisPeriod,IF(SUM($C680:U680)&gt;0,T322+1,0),0)</f>
        <v>0</v>
      </c>
      <c r="V322" s="169">
        <f>IF(V$2&lt;=AnalysisPeriod,IF(SUM($C680:V680)&gt;0,U322+1,0),0)</f>
        <v>0</v>
      </c>
      <c r="W322" s="169">
        <f>IF(W$2&lt;=AnalysisPeriod,IF(SUM($C680:W680)&gt;0,V322+1,0),0)</f>
        <v>0</v>
      </c>
      <c r="X322" s="169">
        <f>IF(X$2&lt;=AnalysisPeriod,IF(SUM($C680:X680)&gt;0,W322+1,0),0)</f>
        <v>0</v>
      </c>
      <c r="Y322" s="169">
        <f>IF(Y$2&lt;=AnalysisPeriod,IF(SUM($C680:Y680)&gt;0,X322+1,0),0)</f>
        <v>0</v>
      </c>
      <c r="Z322" s="169">
        <f>IF(Z$2&lt;=AnalysisPeriod,IF(SUM($C680:Z680)&gt;0,Y322+1,0),0)</f>
        <v>0</v>
      </c>
      <c r="AA322" s="169">
        <f>IF(AA$2&lt;=AnalysisPeriod,IF(SUM($C680:AA680)&gt;0,Z322+1,0),0)</f>
        <v>0</v>
      </c>
      <c r="AB322" s="169">
        <f>IF(AB$2&lt;=AnalysisPeriod,IF(SUM($C680:AB680)&gt;0,AA322+1,0),0)</f>
        <v>0</v>
      </c>
      <c r="AC322" s="169">
        <f>IF(AC$2&lt;=AnalysisPeriod,IF(SUM($C680:AC680)&gt;0,AB322+1,0),0)</f>
        <v>0</v>
      </c>
      <c r="AD322" s="169">
        <f>IF(AD$2&lt;=AnalysisPeriod,IF(SUM($C680:AD680)&gt;0,AC322+1,0),0)</f>
        <v>0</v>
      </c>
      <c r="AE322" s="169">
        <f>IF(AE$2&lt;=AnalysisPeriod,IF(SUM($C680:AE680)&gt;0,AD322+1,0),0)</f>
        <v>0</v>
      </c>
      <c r="AF322" s="169">
        <f>IF(AF$2&lt;=AnalysisPeriod,IF(SUM($C680:AF680)&gt;0,AE322+1,0),0)</f>
        <v>0</v>
      </c>
      <c r="AG322" s="169">
        <f>IF(AG$2&lt;=AnalysisPeriod,IF(SUM($C680:AG680)&gt;0,AF322+1,0),0)</f>
        <v>0</v>
      </c>
      <c r="AH322" s="169">
        <f>IF(AH$2&lt;=AnalysisPeriod,IF(SUM($C680:AH680)&gt;0,AG322+1,0),0)</f>
        <v>0</v>
      </c>
      <c r="AI322" s="169">
        <f>IF(AI$2&lt;=AnalysisPeriod,IF(SUM($C680:AI680)&gt;0,AH322+1,0),0)</f>
        <v>0</v>
      </c>
      <c r="AJ322" s="169">
        <f>IF(AJ$2&lt;=AnalysisPeriod,IF(SUM($C680:AJ680)&gt;0,AI322+1,0),0)</f>
        <v>0</v>
      </c>
      <c r="AK322" s="169">
        <f>IF(AK$2&lt;=AnalysisPeriod,IF(SUM($C680:AK680)&gt;0,AJ322+1,0),0)</f>
        <v>0</v>
      </c>
      <c r="AL322" s="169">
        <f>IF(AL$2&lt;=AnalysisPeriod,IF(SUM($C680:AL680)&gt;0,AK322+1,0),0)</f>
        <v>0</v>
      </c>
      <c r="AM322" s="169">
        <f>IF(AM$2&lt;=AnalysisPeriod,IF(SUM($C680:AM680)&gt;0,AL322+1,0),0)</f>
        <v>0</v>
      </c>
      <c r="AN322" s="169">
        <f>IF(AN$2&lt;=AnalysisPeriod,IF(SUM($C680:AN680)&gt;0,AM322+1,0),0)</f>
        <v>0</v>
      </c>
      <c r="AO322" s="169">
        <f>IF(AO$2&lt;=AnalysisPeriod,IF(SUM($C680:AO680)&gt;0,AN322+1,0),0)</f>
        <v>0</v>
      </c>
      <c r="AP322" s="169">
        <f>IF(AP$2&lt;=AnalysisPeriod,IF(SUM($C680:AP680)&gt;0,AO322+1,0),0)</f>
        <v>0</v>
      </c>
    </row>
    <row r="323" spans="1:42" x14ac:dyDescent="0.2">
      <c r="A323" s="101">
        <f t="shared" si="170"/>
        <v>7</v>
      </c>
      <c r="C323" s="169">
        <f>IF(C$2&lt;=AnalysisPeriod,IF(SUM($C681:C681)&gt;0,B323+1,0),0)</f>
        <v>0</v>
      </c>
      <c r="D323" s="169">
        <f>IF(D$2&lt;=AnalysisPeriod,IF(SUM($C681:D681)&gt;0,C323+1,0),0)</f>
        <v>0</v>
      </c>
      <c r="E323" s="169">
        <f>IF(E$2&lt;=AnalysisPeriod,IF(SUM($C681:E681)&gt;0,D323+1,0),0)</f>
        <v>0</v>
      </c>
      <c r="F323" s="169">
        <f>IF(F$2&lt;=AnalysisPeriod,IF(SUM($C681:F681)&gt;0,E323+1,0),0)</f>
        <v>0</v>
      </c>
      <c r="G323" s="169">
        <f>IF(G$2&lt;=AnalysisPeriod,IF(SUM($C681:G681)&gt;0,F323+1,0),0)</f>
        <v>0</v>
      </c>
      <c r="H323" s="169">
        <f>IF(H$2&lt;=AnalysisPeriod,IF(SUM($C681:H681)&gt;0,G323+1,0),0)</f>
        <v>0</v>
      </c>
      <c r="I323" s="169">
        <f>IF(I$2&lt;=AnalysisPeriod,IF(SUM($C681:I681)&gt;0,H323+1,0),0)</f>
        <v>0</v>
      </c>
      <c r="J323" s="169">
        <f>IF(J$2&lt;=AnalysisPeriod,IF(SUM($C681:J681)&gt;0,I323+1,0),0)</f>
        <v>0</v>
      </c>
      <c r="K323" s="169">
        <f>IF(K$2&lt;=AnalysisPeriod,IF(SUM($C681:K681)&gt;0,J323+1,0),0)</f>
        <v>0</v>
      </c>
      <c r="L323" s="169">
        <f>IF(L$2&lt;=AnalysisPeriod,IF(SUM($C681:L681)&gt;0,K323+1,0),0)</f>
        <v>0</v>
      </c>
      <c r="M323" s="169">
        <f>IF(M$2&lt;=AnalysisPeriod,IF(SUM($C681:M681)&gt;0,L323+1,0),0)</f>
        <v>0</v>
      </c>
      <c r="N323" s="169">
        <f>IF(N$2&lt;=AnalysisPeriod,IF(SUM($C681:N681)&gt;0,M323+1,0),0)</f>
        <v>0</v>
      </c>
      <c r="O323" s="169">
        <f>IF(O$2&lt;=AnalysisPeriod,IF(SUM($C681:O681)&gt;0,N323+1,0),0)</f>
        <v>0</v>
      </c>
      <c r="P323" s="169">
        <f>IF(P$2&lt;=AnalysisPeriod,IF(SUM($C681:P681)&gt;0,O323+1,0),0)</f>
        <v>0</v>
      </c>
      <c r="Q323" s="169">
        <f>IF(Q$2&lt;=AnalysisPeriod,IF(SUM($C681:Q681)&gt;0,P323+1,0),0)</f>
        <v>0</v>
      </c>
      <c r="R323" s="169">
        <f>IF(R$2&lt;=AnalysisPeriod,IF(SUM($C681:R681)&gt;0,Q323+1,0),0)</f>
        <v>0</v>
      </c>
      <c r="S323" s="169">
        <f>IF(S$2&lt;=AnalysisPeriod,IF(SUM($C681:S681)&gt;0,R323+1,0),0)</f>
        <v>0</v>
      </c>
      <c r="T323" s="169">
        <f>IF(T$2&lt;=AnalysisPeriod,IF(SUM($C681:T681)&gt;0,S323+1,0),0)</f>
        <v>0</v>
      </c>
      <c r="U323" s="169">
        <f>IF(U$2&lt;=AnalysisPeriod,IF(SUM($C681:U681)&gt;0,T323+1,0),0)</f>
        <v>0</v>
      </c>
      <c r="V323" s="169">
        <f>IF(V$2&lt;=AnalysisPeriod,IF(SUM($C681:V681)&gt;0,U323+1,0),0)</f>
        <v>0</v>
      </c>
      <c r="W323" s="169">
        <f>IF(W$2&lt;=AnalysisPeriod,IF(SUM($C681:W681)&gt;0,V323+1,0),0)</f>
        <v>0</v>
      </c>
      <c r="X323" s="169">
        <f>IF(X$2&lt;=AnalysisPeriod,IF(SUM($C681:X681)&gt;0,W323+1,0),0)</f>
        <v>0</v>
      </c>
      <c r="Y323" s="169">
        <f>IF(Y$2&lt;=AnalysisPeriod,IF(SUM($C681:Y681)&gt;0,X323+1,0),0)</f>
        <v>0</v>
      </c>
      <c r="Z323" s="169">
        <f>IF(Z$2&lt;=AnalysisPeriod,IF(SUM($C681:Z681)&gt;0,Y323+1,0),0)</f>
        <v>0</v>
      </c>
      <c r="AA323" s="169">
        <f>IF(AA$2&lt;=AnalysisPeriod,IF(SUM($C681:AA681)&gt;0,Z323+1,0),0)</f>
        <v>0</v>
      </c>
      <c r="AB323" s="169">
        <f>IF(AB$2&lt;=AnalysisPeriod,IF(SUM($C681:AB681)&gt;0,AA323+1,0),0)</f>
        <v>0</v>
      </c>
      <c r="AC323" s="169">
        <f>IF(AC$2&lt;=AnalysisPeriod,IF(SUM($C681:AC681)&gt;0,AB323+1,0),0)</f>
        <v>0</v>
      </c>
      <c r="AD323" s="169">
        <f>IF(AD$2&lt;=AnalysisPeriod,IF(SUM($C681:AD681)&gt;0,AC323+1,0),0)</f>
        <v>0</v>
      </c>
      <c r="AE323" s="169">
        <f>IF(AE$2&lt;=AnalysisPeriod,IF(SUM($C681:AE681)&gt;0,AD323+1,0),0)</f>
        <v>0</v>
      </c>
      <c r="AF323" s="169">
        <f>IF(AF$2&lt;=AnalysisPeriod,IF(SUM($C681:AF681)&gt;0,AE323+1,0),0)</f>
        <v>0</v>
      </c>
      <c r="AG323" s="169">
        <f>IF(AG$2&lt;=AnalysisPeriod,IF(SUM($C681:AG681)&gt;0,AF323+1,0),0)</f>
        <v>0</v>
      </c>
      <c r="AH323" s="169">
        <f>IF(AH$2&lt;=AnalysisPeriod,IF(SUM($C681:AH681)&gt;0,AG323+1,0),0)</f>
        <v>0</v>
      </c>
      <c r="AI323" s="169">
        <f>IF(AI$2&lt;=AnalysisPeriod,IF(SUM($C681:AI681)&gt;0,AH323+1,0),0)</f>
        <v>0</v>
      </c>
      <c r="AJ323" s="169">
        <f>IF(AJ$2&lt;=AnalysisPeriod,IF(SUM($C681:AJ681)&gt;0,AI323+1,0),0)</f>
        <v>0</v>
      </c>
      <c r="AK323" s="169">
        <f>IF(AK$2&lt;=AnalysisPeriod,IF(SUM($C681:AK681)&gt;0,AJ323+1,0),0)</f>
        <v>0</v>
      </c>
      <c r="AL323" s="169">
        <f>IF(AL$2&lt;=AnalysisPeriod,IF(SUM($C681:AL681)&gt;0,AK323+1,0),0)</f>
        <v>0</v>
      </c>
      <c r="AM323" s="169">
        <f>IF(AM$2&lt;=AnalysisPeriod,IF(SUM($C681:AM681)&gt;0,AL323+1,0),0)</f>
        <v>0</v>
      </c>
      <c r="AN323" s="169">
        <f>IF(AN$2&lt;=AnalysisPeriod,IF(SUM($C681:AN681)&gt;0,AM323+1,0),0)</f>
        <v>0</v>
      </c>
      <c r="AO323" s="169">
        <f>IF(AO$2&lt;=AnalysisPeriod,IF(SUM($C681:AO681)&gt;0,AN323+1,0),0)</f>
        <v>0</v>
      </c>
      <c r="AP323" s="169">
        <f>IF(AP$2&lt;=AnalysisPeriod,IF(SUM($C681:AP681)&gt;0,AO323+1,0),0)</f>
        <v>0</v>
      </c>
    </row>
    <row r="324" spans="1:42" x14ac:dyDescent="0.2">
      <c r="A324" s="101">
        <f t="shared" si="170"/>
        <v>8</v>
      </c>
      <c r="C324" s="169">
        <f>IF(C$2&lt;=AnalysisPeriod,IF(SUM($C682:C682)&gt;0,B324+1,0),0)</f>
        <v>0</v>
      </c>
      <c r="D324" s="169">
        <f>IF(D$2&lt;=AnalysisPeriod,IF(SUM($C682:D682)&gt;0,C324+1,0),0)</f>
        <v>0</v>
      </c>
      <c r="E324" s="169">
        <f>IF(E$2&lt;=AnalysisPeriod,IF(SUM($C682:E682)&gt;0,D324+1,0),0)</f>
        <v>0</v>
      </c>
      <c r="F324" s="169">
        <f>IF(F$2&lt;=AnalysisPeriod,IF(SUM($C682:F682)&gt;0,E324+1,0),0)</f>
        <v>0</v>
      </c>
      <c r="G324" s="169">
        <f>IF(G$2&lt;=AnalysisPeriod,IF(SUM($C682:G682)&gt;0,F324+1,0),0)</f>
        <v>0</v>
      </c>
      <c r="H324" s="169">
        <f>IF(H$2&lt;=AnalysisPeriod,IF(SUM($C682:H682)&gt;0,G324+1,0),0)</f>
        <v>0</v>
      </c>
      <c r="I324" s="169">
        <f>IF(I$2&lt;=AnalysisPeriod,IF(SUM($C682:I682)&gt;0,H324+1,0),0)</f>
        <v>0</v>
      </c>
      <c r="J324" s="169">
        <f>IF(J$2&lt;=AnalysisPeriod,IF(SUM($C682:J682)&gt;0,I324+1,0),0)</f>
        <v>0</v>
      </c>
      <c r="K324" s="169">
        <f>IF(K$2&lt;=AnalysisPeriod,IF(SUM($C682:K682)&gt;0,J324+1,0),0)</f>
        <v>0</v>
      </c>
      <c r="L324" s="169">
        <f>IF(L$2&lt;=AnalysisPeriod,IF(SUM($C682:L682)&gt;0,K324+1,0),0)</f>
        <v>0</v>
      </c>
      <c r="M324" s="169">
        <f>IF(M$2&lt;=AnalysisPeriod,IF(SUM($C682:M682)&gt;0,L324+1,0),0)</f>
        <v>0</v>
      </c>
      <c r="N324" s="169">
        <f>IF(N$2&lt;=AnalysisPeriod,IF(SUM($C682:N682)&gt;0,M324+1,0),0)</f>
        <v>0</v>
      </c>
      <c r="O324" s="169">
        <f>IF(O$2&lt;=AnalysisPeriod,IF(SUM($C682:O682)&gt;0,N324+1,0),0)</f>
        <v>0</v>
      </c>
      <c r="P324" s="169">
        <f>IF(P$2&lt;=AnalysisPeriod,IF(SUM($C682:P682)&gt;0,O324+1,0),0)</f>
        <v>0</v>
      </c>
      <c r="Q324" s="169">
        <f>IF(Q$2&lt;=AnalysisPeriod,IF(SUM($C682:Q682)&gt;0,P324+1,0),0)</f>
        <v>0</v>
      </c>
      <c r="R324" s="169">
        <f>IF(R$2&lt;=AnalysisPeriod,IF(SUM($C682:R682)&gt;0,Q324+1,0),0)</f>
        <v>0</v>
      </c>
      <c r="S324" s="169">
        <f>IF(S$2&lt;=AnalysisPeriod,IF(SUM($C682:S682)&gt;0,R324+1,0),0)</f>
        <v>0</v>
      </c>
      <c r="T324" s="169">
        <f>IF(T$2&lt;=AnalysisPeriod,IF(SUM($C682:T682)&gt;0,S324+1,0),0)</f>
        <v>0</v>
      </c>
      <c r="U324" s="169">
        <f>IF(U$2&lt;=AnalysisPeriod,IF(SUM($C682:U682)&gt;0,T324+1,0),0)</f>
        <v>0</v>
      </c>
      <c r="V324" s="169">
        <f>IF(V$2&lt;=AnalysisPeriod,IF(SUM($C682:V682)&gt;0,U324+1,0),0)</f>
        <v>0</v>
      </c>
      <c r="W324" s="169">
        <f>IF(W$2&lt;=AnalysisPeriod,IF(SUM($C682:W682)&gt;0,V324+1,0),0)</f>
        <v>0</v>
      </c>
      <c r="X324" s="169">
        <f>IF(X$2&lt;=AnalysisPeriod,IF(SUM($C682:X682)&gt;0,W324+1,0),0)</f>
        <v>0</v>
      </c>
      <c r="Y324" s="169">
        <f>IF(Y$2&lt;=AnalysisPeriod,IF(SUM($C682:Y682)&gt;0,X324+1,0),0)</f>
        <v>0</v>
      </c>
      <c r="Z324" s="169">
        <f>IF(Z$2&lt;=AnalysisPeriod,IF(SUM($C682:Z682)&gt;0,Y324+1,0),0)</f>
        <v>0</v>
      </c>
      <c r="AA324" s="169">
        <f>IF(AA$2&lt;=AnalysisPeriod,IF(SUM($C682:AA682)&gt;0,Z324+1,0),0)</f>
        <v>0</v>
      </c>
      <c r="AB324" s="169">
        <f>IF(AB$2&lt;=AnalysisPeriod,IF(SUM($C682:AB682)&gt;0,AA324+1,0),0)</f>
        <v>0</v>
      </c>
      <c r="AC324" s="169">
        <f>IF(AC$2&lt;=AnalysisPeriod,IF(SUM($C682:AC682)&gt;0,AB324+1,0),0)</f>
        <v>0</v>
      </c>
      <c r="AD324" s="169">
        <f>IF(AD$2&lt;=AnalysisPeriod,IF(SUM($C682:AD682)&gt;0,AC324+1,0),0)</f>
        <v>0</v>
      </c>
      <c r="AE324" s="169">
        <f>IF(AE$2&lt;=AnalysisPeriod,IF(SUM($C682:AE682)&gt;0,AD324+1,0),0)</f>
        <v>0</v>
      </c>
      <c r="AF324" s="169">
        <f>IF(AF$2&lt;=AnalysisPeriod,IF(SUM($C682:AF682)&gt;0,AE324+1,0),0)</f>
        <v>0</v>
      </c>
      <c r="AG324" s="169">
        <f>IF(AG$2&lt;=AnalysisPeriod,IF(SUM($C682:AG682)&gt;0,AF324+1,0),0)</f>
        <v>0</v>
      </c>
      <c r="AH324" s="169">
        <f>IF(AH$2&lt;=AnalysisPeriod,IF(SUM($C682:AH682)&gt;0,AG324+1,0),0)</f>
        <v>0</v>
      </c>
      <c r="AI324" s="169">
        <f>IF(AI$2&lt;=AnalysisPeriod,IF(SUM($C682:AI682)&gt;0,AH324+1,0),0)</f>
        <v>0</v>
      </c>
      <c r="AJ324" s="169">
        <f>IF(AJ$2&lt;=AnalysisPeriod,IF(SUM($C682:AJ682)&gt;0,AI324+1,0),0)</f>
        <v>0</v>
      </c>
      <c r="AK324" s="169">
        <f>IF(AK$2&lt;=AnalysisPeriod,IF(SUM($C682:AK682)&gt;0,AJ324+1,0),0)</f>
        <v>0</v>
      </c>
      <c r="AL324" s="169">
        <f>IF(AL$2&lt;=AnalysisPeriod,IF(SUM($C682:AL682)&gt;0,AK324+1,0),0)</f>
        <v>0</v>
      </c>
      <c r="AM324" s="169">
        <f>IF(AM$2&lt;=AnalysisPeriod,IF(SUM($C682:AM682)&gt;0,AL324+1,0),0)</f>
        <v>0</v>
      </c>
      <c r="AN324" s="169">
        <f>IF(AN$2&lt;=AnalysisPeriod,IF(SUM($C682:AN682)&gt;0,AM324+1,0),0)</f>
        <v>0</v>
      </c>
      <c r="AO324" s="169">
        <f>IF(AO$2&lt;=AnalysisPeriod,IF(SUM($C682:AO682)&gt;0,AN324+1,0),0)</f>
        <v>0</v>
      </c>
      <c r="AP324" s="169">
        <f>IF(AP$2&lt;=AnalysisPeriod,IF(SUM($C682:AP682)&gt;0,AO324+1,0),0)</f>
        <v>0</v>
      </c>
    </row>
    <row r="325" spans="1:42" x14ac:dyDescent="0.2">
      <c r="A325" s="101">
        <f>A324+1</f>
        <v>9</v>
      </c>
      <c r="C325" s="169">
        <f>IF(C$2&lt;=AnalysisPeriod,IF(SUM($C683:C683)&gt;0,B325+1,0),0)</f>
        <v>0</v>
      </c>
      <c r="D325" s="169">
        <f>IF(D$2&lt;=AnalysisPeriod,IF(SUM($C683:D683)&gt;0,C325+1,0),0)</f>
        <v>0</v>
      </c>
      <c r="E325" s="169">
        <f>IF(E$2&lt;=AnalysisPeriod,IF(SUM($C683:E683)&gt;0,D325+1,0),0)</f>
        <v>0</v>
      </c>
      <c r="F325" s="169">
        <f>IF(F$2&lt;=AnalysisPeriod,IF(SUM($C683:F683)&gt;0,E325+1,0),0)</f>
        <v>0</v>
      </c>
      <c r="G325" s="169">
        <f>IF(G$2&lt;=AnalysisPeriod,IF(SUM($C683:G683)&gt;0,F325+1,0),0)</f>
        <v>0</v>
      </c>
      <c r="H325" s="169">
        <f>IF(H$2&lt;=AnalysisPeriod,IF(SUM($C683:H683)&gt;0,G325+1,0),0)</f>
        <v>0</v>
      </c>
      <c r="I325" s="169">
        <f>IF(I$2&lt;=AnalysisPeriod,IF(SUM($C683:I683)&gt;0,H325+1,0),0)</f>
        <v>0</v>
      </c>
      <c r="J325" s="169">
        <f>IF(J$2&lt;=AnalysisPeriod,IF(SUM($C683:J683)&gt;0,I325+1,0),0)</f>
        <v>0</v>
      </c>
      <c r="K325" s="169">
        <f>IF(K$2&lt;=AnalysisPeriod,IF(SUM($C683:K683)&gt;0,J325+1,0),0)</f>
        <v>0</v>
      </c>
      <c r="L325" s="169">
        <f>IF(L$2&lt;=AnalysisPeriod,IF(SUM($C683:L683)&gt;0,K325+1,0),0)</f>
        <v>0</v>
      </c>
      <c r="M325" s="169">
        <f>IF(M$2&lt;=AnalysisPeriod,IF(SUM($C683:M683)&gt;0,L325+1,0),0)</f>
        <v>0</v>
      </c>
      <c r="N325" s="169">
        <f>IF(N$2&lt;=AnalysisPeriod,IF(SUM($C683:N683)&gt;0,M325+1,0),0)</f>
        <v>0</v>
      </c>
      <c r="O325" s="169">
        <f>IF(O$2&lt;=AnalysisPeriod,IF(SUM($C683:O683)&gt;0,N325+1,0),0)</f>
        <v>0</v>
      </c>
      <c r="P325" s="169">
        <f>IF(P$2&lt;=AnalysisPeriod,IF(SUM($C683:P683)&gt;0,O325+1,0),0)</f>
        <v>0</v>
      </c>
      <c r="Q325" s="169">
        <f>IF(Q$2&lt;=AnalysisPeriod,IF(SUM($C683:Q683)&gt;0,P325+1,0),0)</f>
        <v>0</v>
      </c>
      <c r="R325" s="169">
        <f>IF(R$2&lt;=AnalysisPeriod,IF(SUM($C683:R683)&gt;0,Q325+1,0),0)</f>
        <v>0</v>
      </c>
      <c r="S325" s="169">
        <f>IF(S$2&lt;=AnalysisPeriod,IF(SUM($C683:S683)&gt;0,R325+1,0),0)</f>
        <v>0</v>
      </c>
      <c r="T325" s="169">
        <f>IF(T$2&lt;=AnalysisPeriod,IF(SUM($C683:T683)&gt;0,S325+1,0),0)</f>
        <v>0</v>
      </c>
      <c r="U325" s="169">
        <f>IF(U$2&lt;=AnalysisPeriod,IF(SUM($C683:U683)&gt;0,T325+1,0),0)</f>
        <v>0</v>
      </c>
      <c r="V325" s="169">
        <f>IF(V$2&lt;=AnalysisPeriod,IF(SUM($C683:V683)&gt;0,U325+1,0),0)</f>
        <v>0</v>
      </c>
      <c r="W325" s="169">
        <f>IF(W$2&lt;=AnalysisPeriod,IF(SUM($C683:W683)&gt;0,V325+1,0),0)</f>
        <v>0</v>
      </c>
      <c r="X325" s="169">
        <f>IF(X$2&lt;=AnalysisPeriod,IF(SUM($C683:X683)&gt;0,W325+1,0),0)</f>
        <v>0</v>
      </c>
      <c r="Y325" s="169">
        <f>IF(Y$2&lt;=AnalysisPeriod,IF(SUM($C683:Y683)&gt;0,X325+1,0),0)</f>
        <v>0</v>
      </c>
      <c r="Z325" s="169">
        <f>IF(Z$2&lt;=AnalysisPeriod,IF(SUM($C683:Z683)&gt;0,Y325+1,0),0)</f>
        <v>0</v>
      </c>
      <c r="AA325" s="169">
        <f>IF(AA$2&lt;=AnalysisPeriod,IF(SUM($C683:AA683)&gt;0,Z325+1,0),0)</f>
        <v>0</v>
      </c>
      <c r="AB325" s="169">
        <f>IF(AB$2&lt;=AnalysisPeriod,IF(SUM($C683:AB683)&gt;0,AA325+1,0),0)</f>
        <v>0</v>
      </c>
      <c r="AC325" s="169">
        <f>IF(AC$2&lt;=AnalysisPeriod,IF(SUM($C683:AC683)&gt;0,AB325+1,0),0)</f>
        <v>0</v>
      </c>
      <c r="AD325" s="169">
        <f>IF(AD$2&lt;=AnalysisPeriod,IF(SUM($C683:AD683)&gt;0,AC325+1,0),0)</f>
        <v>0</v>
      </c>
      <c r="AE325" s="169">
        <f>IF(AE$2&lt;=AnalysisPeriod,IF(SUM($C683:AE683)&gt;0,AD325+1,0),0)</f>
        <v>0</v>
      </c>
      <c r="AF325" s="169">
        <f>IF(AF$2&lt;=AnalysisPeriod,IF(SUM($C683:AF683)&gt;0,AE325+1,0),0)</f>
        <v>0</v>
      </c>
      <c r="AG325" s="169">
        <f>IF(AG$2&lt;=AnalysisPeriod,IF(SUM($C683:AG683)&gt;0,AF325+1,0),0)</f>
        <v>0</v>
      </c>
      <c r="AH325" s="169">
        <f>IF(AH$2&lt;=AnalysisPeriod,IF(SUM($C683:AH683)&gt;0,AG325+1,0),0)</f>
        <v>0</v>
      </c>
      <c r="AI325" s="169">
        <f>IF(AI$2&lt;=AnalysisPeriod,IF(SUM($C683:AI683)&gt;0,AH325+1,0),0)</f>
        <v>0</v>
      </c>
      <c r="AJ325" s="169">
        <f>IF(AJ$2&lt;=AnalysisPeriod,IF(SUM($C683:AJ683)&gt;0,AI325+1,0),0)</f>
        <v>0</v>
      </c>
      <c r="AK325" s="169">
        <f>IF(AK$2&lt;=AnalysisPeriod,IF(SUM($C683:AK683)&gt;0,AJ325+1,0),0)</f>
        <v>0</v>
      </c>
      <c r="AL325" s="169">
        <f>IF(AL$2&lt;=AnalysisPeriod,IF(SUM($C683:AL683)&gt;0,AK325+1,0),0)</f>
        <v>0</v>
      </c>
      <c r="AM325" s="169">
        <f>IF(AM$2&lt;=AnalysisPeriod,IF(SUM($C683:AM683)&gt;0,AL325+1,0),0)</f>
        <v>0</v>
      </c>
      <c r="AN325" s="169">
        <f>IF(AN$2&lt;=AnalysisPeriod,IF(SUM($C683:AN683)&gt;0,AM325+1,0),0)</f>
        <v>0</v>
      </c>
      <c r="AO325" s="169">
        <f>IF(AO$2&lt;=AnalysisPeriod,IF(SUM($C683:AO683)&gt;0,AN325+1,0),0)</f>
        <v>0</v>
      </c>
      <c r="AP325" s="169">
        <f>IF(AP$2&lt;=AnalysisPeriod,IF(SUM($C683:AP683)&gt;0,AO325+1,0),0)</f>
        <v>0</v>
      </c>
    </row>
    <row r="326" spans="1:42" x14ac:dyDescent="0.2">
      <c r="A326" s="101">
        <f t="shared" si="170"/>
        <v>10</v>
      </c>
      <c r="C326" s="169">
        <f>IF(C$2&lt;=AnalysisPeriod,IF(SUM($C684:C684)&gt;0,B326+1,0),0)</f>
        <v>0</v>
      </c>
      <c r="D326" s="169">
        <f>IF(D$2&lt;=AnalysisPeriod,IF(SUM($C684:D684)&gt;0,C326+1,0),0)</f>
        <v>0</v>
      </c>
      <c r="E326" s="169">
        <f>IF(E$2&lt;=AnalysisPeriod,IF(SUM($C684:E684)&gt;0,D326+1,0),0)</f>
        <v>0</v>
      </c>
      <c r="F326" s="169">
        <f>IF(F$2&lt;=AnalysisPeriod,IF(SUM($C684:F684)&gt;0,E326+1,0),0)</f>
        <v>0</v>
      </c>
      <c r="G326" s="169">
        <f>IF(G$2&lt;=AnalysisPeriod,IF(SUM($C684:G684)&gt;0,F326+1,0),0)</f>
        <v>0</v>
      </c>
      <c r="H326" s="169">
        <f>IF(H$2&lt;=AnalysisPeriod,IF(SUM($C684:H684)&gt;0,G326+1,0),0)</f>
        <v>0</v>
      </c>
      <c r="I326" s="169">
        <f>IF(I$2&lt;=AnalysisPeriod,IF(SUM($C684:I684)&gt;0,H326+1,0),0)</f>
        <v>0</v>
      </c>
      <c r="J326" s="169">
        <f>IF(J$2&lt;=AnalysisPeriod,IF(SUM($C684:J684)&gt;0,I326+1,0),0)</f>
        <v>0</v>
      </c>
      <c r="K326" s="169">
        <f>IF(K$2&lt;=AnalysisPeriod,IF(SUM($C684:K684)&gt;0,J326+1,0),0)</f>
        <v>0</v>
      </c>
      <c r="L326" s="169">
        <f>IF(L$2&lt;=AnalysisPeriod,IF(SUM($C684:L684)&gt;0,K326+1,0),0)</f>
        <v>0</v>
      </c>
      <c r="M326" s="169">
        <f>IF(M$2&lt;=AnalysisPeriod,IF(SUM($C684:M684)&gt;0,L326+1,0),0)</f>
        <v>0</v>
      </c>
      <c r="N326" s="169">
        <f>IF(N$2&lt;=AnalysisPeriod,IF(SUM($C684:N684)&gt;0,M326+1,0),0)</f>
        <v>0</v>
      </c>
      <c r="O326" s="169">
        <f>IF(O$2&lt;=AnalysisPeriod,IF(SUM($C684:O684)&gt;0,N326+1,0),0)</f>
        <v>0</v>
      </c>
      <c r="P326" s="169">
        <f>IF(P$2&lt;=AnalysisPeriod,IF(SUM($C684:P684)&gt;0,O326+1,0),0)</f>
        <v>0</v>
      </c>
      <c r="Q326" s="169">
        <f>IF(Q$2&lt;=AnalysisPeriod,IF(SUM($C684:Q684)&gt;0,P326+1,0),0)</f>
        <v>0</v>
      </c>
      <c r="R326" s="169">
        <f>IF(R$2&lt;=AnalysisPeriod,IF(SUM($C684:R684)&gt;0,Q326+1,0),0)</f>
        <v>0</v>
      </c>
      <c r="S326" s="169">
        <f>IF(S$2&lt;=AnalysisPeriod,IF(SUM($C684:S684)&gt;0,R326+1,0),0)</f>
        <v>0</v>
      </c>
      <c r="T326" s="169">
        <f>IF(T$2&lt;=AnalysisPeriod,IF(SUM($C684:T684)&gt;0,S326+1,0),0)</f>
        <v>0</v>
      </c>
      <c r="U326" s="169">
        <f>IF(U$2&lt;=AnalysisPeriod,IF(SUM($C684:U684)&gt;0,T326+1,0),0)</f>
        <v>0</v>
      </c>
      <c r="V326" s="169">
        <f>IF(V$2&lt;=AnalysisPeriod,IF(SUM($C684:V684)&gt;0,U326+1,0),0)</f>
        <v>0</v>
      </c>
      <c r="W326" s="169">
        <f>IF(W$2&lt;=AnalysisPeriod,IF(SUM($C684:W684)&gt;0,V326+1,0),0)</f>
        <v>0</v>
      </c>
      <c r="X326" s="169">
        <f>IF(X$2&lt;=AnalysisPeriod,IF(SUM($C684:X684)&gt;0,W326+1,0),0)</f>
        <v>0</v>
      </c>
      <c r="Y326" s="169">
        <f>IF(Y$2&lt;=AnalysisPeriod,IF(SUM($C684:Y684)&gt;0,X326+1,0),0)</f>
        <v>0</v>
      </c>
      <c r="Z326" s="169">
        <f>IF(Z$2&lt;=AnalysisPeriod,IF(SUM($C684:Z684)&gt;0,Y326+1,0),0)</f>
        <v>0</v>
      </c>
      <c r="AA326" s="169">
        <f>IF(AA$2&lt;=AnalysisPeriod,IF(SUM($C684:AA684)&gt;0,Z326+1,0),0)</f>
        <v>0</v>
      </c>
      <c r="AB326" s="169">
        <f>IF(AB$2&lt;=AnalysisPeriod,IF(SUM($C684:AB684)&gt;0,AA326+1,0),0)</f>
        <v>0</v>
      </c>
      <c r="AC326" s="169">
        <f>IF(AC$2&lt;=AnalysisPeriod,IF(SUM($C684:AC684)&gt;0,AB326+1,0),0)</f>
        <v>0</v>
      </c>
      <c r="AD326" s="169">
        <f>IF(AD$2&lt;=AnalysisPeriod,IF(SUM($C684:AD684)&gt;0,AC326+1,0),0)</f>
        <v>0</v>
      </c>
      <c r="AE326" s="169">
        <f>IF(AE$2&lt;=AnalysisPeriod,IF(SUM($C684:AE684)&gt;0,AD326+1,0),0)</f>
        <v>0</v>
      </c>
      <c r="AF326" s="169">
        <f>IF(AF$2&lt;=AnalysisPeriod,IF(SUM($C684:AF684)&gt;0,AE326+1,0),0)</f>
        <v>0</v>
      </c>
      <c r="AG326" s="169">
        <f>IF(AG$2&lt;=AnalysisPeriod,IF(SUM($C684:AG684)&gt;0,AF326+1,0),0)</f>
        <v>0</v>
      </c>
      <c r="AH326" s="169">
        <f>IF(AH$2&lt;=AnalysisPeriod,IF(SUM($C684:AH684)&gt;0,AG326+1,0),0)</f>
        <v>0</v>
      </c>
      <c r="AI326" s="169">
        <f>IF(AI$2&lt;=AnalysisPeriod,IF(SUM($C684:AI684)&gt;0,AH326+1,0),0)</f>
        <v>0</v>
      </c>
      <c r="AJ326" s="169">
        <f>IF(AJ$2&lt;=AnalysisPeriod,IF(SUM($C684:AJ684)&gt;0,AI326+1,0),0)</f>
        <v>0</v>
      </c>
      <c r="AK326" s="169">
        <f>IF(AK$2&lt;=AnalysisPeriod,IF(SUM($C684:AK684)&gt;0,AJ326+1,0),0)</f>
        <v>0</v>
      </c>
      <c r="AL326" s="169">
        <f>IF(AL$2&lt;=AnalysisPeriod,IF(SUM($C684:AL684)&gt;0,AK326+1,0),0)</f>
        <v>0</v>
      </c>
      <c r="AM326" s="169">
        <f>IF(AM$2&lt;=AnalysisPeriod,IF(SUM($C684:AM684)&gt;0,AL326+1,0),0)</f>
        <v>0</v>
      </c>
      <c r="AN326" s="169">
        <f>IF(AN$2&lt;=AnalysisPeriod,IF(SUM($C684:AN684)&gt;0,AM326+1,0),0)</f>
        <v>0</v>
      </c>
      <c r="AO326" s="169">
        <f>IF(AO$2&lt;=AnalysisPeriod,IF(SUM($C684:AO684)&gt;0,AN326+1,0),0)</f>
        <v>0</v>
      </c>
      <c r="AP326" s="169">
        <f>IF(AP$2&lt;=AnalysisPeriod,IF(SUM($C684:AP684)&gt;0,AO326+1,0),0)</f>
        <v>0</v>
      </c>
    </row>
    <row r="327" spans="1:42" x14ac:dyDescent="0.2">
      <c r="A327" s="187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</row>
    <row r="328" spans="1:42" x14ac:dyDescent="0.2">
      <c r="A328" s="187" t="s">
        <v>196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</row>
    <row r="329" spans="1:42" x14ac:dyDescent="0.2">
      <c r="A329" s="101">
        <v>1</v>
      </c>
      <c r="B329" s="179">
        <f t="shared" ref="B329:B338" si="171">SUM(C329:AP329)</f>
        <v>0</v>
      </c>
      <c r="C329" s="208">
        <f t="shared" ref="C329:AP329" si="172">LOOKUP(C317,$B$261:$AP$261,$B$262:$AP$262)*$B675</f>
        <v>0</v>
      </c>
      <c r="D329" s="169">
        <f t="shared" si="172"/>
        <v>0</v>
      </c>
      <c r="E329" s="169">
        <f t="shared" si="172"/>
        <v>0</v>
      </c>
      <c r="F329" s="169">
        <f t="shared" si="172"/>
        <v>0</v>
      </c>
      <c r="G329" s="169">
        <f t="shared" si="172"/>
        <v>0</v>
      </c>
      <c r="H329" s="169">
        <f t="shared" si="172"/>
        <v>0</v>
      </c>
      <c r="I329" s="169">
        <f t="shared" si="172"/>
        <v>0</v>
      </c>
      <c r="J329" s="169">
        <f t="shared" si="172"/>
        <v>0</v>
      </c>
      <c r="K329" s="169">
        <f t="shared" si="172"/>
        <v>0</v>
      </c>
      <c r="L329" s="169">
        <f t="shared" si="172"/>
        <v>0</v>
      </c>
      <c r="M329" s="169">
        <f t="shared" si="172"/>
        <v>0</v>
      </c>
      <c r="N329" s="169">
        <f t="shared" si="172"/>
        <v>0</v>
      </c>
      <c r="O329" s="169">
        <f t="shared" si="172"/>
        <v>0</v>
      </c>
      <c r="P329" s="169">
        <f t="shared" si="172"/>
        <v>0</v>
      </c>
      <c r="Q329" s="169">
        <f t="shared" si="172"/>
        <v>0</v>
      </c>
      <c r="R329" s="169">
        <f t="shared" si="172"/>
        <v>0</v>
      </c>
      <c r="S329" s="169">
        <f t="shared" si="172"/>
        <v>0</v>
      </c>
      <c r="T329" s="169">
        <f t="shared" si="172"/>
        <v>0</v>
      </c>
      <c r="U329" s="169">
        <f t="shared" si="172"/>
        <v>0</v>
      </c>
      <c r="V329" s="169">
        <f t="shared" si="172"/>
        <v>0</v>
      </c>
      <c r="W329" s="169">
        <f t="shared" si="172"/>
        <v>0</v>
      </c>
      <c r="X329" s="169">
        <f t="shared" si="172"/>
        <v>0</v>
      </c>
      <c r="Y329" s="169">
        <f t="shared" si="172"/>
        <v>0</v>
      </c>
      <c r="Z329" s="169">
        <f t="shared" si="172"/>
        <v>0</v>
      </c>
      <c r="AA329" s="169">
        <f t="shared" si="172"/>
        <v>0</v>
      </c>
      <c r="AB329" s="169">
        <f t="shared" si="172"/>
        <v>0</v>
      </c>
      <c r="AC329" s="169">
        <f t="shared" si="172"/>
        <v>0</v>
      </c>
      <c r="AD329" s="169">
        <f t="shared" si="172"/>
        <v>0</v>
      </c>
      <c r="AE329" s="169">
        <f t="shared" si="172"/>
        <v>0</v>
      </c>
      <c r="AF329" s="169">
        <f t="shared" si="172"/>
        <v>0</v>
      </c>
      <c r="AG329" s="169">
        <f t="shared" si="172"/>
        <v>0</v>
      </c>
      <c r="AH329" s="169">
        <f t="shared" si="172"/>
        <v>0</v>
      </c>
      <c r="AI329" s="169">
        <f t="shared" si="172"/>
        <v>0</v>
      </c>
      <c r="AJ329" s="169">
        <f t="shared" si="172"/>
        <v>0</v>
      </c>
      <c r="AK329" s="169">
        <f t="shared" si="172"/>
        <v>0</v>
      </c>
      <c r="AL329" s="169">
        <f t="shared" si="172"/>
        <v>0</v>
      </c>
      <c r="AM329" s="169">
        <f t="shared" si="172"/>
        <v>0</v>
      </c>
      <c r="AN329" s="169">
        <f t="shared" si="172"/>
        <v>0</v>
      </c>
      <c r="AO329" s="169">
        <f t="shared" si="172"/>
        <v>0</v>
      </c>
      <c r="AP329" s="169">
        <f t="shared" si="172"/>
        <v>0</v>
      </c>
    </row>
    <row r="330" spans="1:42" x14ac:dyDescent="0.2">
      <c r="A330" s="101">
        <f>A329+1</f>
        <v>2</v>
      </c>
      <c r="B330" s="179">
        <f t="shared" si="171"/>
        <v>0</v>
      </c>
      <c r="C330" s="208">
        <f t="shared" ref="C330:AP330" si="173">LOOKUP(C318,$B$261:$AP$261,$B$262:$AP$262)*$B676</f>
        <v>0</v>
      </c>
      <c r="D330" s="169">
        <f t="shared" si="173"/>
        <v>0</v>
      </c>
      <c r="E330" s="169">
        <f t="shared" si="173"/>
        <v>0</v>
      </c>
      <c r="F330" s="169">
        <f t="shared" si="173"/>
        <v>0</v>
      </c>
      <c r="G330" s="169">
        <f t="shared" si="173"/>
        <v>0</v>
      </c>
      <c r="H330" s="169">
        <f t="shared" si="173"/>
        <v>0</v>
      </c>
      <c r="I330" s="169">
        <f t="shared" si="173"/>
        <v>0</v>
      </c>
      <c r="J330" s="169">
        <f t="shared" si="173"/>
        <v>0</v>
      </c>
      <c r="K330" s="169">
        <f t="shared" si="173"/>
        <v>0</v>
      </c>
      <c r="L330" s="169">
        <f t="shared" si="173"/>
        <v>0</v>
      </c>
      <c r="M330" s="169">
        <f t="shared" si="173"/>
        <v>0</v>
      </c>
      <c r="N330" s="169">
        <f t="shared" si="173"/>
        <v>0</v>
      </c>
      <c r="O330" s="169">
        <f t="shared" si="173"/>
        <v>0</v>
      </c>
      <c r="P330" s="169">
        <f t="shared" si="173"/>
        <v>0</v>
      </c>
      <c r="Q330" s="169">
        <f t="shared" si="173"/>
        <v>0</v>
      </c>
      <c r="R330" s="169">
        <f t="shared" si="173"/>
        <v>0</v>
      </c>
      <c r="S330" s="169">
        <f t="shared" si="173"/>
        <v>0</v>
      </c>
      <c r="T330" s="169">
        <f t="shared" si="173"/>
        <v>0</v>
      </c>
      <c r="U330" s="169">
        <f t="shared" si="173"/>
        <v>0</v>
      </c>
      <c r="V330" s="169">
        <f t="shared" si="173"/>
        <v>0</v>
      </c>
      <c r="W330" s="169">
        <f t="shared" si="173"/>
        <v>0</v>
      </c>
      <c r="X330" s="169">
        <f t="shared" si="173"/>
        <v>0</v>
      </c>
      <c r="Y330" s="169">
        <f t="shared" si="173"/>
        <v>0</v>
      </c>
      <c r="Z330" s="169">
        <f t="shared" si="173"/>
        <v>0</v>
      </c>
      <c r="AA330" s="169">
        <f t="shared" si="173"/>
        <v>0</v>
      </c>
      <c r="AB330" s="169">
        <f t="shared" si="173"/>
        <v>0</v>
      </c>
      <c r="AC330" s="169">
        <f t="shared" si="173"/>
        <v>0</v>
      </c>
      <c r="AD330" s="169">
        <f t="shared" si="173"/>
        <v>0</v>
      </c>
      <c r="AE330" s="169">
        <f t="shared" si="173"/>
        <v>0</v>
      </c>
      <c r="AF330" s="169">
        <f t="shared" si="173"/>
        <v>0</v>
      </c>
      <c r="AG330" s="169">
        <f t="shared" si="173"/>
        <v>0</v>
      </c>
      <c r="AH330" s="169">
        <f t="shared" si="173"/>
        <v>0</v>
      </c>
      <c r="AI330" s="169">
        <f t="shared" si="173"/>
        <v>0</v>
      </c>
      <c r="AJ330" s="169">
        <f t="shared" si="173"/>
        <v>0</v>
      </c>
      <c r="AK330" s="169">
        <f t="shared" si="173"/>
        <v>0</v>
      </c>
      <c r="AL330" s="169">
        <f t="shared" si="173"/>
        <v>0</v>
      </c>
      <c r="AM330" s="169">
        <f t="shared" si="173"/>
        <v>0</v>
      </c>
      <c r="AN330" s="169">
        <f t="shared" si="173"/>
        <v>0</v>
      </c>
      <c r="AO330" s="169">
        <f t="shared" si="173"/>
        <v>0</v>
      </c>
      <c r="AP330" s="169">
        <f t="shared" si="173"/>
        <v>0</v>
      </c>
    </row>
    <row r="331" spans="1:42" x14ac:dyDescent="0.2">
      <c r="A331" s="101">
        <f t="shared" ref="A331:A338" si="174">A330+1</f>
        <v>3</v>
      </c>
      <c r="B331" s="179">
        <f t="shared" si="171"/>
        <v>0</v>
      </c>
      <c r="C331" s="208">
        <f t="shared" ref="C331:AP331" si="175">LOOKUP(C319,$B$261:$AP$261,$B$262:$AP$262)*$B677</f>
        <v>0</v>
      </c>
      <c r="D331" s="169">
        <f t="shared" si="175"/>
        <v>0</v>
      </c>
      <c r="E331" s="169">
        <f t="shared" si="175"/>
        <v>0</v>
      </c>
      <c r="F331" s="169">
        <f t="shared" si="175"/>
        <v>0</v>
      </c>
      <c r="G331" s="169">
        <f t="shared" si="175"/>
        <v>0</v>
      </c>
      <c r="H331" s="169">
        <f t="shared" si="175"/>
        <v>0</v>
      </c>
      <c r="I331" s="169">
        <f t="shared" si="175"/>
        <v>0</v>
      </c>
      <c r="J331" s="169">
        <f t="shared" si="175"/>
        <v>0</v>
      </c>
      <c r="K331" s="169">
        <f t="shared" si="175"/>
        <v>0</v>
      </c>
      <c r="L331" s="169">
        <f t="shared" si="175"/>
        <v>0</v>
      </c>
      <c r="M331" s="169">
        <f t="shared" si="175"/>
        <v>0</v>
      </c>
      <c r="N331" s="169">
        <f t="shared" si="175"/>
        <v>0</v>
      </c>
      <c r="O331" s="169">
        <f t="shared" si="175"/>
        <v>0</v>
      </c>
      <c r="P331" s="169">
        <f t="shared" si="175"/>
        <v>0</v>
      </c>
      <c r="Q331" s="169">
        <f t="shared" si="175"/>
        <v>0</v>
      </c>
      <c r="R331" s="169">
        <f t="shared" si="175"/>
        <v>0</v>
      </c>
      <c r="S331" s="169">
        <f t="shared" si="175"/>
        <v>0</v>
      </c>
      <c r="T331" s="169">
        <f t="shared" si="175"/>
        <v>0</v>
      </c>
      <c r="U331" s="169">
        <f t="shared" si="175"/>
        <v>0</v>
      </c>
      <c r="V331" s="169">
        <f t="shared" si="175"/>
        <v>0</v>
      </c>
      <c r="W331" s="169">
        <f t="shared" si="175"/>
        <v>0</v>
      </c>
      <c r="X331" s="169">
        <f t="shared" si="175"/>
        <v>0</v>
      </c>
      <c r="Y331" s="169">
        <f t="shared" si="175"/>
        <v>0</v>
      </c>
      <c r="Z331" s="169">
        <f t="shared" si="175"/>
        <v>0</v>
      </c>
      <c r="AA331" s="169">
        <f t="shared" si="175"/>
        <v>0</v>
      </c>
      <c r="AB331" s="169">
        <f t="shared" si="175"/>
        <v>0</v>
      </c>
      <c r="AC331" s="169">
        <f t="shared" si="175"/>
        <v>0</v>
      </c>
      <c r="AD331" s="169">
        <f t="shared" si="175"/>
        <v>0</v>
      </c>
      <c r="AE331" s="169">
        <f t="shared" si="175"/>
        <v>0</v>
      </c>
      <c r="AF331" s="169">
        <f t="shared" si="175"/>
        <v>0</v>
      </c>
      <c r="AG331" s="169">
        <f t="shared" si="175"/>
        <v>0</v>
      </c>
      <c r="AH331" s="169">
        <f t="shared" si="175"/>
        <v>0</v>
      </c>
      <c r="AI331" s="169">
        <f t="shared" si="175"/>
        <v>0</v>
      </c>
      <c r="AJ331" s="169">
        <f t="shared" si="175"/>
        <v>0</v>
      </c>
      <c r="AK331" s="169">
        <f t="shared" si="175"/>
        <v>0</v>
      </c>
      <c r="AL331" s="169">
        <f t="shared" si="175"/>
        <v>0</v>
      </c>
      <c r="AM331" s="169">
        <f t="shared" si="175"/>
        <v>0</v>
      </c>
      <c r="AN331" s="169">
        <f t="shared" si="175"/>
        <v>0</v>
      </c>
      <c r="AO331" s="169">
        <f t="shared" si="175"/>
        <v>0</v>
      </c>
      <c r="AP331" s="169">
        <f t="shared" si="175"/>
        <v>0</v>
      </c>
    </row>
    <row r="332" spans="1:42" x14ac:dyDescent="0.2">
      <c r="A332" s="101">
        <f t="shared" si="174"/>
        <v>4</v>
      </c>
      <c r="B332" s="179">
        <f t="shared" si="171"/>
        <v>0</v>
      </c>
      <c r="C332" s="208">
        <f t="shared" ref="C332:AP332" si="176">LOOKUP(C320,$B$261:$AP$261,$B$262:$AP$262)*$B678</f>
        <v>0</v>
      </c>
      <c r="D332" s="169">
        <f t="shared" si="176"/>
        <v>0</v>
      </c>
      <c r="E332" s="169">
        <f t="shared" si="176"/>
        <v>0</v>
      </c>
      <c r="F332" s="169">
        <f t="shared" si="176"/>
        <v>0</v>
      </c>
      <c r="G332" s="169">
        <f t="shared" si="176"/>
        <v>0</v>
      </c>
      <c r="H332" s="169">
        <f t="shared" si="176"/>
        <v>0</v>
      </c>
      <c r="I332" s="169">
        <f t="shared" si="176"/>
        <v>0</v>
      </c>
      <c r="J332" s="169">
        <f t="shared" si="176"/>
        <v>0</v>
      </c>
      <c r="K332" s="169">
        <f t="shared" si="176"/>
        <v>0</v>
      </c>
      <c r="L332" s="169">
        <f t="shared" si="176"/>
        <v>0</v>
      </c>
      <c r="M332" s="169">
        <f t="shared" si="176"/>
        <v>0</v>
      </c>
      <c r="N332" s="169">
        <f t="shared" si="176"/>
        <v>0</v>
      </c>
      <c r="O332" s="169">
        <f t="shared" si="176"/>
        <v>0</v>
      </c>
      <c r="P332" s="169">
        <f t="shared" si="176"/>
        <v>0</v>
      </c>
      <c r="Q332" s="169">
        <f t="shared" si="176"/>
        <v>0</v>
      </c>
      <c r="R332" s="169">
        <f t="shared" si="176"/>
        <v>0</v>
      </c>
      <c r="S332" s="169">
        <f t="shared" si="176"/>
        <v>0</v>
      </c>
      <c r="T332" s="169">
        <f t="shared" si="176"/>
        <v>0</v>
      </c>
      <c r="U332" s="169">
        <f t="shared" si="176"/>
        <v>0</v>
      </c>
      <c r="V332" s="169">
        <f t="shared" si="176"/>
        <v>0</v>
      </c>
      <c r="W332" s="169">
        <f t="shared" si="176"/>
        <v>0</v>
      </c>
      <c r="X332" s="169">
        <f t="shared" si="176"/>
        <v>0</v>
      </c>
      <c r="Y332" s="169">
        <f t="shared" si="176"/>
        <v>0</v>
      </c>
      <c r="Z332" s="169">
        <f t="shared" si="176"/>
        <v>0</v>
      </c>
      <c r="AA332" s="169">
        <f t="shared" si="176"/>
        <v>0</v>
      </c>
      <c r="AB332" s="169">
        <f t="shared" si="176"/>
        <v>0</v>
      </c>
      <c r="AC332" s="169">
        <f t="shared" si="176"/>
        <v>0</v>
      </c>
      <c r="AD332" s="169">
        <f t="shared" si="176"/>
        <v>0</v>
      </c>
      <c r="AE332" s="169">
        <f t="shared" si="176"/>
        <v>0</v>
      </c>
      <c r="AF332" s="169">
        <f t="shared" si="176"/>
        <v>0</v>
      </c>
      <c r="AG332" s="169">
        <f t="shared" si="176"/>
        <v>0</v>
      </c>
      <c r="AH332" s="169">
        <f t="shared" si="176"/>
        <v>0</v>
      </c>
      <c r="AI332" s="169">
        <f t="shared" si="176"/>
        <v>0</v>
      </c>
      <c r="AJ332" s="169">
        <f t="shared" si="176"/>
        <v>0</v>
      </c>
      <c r="AK332" s="169">
        <f t="shared" si="176"/>
        <v>0</v>
      </c>
      <c r="AL332" s="169">
        <f t="shared" si="176"/>
        <v>0</v>
      </c>
      <c r="AM332" s="169">
        <f t="shared" si="176"/>
        <v>0</v>
      </c>
      <c r="AN332" s="169">
        <f t="shared" si="176"/>
        <v>0</v>
      </c>
      <c r="AO332" s="169">
        <f t="shared" si="176"/>
        <v>0</v>
      </c>
      <c r="AP332" s="169">
        <f t="shared" si="176"/>
        <v>0</v>
      </c>
    </row>
    <row r="333" spans="1:42" x14ac:dyDescent="0.2">
      <c r="A333" s="101">
        <f t="shared" si="174"/>
        <v>5</v>
      </c>
      <c r="B333" s="179">
        <f t="shared" si="171"/>
        <v>0</v>
      </c>
      <c r="C333" s="208">
        <f t="shared" ref="C333:AP333" si="177">LOOKUP(C321,$B$261:$AP$261,$B$262:$AP$262)*$B679</f>
        <v>0</v>
      </c>
      <c r="D333" s="169">
        <f t="shared" si="177"/>
        <v>0</v>
      </c>
      <c r="E333" s="169">
        <f t="shared" si="177"/>
        <v>0</v>
      </c>
      <c r="F333" s="169">
        <f t="shared" si="177"/>
        <v>0</v>
      </c>
      <c r="G333" s="169">
        <f t="shared" si="177"/>
        <v>0</v>
      </c>
      <c r="H333" s="169">
        <f t="shared" si="177"/>
        <v>0</v>
      </c>
      <c r="I333" s="169">
        <f t="shared" si="177"/>
        <v>0</v>
      </c>
      <c r="J333" s="169">
        <f t="shared" si="177"/>
        <v>0</v>
      </c>
      <c r="K333" s="169">
        <f t="shared" si="177"/>
        <v>0</v>
      </c>
      <c r="L333" s="169">
        <f t="shared" si="177"/>
        <v>0</v>
      </c>
      <c r="M333" s="169">
        <f t="shared" si="177"/>
        <v>0</v>
      </c>
      <c r="N333" s="169">
        <f t="shared" si="177"/>
        <v>0</v>
      </c>
      <c r="O333" s="169">
        <f t="shared" si="177"/>
        <v>0</v>
      </c>
      <c r="P333" s="169">
        <f t="shared" si="177"/>
        <v>0</v>
      </c>
      <c r="Q333" s="169">
        <f t="shared" si="177"/>
        <v>0</v>
      </c>
      <c r="R333" s="169">
        <f t="shared" si="177"/>
        <v>0</v>
      </c>
      <c r="S333" s="169">
        <f t="shared" si="177"/>
        <v>0</v>
      </c>
      <c r="T333" s="169">
        <f t="shared" si="177"/>
        <v>0</v>
      </c>
      <c r="U333" s="169">
        <f t="shared" si="177"/>
        <v>0</v>
      </c>
      <c r="V333" s="169">
        <f t="shared" si="177"/>
        <v>0</v>
      </c>
      <c r="W333" s="169">
        <f t="shared" si="177"/>
        <v>0</v>
      </c>
      <c r="X333" s="169">
        <f t="shared" si="177"/>
        <v>0</v>
      </c>
      <c r="Y333" s="169">
        <f t="shared" si="177"/>
        <v>0</v>
      </c>
      <c r="Z333" s="169">
        <f t="shared" si="177"/>
        <v>0</v>
      </c>
      <c r="AA333" s="169">
        <f t="shared" si="177"/>
        <v>0</v>
      </c>
      <c r="AB333" s="169">
        <f t="shared" si="177"/>
        <v>0</v>
      </c>
      <c r="AC333" s="169">
        <f t="shared" si="177"/>
        <v>0</v>
      </c>
      <c r="AD333" s="169">
        <f t="shared" si="177"/>
        <v>0</v>
      </c>
      <c r="AE333" s="169">
        <f t="shared" si="177"/>
        <v>0</v>
      </c>
      <c r="AF333" s="169">
        <f t="shared" si="177"/>
        <v>0</v>
      </c>
      <c r="AG333" s="169">
        <f t="shared" si="177"/>
        <v>0</v>
      </c>
      <c r="AH333" s="169">
        <f t="shared" si="177"/>
        <v>0</v>
      </c>
      <c r="AI333" s="169">
        <f t="shared" si="177"/>
        <v>0</v>
      </c>
      <c r="AJ333" s="169">
        <f t="shared" si="177"/>
        <v>0</v>
      </c>
      <c r="AK333" s="169">
        <f t="shared" si="177"/>
        <v>0</v>
      </c>
      <c r="AL333" s="169">
        <f t="shared" si="177"/>
        <v>0</v>
      </c>
      <c r="AM333" s="169">
        <f t="shared" si="177"/>
        <v>0</v>
      </c>
      <c r="AN333" s="169">
        <f t="shared" si="177"/>
        <v>0</v>
      </c>
      <c r="AO333" s="169">
        <f t="shared" si="177"/>
        <v>0</v>
      </c>
      <c r="AP333" s="169">
        <f t="shared" si="177"/>
        <v>0</v>
      </c>
    </row>
    <row r="334" spans="1:42" x14ac:dyDescent="0.2">
      <c r="A334" s="101">
        <f t="shared" si="174"/>
        <v>6</v>
      </c>
      <c r="B334" s="179">
        <f t="shared" si="171"/>
        <v>0</v>
      </c>
      <c r="C334" s="208">
        <f t="shared" ref="C334:AP334" si="178">LOOKUP(C322,$B$261:$AP$261,$B$262:$AP$262)*$B680</f>
        <v>0</v>
      </c>
      <c r="D334" s="169">
        <f t="shared" si="178"/>
        <v>0</v>
      </c>
      <c r="E334" s="169">
        <f t="shared" si="178"/>
        <v>0</v>
      </c>
      <c r="F334" s="169">
        <f t="shared" si="178"/>
        <v>0</v>
      </c>
      <c r="G334" s="169">
        <f t="shared" si="178"/>
        <v>0</v>
      </c>
      <c r="H334" s="169">
        <f t="shared" si="178"/>
        <v>0</v>
      </c>
      <c r="I334" s="169">
        <f t="shared" si="178"/>
        <v>0</v>
      </c>
      <c r="J334" s="169">
        <f t="shared" si="178"/>
        <v>0</v>
      </c>
      <c r="K334" s="169">
        <f t="shared" si="178"/>
        <v>0</v>
      </c>
      <c r="L334" s="169">
        <f t="shared" si="178"/>
        <v>0</v>
      </c>
      <c r="M334" s="169">
        <f t="shared" si="178"/>
        <v>0</v>
      </c>
      <c r="N334" s="169">
        <f t="shared" si="178"/>
        <v>0</v>
      </c>
      <c r="O334" s="169">
        <f t="shared" si="178"/>
        <v>0</v>
      </c>
      <c r="P334" s="169">
        <f t="shared" si="178"/>
        <v>0</v>
      </c>
      <c r="Q334" s="169">
        <f t="shared" si="178"/>
        <v>0</v>
      </c>
      <c r="R334" s="169">
        <f t="shared" si="178"/>
        <v>0</v>
      </c>
      <c r="S334" s="169">
        <f t="shared" si="178"/>
        <v>0</v>
      </c>
      <c r="T334" s="169">
        <f t="shared" si="178"/>
        <v>0</v>
      </c>
      <c r="U334" s="169">
        <f t="shared" si="178"/>
        <v>0</v>
      </c>
      <c r="V334" s="169">
        <f t="shared" si="178"/>
        <v>0</v>
      </c>
      <c r="W334" s="169">
        <f t="shared" si="178"/>
        <v>0</v>
      </c>
      <c r="X334" s="169">
        <f t="shared" si="178"/>
        <v>0</v>
      </c>
      <c r="Y334" s="169">
        <f t="shared" si="178"/>
        <v>0</v>
      </c>
      <c r="Z334" s="169">
        <f t="shared" si="178"/>
        <v>0</v>
      </c>
      <c r="AA334" s="169">
        <f t="shared" si="178"/>
        <v>0</v>
      </c>
      <c r="AB334" s="169">
        <f t="shared" si="178"/>
        <v>0</v>
      </c>
      <c r="AC334" s="169">
        <f t="shared" si="178"/>
        <v>0</v>
      </c>
      <c r="AD334" s="169">
        <f t="shared" si="178"/>
        <v>0</v>
      </c>
      <c r="AE334" s="169">
        <f t="shared" si="178"/>
        <v>0</v>
      </c>
      <c r="AF334" s="169">
        <f t="shared" si="178"/>
        <v>0</v>
      </c>
      <c r="AG334" s="169">
        <f t="shared" si="178"/>
        <v>0</v>
      </c>
      <c r="AH334" s="169">
        <f t="shared" si="178"/>
        <v>0</v>
      </c>
      <c r="AI334" s="169">
        <f t="shared" si="178"/>
        <v>0</v>
      </c>
      <c r="AJ334" s="169">
        <f t="shared" si="178"/>
        <v>0</v>
      </c>
      <c r="AK334" s="169">
        <f t="shared" si="178"/>
        <v>0</v>
      </c>
      <c r="AL334" s="169">
        <f t="shared" si="178"/>
        <v>0</v>
      </c>
      <c r="AM334" s="169">
        <f t="shared" si="178"/>
        <v>0</v>
      </c>
      <c r="AN334" s="169">
        <f t="shared" si="178"/>
        <v>0</v>
      </c>
      <c r="AO334" s="169">
        <f t="shared" si="178"/>
        <v>0</v>
      </c>
      <c r="AP334" s="169">
        <f t="shared" si="178"/>
        <v>0</v>
      </c>
    </row>
    <row r="335" spans="1:42" x14ac:dyDescent="0.2">
      <c r="A335" s="101">
        <f t="shared" si="174"/>
        <v>7</v>
      </c>
      <c r="B335" s="179">
        <f t="shared" si="171"/>
        <v>0</v>
      </c>
      <c r="C335" s="208">
        <f t="shared" ref="C335:AP335" si="179">LOOKUP(C323,$B$261:$AP$261,$B$262:$AP$262)*$B681</f>
        <v>0</v>
      </c>
      <c r="D335" s="169">
        <f t="shared" si="179"/>
        <v>0</v>
      </c>
      <c r="E335" s="169">
        <f t="shared" si="179"/>
        <v>0</v>
      </c>
      <c r="F335" s="169">
        <f t="shared" si="179"/>
        <v>0</v>
      </c>
      <c r="G335" s="169">
        <f t="shared" si="179"/>
        <v>0</v>
      </c>
      <c r="H335" s="169">
        <f t="shared" si="179"/>
        <v>0</v>
      </c>
      <c r="I335" s="169">
        <f t="shared" si="179"/>
        <v>0</v>
      </c>
      <c r="J335" s="169">
        <f t="shared" si="179"/>
        <v>0</v>
      </c>
      <c r="K335" s="169">
        <f t="shared" si="179"/>
        <v>0</v>
      </c>
      <c r="L335" s="169">
        <f t="shared" si="179"/>
        <v>0</v>
      </c>
      <c r="M335" s="169">
        <f t="shared" si="179"/>
        <v>0</v>
      </c>
      <c r="N335" s="169">
        <f t="shared" si="179"/>
        <v>0</v>
      </c>
      <c r="O335" s="169">
        <f t="shared" si="179"/>
        <v>0</v>
      </c>
      <c r="P335" s="169">
        <f t="shared" si="179"/>
        <v>0</v>
      </c>
      <c r="Q335" s="169">
        <f t="shared" si="179"/>
        <v>0</v>
      </c>
      <c r="R335" s="169">
        <f t="shared" si="179"/>
        <v>0</v>
      </c>
      <c r="S335" s="169">
        <f t="shared" si="179"/>
        <v>0</v>
      </c>
      <c r="T335" s="169">
        <f t="shared" si="179"/>
        <v>0</v>
      </c>
      <c r="U335" s="169">
        <f t="shared" si="179"/>
        <v>0</v>
      </c>
      <c r="V335" s="169">
        <f t="shared" si="179"/>
        <v>0</v>
      </c>
      <c r="W335" s="169">
        <f t="shared" si="179"/>
        <v>0</v>
      </c>
      <c r="X335" s="169">
        <f t="shared" si="179"/>
        <v>0</v>
      </c>
      <c r="Y335" s="169">
        <f t="shared" si="179"/>
        <v>0</v>
      </c>
      <c r="Z335" s="169">
        <f t="shared" si="179"/>
        <v>0</v>
      </c>
      <c r="AA335" s="169">
        <f t="shared" si="179"/>
        <v>0</v>
      </c>
      <c r="AB335" s="169">
        <f t="shared" si="179"/>
        <v>0</v>
      </c>
      <c r="AC335" s="169">
        <f t="shared" si="179"/>
        <v>0</v>
      </c>
      <c r="AD335" s="169">
        <f t="shared" si="179"/>
        <v>0</v>
      </c>
      <c r="AE335" s="169">
        <f t="shared" si="179"/>
        <v>0</v>
      </c>
      <c r="AF335" s="169">
        <f t="shared" si="179"/>
        <v>0</v>
      </c>
      <c r="AG335" s="169">
        <f t="shared" si="179"/>
        <v>0</v>
      </c>
      <c r="AH335" s="169">
        <f t="shared" si="179"/>
        <v>0</v>
      </c>
      <c r="AI335" s="169">
        <f t="shared" si="179"/>
        <v>0</v>
      </c>
      <c r="AJ335" s="169">
        <f t="shared" si="179"/>
        <v>0</v>
      </c>
      <c r="AK335" s="169">
        <f t="shared" si="179"/>
        <v>0</v>
      </c>
      <c r="AL335" s="169">
        <f t="shared" si="179"/>
        <v>0</v>
      </c>
      <c r="AM335" s="169">
        <f t="shared" si="179"/>
        <v>0</v>
      </c>
      <c r="AN335" s="169">
        <f t="shared" si="179"/>
        <v>0</v>
      </c>
      <c r="AO335" s="169">
        <f t="shared" si="179"/>
        <v>0</v>
      </c>
      <c r="AP335" s="169">
        <f t="shared" si="179"/>
        <v>0</v>
      </c>
    </row>
    <row r="336" spans="1:42" x14ac:dyDescent="0.2">
      <c r="A336" s="101">
        <f t="shared" si="174"/>
        <v>8</v>
      </c>
      <c r="B336" s="179">
        <f t="shared" si="171"/>
        <v>0</v>
      </c>
      <c r="C336" s="208">
        <f t="shared" ref="C336:AP336" si="180">LOOKUP(C324,$B$261:$AP$261,$B$262:$AP$262)*$B682</f>
        <v>0</v>
      </c>
      <c r="D336" s="169">
        <f t="shared" si="180"/>
        <v>0</v>
      </c>
      <c r="E336" s="169">
        <f t="shared" si="180"/>
        <v>0</v>
      </c>
      <c r="F336" s="169">
        <f t="shared" si="180"/>
        <v>0</v>
      </c>
      <c r="G336" s="169">
        <f t="shared" si="180"/>
        <v>0</v>
      </c>
      <c r="H336" s="169">
        <f t="shared" si="180"/>
        <v>0</v>
      </c>
      <c r="I336" s="169">
        <f t="shared" si="180"/>
        <v>0</v>
      </c>
      <c r="J336" s="169">
        <f t="shared" si="180"/>
        <v>0</v>
      </c>
      <c r="K336" s="169">
        <f t="shared" si="180"/>
        <v>0</v>
      </c>
      <c r="L336" s="169">
        <f t="shared" si="180"/>
        <v>0</v>
      </c>
      <c r="M336" s="169">
        <f t="shared" si="180"/>
        <v>0</v>
      </c>
      <c r="N336" s="169">
        <f t="shared" si="180"/>
        <v>0</v>
      </c>
      <c r="O336" s="169">
        <f t="shared" si="180"/>
        <v>0</v>
      </c>
      <c r="P336" s="169">
        <f t="shared" si="180"/>
        <v>0</v>
      </c>
      <c r="Q336" s="169">
        <f t="shared" si="180"/>
        <v>0</v>
      </c>
      <c r="R336" s="169">
        <f t="shared" si="180"/>
        <v>0</v>
      </c>
      <c r="S336" s="169">
        <f t="shared" si="180"/>
        <v>0</v>
      </c>
      <c r="T336" s="169">
        <f t="shared" si="180"/>
        <v>0</v>
      </c>
      <c r="U336" s="169">
        <f t="shared" si="180"/>
        <v>0</v>
      </c>
      <c r="V336" s="169">
        <f t="shared" si="180"/>
        <v>0</v>
      </c>
      <c r="W336" s="169">
        <f t="shared" si="180"/>
        <v>0</v>
      </c>
      <c r="X336" s="169">
        <f t="shared" si="180"/>
        <v>0</v>
      </c>
      <c r="Y336" s="169">
        <f t="shared" si="180"/>
        <v>0</v>
      </c>
      <c r="Z336" s="169">
        <f t="shared" si="180"/>
        <v>0</v>
      </c>
      <c r="AA336" s="169">
        <f t="shared" si="180"/>
        <v>0</v>
      </c>
      <c r="AB336" s="169">
        <f t="shared" si="180"/>
        <v>0</v>
      </c>
      <c r="AC336" s="169">
        <f t="shared" si="180"/>
        <v>0</v>
      </c>
      <c r="AD336" s="169">
        <f t="shared" si="180"/>
        <v>0</v>
      </c>
      <c r="AE336" s="169">
        <f t="shared" si="180"/>
        <v>0</v>
      </c>
      <c r="AF336" s="169">
        <f t="shared" si="180"/>
        <v>0</v>
      </c>
      <c r="AG336" s="169">
        <f t="shared" si="180"/>
        <v>0</v>
      </c>
      <c r="AH336" s="169">
        <f t="shared" si="180"/>
        <v>0</v>
      </c>
      <c r="AI336" s="169">
        <f t="shared" si="180"/>
        <v>0</v>
      </c>
      <c r="AJ336" s="169">
        <f t="shared" si="180"/>
        <v>0</v>
      </c>
      <c r="AK336" s="169">
        <f t="shared" si="180"/>
        <v>0</v>
      </c>
      <c r="AL336" s="169">
        <f t="shared" si="180"/>
        <v>0</v>
      </c>
      <c r="AM336" s="169">
        <f t="shared" si="180"/>
        <v>0</v>
      </c>
      <c r="AN336" s="169">
        <f t="shared" si="180"/>
        <v>0</v>
      </c>
      <c r="AO336" s="169">
        <f t="shared" si="180"/>
        <v>0</v>
      </c>
      <c r="AP336" s="169">
        <f t="shared" si="180"/>
        <v>0</v>
      </c>
    </row>
    <row r="337" spans="1:42" x14ac:dyDescent="0.2">
      <c r="A337" s="101">
        <f>A336+1</f>
        <v>9</v>
      </c>
      <c r="B337" s="179">
        <f t="shared" si="171"/>
        <v>0</v>
      </c>
      <c r="C337" s="208">
        <f t="shared" ref="C337:AP337" si="181">LOOKUP(C325,$B$261:$AP$261,$B$262:$AP$262)*$B683</f>
        <v>0</v>
      </c>
      <c r="D337" s="169">
        <f t="shared" si="181"/>
        <v>0</v>
      </c>
      <c r="E337" s="169">
        <f t="shared" si="181"/>
        <v>0</v>
      </c>
      <c r="F337" s="169">
        <f t="shared" si="181"/>
        <v>0</v>
      </c>
      <c r="G337" s="169">
        <f t="shared" si="181"/>
        <v>0</v>
      </c>
      <c r="H337" s="169">
        <f t="shared" si="181"/>
        <v>0</v>
      </c>
      <c r="I337" s="169">
        <f t="shared" si="181"/>
        <v>0</v>
      </c>
      <c r="J337" s="169">
        <f t="shared" si="181"/>
        <v>0</v>
      </c>
      <c r="K337" s="169">
        <f t="shared" si="181"/>
        <v>0</v>
      </c>
      <c r="L337" s="169">
        <f t="shared" si="181"/>
        <v>0</v>
      </c>
      <c r="M337" s="169">
        <f t="shared" si="181"/>
        <v>0</v>
      </c>
      <c r="N337" s="169">
        <f t="shared" si="181"/>
        <v>0</v>
      </c>
      <c r="O337" s="169">
        <f t="shared" si="181"/>
        <v>0</v>
      </c>
      <c r="P337" s="169">
        <f t="shared" si="181"/>
        <v>0</v>
      </c>
      <c r="Q337" s="169">
        <f t="shared" si="181"/>
        <v>0</v>
      </c>
      <c r="R337" s="169">
        <f t="shared" si="181"/>
        <v>0</v>
      </c>
      <c r="S337" s="169">
        <f t="shared" si="181"/>
        <v>0</v>
      </c>
      <c r="T337" s="169">
        <f t="shared" si="181"/>
        <v>0</v>
      </c>
      <c r="U337" s="169">
        <f t="shared" si="181"/>
        <v>0</v>
      </c>
      <c r="V337" s="169">
        <f t="shared" si="181"/>
        <v>0</v>
      </c>
      <c r="W337" s="169">
        <f t="shared" si="181"/>
        <v>0</v>
      </c>
      <c r="X337" s="169">
        <f t="shared" si="181"/>
        <v>0</v>
      </c>
      <c r="Y337" s="169">
        <f t="shared" si="181"/>
        <v>0</v>
      </c>
      <c r="Z337" s="169">
        <f t="shared" si="181"/>
        <v>0</v>
      </c>
      <c r="AA337" s="169">
        <f t="shared" si="181"/>
        <v>0</v>
      </c>
      <c r="AB337" s="169">
        <f t="shared" si="181"/>
        <v>0</v>
      </c>
      <c r="AC337" s="169">
        <f t="shared" si="181"/>
        <v>0</v>
      </c>
      <c r="AD337" s="169">
        <f t="shared" si="181"/>
        <v>0</v>
      </c>
      <c r="AE337" s="169">
        <f t="shared" si="181"/>
        <v>0</v>
      </c>
      <c r="AF337" s="169">
        <f t="shared" si="181"/>
        <v>0</v>
      </c>
      <c r="AG337" s="169">
        <f t="shared" si="181"/>
        <v>0</v>
      </c>
      <c r="AH337" s="169">
        <f t="shared" si="181"/>
        <v>0</v>
      </c>
      <c r="AI337" s="169">
        <f t="shared" si="181"/>
        <v>0</v>
      </c>
      <c r="AJ337" s="169">
        <f t="shared" si="181"/>
        <v>0</v>
      </c>
      <c r="AK337" s="169">
        <f t="shared" si="181"/>
        <v>0</v>
      </c>
      <c r="AL337" s="169">
        <f t="shared" si="181"/>
        <v>0</v>
      </c>
      <c r="AM337" s="169">
        <f t="shared" si="181"/>
        <v>0</v>
      </c>
      <c r="AN337" s="169">
        <f t="shared" si="181"/>
        <v>0</v>
      </c>
      <c r="AO337" s="169">
        <f t="shared" si="181"/>
        <v>0</v>
      </c>
      <c r="AP337" s="169">
        <f t="shared" si="181"/>
        <v>0</v>
      </c>
    </row>
    <row r="338" spans="1:42" x14ac:dyDescent="0.2">
      <c r="A338" s="101">
        <f t="shared" si="174"/>
        <v>10</v>
      </c>
      <c r="B338" s="179">
        <f t="shared" si="171"/>
        <v>0</v>
      </c>
      <c r="C338" s="204">
        <f t="shared" ref="C338:AP338" si="182">LOOKUP(C326,$B$261:$AP$261,$B$262:$AP$262)*$B684</f>
        <v>0</v>
      </c>
      <c r="D338" s="170">
        <f t="shared" si="182"/>
        <v>0</v>
      </c>
      <c r="E338" s="170">
        <f t="shared" si="182"/>
        <v>0</v>
      </c>
      <c r="F338" s="170">
        <f t="shared" si="182"/>
        <v>0</v>
      </c>
      <c r="G338" s="170">
        <f t="shared" si="182"/>
        <v>0</v>
      </c>
      <c r="H338" s="170">
        <f t="shared" si="182"/>
        <v>0</v>
      </c>
      <c r="I338" s="170">
        <f t="shared" si="182"/>
        <v>0</v>
      </c>
      <c r="J338" s="170">
        <f t="shared" si="182"/>
        <v>0</v>
      </c>
      <c r="K338" s="170">
        <f t="shared" si="182"/>
        <v>0</v>
      </c>
      <c r="L338" s="170">
        <f t="shared" si="182"/>
        <v>0</v>
      </c>
      <c r="M338" s="170">
        <f t="shared" si="182"/>
        <v>0</v>
      </c>
      <c r="N338" s="170">
        <f t="shared" si="182"/>
        <v>0</v>
      </c>
      <c r="O338" s="170">
        <f t="shared" si="182"/>
        <v>0</v>
      </c>
      <c r="P338" s="170">
        <f t="shared" si="182"/>
        <v>0</v>
      </c>
      <c r="Q338" s="170">
        <f t="shared" si="182"/>
        <v>0</v>
      </c>
      <c r="R338" s="170">
        <f t="shared" si="182"/>
        <v>0</v>
      </c>
      <c r="S338" s="170">
        <f t="shared" si="182"/>
        <v>0</v>
      </c>
      <c r="T338" s="170">
        <f t="shared" si="182"/>
        <v>0</v>
      </c>
      <c r="U338" s="170">
        <f t="shared" si="182"/>
        <v>0</v>
      </c>
      <c r="V338" s="170">
        <f t="shared" si="182"/>
        <v>0</v>
      </c>
      <c r="W338" s="170">
        <f t="shared" si="182"/>
        <v>0</v>
      </c>
      <c r="X338" s="170">
        <f t="shared" si="182"/>
        <v>0</v>
      </c>
      <c r="Y338" s="170">
        <f t="shared" si="182"/>
        <v>0</v>
      </c>
      <c r="Z338" s="170">
        <f t="shared" si="182"/>
        <v>0</v>
      </c>
      <c r="AA338" s="170">
        <f t="shared" si="182"/>
        <v>0</v>
      </c>
      <c r="AB338" s="170">
        <f t="shared" si="182"/>
        <v>0</v>
      </c>
      <c r="AC338" s="170">
        <f t="shared" si="182"/>
        <v>0</v>
      </c>
      <c r="AD338" s="170">
        <f t="shared" si="182"/>
        <v>0</v>
      </c>
      <c r="AE338" s="170">
        <f t="shared" si="182"/>
        <v>0</v>
      </c>
      <c r="AF338" s="170">
        <f t="shared" si="182"/>
        <v>0</v>
      </c>
      <c r="AG338" s="170">
        <f t="shared" si="182"/>
        <v>0</v>
      </c>
      <c r="AH338" s="170">
        <f t="shared" si="182"/>
        <v>0</v>
      </c>
      <c r="AI338" s="170">
        <f t="shared" si="182"/>
        <v>0</v>
      </c>
      <c r="AJ338" s="170">
        <f t="shared" si="182"/>
        <v>0</v>
      </c>
      <c r="AK338" s="170">
        <f t="shared" si="182"/>
        <v>0</v>
      </c>
      <c r="AL338" s="170">
        <f t="shared" si="182"/>
        <v>0</v>
      </c>
      <c r="AM338" s="170">
        <f t="shared" si="182"/>
        <v>0</v>
      </c>
      <c r="AN338" s="170">
        <f t="shared" si="182"/>
        <v>0</v>
      </c>
      <c r="AO338" s="170">
        <f t="shared" si="182"/>
        <v>0</v>
      </c>
      <c r="AP338" s="170">
        <f t="shared" si="182"/>
        <v>0</v>
      </c>
    </row>
    <row r="339" spans="1:42" s="101" customFormat="1" ht="12" customHeight="1" x14ac:dyDescent="0.2">
      <c r="A339" s="205" t="s">
        <v>53</v>
      </c>
      <c r="B339" s="124"/>
      <c r="C339" s="124">
        <f>SUM(C329:C338)</f>
        <v>0</v>
      </c>
      <c r="D339" s="124">
        <f t="shared" ref="D339:AP339" si="183">SUM(D329:D338)</f>
        <v>0</v>
      </c>
      <c r="E339" s="124">
        <f t="shared" si="183"/>
        <v>0</v>
      </c>
      <c r="F339" s="124">
        <f t="shared" si="183"/>
        <v>0</v>
      </c>
      <c r="G339" s="124">
        <f t="shared" si="183"/>
        <v>0</v>
      </c>
      <c r="H339" s="124">
        <f t="shared" si="183"/>
        <v>0</v>
      </c>
      <c r="I339" s="124">
        <f t="shared" si="183"/>
        <v>0</v>
      </c>
      <c r="J339" s="124">
        <f t="shared" si="183"/>
        <v>0</v>
      </c>
      <c r="K339" s="124">
        <f t="shared" si="183"/>
        <v>0</v>
      </c>
      <c r="L339" s="124">
        <f t="shared" si="183"/>
        <v>0</v>
      </c>
      <c r="M339" s="124">
        <f t="shared" si="183"/>
        <v>0</v>
      </c>
      <c r="N339" s="124">
        <f t="shared" si="183"/>
        <v>0</v>
      </c>
      <c r="O339" s="124">
        <f t="shared" si="183"/>
        <v>0</v>
      </c>
      <c r="P339" s="124">
        <f t="shared" si="183"/>
        <v>0</v>
      </c>
      <c r="Q339" s="124">
        <f t="shared" si="183"/>
        <v>0</v>
      </c>
      <c r="R339" s="124">
        <f t="shared" si="183"/>
        <v>0</v>
      </c>
      <c r="S339" s="124">
        <f t="shared" si="183"/>
        <v>0</v>
      </c>
      <c r="T339" s="124">
        <f t="shared" si="183"/>
        <v>0</v>
      </c>
      <c r="U339" s="124">
        <f t="shared" si="183"/>
        <v>0</v>
      </c>
      <c r="V339" s="124">
        <f t="shared" si="183"/>
        <v>0</v>
      </c>
      <c r="W339" s="124">
        <f t="shared" si="183"/>
        <v>0</v>
      </c>
      <c r="X339" s="124">
        <f t="shared" si="183"/>
        <v>0</v>
      </c>
      <c r="Y339" s="124">
        <f t="shared" si="183"/>
        <v>0</v>
      </c>
      <c r="Z339" s="124">
        <f t="shared" si="183"/>
        <v>0</v>
      </c>
      <c r="AA339" s="124">
        <f t="shared" si="183"/>
        <v>0</v>
      </c>
      <c r="AB339" s="124">
        <f t="shared" si="183"/>
        <v>0</v>
      </c>
      <c r="AC339" s="124">
        <f t="shared" si="183"/>
        <v>0</v>
      </c>
      <c r="AD339" s="124">
        <f t="shared" si="183"/>
        <v>0</v>
      </c>
      <c r="AE339" s="124">
        <f t="shared" si="183"/>
        <v>0</v>
      </c>
      <c r="AF339" s="124">
        <f t="shared" si="183"/>
        <v>0</v>
      </c>
      <c r="AG339" s="124">
        <f t="shared" si="183"/>
        <v>0</v>
      </c>
      <c r="AH339" s="124">
        <f t="shared" si="183"/>
        <v>0</v>
      </c>
      <c r="AI339" s="124">
        <f t="shared" si="183"/>
        <v>0</v>
      </c>
      <c r="AJ339" s="124">
        <f t="shared" si="183"/>
        <v>0</v>
      </c>
      <c r="AK339" s="124">
        <f t="shared" si="183"/>
        <v>0</v>
      </c>
      <c r="AL339" s="124">
        <f t="shared" si="183"/>
        <v>0</v>
      </c>
      <c r="AM339" s="124">
        <f t="shared" si="183"/>
        <v>0</v>
      </c>
      <c r="AN339" s="124">
        <f t="shared" si="183"/>
        <v>0</v>
      </c>
      <c r="AO339" s="124">
        <f t="shared" si="183"/>
        <v>0</v>
      </c>
      <c r="AP339" s="124">
        <f t="shared" si="183"/>
        <v>0</v>
      </c>
    </row>
    <row r="340" spans="1:42" x14ac:dyDescent="0.2">
      <c r="A340" s="187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</row>
    <row r="341" spans="1:42" x14ac:dyDescent="0.2">
      <c r="A341" s="178" t="s">
        <v>395</v>
      </c>
    </row>
    <row r="342" spans="1:42" x14ac:dyDescent="0.2">
      <c r="A342" s="101" t="s">
        <v>82</v>
      </c>
      <c r="G342" s="267" t="s">
        <v>153</v>
      </c>
      <c r="H342" s="268"/>
      <c r="I342" s="268"/>
      <c r="J342" s="269"/>
      <c r="K342" s="209" t="s">
        <v>154</v>
      </c>
      <c r="L342" s="210"/>
    </row>
    <row r="343" spans="1:42" ht="51" x14ac:dyDescent="0.2">
      <c r="A343" s="101"/>
      <c r="B343" s="112" t="s">
        <v>143</v>
      </c>
      <c r="C343" s="112" t="s">
        <v>139</v>
      </c>
      <c r="D343" s="112" t="s">
        <v>141</v>
      </c>
      <c r="E343" s="189" t="s">
        <v>142</v>
      </c>
      <c r="F343" s="112" t="s">
        <v>144</v>
      </c>
      <c r="G343" s="112" t="s">
        <v>148</v>
      </c>
      <c r="H343" s="112" t="s">
        <v>150</v>
      </c>
      <c r="I343" s="112" t="s">
        <v>149</v>
      </c>
      <c r="J343" s="112" t="s">
        <v>151</v>
      </c>
      <c r="K343" s="211" t="s">
        <v>34</v>
      </c>
      <c r="L343" s="112" t="s">
        <v>151</v>
      </c>
      <c r="M343" s="190" t="s">
        <v>155</v>
      </c>
      <c r="N343" s="190" t="s">
        <v>156</v>
      </c>
      <c r="O343" s="112" t="s">
        <v>145</v>
      </c>
      <c r="P343" s="191" t="s">
        <v>268</v>
      </c>
      <c r="Q343" s="112" t="s">
        <v>273</v>
      </c>
    </row>
    <row r="344" spans="1:42" s="101" customFormat="1" x14ac:dyDescent="0.2">
      <c r="A344" s="234" t="str">
        <f>A210</f>
        <v>5-yr MACRS</v>
      </c>
      <c r="B344" s="324">
        <f>C344/$C$351</f>
        <v>0.92783505154639179</v>
      </c>
      <c r="C344" s="124">
        <f>'Inputs &amp; Results'!E254</f>
        <v>39490951.328647621</v>
      </c>
      <c r="D344" s="124">
        <f>IF(FedBasisReduction="5-Yr MACRS",D351,$B344*D$351)</f>
        <v>0</v>
      </c>
      <c r="E344" s="124">
        <f>IF(FedBasisReduction="5-Yr MACRS",E351,$B344*E$351)</f>
        <v>0</v>
      </c>
      <c r="F344" s="206">
        <f>C344-D344-E344</f>
        <v>39490951.328647621</v>
      </c>
      <c r="G344" s="325">
        <f>IF('Inputs &amp; Results'!B292="Yes",F344,0)</f>
        <v>39490951.328647621</v>
      </c>
      <c r="H344" s="369">
        <f>IF($G$351=0,0,G344/$G$351)</f>
        <v>1</v>
      </c>
      <c r="I344" s="326">
        <f t="shared" ref="I344:I349" si="184">$I$351*H344</f>
        <v>11847285.398594286</v>
      </c>
      <c r="J344" s="327">
        <f>I344*0.5</f>
        <v>5923642.6992971431</v>
      </c>
      <c r="K344" s="206">
        <f t="shared" ref="K344:K349" si="185">H344*$K$351</f>
        <v>0</v>
      </c>
      <c r="L344" s="206">
        <f>K344*0.5</f>
        <v>0</v>
      </c>
      <c r="M344" s="124">
        <f t="shared" ref="M344:M349" si="186">IF(ITCStateFixedFedDeprec="Yes",L210,0)+IF(ITCStatePercentFedDeprec="Yes",J210,0)</f>
        <v>0</v>
      </c>
      <c r="N344" s="124">
        <f t="shared" ref="N344:N349" si="187">IF(ITCFedFixedFedDeprec="Yes",L344,0)+IF(ITCFedPercentFedDeprec="Yes",J344,0)</f>
        <v>5923642.6992971431</v>
      </c>
      <c r="O344" s="329">
        <f t="shared" ref="O344:O349" si="188">F344-M344-N344</f>
        <v>33567308.629350476</v>
      </c>
      <c r="P344" s="124">
        <f>IF('Inputs &amp; Results'!B275="Yes",O344*FedBonusDeprec,0)</f>
        <v>0</v>
      </c>
      <c r="Q344" s="206">
        <f>O344-P344</f>
        <v>33567308.629350476</v>
      </c>
    </row>
    <row r="345" spans="1:42" s="101" customFormat="1" x14ac:dyDescent="0.2">
      <c r="A345" s="234" t="str">
        <f t="shared" ref="A345:A349" si="189">A211</f>
        <v>15-yr MACRS</v>
      </c>
      <c r="B345" s="324">
        <f t="shared" ref="B345:B349" si="190">C345/$C$351</f>
        <v>1.5463917525773195E-2</v>
      </c>
      <c r="C345" s="124">
        <f>'Inputs &amp; Results'!E255</f>
        <v>658182.52214412694</v>
      </c>
      <c r="D345" s="124">
        <f t="shared" ref="D345:E349" si="191">IF(FedBasisReduction="5-Yr MACRS",0,$B345*D$351)</f>
        <v>0</v>
      </c>
      <c r="E345" s="124">
        <f t="shared" si="191"/>
        <v>0</v>
      </c>
      <c r="F345" s="206">
        <f t="shared" ref="F345:F349" si="192">C345-D345-E345</f>
        <v>658182.52214412694</v>
      </c>
      <c r="G345" s="328">
        <f>IF('Inputs &amp; Results'!B293="Yes",F345,0)</f>
        <v>0</v>
      </c>
      <c r="H345" s="370">
        <f t="shared" ref="H345:H349" si="193">IF($G$351=0,0,G345/$G$351)</f>
        <v>0</v>
      </c>
      <c r="I345" s="124">
        <f t="shared" si="184"/>
        <v>0</v>
      </c>
      <c r="J345" s="300">
        <f t="shared" ref="J345:J349" si="194">I345*0.5</f>
        <v>0</v>
      </c>
      <c r="K345" s="206">
        <f t="shared" si="185"/>
        <v>0</v>
      </c>
      <c r="L345" s="206">
        <f t="shared" ref="L345:L349" si="195">K345*0.5</f>
        <v>0</v>
      </c>
      <c r="M345" s="124">
        <f t="shared" si="186"/>
        <v>0</v>
      </c>
      <c r="N345" s="124">
        <f t="shared" si="187"/>
        <v>0</v>
      </c>
      <c r="O345" s="206">
        <f t="shared" si="188"/>
        <v>658182.52214412694</v>
      </c>
      <c r="P345" s="124">
        <f>IF('Inputs &amp; Results'!B276="Yes",O345*FedBonusDeprec,0)</f>
        <v>0</v>
      </c>
      <c r="Q345" s="206">
        <f t="shared" ref="Q345:Q349" si="196">O345-P345</f>
        <v>658182.52214412694</v>
      </c>
    </row>
    <row r="346" spans="1:42" s="101" customFormat="1" x14ac:dyDescent="0.2">
      <c r="A346" s="234" t="str">
        <f t="shared" si="189"/>
        <v>5-yr SL</v>
      </c>
      <c r="B346" s="324">
        <f t="shared" si="190"/>
        <v>0</v>
      </c>
      <c r="C346" s="124">
        <f>'Inputs &amp; Results'!E256</f>
        <v>0</v>
      </c>
      <c r="D346" s="124">
        <f t="shared" si="191"/>
        <v>0</v>
      </c>
      <c r="E346" s="124">
        <f t="shared" si="191"/>
        <v>0</v>
      </c>
      <c r="F346" s="206">
        <f t="shared" si="192"/>
        <v>0</v>
      </c>
      <c r="G346" s="328">
        <f>IF('Inputs &amp; Results'!B294="Yes",F346,0)</f>
        <v>0</v>
      </c>
      <c r="H346" s="370">
        <f t="shared" si="193"/>
        <v>0</v>
      </c>
      <c r="I346" s="124">
        <f t="shared" si="184"/>
        <v>0</v>
      </c>
      <c r="J346" s="300">
        <f t="shared" si="194"/>
        <v>0</v>
      </c>
      <c r="K346" s="206">
        <f t="shared" si="185"/>
        <v>0</v>
      </c>
      <c r="L346" s="206">
        <f t="shared" si="195"/>
        <v>0</v>
      </c>
      <c r="M346" s="124">
        <f t="shared" si="186"/>
        <v>0</v>
      </c>
      <c r="N346" s="124">
        <f t="shared" si="187"/>
        <v>0</v>
      </c>
      <c r="O346" s="206">
        <f t="shared" si="188"/>
        <v>0</v>
      </c>
      <c r="P346" s="124">
        <f>IF('Inputs &amp; Results'!B277="Yes",O346*FedBonusDeprec,0)</f>
        <v>0</v>
      </c>
      <c r="Q346" s="206">
        <f t="shared" si="196"/>
        <v>0</v>
      </c>
    </row>
    <row r="347" spans="1:42" s="101" customFormat="1" x14ac:dyDescent="0.2">
      <c r="A347" s="234" t="str">
        <f t="shared" si="189"/>
        <v>15-yr SL</v>
      </c>
      <c r="B347" s="324">
        <f t="shared" si="190"/>
        <v>2.5773195876288662E-2</v>
      </c>
      <c r="C347" s="124">
        <f>'Inputs &amp; Results'!E257</f>
        <v>1096970.8702402117</v>
      </c>
      <c r="D347" s="124">
        <f t="shared" si="191"/>
        <v>0</v>
      </c>
      <c r="E347" s="124">
        <f t="shared" si="191"/>
        <v>0</v>
      </c>
      <c r="F347" s="206">
        <f t="shared" si="192"/>
        <v>1096970.8702402117</v>
      </c>
      <c r="G347" s="328">
        <f>IF('Inputs &amp; Results'!B295="Yes",F347,0)</f>
        <v>0</v>
      </c>
      <c r="H347" s="370">
        <f t="shared" si="193"/>
        <v>0</v>
      </c>
      <c r="I347" s="124">
        <f t="shared" si="184"/>
        <v>0</v>
      </c>
      <c r="J347" s="300">
        <f t="shared" si="194"/>
        <v>0</v>
      </c>
      <c r="K347" s="206">
        <f t="shared" si="185"/>
        <v>0</v>
      </c>
      <c r="L347" s="206">
        <f t="shared" si="195"/>
        <v>0</v>
      </c>
      <c r="M347" s="124">
        <f t="shared" si="186"/>
        <v>0</v>
      </c>
      <c r="N347" s="124">
        <f t="shared" si="187"/>
        <v>0</v>
      </c>
      <c r="O347" s="206">
        <f t="shared" si="188"/>
        <v>1096970.8702402117</v>
      </c>
      <c r="P347" s="124">
        <f>IF('Inputs &amp; Results'!B278="Yes",O347*FedBonusDeprec,0)</f>
        <v>0</v>
      </c>
      <c r="Q347" s="206">
        <f t="shared" si="196"/>
        <v>1096970.8702402117</v>
      </c>
    </row>
    <row r="348" spans="1:42" s="101" customFormat="1" x14ac:dyDescent="0.2">
      <c r="A348" s="234" t="str">
        <f t="shared" si="189"/>
        <v>20-yr SL</v>
      </c>
      <c r="B348" s="324">
        <f t="shared" si="190"/>
        <v>2.5773195876288662E-2</v>
      </c>
      <c r="C348" s="124">
        <f>'Inputs &amp; Results'!E258</f>
        <v>1096970.8702402117</v>
      </c>
      <c r="D348" s="124">
        <f t="shared" si="191"/>
        <v>0</v>
      </c>
      <c r="E348" s="124">
        <f t="shared" si="191"/>
        <v>0</v>
      </c>
      <c r="F348" s="206">
        <f t="shared" si="192"/>
        <v>1096970.8702402117</v>
      </c>
      <c r="G348" s="328">
        <f>IF('Inputs &amp; Results'!B296="Yes",F348,0)</f>
        <v>0</v>
      </c>
      <c r="H348" s="370">
        <f t="shared" si="193"/>
        <v>0</v>
      </c>
      <c r="I348" s="124">
        <f t="shared" si="184"/>
        <v>0</v>
      </c>
      <c r="J348" s="300">
        <f t="shared" si="194"/>
        <v>0</v>
      </c>
      <c r="K348" s="206">
        <f t="shared" si="185"/>
        <v>0</v>
      </c>
      <c r="L348" s="206">
        <f t="shared" si="195"/>
        <v>0</v>
      </c>
      <c r="M348" s="124">
        <f t="shared" si="186"/>
        <v>0</v>
      </c>
      <c r="N348" s="124">
        <f t="shared" si="187"/>
        <v>0</v>
      </c>
      <c r="O348" s="206">
        <f t="shared" si="188"/>
        <v>1096970.8702402117</v>
      </c>
      <c r="P348" s="124">
        <f>IF('Inputs &amp; Results'!B279="Yes",O348*FedBonusDeprec,0)</f>
        <v>0</v>
      </c>
      <c r="Q348" s="206">
        <f t="shared" si="196"/>
        <v>1096970.8702402117</v>
      </c>
    </row>
    <row r="349" spans="1:42" s="101" customFormat="1" x14ac:dyDescent="0.2">
      <c r="A349" s="234" t="str">
        <f t="shared" si="189"/>
        <v>39-yr SL</v>
      </c>
      <c r="B349" s="324">
        <f t="shared" si="190"/>
        <v>5.1546391752577319E-3</v>
      </c>
      <c r="C349" s="124">
        <f>'Inputs &amp; Results'!E259</f>
        <v>219394.17404804233</v>
      </c>
      <c r="D349" s="124">
        <f t="shared" si="191"/>
        <v>0</v>
      </c>
      <c r="E349" s="124">
        <f t="shared" si="191"/>
        <v>0</v>
      </c>
      <c r="F349" s="206">
        <f t="shared" si="192"/>
        <v>219394.17404804233</v>
      </c>
      <c r="G349" s="328">
        <f>IF('Inputs &amp; Results'!B297="Yes",F349,0)</f>
        <v>0</v>
      </c>
      <c r="H349" s="370">
        <f t="shared" si="193"/>
        <v>0</v>
      </c>
      <c r="I349" s="124">
        <f t="shared" si="184"/>
        <v>0</v>
      </c>
      <c r="J349" s="300">
        <f t="shared" si="194"/>
        <v>0</v>
      </c>
      <c r="K349" s="206">
        <f t="shared" si="185"/>
        <v>0</v>
      </c>
      <c r="L349" s="206">
        <f t="shared" si="195"/>
        <v>0</v>
      </c>
      <c r="M349" s="124">
        <f t="shared" si="186"/>
        <v>0</v>
      </c>
      <c r="N349" s="124">
        <f t="shared" si="187"/>
        <v>0</v>
      </c>
      <c r="O349" s="206">
        <f t="shared" si="188"/>
        <v>219394.17404804233</v>
      </c>
      <c r="P349" s="124">
        <f>IF('Inputs &amp; Results'!B280="Yes",O349*FedBonusDeprec,0)</f>
        <v>0</v>
      </c>
      <c r="Q349" s="206">
        <f t="shared" si="196"/>
        <v>219394.17404804233</v>
      </c>
    </row>
    <row r="350" spans="1:42" x14ac:dyDescent="0.2">
      <c r="A350" s="238" t="s">
        <v>311</v>
      </c>
      <c r="B350" s="192"/>
      <c r="C350" s="193"/>
      <c r="D350" s="193"/>
      <c r="E350" s="193"/>
      <c r="F350" s="193"/>
      <c r="G350" s="192"/>
      <c r="H350" s="213"/>
      <c r="I350" s="214"/>
      <c r="J350" s="214"/>
      <c r="K350" s="214"/>
      <c r="L350" s="214"/>
      <c r="M350" s="194"/>
      <c r="N350" s="194"/>
      <c r="O350" s="86"/>
      <c r="P350" s="194"/>
      <c r="Q350" s="86"/>
    </row>
    <row r="351" spans="1:42" s="101" customFormat="1" x14ac:dyDescent="0.2">
      <c r="B351" s="330">
        <f>SUM(B344:B350)</f>
        <v>1</v>
      </c>
      <c r="C351" s="186">
        <f>SUM(C344:C350)</f>
        <v>42562469.765320212</v>
      </c>
      <c r="D351" s="186">
        <f>B360+B366</f>
        <v>0</v>
      </c>
      <c r="E351" s="186">
        <f>B372</f>
        <v>0</v>
      </c>
      <c r="F351" s="207">
        <f t="shared" ref="F351:Q351" si="197">SUM(F344:F350)</f>
        <v>42562469.765320212</v>
      </c>
      <c r="G351" s="207">
        <f>SUM(G344:G350)</f>
        <v>39490951.328647621</v>
      </c>
      <c r="H351" s="331">
        <f>SUM(H344:H350)</f>
        <v>1</v>
      </c>
      <c r="I351" s="207">
        <f>MIN(ITCFedMax,ITCFedPercent*G351)</f>
        <v>11847285.398594286</v>
      </c>
      <c r="J351" s="207">
        <f>SUM(J344:J350)</f>
        <v>5923642.6992971431</v>
      </c>
      <c r="K351" s="207">
        <f>ITCFedFixed</f>
        <v>0</v>
      </c>
      <c r="L351" s="207">
        <f>SUM(L344:L350)</f>
        <v>0</v>
      </c>
      <c r="M351" s="186">
        <f t="shared" si="197"/>
        <v>0</v>
      </c>
      <c r="N351" s="186">
        <f t="shared" si="197"/>
        <v>5923642.6992971431</v>
      </c>
      <c r="O351" s="207">
        <f t="shared" si="197"/>
        <v>36638827.066023067</v>
      </c>
      <c r="P351" s="207">
        <f t="shared" si="197"/>
        <v>0</v>
      </c>
      <c r="Q351" s="207">
        <f t="shared" si="197"/>
        <v>36638827.066023067</v>
      </c>
    </row>
    <row r="352" spans="1:42" x14ac:dyDescent="0.2">
      <c r="A352" s="101"/>
    </row>
    <row r="353" spans="1:2" x14ac:dyDescent="0.2">
      <c r="A353" s="101" t="s">
        <v>152</v>
      </c>
    </row>
    <row r="354" spans="1:2" x14ac:dyDescent="0.2">
      <c r="A354" s="234" t="str">
        <f>A220</f>
        <v>Investment Based Incentive (IBI)</v>
      </c>
    </row>
    <row r="355" spans="1:2" x14ac:dyDescent="0.2">
      <c r="A355" s="235" t="str">
        <f t="shared" ref="A355:A373" si="198">A221</f>
        <v>Fixed Amount ($)</v>
      </c>
    </row>
    <row r="356" spans="1:2" x14ac:dyDescent="0.2">
      <c r="A356" s="236" t="str">
        <f t="shared" si="198"/>
        <v>Federal</v>
      </c>
      <c r="B356" s="135">
        <f>IF(IBIFedFixedFedDeprec="Yes",IBIFedFixed,0)</f>
        <v>0</v>
      </c>
    </row>
    <row r="357" spans="1:2" x14ac:dyDescent="0.2">
      <c r="A357" s="236" t="str">
        <f t="shared" si="198"/>
        <v>State</v>
      </c>
      <c r="B357" s="135">
        <f>IF(IBIStateFixedFedDeprec="Yes",IBIStateFixed,0)</f>
        <v>0</v>
      </c>
    </row>
    <row r="358" spans="1:2" x14ac:dyDescent="0.2">
      <c r="A358" s="236" t="str">
        <f t="shared" si="198"/>
        <v>Utility</v>
      </c>
      <c r="B358" s="135">
        <f>IF(IBIUtilityFixedFedDeprec="Yes",IBIUtilityFixed,0)</f>
        <v>0</v>
      </c>
    </row>
    <row r="359" spans="1:2" x14ac:dyDescent="0.2">
      <c r="A359" s="236" t="str">
        <f t="shared" si="198"/>
        <v>Other</v>
      </c>
      <c r="B359" s="170">
        <f>IF(IBIOtherFixedFedDeprec="Yes",IBIOtherFixed,0)</f>
        <v>0</v>
      </c>
    </row>
    <row r="360" spans="1:2" x14ac:dyDescent="0.2">
      <c r="A360" s="236" t="str">
        <f t="shared" si="198"/>
        <v>Total</v>
      </c>
      <c r="B360" s="135">
        <f>SUM(B356:B359)</f>
        <v>0</v>
      </c>
    </row>
    <row r="361" spans="1:2" x14ac:dyDescent="0.2">
      <c r="A361" s="235" t="str">
        <f t="shared" si="198"/>
        <v>Percentage of Pre-Financing Costs</v>
      </c>
    </row>
    <row r="362" spans="1:2" x14ac:dyDescent="0.2">
      <c r="A362" s="236" t="str">
        <f t="shared" si="198"/>
        <v>Federal</v>
      </c>
      <c r="B362" s="135">
        <f>IF(IBIFedPercentFedDeprec="Yes",IBIFedPercent,0)</f>
        <v>0</v>
      </c>
    </row>
    <row r="363" spans="1:2" x14ac:dyDescent="0.2">
      <c r="A363" s="236" t="str">
        <f t="shared" si="198"/>
        <v>State</v>
      </c>
      <c r="B363" s="135">
        <f>IF(IBIStatePercentFedDeprec="Yes",IBIStatePercent,0)</f>
        <v>0</v>
      </c>
    </row>
    <row r="364" spans="1:2" x14ac:dyDescent="0.2">
      <c r="A364" s="236" t="str">
        <f t="shared" si="198"/>
        <v>Utility</v>
      </c>
      <c r="B364" s="135">
        <f>IF(IBIUtilityPercentFedDeprec="Yes",IBIUtilityPercent,0)</f>
        <v>0</v>
      </c>
    </row>
    <row r="365" spans="1:2" x14ac:dyDescent="0.2">
      <c r="A365" s="236" t="str">
        <f t="shared" si="198"/>
        <v>Other</v>
      </c>
      <c r="B365" s="170">
        <f>IF(IBIOtherPercentFedDeprec="Yes",IBIOtherPercent,0)</f>
        <v>0</v>
      </c>
    </row>
    <row r="366" spans="1:2" x14ac:dyDescent="0.2">
      <c r="A366" s="236" t="str">
        <f t="shared" si="198"/>
        <v>Total</v>
      </c>
      <c r="B366" s="135">
        <f>SUM(B362:B365)</f>
        <v>0</v>
      </c>
    </row>
    <row r="367" spans="1:2" x14ac:dyDescent="0.2">
      <c r="A367" s="234" t="str">
        <f t="shared" si="198"/>
        <v>Capacity Based Incentive (CBI)</v>
      </c>
    </row>
    <row r="368" spans="1:2" x14ac:dyDescent="0.2">
      <c r="A368" s="235" t="str">
        <f t="shared" si="198"/>
        <v>Federal</v>
      </c>
      <c r="B368" s="135">
        <f>IF(CBIFedFedDeprec="Yes",CBIFed,0)</f>
        <v>0</v>
      </c>
    </row>
    <row r="369" spans="1:42" x14ac:dyDescent="0.2">
      <c r="A369" s="235" t="str">
        <f t="shared" si="198"/>
        <v>State</v>
      </c>
      <c r="B369" s="135">
        <f>IF(CBIStateFedDeprec="Yes",CBIState,0)</f>
        <v>0</v>
      </c>
    </row>
    <row r="370" spans="1:42" x14ac:dyDescent="0.2">
      <c r="A370" s="235" t="str">
        <f t="shared" si="198"/>
        <v>Utility</v>
      </c>
      <c r="B370" s="135">
        <f>IF(CBIUtilityFedDeprec="Yes",CBIUtility,0)</f>
        <v>0</v>
      </c>
    </row>
    <row r="371" spans="1:42" x14ac:dyDescent="0.2">
      <c r="A371" s="235" t="str">
        <f t="shared" si="198"/>
        <v>Other</v>
      </c>
      <c r="B371" s="170">
        <f>IF(CBIOtherFedDeprec="Yes",CBIOther,0)</f>
        <v>0</v>
      </c>
    </row>
    <row r="372" spans="1:42" x14ac:dyDescent="0.2">
      <c r="A372" s="235" t="str">
        <f t="shared" si="198"/>
        <v>Total</v>
      </c>
      <c r="B372" s="177">
        <f>SUM(B368:B371)</f>
        <v>0</v>
      </c>
    </row>
    <row r="373" spans="1:42" x14ac:dyDescent="0.2">
      <c r="A373" s="234" t="str">
        <f t="shared" si="198"/>
        <v>Total Basis Reduction</v>
      </c>
      <c r="B373" s="135">
        <f>B360+B366+B372</f>
        <v>0</v>
      </c>
    </row>
    <row r="374" spans="1:42" x14ac:dyDescent="0.2">
      <c r="A374" s="101"/>
    </row>
    <row r="375" spans="1:42" x14ac:dyDescent="0.2">
      <c r="A375" s="101" t="s">
        <v>236</v>
      </c>
    </row>
    <row r="376" spans="1:42" x14ac:dyDescent="0.2">
      <c r="A376" s="234" t="s">
        <v>146</v>
      </c>
    </row>
    <row r="377" spans="1:42" x14ac:dyDescent="0.2">
      <c r="A377" s="188" t="str">
        <f>A344</f>
        <v>5-yr MACRS</v>
      </c>
      <c r="B377" s="197">
        <f>SUM(C377:AP377)</f>
        <v>0.99999999999999989</v>
      </c>
      <c r="C377" s="198">
        <f>LOOKUP(C$2,'Depreciation Schedules'!$A$3:$A$42,'Depreciation Schedules'!$B$3:$B$42)</f>
        <v>0.2</v>
      </c>
      <c r="D377" s="198">
        <f>LOOKUP(D$2,'Depreciation Schedules'!$A$3:$A$42,'Depreciation Schedules'!$B$3:$B$42)</f>
        <v>0.32</v>
      </c>
      <c r="E377" s="198">
        <f>LOOKUP(E$2,'Depreciation Schedules'!$A$3:$A$42,'Depreciation Schedules'!$B$3:$B$42)</f>
        <v>0.192</v>
      </c>
      <c r="F377" s="198">
        <f>LOOKUP(F$2,'Depreciation Schedules'!$A$3:$A$42,'Depreciation Schedules'!$B$3:$B$42)</f>
        <v>0.1152</v>
      </c>
      <c r="G377" s="198">
        <f>LOOKUP(G$2,'Depreciation Schedules'!$A$3:$A$42,'Depreciation Schedules'!$B$3:$B$42)</f>
        <v>0.1152</v>
      </c>
      <c r="H377" s="198">
        <f>LOOKUP(H$2,'Depreciation Schedules'!$A$3:$A$42,'Depreciation Schedules'!$B$3:$B$42)</f>
        <v>5.7599999999999998E-2</v>
      </c>
      <c r="I377" s="198">
        <f>LOOKUP(I$2,'Depreciation Schedules'!$A$3:$A$42,'Depreciation Schedules'!$B$3:$B$42)</f>
        <v>0</v>
      </c>
      <c r="J377" s="198">
        <f>LOOKUP(J$2,'Depreciation Schedules'!$A$3:$A$42,'Depreciation Schedules'!$B$3:$B$42)</f>
        <v>0</v>
      </c>
      <c r="K377" s="198">
        <f>LOOKUP(K$2,'Depreciation Schedules'!$A$3:$A$42,'Depreciation Schedules'!$B$3:$B$42)</f>
        <v>0</v>
      </c>
      <c r="L377" s="198">
        <f>LOOKUP(L$2,'Depreciation Schedules'!$A$3:$A$42,'Depreciation Schedules'!$B$3:$B$42)</f>
        <v>0</v>
      </c>
      <c r="M377" s="198">
        <f>LOOKUP(M$2,'Depreciation Schedules'!$A$3:$A$42,'Depreciation Schedules'!$B$3:$B$42)</f>
        <v>0</v>
      </c>
      <c r="N377" s="198">
        <f>LOOKUP(N$2,'Depreciation Schedules'!$A$3:$A$42,'Depreciation Schedules'!$B$3:$B$42)</f>
        <v>0</v>
      </c>
      <c r="O377" s="198">
        <f>LOOKUP(O$2,'Depreciation Schedules'!$A$3:$A$42,'Depreciation Schedules'!$B$3:$B$42)</f>
        <v>0</v>
      </c>
      <c r="P377" s="198">
        <f>LOOKUP(P$2,'Depreciation Schedules'!$A$3:$A$42,'Depreciation Schedules'!$B$3:$B$42)</f>
        <v>0</v>
      </c>
      <c r="Q377" s="198">
        <f>LOOKUP(Q$2,'Depreciation Schedules'!$A$3:$A$42,'Depreciation Schedules'!$B$3:$B$42)</f>
        <v>0</v>
      </c>
      <c r="R377" s="198">
        <f>LOOKUP(R$2,'Depreciation Schedules'!$A$3:$A$42,'Depreciation Schedules'!$B$3:$B$42)</f>
        <v>0</v>
      </c>
      <c r="S377" s="198">
        <f>LOOKUP(S$2,'Depreciation Schedules'!$A$3:$A$42,'Depreciation Schedules'!$B$3:$B$42)</f>
        <v>0</v>
      </c>
      <c r="T377" s="198">
        <f>LOOKUP(T$2,'Depreciation Schedules'!$A$3:$A$42,'Depreciation Schedules'!$B$3:$B$42)</f>
        <v>0</v>
      </c>
      <c r="U377" s="198">
        <f>LOOKUP(U$2,'Depreciation Schedules'!$A$3:$A$42,'Depreciation Schedules'!$B$3:$B$42)</f>
        <v>0</v>
      </c>
      <c r="V377" s="198">
        <f>LOOKUP(V$2,'Depreciation Schedules'!$A$3:$A$42,'Depreciation Schedules'!$B$3:$B$42)</f>
        <v>0</v>
      </c>
      <c r="W377" s="198">
        <f>LOOKUP(W$2,'Depreciation Schedules'!$A$3:$A$42,'Depreciation Schedules'!$B$3:$B$42)</f>
        <v>0</v>
      </c>
      <c r="X377" s="198">
        <f>LOOKUP(X$2,'Depreciation Schedules'!$A$3:$A$42,'Depreciation Schedules'!$B$3:$B$42)</f>
        <v>0</v>
      </c>
      <c r="Y377" s="198">
        <f>LOOKUP(Y$2,'Depreciation Schedules'!$A$3:$A$42,'Depreciation Schedules'!$B$3:$B$42)</f>
        <v>0</v>
      </c>
      <c r="Z377" s="198">
        <f>LOOKUP(Z$2,'Depreciation Schedules'!$A$3:$A$42,'Depreciation Schedules'!$B$3:$B$42)</f>
        <v>0</v>
      </c>
      <c r="AA377" s="198">
        <f>LOOKUP(AA$2,'Depreciation Schedules'!$A$3:$A$42,'Depreciation Schedules'!$B$3:$B$42)</f>
        <v>0</v>
      </c>
      <c r="AB377" s="198">
        <f>LOOKUP(AB$2,'Depreciation Schedules'!$A$3:$A$42,'Depreciation Schedules'!$B$3:$B$42)</f>
        <v>0</v>
      </c>
      <c r="AC377" s="198">
        <f>LOOKUP(AC$2,'Depreciation Schedules'!$A$3:$A$42,'Depreciation Schedules'!$B$3:$B$42)</f>
        <v>0</v>
      </c>
      <c r="AD377" s="198">
        <f>LOOKUP(AD$2,'Depreciation Schedules'!$A$3:$A$42,'Depreciation Schedules'!$B$3:$B$42)</f>
        <v>0</v>
      </c>
      <c r="AE377" s="198">
        <f>LOOKUP(AE$2,'Depreciation Schedules'!$A$3:$A$42,'Depreciation Schedules'!$B$3:$B$42)</f>
        <v>0</v>
      </c>
      <c r="AF377" s="198">
        <f>LOOKUP(AF$2,'Depreciation Schedules'!$A$3:$A$42,'Depreciation Schedules'!$B$3:$B$42)</f>
        <v>0</v>
      </c>
      <c r="AG377" s="198">
        <f>LOOKUP(AG$2,'Depreciation Schedules'!$A$3:$A$42,'Depreciation Schedules'!$B$3:$B$42)</f>
        <v>0</v>
      </c>
      <c r="AH377" s="198">
        <f>LOOKUP(AH$2,'Depreciation Schedules'!$A$3:$A$42,'Depreciation Schedules'!$B$3:$B$42)</f>
        <v>0</v>
      </c>
      <c r="AI377" s="198">
        <f>LOOKUP(AI$2,'Depreciation Schedules'!$A$3:$A$42,'Depreciation Schedules'!$B$3:$B$42)</f>
        <v>0</v>
      </c>
      <c r="AJ377" s="198">
        <f>LOOKUP(AJ$2,'Depreciation Schedules'!$A$3:$A$42,'Depreciation Schedules'!$B$3:$B$42)</f>
        <v>0</v>
      </c>
      <c r="AK377" s="198">
        <f>LOOKUP(AK$2,'Depreciation Schedules'!$A$3:$A$42,'Depreciation Schedules'!$B$3:$B$42)</f>
        <v>0</v>
      </c>
      <c r="AL377" s="198">
        <f>LOOKUP(AL$2,'Depreciation Schedules'!$A$3:$A$42,'Depreciation Schedules'!$B$3:$B$42)</f>
        <v>0</v>
      </c>
      <c r="AM377" s="198">
        <f>LOOKUP(AM$2,'Depreciation Schedules'!$A$3:$A$42,'Depreciation Schedules'!$B$3:$B$42)</f>
        <v>0</v>
      </c>
      <c r="AN377" s="198">
        <f>LOOKUP(AN$2,'Depreciation Schedules'!$A$3:$A$42,'Depreciation Schedules'!$B$3:$B$42)</f>
        <v>0</v>
      </c>
      <c r="AO377" s="198">
        <f>LOOKUP(AO$2,'Depreciation Schedules'!$A$3:$A$42,'Depreciation Schedules'!$B$3:$B$42)</f>
        <v>0</v>
      </c>
      <c r="AP377" s="198">
        <f>LOOKUP(AP$2,'Depreciation Schedules'!$A$3:$A$42,'Depreciation Schedules'!$B$3:$B$42)</f>
        <v>0</v>
      </c>
    </row>
    <row r="378" spans="1:42" x14ac:dyDescent="0.2">
      <c r="A378" s="188" t="str">
        <f t="shared" ref="A378:A382" si="199">A345</f>
        <v>15-yr MACRS</v>
      </c>
      <c r="B378" s="199">
        <f t="shared" ref="B378:B382" si="200">SUM(C378:AP378)</f>
        <v>1.0000000000000002</v>
      </c>
      <c r="C378" s="198">
        <f>LOOKUP(C$2,'Depreciation Schedules'!$A$3:$A$42,'Depreciation Schedules'!$C$3:$C$42)</f>
        <v>0.05</v>
      </c>
      <c r="D378" s="198">
        <f>LOOKUP(D$2,'Depreciation Schedules'!$A$3:$A$42,'Depreciation Schedules'!$C$3:$C$42)</f>
        <v>9.5000000000000001E-2</v>
      </c>
      <c r="E378" s="198">
        <f>LOOKUP(E$2,'Depreciation Schedules'!$A$3:$A$42,'Depreciation Schedules'!$C$3:$C$42)</f>
        <v>8.5500000000000007E-2</v>
      </c>
      <c r="F378" s="198">
        <f>LOOKUP(F$2,'Depreciation Schedules'!$A$3:$A$42,'Depreciation Schedules'!$C$3:$C$42)</f>
        <v>7.6999999999999999E-2</v>
      </c>
      <c r="G378" s="198">
        <f>LOOKUP(G$2,'Depreciation Schedules'!$A$3:$A$42,'Depreciation Schedules'!$C$3:$C$42)</f>
        <v>6.93E-2</v>
      </c>
      <c r="H378" s="198">
        <f>LOOKUP(H$2,'Depreciation Schedules'!$A$3:$A$42,'Depreciation Schedules'!$C$3:$C$42)</f>
        <v>6.2300000000000001E-2</v>
      </c>
      <c r="I378" s="198">
        <f>LOOKUP(I$2,'Depreciation Schedules'!$A$3:$A$42,'Depreciation Schedules'!$C$3:$C$42)</f>
        <v>5.8999999999999997E-2</v>
      </c>
      <c r="J378" s="198">
        <f>LOOKUP(J$2,'Depreciation Schedules'!$A$3:$A$42,'Depreciation Schedules'!$C$3:$C$42)</f>
        <v>5.8999999999999997E-2</v>
      </c>
      <c r="K378" s="198">
        <f>LOOKUP(K$2,'Depreciation Schedules'!$A$3:$A$42,'Depreciation Schedules'!$C$3:$C$42)</f>
        <v>5.91E-2</v>
      </c>
      <c r="L378" s="198">
        <f>LOOKUP(L$2,'Depreciation Schedules'!$A$3:$A$42,'Depreciation Schedules'!$C$3:$C$42)</f>
        <v>5.8999999999999997E-2</v>
      </c>
      <c r="M378" s="198">
        <f>LOOKUP(M$2,'Depreciation Schedules'!$A$3:$A$42,'Depreciation Schedules'!$C$3:$C$42)</f>
        <v>5.91E-2</v>
      </c>
      <c r="N378" s="198">
        <f>LOOKUP(N$2,'Depreciation Schedules'!$A$3:$A$42,'Depreciation Schedules'!$C$3:$C$42)</f>
        <v>5.8999999999999997E-2</v>
      </c>
      <c r="O378" s="198">
        <f>LOOKUP(O$2,'Depreciation Schedules'!$A$3:$A$42,'Depreciation Schedules'!$C$3:$C$42)</f>
        <v>5.91E-2</v>
      </c>
      <c r="P378" s="198">
        <f>LOOKUP(P$2,'Depreciation Schedules'!$A$3:$A$42,'Depreciation Schedules'!$C$3:$C$42)</f>
        <v>5.8999999999999997E-2</v>
      </c>
      <c r="Q378" s="198">
        <f>LOOKUP(Q$2,'Depreciation Schedules'!$A$3:$A$42,'Depreciation Schedules'!$C$3:$C$42)</f>
        <v>5.91E-2</v>
      </c>
      <c r="R378" s="198">
        <f>LOOKUP(R$2,'Depreciation Schedules'!$A$3:$A$42,'Depreciation Schedules'!$C$3:$C$42)</f>
        <v>2.9499999999999998E-2</v>
      </c>
      <c r="S378" s="198">
        <f>LOOKUP(S$2,'Depreciation Schedules'!$A$3:$A$42,'Depreciation Schedules'!$C$3:$C$42)</f>
        <v>0</v>
      </c>
      <c r="T378" s="198">
        <f>LOOKUP(T$2,'Depreciation Schedules'!$A$3:$A$42,'Depreciation Schedules'!$C$3:$C$42)</f>
        <v>0</v>
      </c>
      <c r="U378" s="198">
        <f>LOOKUP(U$2,'Depreciation Schedules'!$A$3:$A$42,'Depreciation Schedules'!$C$3:$C$42)</f>
        <v>0</v>
      </c>
      <c r="V378" s="198">
        <f>LOOKUP(V$2,'Depreciation Schedules'!$A$3:$A$42,'Depreciation Schedules'!$C$3:$C$42)</f>
        <v>0</v>
      </c>
      <c r="W378" s="198">
        <f>LOOKUP(W$2,'Depreciation Schedules'!$A$3:$A$42,'Depreciation Schedules'!$C$3:$C$42)</f>
        <v>0</v>
      </c>
      <c r="X378" s="198">
        <f>LOOKUP(X$2,'Depreciation Schedules'!$A$3:$A$42,'Depreciation Schedules'!$C$3:$C$42)</f>
        <v>0</v>
      </c>
      <c r="Y378" s="198">
        <f>LOOKUP(Y$2,'Depreciation Schedules'!$A$3:$A$42,'Depreciation Schedules'!$C$3:$C$42)</f>
        <v>0</v>
      </c>
      <c r="Z378" s="198">
        <f>LOOKUP(Z$2,'Depreciation Schedules'!$A$3:$A$42,'Depreciation Schedules'!$C$3:$C$42)</f>
        <v>0</v>
      </c>
      <c r="AA378" s="198">
        <f>LOOKUP(AA$2,'Depreciation Schedules'!$A$3:$A$42,'Depreciation Schedules'!$C$3:$C$42)</f>
        <v>0</v>
      </c>
      <c r="AB378" s="198">
        <f>LOOKUP(AB$2,'Depreciation Schedules'!$A$3:$A$42,'Depreciation Schedules'!$C$3:$C$42)</f>
        <v>0</v>
      </c>
      <c r="AC378" s="198">
        <f>LOOKUP(AC$2,'Depreciation Schedules'!$A$3:$A$42,'Depreciation Schedules'!$C$3:$C$42)</f>
        <v>0</v>
      </c>
      <c r="AD378" s="198">
        <f>LOOKUP(AD$2,'Depreciation Schedules'!$A$3:$A$42,'Depreciation Schedules'!$C$3:$C$42)</f>
        <v>0</v>
      </c>
      <c r="AE378" s="198">
        <f>LOOKUP(AE$2,'Depreciation Schedules'!$A$3:$A$42,'Depreciation Schedules'!$C$3:$C$42)</f>
        <v>0</v>
      </c>
      <c r="AF378" s="198">
        <f>LOOKUP(AF$2,'Depreciation Schedules'!$A$3:$A$42,'Depreciation Schedules'!$C$3:$C$42)</f>
        <v>0</v>
      </c>
      <c r="AG378" s="198">
        <f>LOOKUP(AG$2,'Depreciation Schedules'!$A$3:$A$42,'Depreciation Schedules'!$C$3:$C$42)</f>
        <v>0</v>
      </c>
      <c r="AH378" s="198">
        <f>LOOKUP(AH$2,'Depreciation Schedules'!$A$3:$A$42,'Depreciation Schedules'!$C$3:$C$42)</f>
        <v>0</v>
      </c>
      <c r="AI378" s="198">
        <f>LOOKUP(AI$2,'Depreciation Schedules'!$A$3:$A$42,'Depreciation Schedules'!$C$3:$C$42)</f>
        <v>0</v>
      </c>
      <c r="AJ378" s="198">
        <f>LOOKUP(AJ$2,'Depreciation Schedules'!$A$3:$A$42,'Depreciation Schedules'!$C$3:$C$42)</f>
        <v>0</v>
      </c>
      <c r="AK378" s="198">
        <f>LOOKUP(AK$2,'Depreciation Schedules'!$A$3:$A$42,'Depreciation Schedules'!$C$3:$C$42)</f>
        <v>0</v>
      </c>
      <c r="AL378" s="198">
        <f>LOOKUP(AL$2,'Depreciation Schedules'!$A$3:$A$42,'Depreciation Schedules'!$C$3:$C$42)</f>
        <v>0</v>
      </c>
      <c r="AM378" s="198">
        <f>LOOKUP(AM$2,'Depreciation Schedules'!$A$3:$A$42,'Depreciation Schedules'!$C$3:$C$42)</f>
        <v>0</v>
      </c>
      <c r="AN378" s="198">
        <f>LOOKUP(AN$2,'Depreciation Schedules'!$A$3:$A$42,'Depreciation Schedules'!$C$3:$C$42)</f>
        <v>0</v>
      </c>
      <c r="AO378" s="198">
        <f>LOOKUP(AO$2,'Depreciation Schedules'!$A$3:$A$42,'Depreciation Schedules'!$C$3:$C$42)</f>
        <v>0</v>
      </c>
      <c r="AP378" s="198">
        <f>LOOKUP(AP$2,'Depreciation Schedules'!$A$3:$A$42,'Depreciation Schedules'!$C$3:$C$42)</f>
        <v>0</v>
      </c>
    </row>
    <row r="379" spans="1:42" x14ac:dyDescent="0.2">
      <c r="A379" s="188" t="str">
        <f t="shared" si="199"/>
        <v>5-yr SL</v>
      </c>
      <c r="B379" s="199">
        <f t="shared" si="200"/>
        <v>0.99999999999999989</v>
      </c>
      <c r="C379" s="198">
        <f>LOOKUP(C$2,'Depreciation Schedules'!$A$3:$A$42,'Depreciation Schedules'!$D$3:$D$42)</f>
        <v>0.1</v>
      </c>
      <c r="D379" s="198">
        <f>LOOKUP(D$2,'Depreciation Schedules'!$A$3:$A$42,'Depreciation Schedules'!$D$3:$D$42)</f>
        <v>0.2</v>
      </c>
      <c r="E379" s="198">
        <f>LOOKUP(E$2,'Depreciation Schedules'!$A$3:$A$42,'Depreciation Schedules'!$D$3:$D$42)</f>
        <v>0.2</v>
      </c>
      <c r="F379" s="198">
        <f>LOOKUP(F$2,'Depreciation Schedules'!$A$3:$A$42,'Depreciation Schedules'!$D$3:$D$42)</f>
        <v>0.2</v>
      </c>
      <c r="G379" s="198">
        <f>LOOKUP(G$2,'Depreciation Schedules'!$A$3:$A$42,'Depreciation Schedules'!$D$3:$D$42)</f>
        <v>0.2</v>
      </c>
      <c r="H379" s="198">
        <f>LOOKUP(H$2,'Depreciation Schedules'!$A$3:$A$42,'Depreciation Schedules'!$D$3:$D$42)</f>
        <v>0.1</v>
      </c>
      <c r="I379" s="198">
        <f>LOOKUP(I$2,'Depreciation Schedules'!$A$3:$A$42,'Depreciation Schedules'!$D$3:$D$42)</f>
        <v>0</v>
      </c>
      <c r="J379" s="198">
        <f>LOOKUP(J$2,'Depreciation Schedules'!$A$3:$A$42,'Depreciation Schedules'!$D$3:$D$42)</f>
        <v>0</v>
      </c>
      <c r="K379" s="198">
        <f>LOOKUP(K$2,'Depreciation Schedules'!$A$3:$A$42,'Depreciation Schedules'!$D$3:$D$42)</f>
        <v>0</v>
      </c>
      <c r="L379" s="198">
        <f>LOOKUP(L$2,'Depreciation Schedules'!$A$3:$A$42,'Depreciation Schedules'!$D$3:$D$42)</f>
        <v>0</v>
      </c>
      <c r="M379" s="198">
        <f>LOOKUP(M$2,'Depreciation Schedules'!$A$3:$A$42,'Depreciation Schedules'!$D$3:$D$42)</f>
        <v>0</v>
      </c>
      <c r="N379" s="198">
        <f>LOOKUP(N$2,'Depreciation Schedules'!$A$3:$A$42,'Depreciation Schedules'!$D$3:$D$42)</f>
        <v>0</v>
      </c>
      <c r="O379" s="198">
        <f>LOOKUP(O$2,'Depreciation Schedules'!$A$3:$A$42,'Depreciation Schedules'!$D$3:$D$42)</f>
        <v>0</v>
      </c>
      <c r="P379" s="198">
        <f>LOOKUP(P$2,'Depreciation Schedules'!$A$3:$A$42,'Depreciation Schedules'!$D$3:$D$42)</f>
        <v>0</v>
      </c>
      <c r="Q379" s="198">
        <f>LOOKUP(Q$2,'Depreciation Schedules'!$A$3:$A$42,'Depreciation Schedules'!$D$3:$D$42)</f>
        <v>0</v>
      </c>
      <c r="R379" s="198">
        <f>LOOKUP(R$2,'Depreciation Schedules'!$A$3:$A$42,'Depreciation Schedules'!$D$3:$D$42)</f>
        <v>0</v>
      </c>
      <c r="S379" s="198">
        <f>LOOKUP(S$2,'Depreciation Schedules'!$A$3:$A$42,'Depreciation Schedules'!$D$3:$D$42)</f>
        <v>0</v>
      </c>
      <c r="T379" s="198">
        <f>LOOKUP(T$2,'Depreciation Schedules'!$A$3:$A$42,'Depreciation Schedules'!$D$3:$D$42)</f>
        <v>0</v>
      </c>
      <c r="U379" s="198">
        <f>LOOKUP(U$2,'Depreciation Schedules'!$A$3:$A$42,'Depreciation Schedules'!$D$3:$D$42)</f>
        <v>0</v>
      </c>
      <c r="V379" s="198">
        <f>LOOKUP(V$2,'Depreciation Schedules'!$A$3:$A$42,'Depreciation Schedules'!$D$3:$D$42)</f>
        <v>0</v>
      </c>
      <c r="W379" s="198">
        <f>LOOKUP(W$2,'Depreciation Schedules'!$A$3:$A$42,'Depreciation Schedules'!$D$3:$D$42)</f>
        <v>0</v>
      </c>
      <c r="X379" s="198">
        <f>LOOKUP(X$2,'Depreciation Schedules'!$A$3:$A$42,'Depreciation Schedules'!$D$3:$D$42)</f>
        <v>0</v>
      </c>
      <c r="Y379" s="198">
        <f>LOOKUP(Y$2,'Depreciation Schedules'!$A$3:$A$42,'Depreciation Schedules'!$D$3:$D$42)</f>
        <v>0</v>
      </c>
      <c r="Z379" s="198">
        <f>LOOKUP(Z$2,'Depreciation Schedules'!$A$3:$A$42,'Depreciation Schedules'!$D$3:$D$42)</f>
        <v>0</v>
      </c>
      <c r="AA379" s="198">
        <f>LOOKUP(AA$2,'Depreciation Schedules'!$A$3:$A$42,'Depreciation Schedules'!$D$3:$D$42)</f>
        <v>0</v>
      </c>
      <c r="AB379" s="198">
        <f>LOOKUP(AB$2,'Depreciation Schedules'!$A$3:$A$42,'Depreciation Schedules'!$D$3:$D$42)</f>
        <v>0</v>
      </c>
      <c r="AC379" s="198">
        <f>LOOKUP(AC$2,'Depreciation Schedules'!$A$3:$A$42,'Depreciation Schedules'!$D$3:$D$42)</f>
        <v>0</v>
      </c>
      <c r="AD379" s="198">
        <f>LOOKUP(AD$2,'Depreciation Schedules'!$A$3:$A$42,'Depreciation Schedules'!$D$3:$D$42)</f>
        <v>0</v>
      </c>
      <c r="AE379" s="198">
        <f>LOOKUP(AE$2,'Depreciation Schedules'!$A$3:$A$42,'Depreciation Schedules'!$D$3:$D$42)</f>
        <v>0</v>
      </c>
      <c r="AF379" s="198">
        <f>LOOKUP(AF$2,'Depreciation Schedules'!$A$3:$A$42,'Depreciation Schedules'!$D$3:$D$42)</f>
        <v>0</v>
      </c>
      <c r="AG379" s="198">
        <f>LOOKUP(AG$2,'Depreciation Schedules'!$A$3:$A$42,'Depreciation Schedules'!$D$3:$D$42)</f>
        <v>0</v>
      </c>
      <c r="AH379" s="198">
        <f>LOOKUP(AH$2,'Depreciation Schedules'!$A$3:$A$42,'Depreciation Schedules'!$D$3:$D$42)</f>
        <v>0</v>
      </c>
      <c r="AI379" s="198">
        <f>LOOKUP(AI$2,'Depreciation Schedules'!$A$3:$A$42,'Depreciation Schedules'!$D$3:$D$42)</f>
        <v>0</v>
      </c>
      <c r="AJ379" s="198">
        <f>LOOKUP(AJ$2,'Depreciation Schedules'!$A$3:$A$42,'Depreciation Schedules'!$D$3:$D$42)</f>
        <v>0</v>
      </c>
      <c r="AK379" s="198">
        <f>LOOKUP(AK$2,'Depreciation Schedules'!$A$3:$A$42,'Depreciation Schedules'!$D$3:$D$42)</f>
        <v>0</v>
      </c>
      <c r="AL379" s="198">
        <f>LOOKUP(AL$2,'Depreciation Schedules'!$A$3:$A$42,'Depreciation Schedules'!$D$3:$D$42)</f>
        <v>0</v>
      </c>
      <c r="AM379" s="198">
        <f>LOOKUP(AM$2,'Depreciation Schedules'!$A$3:$A$42,'Depreciation Schedules'!$D$3:$D$42)</f>
        <v>0</v>
      </c>
      <c r="AN379" s="198">
        <f>LOOKUP(AN$2,'Depreciation Schedules'!$A$3:$A$42,'Depreciation Schedules'!$D$3:$D$42)</f>
        <v>0</v>
      </c>
      <c r="AO379" s="198">
        <f>LOOKUP(AO$2,'Depreciation Schedules'!$A$3:$A$42,'Depreciation Schedules'!$D$3:$D$42)</f>
        <v>0</v>
      </c>
      <c r="AP379" s="198">
        <f>LOOKUP(AP$2,'Depreciation Schedules'!$A$3:$A$42,'Depreciation Schedules'!$D$3:$D$42)</f>
        <v>0</v>
      </c>
    </row>
    <row r="380" spans="1:42" x14ac:dyDescent="0.2">
      <c r="A380" s="188" t="str">
        <f t="shared" si="199"/>
        <v>15-yr SL</v>
      </c>
      <c r="B380" s="199">
        <f t="shared" si="200"/>
        <v>0.99999999999999989</v>
      </c>
      <c r="C380" s="198">
        <f>LOOKUP(C$2,'Depreciation Schedules'!$A$3:$A$42,'Depreciation Schedules'!$E$3:$E$42)</f>
        <v>3.3300000000000003E-2</v>
      </c>
      <c r="D380" s="198">
        <f>LOOKUP(D$2,'Depreciation Schedules'!$A$3:$A$42,'Depreciation Schedules'!$E$3:$E$42)</f>
        <v>6.6699999999999995E-2</v>
      </c>
      <c r="E380" s="198">
        <f>LOOKUP(E$2,'Depreciation Schedules'!$A$3:$A$42,'Depreciation Schedules'!$E$3:$E$42)</f>
        <v>6.6699999999999995E-2</v>
      </c>
      <c r="F380" s="198">
        <f>LOOKUP(F$2,'Depreciation Schedules'!$A$3:$A$42,'Depreciation Schedules'!$E$3:$E$42)</f>
        <v>6.6699999999999995E-2</v>
      </c>
      <c r="G380" s="198">
        <f>LOOKUP(G$2,'Depreciation Schedules'!$A$3:$A$42,'Depreciation Schedules'!$E$3:$E$42)</f>
        <v>6.6699999999999995E-2</v>
      </c>
      <c r="H380" s="198">
        <f>LOOKUP(H$2,'Depreciation Schedules'!$A$3:$A$42,'Depreciation Schedules'!$E$3:$E$42)</f>
        <v>6.6699999999999995E-2</v>
      </c>
      <c r="I380" s="198">
        <f>LOOKUP(I$2,'Depreciation Schedules'!$A$3:$A$42,'Depreciation Schedules'!$E$3:$E$42)</f>
        <v>6.6699999999999995E-2</v>
      </c>
      <c r="J380" s="198">
        <f>LOOKUP(J$2,'Depreciation Schedules'!$A$3:$A$42,'Depreciation Schedules'!$E$3:$E$42)</f>
        <v>6.6600000000000006E-2</v>
      </c>
      <c r="K380" s="198">
        <f>LOOKUP(K$2,'Depreciation Schedules'!$A$3:$A$42,'Depreciation Schedules'!$E$3:$E$42)</f>
        <v>6.6699999999999995E-2</v>
      </c>
      <c r="L380" s="198">
        <f>LOOKUP(L$2,'Depreciation Schedules'!$A$3:$A$42,'Depreciation Schedules'!$E$3:$E$42)</f>
        <v>6.6600000000000006E-2</v>
      </c>
      <c r="M380" s="198">
        <f>LOOKUP(M$2,'Depreciation Schedules'!$A$3:$A$42,'Depreciation Schedules'!$E$3:$E$42)</f>
        <v>6.6699999999999995E-2</v>
      </c>
      <c r="N380" s="198">
        <f>LOOKUP(N$2,'Depreciation Schedules'!$A$3:$A$42,'Depreciation Schedules'!$E$3:$E$42)</f>
        <v>6.6600000000000006E-2</v>
      </c>
      <c r="O380" s="198">
        <f>LOOKUP(O$2,'Depreciation Schedules'!$A$3:$A$42,'Depreciation Schedules'!$E$3:$E$42)</f>
        <v>6.6699999999999995E-2</v>
      </c>
      <c r="P380" s="198">
        <f>LOOKUP(P$2,'Depreciation Schedules'!$A$3:$A$42,'Depreciation Schedules'!$E$3:$E$42)</f>
        <v>6.6600000000000006E-2</v>
      </c>
      <c r="Q380" s="198">
        <f>LOOKUP(Q$2,'Depreciation Schedules'!$A$3:$A$42,'Depreciation Schedules'!$E$3:$E$42)</f>
        <v>6.6699999999999995E-2</v>
      </c>
      <c r="R380" s="198">
        <f>LOOKUP(R$2,'Depreciation Schedules'!$A$3:$A$42,'Depreciation Schedules'!$E$3:$E$42)</f>
        <v>3.3300000000000003E-2</v>
      </c>
      <c r="S380" s="198">
        <f>LOOKUP(S$2,'Depreciation Schedules'!$A$3:$A$42,'Depreciation Schedules'!$E$3:$E$42)</f>
        <v>0</v>
      </c>
      <c r="T380" s="198">
        <f>LOOKUP(T$2,'Depreciation Schedules'!$A$3:$A$42,'Depreciation Schedules'!$E$3:$E$42)</f>
        <v>0</v>
      </c>
      <c r="U380" s="198">
        <f>LOOKUP(U$2,'Depreciation Schedules'!$A$3:$A$42,'Depreciation Schedules'!$E$3:$E$42)</f>
        <v>0</v>
      </c>
      <c r="V380" s="198">
        <f>LOOKUP(V$2,'Depreciation Schedules'!$A$3:$A$42,'Depreciation Schedules'!$E$3:$E$42)</f>
        <v>0</v>
      </c>
      <c r="W380" s="198">
        <f>LOOKUP(W$2,'Depreciation Schedules'!$A$3:$A$42,'Depreciation Schedules'!$E$3:$E$42)</f>
        <v>0</v>
      </c>
      <c r="X380" s="198">
        <f>LOOKUP(X$2,'Depreciation Schedules'!$A$3:$A$42,'Depreciation Schedules'!$E$3:$E$42)</f>
        <v>0</v>
      </c>
      <c r="Y380" s="198">
        <f>LOOKUP(Y$2,'Depreciation Schedules'!$A$3:$A$42,'Depreciation Schedules'!$E$3:$E$42)</f>
        <v>0</v>
      </c>
      <c r="Z380" s="198">
        <f>LOOKUP(Z$2,'Depreciation Schedules'!$A$3:$A$42,'Depreciation Schedules'!$E$3:$E$42)</f>
        <v>0</v>
      </c>
      <c r="AA380" s="198">
        <f>LOOKUP(AA$2,'Depreciation Schedules'!$A$3:$A$42,'Depreciation Schedules'!$E$3:$E$42)</f>
        <v>0</v>
      </c>
      <c r="AB380" s="198">
        <f>LOOKUP(AB$2,'Depreciation Schedules'!$A$3:$A$42,'Depreciation Schedules'!$E$3:$E$42)</f>
        <v>0</v>
      </c>
      <c r="AC380" s="198">
        <f>LOOKUP(AC$2,'Depreciation Schedules'!$A$3:$A$42,'Depreciation Schedules'!$E$3:$E$42)</f>
        <v>0</v>
      </c>
      <c r="AD380" s="198">
        <f>LOOKUP(AD$2,'Depreciation Schedules'!$A$3:$A$42,'Depreciation Schedules'!$E$3:$E$42)</f>
        <v>0</v>
      </c>
      <c r="AE380" s="198">
        <f>LOOKUP(AE$2,'Depreciation Schedules'!$A$3:$A$42,'Depreciation Schedules'!$E$3:$E$42)</f>
        <v>0</v>
      </c>
      <c r="AF380" s="198">
        <f>LOOKUP(AF$2,'Depreciation Schedules'!$A$3:$A$42,'Depreciation Schedules'!$E$3:$E$42)</f>
        <v>0</v>
      </c>
      <c r="AG380" s="198">
        <f>LOOKUP(AG$2,'Depreciation Schedules'!$A$3:$A$42,'Depreciation Schedules'!$E$3:$E$42)</f>
        <v>0</v>
      </c>
      <c r="AH380" s="198">
        <f>LOOKUP(AH$2,'Depreciation Schedules'!$A$3:$A$42,'Depreciation Schedules'!$E$3:$E$42)</f>
        <v>0</v>
      </c>
      <c r="AI380" s="198">
        <f>LOOKUP(AI$2,'Depreciation Schedules'!$A$3:$A$42,'Depreciation Schedules'!$E$3:$E$42)</f>
        <v>0</v>
      </c>
      <c r="AJ380" s="198">
        <f>LOOKUP(AJ$2,'Depreciation Schedules'!$A$3:$A$42,'Depreciation Schedules'!$E$3:$E$42)</f>
        <v>0</v>
      </c>
      <c r="AK380" s="198">
        <f>LOOKUP(AK$2,'Depreciation Schedules'!$A$3:$A$42,'Depreciation Schedules'!$E$3:$E$42)</f>
        <v>0</v>
      </c>
      <c r="AL380" s="198">
        <f>LOOKUP(AL$2,'Depreciation Schedules'!$A$3:$A$42,'Depreciation Schedules'!$E$3:$E$42)</f>
        <v>0</v>
      </c>
      <c r="AM380" s="198">
        <f>LOOKUP(AM$2,'Depreciation Schedules'!$A$3:$A$42,'Depreciation Schedules'!$E$3:$E$42)</f>
        <v>0</v>
      </c>
      <c r="AN380" s="198">
        <f>LOOKUP(AN$2,'Depreciation Schedules'!$A$3:$A$42,'Depreciation Schedules'!$E$3:$E$42)</f>
        <v>0</v>
      </c>
      <c r="AO380" s="198">
        <f>LOOKUP(AO$2,'Depreciation Schedules'!$A$3:$A$42,'Depreciation Schedules'!$E$3:$E$42)</f>
        <v>0</v>
      </c>
      <c r="AP380" s="198">
        <f>LOOKUP(AP$2,'Depreciation Schedules'!$A$3:$A$42,'Depreciation Schedules'!$E$3:$E$42)</f>
        <v>0</v>
      </c>
    </row>
    <row r="381" spans="1:42" x14ac:dyDescent="0.2">
      <c r="A381" s="188" t="str">
        <f t="shared" si="199"/>
        <v>20-yr SL</v>
      </c>
      <c r="B381" s="199">
        <f t="shared" si="200"/>
        <v>1.0000000000000002</v>
      </c>
      <c r="C381" s="198">
        <f>LOOKUP(C$2,'Depreciation Schedules'!$A$3:$A$42,'Depreciation Schedules'!$F$3:$F$42)</f>
        <v>2.5000000000000001E-2</v>
      </c>
      <c r="D381" s="198">
        <f>LOOKUP(D$2,'Depreciation Schedules'!$A$3:$A$42,'Depreciation Schedules'!$F$3:$F$42)</f>
        <v>0.05</v>
      </c>
      <c r="E381" s="198">
        <f>LOOKUP(E$2,'Depreciation Schedules'!$A$3:$A$42,'Depreciation Schedules'!$F$3:$F$42)</f>
        <v>0.05</v>
      </c>
      <c r="F381" s="198">
        <f>LOOKUP(F$2,'Depreciation Schedules'!$A$3:$A$42,'Depreciation Schedules'!$F$3:$F$42)</f>
        <v>0.05</v>
      </c>
      <c r="G381" s="198">
        <f>LOOKUP(G$2,'Depreciation Schedules'!$A$3:$A$42,'Depreciation Schedules'!$F$3:$F$42)</f>
        <v>0.05</v>
      </c>
      <c r="H381" s="198">
        <f>LOOKUP(H$2,'Depreciation Schedules'!$A$3:$A$42,'Depreciation Schedules'!$F$3:$F$42)</f>
        <v>0.05</v>
      </c>
      <c r="I381" s="198">
        <f>LOOKUP(I$2,'Depreciation Schedules'!$A$3:$A$42,'Depreciation Schedules'!$F$3:$F$42)</f>
        <v>0.05</v>
      </c>
      <c r="J381" s="198">
        <f>LOOKUP(J$2,'Depreciation Schedules'!$A$3:$A$42,'Depreciation Schedules'!$F$3:$F$42)</f>
        <v>0.05</v>
      </c>
      <c r="K381" s="198">
        <f>LOOKUP(K$2,'Depreciation Schedules'!$A$3:$A$42,'Depreciation Schedules'!$F$3:$F$42)</f>
        <v>0.05</v>
      </c>
      <c r="L381" s="198">
        <f>LOOKUP(L$2,'Depreciation Schedules'!$A$3:$A$42,'Depreciation Schedules'!$F$3:$F$42)</f>
        <v>0.05</v>
      </c>
      <c r="M381" s="198">
        <f>LOOKUP(M$2,'Depreciation Schedules'!$A$3:$A$42,'Depreciation Schedules'!$F$3:$F$42)</f>
        <v>0.05</v>
      </c>
      <c r="N381" s="198">
        <f>LOOKUP(N$2,'Depreciation Schedules'!$A$3:$A$42,'Depreciation Schedules'!$F$3:$F$42)</f>
        <v>0.05</v>
      </c>
      <c r="O381" s="198">
        <f>LOOKUP(O$2,'Depreciation Schedules'!$A$3:$A$42,'Depreciation Schedules'!$F$3:$F$42)</f>
        <v>0.05</v>
      </c>
      <c r="P381" s="198">
        <f>LOOKUP(P$2,'Depreciation Schedules'!$A$3:$A$42,'Depreciation Schedules'!$F$3:$F$42)</f>
        <v>0.05</v>
      </c>
      <c r="Q381" s="198">
        <f>LOOKUP(Q$2,'Depreciation Schedules'!$A$3:$A$42,'Depreciation Schedules'!$F$3:$F$42)</f>
        <v>0.05</v>
      </c>
      <c r="R381" s="198">
        <f>LOOKUP(R$2,'Depreciation Schedules'!$A$3:$A$42,'Depreciation Schedules'!$F$3:$F$42)</f>
        <v>0.05</v>
      </c>
      <c r="S381" s="198">
        <f>LOOKUP(S$2,'Depreciation Schedules'!$A$3:$A$42,'Depreciation Schedules'!$F$3:$F$42)</f>
        <v>0.05</v>
      </c>
      <c r="T381" s="198">
        <f>LOOKUP(T$2,'Depreciation Schedules'!$A$3:$A$42,'Depreciation Schedules'!$F$3:$F$42)</f>
        <v>0.05</v>
      </c>
      <c r="U381" s="198">
        <f>LOOKUP(U$2,'Depreciation Schedules'!$A$3:$A$42,'Depreciation Schedules'!$F$3:$F$42)</f>
        <v>0.05</v>
      </c>
      <c r="V381" s="198">
        <f>LOOKUP(V$2,'Depreciation Schedules'!$A$3:$A$42,'Depreciation Schedules'!$F$3:$F$42)</f>
        <v>0.05</v>
      </c>
      <c r="W381" s="198">
        <f>LOOKUP(W$2,'Depreciation Schedules'!$A$3:$A$42,'Depreciation Schedules'!$F$3:$F$42)</f>
        <v>2.5000000000000001E-2</v>
      </c>
      <c r="X381" s="198">
        <f>LOOKUP(X$2,'Depreciation Schedules'!$A$3:$A$42,'Depreciation Schedules'!$F$3:$F$42)</f>
        <v>0</v>
      </c>
      <c r="Y381" s="198">
        <f>LOOKUP(Y$2,'Depreciation Schedules'!$A$3:$A$42,'Depreciation Schedules'!$F$3:$F$42)</f>
        <v>0</v>
      </c>
      <c r="Z381" s="198">
        <f>LOOKUP(Z$2,'Depreciation Schedules'!$A$3:$A$42,'Depreciation Schedules'!$F$3:$F$42)</f>
        <v>0</v>
      </c>
      <c r="AA381" s="198">
        <f>LOOKUP(AA$2,'Depreciation Schedules'!$A$3:$A$42,'Depreciation Schedules'!$F$3:$F$42)</f>
        <v>0</v>
      </c>
      <c r="AB381" s="198">
        <f>LOOKUP(AB$2,'Depreciation Schedules'!$A$3:$A$42,'Depreciation Schedules'!$F$3:$F$42)</f>
        <v>0</v>
      </c>
      <c r="AC381" s="198">
        <f>LOOKUP(AC$2,'Depreciation Schedules'!$A$3:$A$42,'Depreciation Schedules'!$F$3:$F$42)</f>
        <v>0</v>
      </c>
      <c r="AD381" s="198">
        <f>LOOKUP(AD$2,'Depreciation Schedules'!$A$3:$A$42,'Depreciation Schedules'!$F$3:$F$42)</f>
        <v>0</v>
      </c>
      <c r="AE381" s="198">
        <f>LOOKUP(AE$2,'Depreciation Schedules'!$A$3:$A$42,'Depreciation Schedules'!$F$3:$F$42)</f>
        <v>0</v>
      </c>
      <c r="AF381" s="198">
        <f>LOOKUP(AF$2,'Depreciation Schedules'!$A$3:$A$42,'Depreciation Schedules'!$F$3:$F$42)</f>
        <v>0</v>
      </c>
      <c r="AG381" s="198">
        <f>LOOKUP(AG$2,'Depreciation Schedules'!$A$3:$A$42,'Depreciation Schedules'!$F$3:$F$42)</f>
        <v>0</v>
      </c>
      <c r="AH381" s="198">
        <f>LOOKUP(AH$2,'Depreciation Schedules'!$A$3:$A$42,'Depreciation Schedules'!$F$3:$F$42)</f>
        <v>0</v>
      </c>
      <c r="AI381" s="198">
        <f>LOOKUP(AI$2,'Depreciation Schedules'!$A$3:$A$42,'Depreciation Schedules'!$F$3:$F$42)</f>
        <v>0</v>
      </c>
      <c r="AJ381" s="198">
        <f>LOOKUP(AJ$2,'Depreciation Schedules'!$A$3:$A$42,'Depreciation Schedules'!$F$3:$F$42)</f>
        <v>0</v>
      </c>
      <c r="AK381" s="198">
        <f>LOOKUP(AK$2,'Depreciation Schedules'!$A$3:$A$42,'Depreciation Schedules'!$F$3:$F$42)</f>
        <v>0</v>
      </c>
      <c r="AL381" s="198">
        <f>LOOKUP(AL$2,'Depreciation Schedules'!$A$3:$A$42,'Depreciation Schedules'!$F$3:$F$42)</f>
        <v>0</v>
      </c>
      <c r="AM381" s="198">
        <f>LOOKUP(AM$2,'Depreciation Schedules'!$A$3:$A$42,'Depreciation Schedules'!$F$3:$F$42)</f>
        <v>0</v>
      </c>
      <c r="AN381" s="198">
        <f>LOOKUP(AN$2,'Depreciation Schedules'!$A$3:$A$42,'Depreciation Schedules'!$F$3:$F$42)</f>
        <v>0</v>
      </c>
      <c r="AO381" s="198">
        <f>LOOKUP(AO$2,'Depreciation Schedules'!$A$3:$A$42,'Depreciation Schedules'!$F$3:$F$42)</f>
        <v>0</v>
      </c>
      <c r="AP381" s="198">
        <f>LOOKUP(AP$2,'Depreciation Schedules'!$A$3:$A$42,'Depreciation Schedules'!$F$3:$F$42)</f>
        <v>0</v>
      </c>
    </row>
    <row r="382" spans="1:42" x14ac:dyDescent="0.2">
      <c r="A382" s="188" t="str">
        <f t="shared" si="199"/>
        <v>39-yr SL</v>
      </c>
      <c r="B382" s="200">
        <f t="shared" si="200"/>
        <v>1.0000000000000004</v>
      </c>
      <c r="C382" s="198">
        <f>LOOKUP(C$2,'Depreciation Schedules'!$A$3:$A$42,'Depreciation Schedules'!$G$3:$G$42)</f>
        <v>1.2820512820512799E-2</v>
      </c>
      <c r="D382" s="198">
        <f>LOOKUP(D$2,'Depreciation Schedules'!$A$3:$A$42,'Depreciation Schedules'!$G$3:$G$42)</f>
        <v>2.564102564102564E-2</v>
      </c>
      <c r="E382" s="198">
        <f>LOOKUP(E$2,'Depreciation Schedules'!$A$3:$A$42,'Depreciation Schedules'!$G$3:$G$42)</f>
        <v>2.564102564102564E-2</v>
      </c>
      <c r="F382" s="198">
        <f>LOOKUP(F$2,'Depreciation Schedules'!$A$3:$A$42,'Depreciation Schedules'!$G$3:$G$42)</f>
        <v>2.564102564102564E-2</v>
      </c>
      <c r="G382" s="198">
        <f>LOOKUP(G$2,'Depreciation Schedules'!$A$3:$A$42,'Depreciation Schedules'!$G$3:$G$42)</f>
        <v>2.564102564102564E-2</v>
      </c>
      <c r="H382" s="198">
        <f>LOOKUP(H$2,'Depreciation Schedules'!$A$3:$A$42,'Depreciation Schedules'!$G$3:$G$42)</f>
        <v>2.564102564102564E-2</v>
      </c>
      <c r="I382" s="198">
        <f>LOOKUP(I$2,'Depreciation Schedules'!$A$3:$A$42,'Depreciation Schedules'!$G$3:$G$42)</f>
        <v>2.564102564102564E-2</v>
      </c>
      <c r="J382" s="198">
        <f>LOOKUP(J$2,'Depreciation Schedules'!$A$3:$A$42,'Depreciation Schedules'!$G$3:$G$42)</f>
        <v>2.564102564102564E-2</v>
      </c>
      <c r="K382" s="198">
        <f>LOOKUP(K$2,'Depreciation Schedules'!$A$3:$A$42,'Depreciation Schedules'!$G$3:$G$42)</f>
        <v>2.564102564102564E-2</v>
      </c>
      <c r="L382" s="198">
        <f>LOOKUP(L$2,'Depreciation Schedules'!$A$3:$A$42,'Depreciation Schedules'!$G$3:$G$42)</f>
        <v>2.564102564102564E-2</v>
      </c>
      <c r="M382" s="198">
        <f>LOOKUP(M$2,'Depreciation Schedules'!$A$3:$A$42,'Depreciation Schedules'!$G$3:$G$42)</f>
        <v>2.564102564102564E-2</v>
      </c>
      <c r="N382" s="198">
        <f>LOOKUP(N$2,'Depreciation Schedules'!$A$3:$A$42,'Depreciation Schedules'!$G$3:$G$42)</f>
        <v>2.564102564102564E-2</v>
      </c>
      <c r="O382" s="198">
        <f>LOOKUP(O$2,'Depreciation Schedules'!$A$3:$A$42,'Depreciation Schedules'!$G$3:$G$42)</f>
        <v>2.564102564102564E-2</v>
      </c>
      <c r="P382" s="198">
        <f>LOOKUP(P$2,'Depreciation Schedules'!$A$3:$A$42,'Depreciation Schedules'!$G$3:$G$42)</f>
        <v>2.564102564102564E-2</v>
      </c>
      <c r="Q382" s="198">
        <f>LOOKUP(Q$2,'Depreciation Schedules'!$A$3:$A$42,'Depreciation Schedules'!$G$3:$G$42)</f>
        <v>2.564102564102564E-2</v>
      </c>
      <c r="R382" s="198">
        <f>LOOKUP(R$2,'Depreciation Schedules'!$A$3:$A$42,'Depreciation Schedules'!$G$3:$G$42)</f>
        <v>2.564102564102564E-2</v>
      </c>
      <c r="S382" s="198">
        <f>LOOKUP(S$2,'Depreciation Schedules'!$A$3:$A$42,'Depreciation Schedules'!$G$3:$G$42)</f>
        <v>2.564102564102564E-2</v>
      </c>
      <c r="T382" s="198">
        <f>LOOKUP(T$2,'Depreciation Schedules'!$A$3:$A$42,'Depreciation Schedules'!$G$3:$G$42)</f>
        <v>2.564102564102564E-2</v>
      </c>
      <c r="U382" s="198">
        <f>LOOKUP(U$2,'Depreciation Schedules'!$A$3:$A$42,'Depreciation Schedules'!$G$3:$G$42)</f>
        <v>2.564102564102564E-2</v>
      </c>
      <c r="V382" s="198">
        <f>LOOKUP(V$2,'Depreciation Schedules'!$A$3:$A$42,'Depreciation Schedules'!$G$3:$G$42)</f>
        <v>2.564102564102564E-2</v>
      </c>
      <c r="W382" s="198">
        <f>LOOKUP(W$2,'Depreciation Schedules'!$A$3:$A$42,'Depreciation Schedules'!$G$3:$G$42)</f>
        <v>2.564102564102564E-2</v>
      </c>
      <c r="X382" s="198">
        <f>LOOKUP(X$2,'Depreciation Schedules'!$A$3:$A$42,'Depreciation Schedules'!$G$3:$G$42)</f>
        <v>2.564102564102564E-2</v>
      </c>
      <c r="Y382" s="198">
        <f>LOOKUP(Y$2,'Depreciation Schedules'!$A$3:$A$42,'Depreciation Schedules'!$G$3:$G$42)</f>
        <v>2.564102564102564E-2</v>
      </c>
      <c r="Z382" s="198">
        <f>LOOKUP(Z$2,'Depreciation Schedules'!$A$3:$A$42,'Depreciation Schedules'!$G$3:$G$42)</f>
        <v>2.564102564102564E-2</v>
      </c>
      <c r="AA382" s="198">
        <f>LOOKUP(AA$2,'Depreciation Schedules'!$A$3:$A$42,'Depreciation Schedules'!$G$3:$G$42)</f>
        <v>2.564102564102564E-2</v>
      </c>
      <c r="AB382" s="198">
        <f>LOOKUP(AB$2,'Depreciation Schedules'!$A$3:$A$42,'Depreciation Schedules'!$G$3:$G$42)</f>
        <v>2.564102564102564E-2</v>
      </c>
      <c r="AC382" s="198">
        <f>LOOKUP(AC$2,'Depreciation Schedules'!$A$3:$A$42,'Depreciation Schedules'!$G$3:$G$42)</f>
        <v>2.564102564102564E-2</v>
      </c>
      <c r="AD382" s="198">
        <f>LOOKUP(AD$2,'Depreciation Schedules'!$A$3:$A$42,'Depreciation Schedules'!$G$3:$G$42)</f>
        <v>2.564102564102564E-2</v>
      </c>
      <c r="AE382" s="198">
        <f>LOOKUP(AE$2,'Depreciation Schedules'!$A$3:$A$42,'Depreciation Schedules'!$G$3:$G$42)</f>
        <v>2.564102564102564E-2</v>
      </c>
      <c r="AF382" s="198">
        <f>LOOKUP(AF$2,'Depreciation Schedules'!$A$3:$A$42,'Depreciation Schedules'!$G$3:$G$42)</f>
        <v>2.564102564102564E-2</v>
      </c>
      <c r="AG382" s="198">
        <f>LOOKUP(AG$2,'Depreciation Schedules'!$A$3:$A$42,'Depreciation Schedules'!$G$3:$G$42)</f>
        <v>2.564102564102564E-2</v>
      </c>
      <c r="AH382" s="198">
        <f>LOOKUP(AH$2,'Depreciation Schedules'!$A$3:$A$42,'Depreciation Schedules'!$G$3:$G$42)</f>
        <v>2.564102564102564E-2</v>
      </c>
      <c r="AI382" s="198">
        <f>LOOKUP(AI$2,'Depreciation Schedules'!$A$3:$A$42,'Depreciation Schedules'!$G$3:$G$42)</f>
        <v>2.564102564102564E-2</v>
      </c>
      <c r="AJ382" s="198">
        <f>LOOKUP(AJ$2,'Depreciation Schedules'!$A$3:$A$42,'Depreciation Schedules'!$G$3:$G$42)</f>
        <v>2.564102564102564E-2</v>
      </c>
      <c r="AK382" s="198">
        <f>LOOKUP(AK$2,'Depreciation Schedules'!$A$3:$A$42,'Depreciation Schedules'!$G$3:$G$42)</f>
        <v>2.564102564102564E-2</v>
      </c>
      <c r="AL382" s="198">
        <f>LOOKUP(AL$2,'Depreciation Schedules'!$A$3:$A$42,'Depreciation Schedules'!$G$3:$G$42)</f>
        <v>2.564102564102564E-2</v>
      </c>
      <c r="AM382" s="198">
        <f>LOOKUP(AM$2,'Depreciation Schedules'!$A$3:$A$42,'Depreciation Schedules'!$G$3:$G$42)</f>
        <v>2.564102564102564E-2</v>
      </c>
      <c r="AN382" s="198">
        <f>LOOKUP(AN$2,'Depreciation Schedules'!$A$3:$A$42,'Depreciation Schedules'!$G$3:$G$42)</f>
        <v>2.564102564102564E-2</v>
      </c>
      <c r="AO382" s="198">
        <f>LOOKUP(AO$2,'Depreciation Schedules'!$A$3:$A$42,'Depreciation Schedules'!$G$3:$G$42)</f>
        <v>2.564102564102564E-2</v>
      </c>
      <c r="AP382" s="198">
        <f>LOOKUP(AP$2,'Depreciation Schedules'!$A$3:$A$42,'Depreciation Schedules'!$G$3:$G$42)</f>
        <v>1.2820512820512799E-2</v>
      </c>
    </row>
    <row r="383" spans="1:42" x14ac:dyDescent="0.2">
      <c r="A383" s="234" t="s">
        <v>34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</row>
    <row r="384" spans="1:42" x14ac:dyDescent="0.2">
      <c r="A384" s="188" t="str">
        <f>A377</f>
        <v>5-yr MACRS</v>
      </c>
      <c r="B384" s="201">
        <f>SUM(C384:AP384)</f>
        <v>33567308.629350476</v>
      </c>
      <c r="C384" s="169">
        <f t="shared" ref="C384:AP384" si="201">C377*$Q344</f>
        <v>6713461.7258700952</v>
      </c>
      <c r="D384" s="169">
        <f t="shared" si="201"/>
        <v>10741538.761392152</v>
      </c>
      <c r="E384" s="169">
        <f t="shared" si="201"/>
        <v>6444923.2568352912</v>
      </c>
      <c r="F384" s="169">
        <f t="shared" si="201"/>
        <v>3866953.9541011746</v>
      </c>
      <c r="G384" s="169">
        <f t="shared" si="201"/>
        <v>3866953.9541011746</v>
      </c>
      <c r="H384" s="169">
        <f t="shared" si="201"/>
        <v>1933476.9770505873</v>
      </c>
      <c r="I384" s="169">
        <f t="shared" si="201"/>
        <v>0</v>
      </c>
      <c r="J384" s="169">
        <f t="shared" si="201"/>
        <v>0</v>
      </c>
      <c r="K384" s="169">
        <f t="shared" si="201"/>
        <v>0</v>
      </c>
      <c r="L384" s="169">
        <f t="shared" si="201"/>
        <v>0</v>
      </c>
      <c r="M384" s="169">
        <f t="shared" si="201"/>
        <v>0</v>
      </c>
      <c r="N384" s="169">
        <f t="shared" si="201"/>
        <v>0</v>
      </c>
      <c r="O384" s="169">
        <f t="shared" si="201"/>
        <v>0</v>
      </c>
      <c r="P384" s="169">
        <f t="shared" si="201"/>
        <v>0</v>
      </c>
      <c r="Q384" s="169">
        <f t="shared" si="201"/>
        <v>0</v>
      </c>
      <c r="R384" s="169">
        <f t="shared" si="201"/>
        <v>0</v>
      </c>
      <c r="S384" s="169">
        <f t="shared" si="201"/>
        <v>0</v>
      </c>
      <c r="T384" s="169">
        <f t="shared" si="201"/>
        <v>0</v>
      </c>
      <c r="U384" s="169">
        <f t="shared" si="201"/>
        <v>0</v>
      </c>
      <c r="V384" s="169">
        <f t="shared" si="201"/>
        <v>0</v>
      </c>
      <c r="W384" s="169">
        <f t="shared" si="201"/>
        <v>0</v>
      </c>
      <c r="X384" s="169">
        <f t="shared" si="201"/>
        <v>0</v>
      </c>
      <c r="Y384" s="169">
        <f t="shared" si="201"/>
        <v>0</v>
      </c>
      <c r="Z384" s="169">
        <f t="shared" si="201"/>
        <v>0</v>
      </c>
      <c r="AA384" s="169">
        <f t="shared" si="201"/>
        <v>0</v>
      </c>
      <c r="AB384" s="169">
        <f t="shared" si="201"/>
        <v>0</v>
      </c>
      <c r="AC384" s="169">
        <f t="shared" si="201"/>
        <v>0</v>
      </c>
      <c r="AD384" s="169">
        <f t="shared" si="201"/>
        <v>0</v>
      </c>
      <c r="AE384" s="169">
        <f t="shared" si="201"/>
        <v>0</v>
      </c>
      <c r="AF384" s="169">
        <f t="shared" si="201"/>
        <v>0</v>
      </c>
      <c r="AG384" s="169">
        <f t="shared" si="201"/>
        <v>0</v>
      </c>
      <c r="AH384" s="169">
        <f t="shared" si="201"/>
        <v>0</v>
      </c>
      <c r="AI384" s="169">
        <f t="shared" si="201"/>
        <v>0</v>
      </c>
      <c r="AJ384" s="169">
        <f t="shared" si="201"/>
        <v>0</v>
      </c>
      <c r="AK384" s="169">
        <f t="shared" si="201"/>
        <v>0</v>
      </c>
      <c r="AL384" s="169">
        <f t="shared" si="201"/>
        <v>0</v>
      </c>
      <c r="AM384" s="169">
        <f t="shared" si="201"/>
        <v>0</v>
      </c>
      <c r="AN384" s="169">
        <f t="shared" si="201"/>
        <v>0</v>
      </c>
      <c r="AO384" s="169">
        <f t="shared" si="201"/>
        <v>0</v>
      </c>
      <c r="AP384" s="169">
        <f t="shared" si="201"/>
        <v>0</v>
      </c>
    </row>
    <row r="385" spans="1:42" x14ac:dyDescent="0.2">
      <c r="A385" s="188" t="str">
        <f t="shared" ref="A385:A389" si="202">A378</f>
        <v>15-yr MACRS</v>
      </c>
      <c r="B385" s="136">
        <f t="shared" ref="B385:B391" si="203">SUM(C385:AP385)</f>
        <v>658182.52214412694</v>
      </c>
      <c r="C385" s="169">
        <f t="shared" ref="C385:AP385" si="204">C378*$Q345</f>
        <v>32909.12610720635</v>
      </c>
      <c r="D385" s="169">
        <f t="shared" si="204"/>
        <v>62527.33960369206</v>
      </c>
      <c r="E385" s="169">
        <f t="shared" si="204"/>
        <v>56274.605643322859</v>
      </c>
      <c r="F385" s="169">
        <f t="shared" si="204"/>
        <v>50680.054205097775</v>
      </c>
      <c r="G385" s="169">
        <f t="shared" si="204"/>
        <v>45612.048784587998</v>
      </c>
      <c r="H385" s="169">
        <f t="shared" si="204"/>
        <v>41004.771129579109</v>
      </c>
      <c r="I385" s="169">
        <f t="shared" si="204"/>
        <v>38832.768806503489</v>
      </c>
      <c r="J385" s="169">
        <f t="shared" si="204"/>
        <v>38832.768806503489</v>
      </c>
      <c r="K385" s="169">
        <f t="shared" si="204"/>
        <v>38898.587058717902</v>
      </c>
      <c r="L385" s="169">
        <f t="shared" si="204"/>
        <v>38832.768806503489</v>
      </c>
      <c r="M385" s="169">
        <f t="shared" si="204"/>
        <v>38898.587058717902</v>
      </c>
      <c r="N385" s="169">
        <f t="shared" si="204"/>
        <v>38832.768806503489</v>
      </c>
      <c r="O385" s="169">
        <f t="shared" si="204"/>
        <v>38898.587058717902</v>
      </c>
      <c r="P385" s="169">
        <f t="shared" si="204"/>
        <v>38832.768806503489</v>
      </c>
      <c r="Q385" s="169">
        <f t="shared" si="204"/>
        <v>38898.587058717902</v>
      </c>
      <c r="R385" s="169">
        <f t="shared" si="204"/>
        <v>19416.384403251745</v>
      </c>
      <c r="S385" s="169">
        <f t="shared" si="204"/>
        <v>0</v>
      </c>
      <c r="T385" s="169">
        <f t="shared" si="204"/>
        <v>0</v>
      </c>
      <c r="U385" s="169">
        <f t="shared" si="204"/>
        <v>0</v>
      </c>
      <c r="V385" s="169">
        <f t="shared" si="204"/>
        <v>0</v>
      </c>
      <c r="W385" s="169">
        <f t="shared" si="204"/>
        <v>0</v>
      </c>
      <c r="X385" s="169">
        <f t="shared" si="204"/>
        <v>0</v>
      </c>
      <c r="Y385" s="169">
        <f t="shared" si="204"/>
        <v>0</v>
      </c>
      <c r="Z385" s="169">
        <f t="shared" si="204"/>
        <v>0</v>
      </c>
      <c r="AA385" s="169">
        <f t="shared" si="204"/>
        <v>0</v>
      </c>
      <c r="AB385" s="169">
        <f t="shared" si="204"/>
        <v>0</v>
      </c>
      <c r="AC385" s="169">
        <f t="shared" si="204"/>
        <v>0</v>
      </c>
      <c r="AD385" s="169">
        <f t="shared" si="204"/>
        <v>0</v>
      </c>
      <c r="AE385" s="169">
        <f t="shared" si="204"/>
        <v>0</v>
      </c>
      <c r="AF385" s="169">
        <f t="shared" si="204"/>
        <v>0</v>
      </c>
      <c r="AG385" s="169">
        <f t="shared" si="204"/>
        <v>0</v>
      </c>
      <c r="AH385" s="169">
        <f t="shared" si="204"/>
        <v>0</v>
      </c>
      <c r="AI385" s="169">
        <f t="shared" si="204"/>
        <v>0</v>
      </c>
      <c r="AJ385" s="169">
        <f t="shared" si="204"/>
        <v>0</v>
      </c>
      <c r="AK385" s="169">
        <f t="shared" si="204"/>
        <v>0</v>
      </c>
      <c r="AL385" s="169">
        <f t="shared" si="204"/>
        <v>0</v>
      </c>
      <c r="AM385" s="169">
        <f t="shared" si="204"/>
        <v>0</v>
      </c>
      <c r="AN385" s="169">
        <f t="shared" si="204"/>
        <v>0</v>
      </c>
      <c r="AO385" s="169">
        <f t="shared" si="204"/>
        <v>0</v>
      </c>
      <c r="AP385" s="169">
        <f t="shared" si="204"/>
        <v>0</v>
      </c>
    </row>
    <row r="386" spans="1:42" x14ac:dyDescent="0.2">
      <c r="A386" s="188" t="str">
        <f t="shared" si="202"/>
        <v>5-yr SL</v>
      </c>
      <c r="B386" s="136">
        <f t="shared" si="203"/>
        <v>0</v>
      </c>
      <c r="C386" s="169">
        <f t="shared" ref="C386:AP386" si="205">C379*$Q346</f>
        <v>0</v>
      </c>
      <c r="D386" s="169">
        <f t="shared" si="205"/>
        <v>0</v>
      </c>
      <c r="E386" s="169">
        <f t="shared" si="205"/>
        <v>0</v>
      </c>
      <c r="F386" s="169">
        <f t="shared" si="205"/>
        <v>0</v>
      </c>
      <c r="G386" s="169">
        <f t="shared" si="205"/>
        <v>0</v>
      </c>
      <c r="H386" s="169">
        <f t="shared" si="205"/>
        <v>0</v>
      </c>
      <c r="I386" s="169">
        <f t="shared" si="205"/>
        <v>0</v>
      </c>
      <c r="J386" s="169">
        <f t="shared" si="205"/>
        <v>0</v>
      </c>
      <c r="K386" s="169">
        <f t="shared" si="205"/>
        <v>0</v>
      </c>
      <c r="L386" s="169">
        <f t="shared" si="205"/>
        <v>0</v>
      </c>
      <c r="M386" s="169">
        <f t="shared" si="205"/>
        <v>0</v>
      </c>
      <c r="N386" s="169">
        <f t="shared" si="205"/>
        <v>0</v>
      </c>
      <c r="O386" s="169">
        <f t="shared" si="205"/>
        <v>0</v>
      </c>
      <c r="P386" s="169">
        <f t="shared" si="205"/>
        <v>0</v>
      </c>
      <c r="Q386" s="169">
        <f t="shared" si="205"/>
        <v>0</v>
      </c>
      <c r="R386" s="169">
        <f t="shared" si="205"/>
        <v>0</v>
      </c>
      <c r="S386" s="169">
        <f t="shared" si="205"/>
        <v>0</v>
      </c>
      <c r="T386" s="169">
        <f t="shared" si="205"/>
        <v>0</v>
      </c>
      <c r="U386" s="169">
        <f t="shared" si="205"/>
        <v>0</v>
      </c>
      <c r="V386" s="169">
        <f t="shared" si="205"/>
        <v>0</v>
      </c>
      <c r="W386" s="169">
        <f t="shared" si="205"/>
        <v>0</v>
      </c>
      <c r="X386" s="169">
        <f t="shared" si="205"/>
        <v>0</v>
      </c>
      <c r="Y386" s="169">
        <f t="shared" si="205"/>
        <v>0</v>
      </c>
      <c r="Z386" s="169">
        <f t="shared" si="205"/>
        <v>0</v>
      </c>
      <c r="AA386" s="169">
        <f t="shared" si="205"/>
        <v>0</v>
      </c>
      <c r="AB386" s="169">
        <f t="shared" si="205"/>
        <v>0</v>
      </c>
      <c r="AC386" s="169">
        <f t="shared" si="205"/>
        <v>0</v>
      </c>
      <c r="AD386" s="169">
        <f t="shared" si="205"/>
        <v>0</v>
      </c>
      <c r="AE386" s="169">
        <f t="shared" si="205"/>
        <v>0</v>
      </c>
      <c r="AF386" s="169">
        <f t="shared" si="205"/>
        <v>0</v>
      </c>
      <c r="AG386" s="169">
        <f t="shared" si="205"/>
        <v>0</v>
      </c>
      <c r="AH386" s="169">
        <f t="shared" si="205"/>
        <v>0</v>
      </c>
      <c r="AI386" s="169">
        <f t="shared" si="205"/>
        <v>0</v>
      </c>
      <c r="AJ386" s="169">
        <f t="shared" si="205"/>
        <v>0</v>
      </c>
      <c r="AK386" s="169">
        <f t="shared" si="205"/>
        <v>0</v>
      </c>
      <c r="AL386" s="169">
        <f t="shared" si="205"/>
        <v>0</v>
      </c>
      <c r="AM386" s="169">
        <f t="shared" si="205"/>
        <v>0</v>
      </c>
      <c r="AN386" s="169">
        <f t="shared" si="205"/>
        <v>0</v>
      </c>
      <c r="AO386" s="169">
        <f t="shared" si="205"/>
        <v>0</v>
      </c>
      <c r="AP386" s="169">
        <f t="shared" si="205"/>
        <v>0</v>
      </c>
    </row>
    <row r="387" spans="1:42" x14ac:dyDescent="0.2">
      <c r="A387" s="188" t="str">
        <f t="shared" si="202"/>
        <v>15-yr SL</v>
      </c>
      <c r="B387" s="136">
        <f t="shared" si="203"/>
        <v>1096970.8702402117</v>
      </c>
      <c r="C387" s="169">
        <f t="shared" ref="C387:AP387" si="206">C380*$Q347</f>
        <v>36529.129978999052</v>
      </c>
      <c r="D387" s="169">
        <f t="shared" si="206"/>
        <v>73167.957045022122</v>
      </c>
      <c r="E387" s="169">
        <f t="shared" si="206"/>
        <v>73167.957045022122</v>
      </c>
      <c r="F387" s="169">
        <f t="shared" si="206"/>
        <v>73167.957045022122</v>
      </c>
      <c r="G387" s="169">
        <f t="shared" si="206"/>
        <v>73167.957045022122</v>
      </c>
      <c r="H387" s="169">
        <f t="shared" si="206"/>
        <v>73167.957045022122</v>
      </c>
      <c r="I387" s="169">
        <f t="shared" si="206"/>
        <v>73167.957045022122</v>
      </c>
      <c r="J387" s="169">
        <f t="shared" si="206"/>
        <v>73058.259957998103</v>
      </c>
      <c r="K387" s="169">
        <f t="shared" si="206"/>
        <v>73167.957045022122</v>
      </c>
      <c r="L387" s="169">
        <f t="shared" si="206"/>
        <v>73058.259957998103</v>
      </c>
      <c r="M387" s="169">
        <f t="shared" si="206"/>
        <v>73167.957045022122</v>
      </c>
      <c r="N387" s="169">
        <f t="shared" si="206"/>
        <v>73058.259957998103</v>
      </c>
      <c r="O387" s="169">
        <f t="shared" si="206"/>
        <v>73167.957045022122</v>
      </c>
      <c r="P387" s="169">
        <f t="shared" si="206"/>
        <v>73058.259957998103</v>
      </c>
      <c r="Q387" s="169">
        <f t="shared" si="206"/>
        <v>73167.957045022122</v>
      </c>
      <c r="R387" s="169">
        <f t="shared" si="206"/>
        <v>36529.129978999052</v>
      </c>
      <c r="S387" s="169">
        <f t="shared" si="206"/>
        <v>0</v>
      </c>
      <c r="T387" s="169">
        <f t="shared" si="206"/>
        <v>0</v>
      </c>
      <c r="U387" s="169">
        <f t="shared" si="206"/>
        <v>0</v>
      </c>
      <c r="V387" s="169">
        <f t="shared" si="206"/>
        <v>0</v>
      </c>
      <c r="W387" s="169">
        <f t="shared" si="206"/>
        <v>0</v>
      </c>
      <c r="X387" s="169">
        <f t="shared" si="206"/>
        <v>0</v>
      </c>
      <c r="Y387" s="169">
        <f t="shared" si="206"/>
        <v>0</v>
      </c>
      <c r="Z387" s="169">
        <f t="shared" si="206"/>
        <v>0</v>
      </c>
      <c r="AA387" s="169">
        <f t="shared" si="206"/>
        <v>0</v>
      </c>
      <c r="AB387" s="169">
        <f t="shared" si="206"/>
        <v>0</v>
      </c>
      <c r="AC387" s="169">
        <f t="shared" si="206"/>
        <v>0</v>
      </c>
      <c r="AD387" s="169">
        <f t="shared" si="206"/>
        <v>0</v>
      </c>
      <c r="AE387" s="169">
        <f t="shared" si="206"/>
        <v>0</v>
      </c>
      <c r="AF387" s="169">
        <f t="shared" si="206"/>
        <v>0</v>
      </c>
      <c r="AG387" s="169">
        <f t="shared" si="206"/>
        <v>0</v>
      </c>
      <c r="AH387" s="169">
        <f t="shared" si="206"/>
        <v>0</v>
      </c>
      <c r="AI387" s="169">
        <f t="shared" si="206"/>
        <v>0</v>
      </c>
      <c r="AJ387" s="169">
        <f t="shared" si="206"/>
        <v>0</v>
      </c>
      <c r="AK387" s="169">
        <f t="shared" si="206"/>
        <v>0</v>
      </c>
      <c r="AL387" s="169">
        <f t="shared" si="206"/>
        <v>0</v>
      </c>
      <c r="AM387" s="169">
        <f t="shared" si="206"/>
        <v>0</v>
      </c>
      <c r="AN387" s="169">
        <f t="shared" si="206"/>
        <v>0</v>
      </c>
      <c r="AO387" s="169">
        <f t="shared" si="206"/>
        <v>0</v>
      </c>
      <c r="AP387" s="169">
        <f t="shared" si="206"/>
        <v>0</v>
      </c>
    </row>
    <row r="388" spans="1:42" x14ac:dyDescent="0.2">
      <c r="A388" s="188" t="str">
        <f t="shared" si="202"/>
        <v>20-yr SL</v>
      </c>
      <c r="B388" s="136">
        <f t="shared" si="203"/>
        <v>1096970.8702402117</v>
      </c>
      <c r="C388" s="169">
        <f t="shared" ref="C388:AP388" si="207">C381*$Q348</f>
        <v>27424.271756005295</v>
      </c>
      <c r="D388" s="169">
        <f t="shared" si="207"/>
        <v>54848.54351201059</v>
      </c>
      <c r="E388" s="169">
        <f t="shared" si="207"/>
        <v>54848.54351201059</v>
      </c>
      <c r="F388" s="169">
        <f t="shared" si="207"/>
        <v>54848.54351201059</v>
      </c>
      <c r="G388" s="169">
        <f t="shared" si="207"/>
        <v>54848.54351201059</v>
      </c>
      <c r="H388" s="169">
        <f t="shared" si="207"/>
        <v>54848.54351201059</v>
      </c>
      <c r="I388" s="169">
        <f t="shared" si="207"/>
        <v>54848.54351201059</v>
      </c>
      <c r="J388" s="169">
        <f t="shared" si="207"/>
        <v>54848.54351201059</v>
      </c>
      <c r="K388" s="169">
        <f t="shared" si="207"/>
        <v>54848.54351201059</v>
      </c>
      <c r="L388" s="169">
        <f t="shared" si="207"/>
        <v>54848.54351201059</v>
      </c>
      <c r="M388" s="169">
        <f t="shared" si="207"/>
        <v>54848.54351201059</v>
      </c>
      <c r="N388" s="169">
        <f t="shared" si="207"/>
        <v>54848.54351201059</v>
      </c>
      <c r="O388" s="169">
        <f t="shared" si="207"/>
        <v>54848.54351201059</v>
      </c>
      <c r="P388" s="169">
        <f t="shared" si="207"/>
        <v>54848.54351201059</v>
      </c>
      <c r="Q388" s="169">
        <f t="shared" si="207"/>
        <v>54848.54351201059</v>
      </c>
      <c r="R388" s="169">
        <f t="shared" si="207"/>
        <v>54848.54351201059</v>
      </c>
      <c r="S388" s="169">
        <f t="shared" si="207"/>
        <v>54848.54351201059</v>
      </c>
      <c r="T388" s="169">
        <f t="shared" si="207"/>
        <v>54848.54351201059</v>
      </c>
      <c r="U388" s="169">
        <f t="shared" si="207"/>
        <v>54848.54351201059</v>
      </c>
      <c r="V388" s="169">
        <f t="shared" si="207"/>
        <v>54848.54351201059</v>
      </c>
      <c r="W388" s="169">
        <f t="shared" si="207"/>
        <v>27424.271756005295</v>
      </c>
      <c r="X388" s="169">
        <f t="shared" si="207"/>
        <v>0</v>
      </c>
      <c r="Y388" s="169">
        <f t="shared" si="207"/>
        <v>0</v>
      </c>
      <c r="Z388" s="169">
        <f t="shared" si="207"/>
        <v>0</v>
      </c>
      <c r="AA388" s="169">
        <f t="shared" si="207"/>
        <v>0</v>
      </c>
      <c r="AB388" s="169">
        <f t="shared" si="207"/>
        <v>0</v>
      </c>
      <c r="AC388" s="169">
        <f t="shared" si="207"/>
        <v>0</v>
      </c>
      <c r="AD388" s="169">
        <f t="shared" si="207"/>
        <v>0</v>
      </c>
      <c r="AE388" s="169">
        <f t="shared" si="207"/>
        <v>0</v>
      </c>
      <c r="AF388" s="169">
        <f t="shared" si="207"/>
        <v>0</v>
      </c>
      <c r="AG388" s="169">
        <f t="shared" si="207"/>
        <v>0</v>
      </c>
      <c r="AH388" s="169">
        <f t="shared" si="207"/>
        <v>0</v>
      </c>
      <c r="AI388" s="169">
        <f t="shared" si="207"/>
        <v>0</v>
      </c>
      <c r="AJ388" s="169">
        <f t="shared" si="207"/>
        <v>0</v>
      </c>
      <c r="AK388" s="169">
        <f t="shared" si="207"/>
        <v>0</v>
      </c>
      <c r="AL388" s="169">
        <f t="shared" si="207"/>
        <v>0</v>
      </c>
      <c r="AM388" s="169">
        <f t="shared" si="207"/>
        <v>0</v>
      </c>
      <c r="AN388" s="169">
        <f t="shared" si="207"/>
        <v>0</v>
      </c>
      <c r="AO388" s="169">
        <f t="shared" si="207"/>
        <v>0</v>
      </c>
      <c r="AP388" s="169">
        <f t="shared" si="207"/>
        <v>0</v>
      </c>
    </row>
    <row r="389" spans="1:42" x14ac:dyDescent="0.2">
      <c r="A389" s="188" t="str">
        <f t="shared" si="202"/>
        <v>39-yr SL</v>
      </c>
      <c r="B389" s="136">
        <f t="shared" si="203"/>
        <v>219394.17404804219</v>
      </c>
      <c r="C389" s="169">
        <f t="shared" ref="C389:AP389" si="208">C382*$Q349</f>
        <v>2812.745821128743</v>
      </c>
      <c r="D389" s="169">
        <f t="shared" si="208"/>
        <v>5625.4916422574952</v>
      </c>
      <c r="E389" s="169">
        <f t="shared" si="208"/>
        <v>5625.4916422574952</v>
      </c>
      <c r="F389" s="169">
        <f t="shared" si="208"/>
        <v>5625.4916422574952</v>
      </c>
      <c r="G389" s="169">
        <f t="shared" si="208"/>
        <v>5625.4916422574952</v>
      </c>
      <c r="H389" s="169">
        <f t="shared" si="208"/>
        <v>5625.4916422574952</v>
      </c>
      <c r="I389" s="169">
        <f t="shared" si="208"/>
        <v>5625.4916422574952</v>
      </c>
      <c r="J389" s="169">
        <f t="shared" si="208"/>
        <v>5625.4916422574952</v>
      </c>
      <c r="K389" s="169">
        <f t="shared" si="208"/>
        <v>5625.4916422574952</v>
      </c>
      <c r="L389" s="169">
        <f t="shared" si="208"/>
        <v>5625.4916422574952</v>
      </c>
      <c r="M389" s="169">
        <f t="shared" si="208"/>
        <v>5625.4916422574952</v>
      </c>
      <c r="N389" s="169">
        <f t="shared" si="208"/>
        <v>5625.4916422574952</v>
      </c>
      <c r="O389" s="169">
        <f t="shared" si="208"/>
        <v>5625.4916422574952</v>
      </c>
      <c r="P389" s="169">
        <f t="shared" si="208"/>
        <v>5625.4916422574952</v>
      </c>
      <c r="Q389" s="169">
        <f t="shared" si="208"/>
        <v>5625.4916422574952</v>
      </c>
      <c r="R389" s="169">
        <f t="shared" si="208"/>
        <v>5625.4916422574952</v>
      </c>
      <c r="S389" s="169">
        <f t="shared" si="208"/>
        <v>5625.4916422574952</v>
      </c>
      <c r="T389" s="169">
        <f t="shared" si="208"/>
        <v>5625.4916422574952</v>
      </c>
      <c r="U389" s="169">
        <f t="shared" si="208"/>
        <v>5625.4916422574952</v>
      </c>
      <c r="V389" s="169">
        <f t="shared" si="208"/>
        <v>5625.4916422574952</v>
      </c>
      <c r="W389" s="169">
        <f t="shared" si="208"/>
        <v>5625.4916422574952</v>
      </c>
      <c r="X389" s="169">
        <f t="shared" si="208"/>
        <v>5625.4916422574952</v>
      </c>
      <c r="Y389" s="169">
        <f t="shared" si="208"/>
        <v>5625.4916422574952</v>
      </c>
      <c r="Z389" s="169">
        <f t="shared" si="208"/>
        <v>5625.4916422574952</v>
      </c>
      <c r="AA389" s="169">
        <f t="shared" si="208"/>
        <v>5625.4916422574952</v>
      </c>
      <c r="AB389" s="169">
        <f t="shared" si="208"/>
        <v>5625.4916422574952</v>
      </c>
      <c r="AC389" s="169">
        <f t="shared" si="208"/>
        <v>5625.4916422574952</v>
      </c>
      <c r="AD389" s="169">
        <f t="shared" si="208"/>
        <v>5625.4916422574952</v>
      </c>
      <c r="AE389" s="169">
        <f t="shared" si="208"/>
        <v>5625.4916422574952</v>
      </c>
      <c r="AF389" s="169">
        <f t="shared" si="208"/>
        <v>5625.4916422574952</v>
      </c>
      <c r="AG389" s="169">
        <f t="shared" si="208"/>
        <v>5625.4916422574952</v>
      </c>
      <c r="AH389" s="169">
        <f t="shared" si="208"/>
        <v>5625.4916422574952</v>
      </c>
      <c r="AI389" s="169">
        <f t="shared" si="208"/>
        <v>5625.4916422574952</v>
      </c>
      <c r="AJ389" s="169">
        <f t="shared" si="208"/>
        <v>5625.4916422574952</v>
      </c>
      <c r="AK389" s="169">
        <f t="shared" si="208"/>
        <v>5625.4916422574952</v>
      </c>
      <c r="AL389" s="169">
        <f t="shared" si="208"/>
        <v>5625.4916422574952</v>
      </c>
      <c r="AM389" s="169">
        <f t="shared" si="208"/>
        <v>5625.4916422574952</v>
      </c>
      <c r="AN389" s="169">
        <f t="shared" si="208"/>
        <v>5625.4916422574952</v>
      </c>
      <c r="AO389" s="169">
        <f t="shared" si="208"/>
        <v>5625.4916422574952</v>
      </c>
      <c r="AP389" s="169">
        <f t="shared" si="208"/>
        <v>2812.745821128743</v>
      </c>
    </row>
    <row r="390" spans="1:42" x14ac:dyDescent="0.2">
      <c r="A390" s="188" t="s">
        <v>268</v>
      </c>
      <c r="B390" s="195">
        <f t="shared" si="203"/>
        <v>0</v>
      </c>
      <c r="C390" s="170">
        <f>P351</f>
        <v>0</v>
      </c>
      <c r="D390" s="170">
        <v>0</v>
      </c>
      <c r="E390" s="170">
        <v>0</v>
      </c>
      <c r="F390" s="170">
        <v>0</v>
      </c>
      <c r="G390" s="170">
        <v>0</v>
      </c>
      <c r="H390" s="170">
        <v>0</v>
      </c>
      <c r="I390" s="170">
        <v>0</v>
      </c>
      <c r="J390" s="170">
        <v>0</v>
      </c>
      <c r="K390" s="170">
        <v>0</v>
      </c>
      <c r="L390" s="170">
        <v>0</v>
      </c>
      <c r="M390" s="170">
        <v>0</v>
      </c>
      <c r="N390" s="170">
        <v>0</v>
      </c>
      <c r="O390" s="170">
        <v>0</v>
      </c>
      <c r="P390" s="170">
        <v>0</v>
      </c>
      <c r="Q390" s="170">
        <v>0</v>
      </c>
      <c r="R390" s="170">
        <v>0</v>
      </c>
      <c r="S390" s="170">
        <v>0</v>
      </c>
      <c r="T390" s="170">
        <v>0</v>
      </c>
      <c r="U390" s="170">
        <v>0</v>
      </c>
      <c r="V390" s="170">
        <v>0</v>
      </c>
      <c r="W390" s="170">
        <v>0</v>
      </c>
      <c r="X390" s="170">
        <v>0</v>
      </c>
      <c r="Y390" s="170">
        <v>0</v>
      </c>
      <c r="Z390" s="170">
        <v>0</v>
      </c>
      <c r="AA390" s="170">
        <v>0</v>
      </c>
      <c r="AB390" s="170">
        <v>0</v>
      </c>
      <c r="AC390" s="170">
        <v>0</v>
      </c>
      <c r="AD390" s="170">
        <v>0</v>
      </c>
      <c r="AE390" s="170">
        <v>0</v>
      </c>
      <c r="AF390" s="170">
        <v>0</v>
      </c>
      <c r="AG390" s="170">
        <v>0</v>
      </c>
      <c r="AH390" s="170">
        <v>0</v>
      </c>
      <c r="AI390" s="170">
        <v>0</v>
      </c>
      <c r="AJ390" s="170">
        <v>0</v>
      </c>
      <c r="AK390" s="170">
        <v>0</v>
      </c>
      <c r="AL390" s="170">
        <v>0</v>
      </c>
      <c r="AM390" s="170">
        <v>0</v>
      </c>
      <c r="AN390" s="170">
        <v>0</v>
      </c>
      <c r="AO390" s="170">
        <v>0</v>
      </c>
      <c r="AP390" s="170">
        <v>0</v>
      </c>
    </row>
    <row r="391" spans="1:42" x14ac:dyDescent="0.2">
      <c r="A391" s="187"/>
      <c r="B391" s="195">
        <f t="shared" si="203"/>
        <v>36638827.066023104</v>
      </c>
      <c r="C391" s="169">
        <f>SUM(C384:C390)</f>
        <v>6813136.9995334353</v>
      </c>
      <c r="D391" s="169">
        <f t="shared" ref="D391:AP391" si="209">SUM(D384:D390)</f>
        <v>10937708.093195135</v>
      </c>
      <c r="E391" s="169">
        <f t="shared" si="209"/>
        <v>6634839.8546779044</v>
      </c>
      <c r="F391" s="169">
        <f t="shared" si="209"/>
        <v>4051276.0005055624</v>
      </c>
      <c r="G391" s="169">
        <f t="shared" si="209"/>
        <v>4046207.9950850527</v>
      </c>
      <c r="H391" s="169">
        <f t="shared" si="209"/>
        <v>2108123.7403794569</v>
      </c>
      <c r="I391" s="169">
        <f t="shared" si="209"/>
        <v>172474.7610057937</v>
      </c>
      <c r="J391" s="169">
        <f t="shared" si="209"/>
        <v>172365.06391876968</v>
      </c>
      <c r="K391" s="169">
        <f t="shared" si="209"/>
        <v>172540.5792580081</v>
      </c>
      <c r="L391" s="169">
        <f t="shared" si="209"/>
        <v>172365.06391876968</v>
      </c>
      <c r="M391" s="169">
        <f t="shared" si="209"/>
        <v>172540.5792580081</v>
      </c>
      <c r="N391" s="169">
        <f t="shared" si="209"/>
        <v>172365.06391876968</v>
      </c>
      <c r="O391" s="169">
        <f t="shared" si="209"/>
        <v>172540.5792580081</v>
      </c>
      <c r="P391" s="169">
        <f t="shared" si="209"/>
        <v>172365.06391876968</v>
      </c>
      <c r="Q391" s="169">
        <f t="shared" si="209"/>
        <v>172540.5792580081</v>
      </c>
      <c r="R391" s="169">
        <f t="shared" si="209"/>
        <v>116419.54953651887</v>
      </c>
      <c r="S391" s="169">
        <f t="shared" si="209"/>
        <v>60474.035154268087</v>
      </c>
      <c r="T391" s="169">
        <f t="shared" si="209"/>
        <v>60474.035154268087</v>
      </c>
      <c r="U391" s="169">
        <f t="shared" si="209"/>
        <v>60474.035154268087</v>
      </c>
      <c r="V391" s="169">
        <f t="shared" si="209"/>
        <v>60474.035154268087</v>
      </c>
      <c r="W391" s="169">
        <f t="shared" si="209"/>
        <v>33049.763398262789</v>
      </c>
      <c r="X391" s="169">
        <f t="shared" si="209"/>
        <v>5625.4916422574952</v>
      </c>
      <c r="Y391" s="169">
        <f t="shared" si="209"/>
        <v>5625.4916422574952</v>
      </c>
      <c r="Z391" s="169">
        <f t="shared" si="209"/>
        <v>5625.4916422574952</v>
      </c>
      <c r="AA391" s="169">
        <f t="shared" si="209"/>
        <v>5625.4916422574952</v>
      </c>
      <c r="AB391" s="169">
        <f t="shared" si="209"/>
        <v>5625.4916422574952</v>
      </c>
      <c r="AC391" s="169">
        <f t="shared" si="209"/>
        <v>5625.4916422574952</v>
      </c>
      <c r="AD391" s="169">
        <f t="shared" si="209"/>
        <v>5625.4916422574952</v>
      </c>
      <c r="AE391" s="169">
        <f t="shared" si="209"/>
        <v>5625.4916422574952</v>
      </c>
      <c r="AF391" s="169">
        <f t="shared" si="209"/>
        <v>5625.4916422574952</v>
      </c>
      <c r="AG391" s="169">
        <f t="shared" si="209"/>
        <v>5625.4916422574952</v>
      </c>
      <c r="AH391" s="169">
        <f t="shared" si="209"/>
        <v>5625.4916422574952</v>
      </c>
      <c r="AI391" s="169">
        <f t="shared" si="209"/>
        <v>5625.4916422574952</v>
      </c>
      <c r="AJ391" s="169">
        <f t="shared" si="209"/>
        <v>5625.4916422574952</v>
      </c>
      <c r="AK391" s="169">
        <f t="shared" si="209"/>
        <v>5625.4916422574952</v>
      </c>
      <c r="AL391" s="169">
        <f t="shared" si="209"/>
        <v>5625.4916422574952</v>
      </c>
      <c r="AM391" s="169">
        <f t="shared" si="209"/>
        <v>5625.4916422574952</v>
      </c>
      <c r="AN391" s="169">
        <f t="shared" si="209"/>
        <v>5625.4916422574952</v>
      </c>
      <c r="AO391" s="169">
        <f t="shared" si="209"/>
        <v>5625.4916422574952</v>
      </c>
      <c r="AP391" s="169">
        <f t="shared" si="209"/>
        <v>2812.745821128743</v>
      </c>
    </row>
    <row r="392" spans="1:42" x14ac:dyDescent="0.2">
      <c r="A392" s="187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</row>
    <row r="393" spans="1:42" x14ac:dyDescent="0.2">
      <c r="A393" s="180" t="s">
        <v>191</v>
      </c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</row>
    <row r="394" spans="1:42" x14ac:dyDescent="0.2">
      <c r="A394" s="187" t="s">
        <v>193</v>
      </c>
      <c r="B394" s="202" t="str">
        <f>MMFedTaxTreatment</f>
        <v>5-yr MACRS</v>
      </c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</row>
    <row r="395" spans="1:42" x14ac:dyDescent="0.2">
      <c r="A395" s="187" t="s">
        <v>194</v>
      </c>
      <c r="B395" s="169">
        <f t="shared" ref="B395:AP395" si="210">B2</f>
        <v>0</v>
      </c>
      <c r="C395" s="169">
        <f t="shared" si="210"/>
        <v>1</v>
      </c>
      <c r="D395" s="169">
        <f t="shared" si="210"/>
        <v>2</v>
      </c>
      <c r="E395" s="169">
        <f t="shared" si="210"/>
        <v>3</v>
      </c>
      <c r="F395" s="169">
        <f t="shared" si="210"/>
        <v>4</v>
      </c>
      <c r="G395" s="169">
        <f t="shared" si="210"/>
        <v>5</v>
      </c>
      <c r="H395" s="169">
        <f t="shared" si="210"/>
        <v>6</v>
      </c>
      <c r="I395" s="169">
        <f t="shared" si="210"/>
        <v>7</v>
      </c>
      <c r="J395" s="169">
        <f t="shared" si="210"/>
        <v>8</v>
      </c>
      <c r="K395" s="169">
        <f t="shared" si="210"/>
        <v>9</v>
      </c>
      <c r="L395" s="169">
        <f t="shared" si="210"/>
        <v>10</v>
      </c>
      <c r="M395" s="169">
        <f t="shared" si="210"/>
        <v>11</v>
      </c>
      <c r="N395" s="169">
        <f t="shared" si="210"/>
        <v>12</v>
      </c>
      <c r="O395" s="169">
        <f t="shared" si="210"/>
        <v>13</v>
      </c>
      <c r="P395" s="169">
        <f t="shared" si="210"/>
        <v>14</v>
      </c>
      <c r="Q395" s="169">
        <f t="shared" si="210"/>
        <v>15</v>
      </c>
      <c r="R395" s="169">
        <f t="shared" si="210"/>
        <v>16</v>
      </c>
      <c r="S395" s="169">
        <f t="shared" si="210"/>
        <v>17</v>
      </c>
      <c r="T395" s="169">
        <f t="shared" si="210"/>
        <v>18</v>
      </c>
      <c r="U395" s="169">
        <f t="shared" si="210"/>
        <v>19</v>
      </c>
      <c r="V395" s="169">
        <f t="shared" si="210"/>
        <v>20</v>
      </c>
      <c r="W395" s="169">
        <f t="shared" si="210"/>
        <v>21</v>
      </c>
      <c r="X395" s="169">
        <f t="shared" si="210"/>
        <v>22</v>
      </c>
      <c r="Y395" s="169">
        <f t="shared" si="210"/>
        <v>23</v>
      </c>
      <c r="Z395" s="169">
        <f t="shared" si="210"/>
        <v>24</v>
      </c>
      <c r="AA395" s="169">
        <f t="shared" si="210"/>
        <v>25</v>
      </c>
      <c r="AB395" s="169">
        <f t="shared" si="210"/>
        <v>26</v>
      </c>
      <c r="AC395" s="169">
        <f t="shared" si="210"/>
        <v>27</v>
      </c>
      <c r="AD395" s="169">
        <f t="shared" si="210"/>
        <v>28</v>
      </c>
      <c r="AE395" s="169">
        <f t="shared" si="210"/>
        <v>29</v>
      </c>
      <c r="AF395" s="169">
        <f t="shared" si="210"/>
        <v>30</v>
      </c>
      <c r="AG395" s="169">
        <f t="shared" si="210"/>
        <v>31</v>
      </c>
      <c r="AH395" s="169">
        <f t="shared" si="210"/>
        <v>32</v>
      </c>
      <c r="AI395" s="169">
        <f t="shared" si="210"/>
        <v>33</v>
      </c>
      <c r="AJ395" s="169">
        <f t="shared" si="210"/>
        <v>34</v>
      </c>
      <c r="AK395" s="169">
        <f t="shared" si="210"/>
        <v>35</v>
      </c>
      <c r="AL395" s="169">
        <f t="shared" si="210"/>
        <v>36</v>
      </c>
      <c r="AM395" s="169">
        <f t="shared" si="210"/>
        <v>37</v>
      </c>
      <c r="AN395" s="169">
        <f t="shared" si="210"/>
        <v>38</v>
      </c>
      <c r="AO395" s="169">
        <f t="shared" si="210"/>
        <v>39</v>
      </c>
      <c r="AP395" s="169">
        <f t="shared" si="210"/>
        <v>40</v>
      </c>
    </row>
    <row r="396" spans="1:42" x14ac:dyDescent="0.2">
      <c r="A396" s="187" t="s">
        <v>195</v>
      </c>
      <c r="B396" s="203">
        <v>0</v>
      </c>
      <c r="C396" s="198">
        <f t="shared" ref="C396:AP396" si="211">IF($B$394=$A377,C377,0)+IF($B$394=$A378,C378,0)+IF($B$394=$A379,C379,0)+IF($B$394=$A380,C380,0)+IF($B$394=$A381,C381,0)+IF($B$394=$A382,C382,0)</f>
        <v>0.2</v>
      </c>
      <c r="D396" s="198">
        <f t="shared" si="211"/>
        <v>0.32</v>
      </c>
      <c r="E396" s="198">
        <f t="shared" si="211"/>
        <v>0.192</v>
      </c>
      <c r="F396" s="198">
        <f t="shared" si="211"/>
        <v>0.1152</v>
      </c>
      <c r="G396" s="198">
        <f t="shared" si="211"/>
        <v>0.1152</v>
      </c>
      <c r="H396" s="198">
        <f t="shared" si="211"/>
        <v>5.7599999999999998E-2</v>
      </c>
      <c r="I396" s="198">
        <f t="shared" si="211"/>
        <v>0</v>
      </c>
      <c r="J396" s="198">
        <f t="shared" si="211"/>
        <v>0</v>
      </c>
      <c r="K396" s="198">
        <f t="shared" si="211"/>
        <v>0</v>
      </c>
      <c r="L396" s="198">
        <f t="shared" si="211"/>
        <v>0</v>
      </c>
      <c r="M396" s="198">
        <f t="shared" si="211"/>
        <v>0</v>
      </c>
      <c r="N396" s="198">
        <f t="shared" si="211"/>
        <v>0</v>
      </c>
      <c r="O396" s="198">
        <f t="shared" si="211"/>
        <v>0</v>
      </c>
      <c r="P396" s="198">
        <f t="shared" si="211"/>
        <v>0</v>
      </c>
      <c r="Q396" s="198">
        <f t="shared" si="211"/>
        <v>0</v>
      </c>
      <c r="R396" s="198">
        <f t="shared" si="211"/>
        <v>0</v>
      </c>
      <c r="S396" s="198">
        <f t="shared" si="211"/>
        <v>0</v>
      </c>
      <c r="T396" s="198">
        <f t="shared" si="211"/>
        <v>0</v>
      </c>
      <c r="U396" s="198">
        <f t="shared" si="211"/>
        <v>0</v>
      </c>
      <c r="V396" s="198">
        <f t="shared" si="211"/>
        <v>0</v>
      </c>
      <c r="W396" s="198">
        <f t="shared" si="211"/>
        <v>0</v>
      </c>
      <c r="X396" s="198">
        <f t="shared" si="211"/>
        <v>0</v>
      </c>
      <c r="Y396" s="198">
        <f t="shared" si="211"/>
        <v>0</v>
      </c>
      <c r="Z396" s="198">
        <f t="shared" si="211"/>
        <v>0</v>
      </c>
      <c r="AA396" s="198">
        <f t="shared" si="211"/>
        <v>0</v>
      </c>
      <c r="AB396" s="198">
        <f t="shared" si="211"/>
        <v>0</v>
      </c>
      <c r="AC396" s="198">
        <f t="shared" si="211"/>
        <v>0</v>
      </c>
      <c r="AD396" s="198">
        <f t="shared" si="211"/>
        <v>0</v>
      </c>
      <c r="AE396" s="198">
        <f t="shared" si="211"/>
        <v>0</v>
      </c>
      <c r="AF396" s="198">
        <f t="shared" si="211"/>
        <v>0</v>
      </c>
      <c r="AG396" s="198">
        <f t="shared" si="211"/>
        <v>0</v>
      </c>
      <c r="AH396" s="198">
        <f t="shared" si="211"/>
        <v>0</v>
      </c>
      <c r="AI396" s="198">
        <f t="shared" si="211"/>
        <v>0</v>
      </c>
      <c r="AJ396" s="198">
        <f t="shared" si="211"/>
        <v>0</v>
      </c>
      <c r="AK396" s="198">
        <f t="shared" si="211"/>
        <v>0</v>
      </c>
      <c r="AL396" s="198">
        <f t="shared" si="211"/>
        <v>0</v>
      </c>
      <c r="AM396" s="198">
        <f t="shared" si="211"/>
        <v>0</v>
      </c>
      <c r="AN396" s="198">
        <f t="shared" si="211"/>
        <v>0</v>
      </c>
      <c r="AO396" s="198">
        <f t="shared" si="211"/>
        <v>0</v>
      </c>
      <c r="AP396" s="198">
        <f t="shared" si="211"/>
        <v>0</v>
      </c>
    </row>
    <row r="397" spans="1:42" x14ac:dyDescent="0.2">
      <c r="A397" s="180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</row>
    <row r="398" spans="1:42" x14ac:dyDescent="0.2">
      <c r="A398" s="180" t="s">
        <v>303</v>
      </c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</row>
    <row r="399" spans="1:42" x14ac:dyDescent="0.2">
      <c r="A399" s="187" t="s">
        <v>192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</row>
    <row r="400" spans="1:42" x14ac:dyDescent="0.2">
      <c r="A400" s="101">
        <v>1</v>
      </c>
      <c r="C400" s="169">
        <f>C266</f>
        <v>0</v>
      </c>
      <c r="D400" s="169">
        <f t="shared" ref="D400:AP406" si="212">D266</f>
        <v>0</v>
      </c>
      <c r="E400" s="169">
        <f t="shared" si="212"/>
        <v>0</v>
      </c>
      <c r="F400" s="169">
        <f t="shared" si="212"/>
        <v>0</v>
      </c>
      <c r="G400" s="169">
        <f t="shared" si="212"/>
        <v>0</v>
      </c>
      <c r="H400" s="169">
        <f t="shared" si="212"/>
        <v>0</v>
      </c>
      <c r="I400" s="169">
        <f t="shared" si="212"/>
        <v>0</v>
      </c>
      <c r="J400" s="169">
        <f t="shared" si="212"/>
        <v>0</v>
      </c>
      <c r="K400" s="169">
        <f t="shared" si="212"/>
        <v>0</v>
      </c>
      <c r="L400" s="169">
        <f t="shared" si="212"/>
        <v>0</v>
      </c>
      <c r="M400" s="169">
        <f t="shared" si="212"/>
        <v>0</v>
      </c>
      <c r="N400" s="169">
        <f t="shared" si="212"/>
        <v>1</v>
      </c>
      <c r="O400" s="169">
        <f t="shared" si="212"/>
        <v>2</v>
      </c>
      <c r="P400" s="169">
        <f t="shared" si="212"/>
        <v>3</v>
      </c>
      <c r="Q400" s="169">
        <f t="shared" si="212"/>
        <v>4</v>
      </c>
      <c r="R400" s="169">
        <f t="shared" si="212"/>
        <v>5</v>
      </c>
      <c r="S400" s="169">
        <f t="shared" si="212"/>
        <v>6</v>
      </c>
      <c r="T400" s="169">
        <f t="shared" si="212"/>
        <v>7</v>
      </c>
      <c r="U400" s="169">
        <f t="shared" si="212"/>
        <v>8</v>
      </c>
      <c r="V400" s="169">
        <f t="shared" si="212"/>
        <v>9</v>
      </c>
      <c r="W400" s="169">
        <f t="shared" si="212"/>
        <v>10</v>
      </c>
      <c r="X400" s="169">
        <f t="shared" si="212"/>
        <v>11</v>
      </c>
      <c r="Y400" s="169">
        <f t="shared" si="212"/>
        <v>12</v>
      </c>
      <c r="Z400" s="169">
        <f t="shared" si="212"/>
        <v>13</v>
      </c>
      <c r="AA400" s="169">
        <f t="shared" si="212"/>
        <v>14</v>
      </c>
      <c r="AB400" s="169">
        <f t="shared" si="212"/>
        <v>15</v>
      </c>
      <c r="AC400" s="169">
        <f t="shared" si="212"/>
        <v>16</v>
      </c>
      <c r="AD400" s="169">
        <f t="shared" si="212"/>
        <v>17</v>
      </c>
      <c r="AE400" s="169">
        <f t="shared" si="212"/>
        <v>18</v>
      </c>
      <c r="AF400" s="169">
        <f t="shared" si="212"/>
        <v>19</v>
      </c>
      <c r="AG400" s="169">
        <f t="shared" si="212"/>
        <v>20</v>
      </c>
      <c r="AH400" s="169">
        <f t="shared" si="212"/>
        <v>21</v>
      </c>
      <c r="AI400" s="169">
        <f t="shared" si="212"/>
        <v>22</v>
      </c>
      <c r="AJ400" s="169">
        <f t="shared" si="212"/>
        <v>23</v>
      </c>
      <c r="AK400" s="169">
        <f t="shared" si="212"/>
        <v>24</v>
      </c>
      <c r="AL400" s="169">
        <f t="shared" si="212"/>
        <v>25</v>
      </c>
      <c r="AM400" s="169">
        <f t="shared" si="212"/>
        <v>26</v>
      </c>
      <c r="AN400" s="169">
        <f t="shared" si="212"/>
        <v>27</v>
      </c>
      <c r="AO400" s="169">
        <f t="shared" si="212"/>
        <v>28</v>
      </c>
      <c r="AP400" s="169">
        <f t="shared" si="212"/>
        <v>29</v>
      </c>
    </row>
    <row r="401" spans="1:42" x14ac:dyDescent="0.2">
      <c r="A401" s="101">
        <f>A400+1</f>
        <v>2</v>
      </c>
      <c r="C401" s="169">
        <f t="shared" ref="C401:R409" si="213">C267</f>
        <v>0</v>
      </c>
      <c r="D401" s="169">
        <f t="shared" si="212"/>
        <v>0</v>
      </c>
      <c r="E401" s="169">
        <f t="shared" si="212"/>
        <v>0</v>
      </c>
      <c r="F401" s="169">
        <f t="shared" si="212"/>
        <v>0</v>
      </c>
      <c r="G401" s="169">
        <f t="shared" si="212"/>
        <v>0</v>
      </c>
      <c r="H401" s="169">
        <f t="shared" si="212"/>
        <v>0</v>
      </c>
      <c r="I401" s="169">
        <f t="shared" si="212"/>
        <v>0</v>
      </c>
      <c r="J401" s="169">
        <f t="shared" si="212"/>
        <v>0</v>
      </c>
      <c r="K401" s="169">
        <f t="shared" si="212"/>
        <v>0</v>
      </c>
      <c r="L401" s="169">
        <f t="shared" si="212"/>
        <v>0</v>
      </c>
      <c r="M401" s="169">
        <f t="shared" si="212"/>
        <v>0</v>
      </c>
      <c r="N401" s="169">
        <f t="shared" si="212"/>
        <v>0</v>
      </c>
      <c r="O401" s="169">
        <f t="shared" si="212"/>
        <v>0</v>
      </c>
      <c r="P401" s="169">
        <f t="shared" si="212"/>
        <v>0</v>
      </c>
      <c r="Q401" s="169">
        <f t="shared" si="212"/>
        <v>0</v>
      </c>
      <c r="R401" s="169">
        <f t="shared" si="212"/>
        <v>0</v>
      </c>
      <c r="S401" s="169">
        <f t="shared" si="212"/>
        <v>0</v>
      </c>
      <c r="T401" s="169">
        <f t="shared" si="212"/>
        <v>0</v>
      </c>
      <c r="U401" s="169">
        <f t="shared" si="212"/>
        <v>0</v>
      </c>
      <c r="V401" s="169">
        <f t="shared" si="212"/>
        <v>0</v>
      </c>
      <c r="W401" s="169">
        <f t="shared" si="212"/>
        <v>0</v>
      </c>
      <c r="X401" s="169">
        <f t="shared" si="212"/>
        <v>0</v>
      </c>
      <c r="Y401" s="169">
        <f t="shared" si="212"/>
        <v>0</v>
      </c>
      <c r="Z401" s="169">
        <f t="shared" si="212"/>
        <v>1</v>
      </c>
      <c r="AA401" s="169">
        <f t="shared" si="212"/>
        <v>2</v>
      </c>
      <c r="AB401" s="169">
        <f t="shared" si="212"/>
        <v>3</v>
      </c>
      <c r="AC401" s="169">
        <f t="shared" si="212"/>
        <v>4</v>
      </c>
      <c r="AD401" s="169">
        <f t="shared" si="212"/>
        <v>5</v>
      </c>
      <c r="AE401" s="169">
        <f t="shared" si="212"/>
        <v>6</v>
      </c>
      <c r="AF401" s="169">
        <f t="shared" si="212"/>
        <v>7</v>
      </c>
      <c r="AG401" s="169">
        <f t="shared" si="212"/>
        <v>8</v>
      </c>
      <c r="AH401" s="169">
        <f t="shared" si="212"/>
        <v>9</v>
      </c>
      <c r="AI401" s="169">
        <f t="shared" si="212"/>
        <v>10</v>
      </c>
      <c r="AJ401" s="169">
        <f t="shared" si="212"/>
        <v>11</v>
      </c>
      <c r="AK401" s="169">
        <f t="shared" si="212"/>
        <v>12</v>
      </c>
      <c r="AL401" s="169">
        <f t="shared" si="212"/>
        <v>13</v>
      </c>
      <c r="AM401" s="169">
        <f t="shared" si="212"/>
        <v>14</v>
      </c>
      <c r="AN401" s="169">
        <f t="shared" si="212"/>
        <v>15</v>
      </c>
      <c r="AO401" s="169">
        <f t="shared" si="212"/>
        <v>16</v>
      </c>
      <c r="AP401" s="169">
        <f t="shared" si="212"/>
        <v>17</v>
      </c>
    </row>
    <row r="402" spans="1:42" x14ac:dyDescent="0.2">
      <c r="A402" s="101">
        <f t="shared" ref="A402:A407" si="214">A401+1</f>
        <v>3</v>
      </c>
      <c r="C402" s="169">
        <f t="shared" si="213"/>
        <v>0</v>
      </c>
      <c r="D402" s="169">
        <f t="shared" si="212"/>
        <v>0</v>
      </c>
      <c r="E402" s="169">
        <f t="shared" si="212"/>
        <v>0</v>
      </c>
      <c r="F402" s="169">
        <f t="shared" si="212"/>
        <v>0</v>
      </c>
      <c r="G402" s="169">
        <f t="shared" si="212"/>
        <v>0</v>
      </c>
      <c r="H402" s="169">
        <f t="shared" si="212"/>
        <v>0</v>
      </c>
      <c r="I402" s="169">
        <f t="shared" si="212"/>
        <v>0</v>
      </c>
      <c r="J402" s="169">
        <f t="shared" si="212"/>
        <v>0</v>
      </c>
      <c r="K402" s="169">
        <f t="shared" si="212"/>
        <v>0</v>
      </c>
      <c r="L402" s="169">
        <f t="shared" si="212"/>
        <v>0</v>
      </c>
      <c r="M402" s="169">
        <f t="shared" si="212"/>
        <v>0</v>
      </c>
      <c r="N402" s="169">
        <f t="shared" si="212"/>
        <v>0</v>
      </c>
      <c r="O402" s="169">
        <f t="shared" si="212"/>
        <v>0</v>
      </c>
      <c r="P402" s="169">
        <f t="shared" si="212"/>
        <v>0</v>
      </c>
      <c r="Q402" s="169">
        <f t="shared" si="212"/>
        <v>0</v>
      </c>
      <c r="R402" s="169">
        <f t="shared" si="212"/>
        <v>0</v>
      </c>
      <c r="S402" s="169">
        <f t="shared" si="212"/>
        <v>0</v>
      </c>
      <c r="T402" s="169">
        <f t="shared" si="212"/>
        <v>0</v>
      </c>
      <c r="U402" s="169">
        <f t="shared" si="212"/>
        <v>0</v>
      </c>
      <c r="V402" s="169">
        <f t="shared" si="212"/>
        <v>0</v>
      </c>
      <c r="W402" s="169">
        <f t="shared" si="212"/>
        <v>0</v>
      </c>
      <c r="X402" s="169">
        <f t="shared" si="212"/>
        <v>0</v>
      </c>
      <c r="Y402" s="169">
        <f t="shared" si="212"/>
        <v>0</v>
      </c>
      <c r="Z402" s="169">
        <f t="shared" si="212"/>
        <v>0</v>
      </c>
      <c r="AA402" s="169">
        <f t="shared" si="212"/>
        <v>0</v>
      </c>
      <c r="AB402" s="169">
        <f t="shared" si="212"/>
        <v>0</v>
      </c>
      <c r="AC402" s="169">
        <f t="shared" si="212"/>
        <v>0</v>
      </c>
      <c r="AD402" s="169">
        <f t="shared" si="212"/>
        <v>0</v>
      </c>
      <c r="AE402" s="169">
        <f t="shared" si="212"/>
        <v>0</v>
      </c>
      <c r="AF402" s="169">
        <f t="shared" si="212"/>
        <v>0</v>
      </c>
      <c r="AG402" s="169">
        <f t="shared" si="212"/>
        <v>0</v>
      </c>
      <c r="AH402" s="169">
        <f t="shared" si="212"/>
        <v>0</v>
      </c>
      <c r="AI402" s="169">
        <f t="shared" si="212"/>
        <v>0</v>
      </c>
      <c r="AJ402" s="169">
        <f t="shared" si="212"/>
        <v>0</v>
      </c>
      <c r="AK402" s="169">
        <f t="shared" si="212"/>
        <v>0</v>
      </c>
      <c r="AL402" s="169">
        <f t="shared" si="212"/>
        <v>1</v>
      </c>
      <c r="AM402" s="169">
        <f t="shared" si="212"/>
        <v>2</v>
      </c>
      <c r="AN402" s="169">
        <f t="shared" si="212"/>
        <v>3</v>
      </c>
      <c r="AO402" s="169">
        <f t="shared" si="212"/>
        <v>4</v>
      </c>
      <c r="AP402" s="169">
        <f t="shared" si="212"/>
        <v>5</v>
      </c>
    </row>
    <row r="403" spans="1:42" x14ac:dyDescent="0.2">
      <c r="A403" s="101">
        <f t="shared" si="214"/>
        <v>4</v>
      </c>
      <c r="C403" s="169">
        <f t="shared" si="213"/>
        <v>0</v>
      </c>
      <c r="D403" s="169">
        <f t="shared" si="212"/>
        <v>0</v>
      </c>
      <c r="E403" s="169">
        <f t="shared" si="212"/>
        <v>0</v>
      </c>
      <c r="F403" s="169">
        <f t="shared" si="212"/>
        <v>0</v>
      </c>
      <c r="G403" s="169">
        <f t="shared" si="212"/>
        <v>0</v>
      </c>
      <c r="H403" s="169">
        <f t="shared" si="212"/>
        <v>0</v>
      </c>
      <c r="I403" s="169">
        <f t="shared" si="212"/>
        <v>0</v>
      </c>
      <c r="J403" s="169">
        <f t="shared" si="212"/>
        <v>0</v>
      </c>
      <c r="K403" s="169">
        <f t="shared" si="212"/>
        <v>0</v>
      </c>
      <c r="L403" s="169">
        <f t="shared" si="212"/>
        <v>0</v>
      </c>
      <c r="M403" s="169">
        <f t="shared" si="212"/>
        <v>0</v>
      </c>
      <c r="N403" s="169">
        <f t="shared" si="212"/>
        <v>0</v>
      </c>
      <c r="O403" s="169">
        <f t="shared" si="212"/>
        <v>0</v>
      </c>
      <c r="P403" s="169">
        <f t="shared" si="212"/>
        <v>0</v>
      </c>
      <c r="Q403" s="169">
        <f t="shared" si="212"/>
        <v>0</v>
      </c>
      <c r="R403" s="169">
        <f t="shared" si="212"/>
        <v>0</v>
      </c>
      <c r="S403" s="169">
        <f t="shared" si="212"/>
        <v>0</v>
      </c>
      <c r="T403" s="169">
        <f t="shared" si="212"/>
        <v>0</v>
      </c>
      <c r="U403" s="169">
        <f t="shared" si="212"/>
        <v>0</v>
      </c>
      <c r="V403" s="169">
        <f t="shared" si="212"/>
        <v>0</v>
      </c>
      <c r="W403" s="169">
        <f t="shared" si="212"/>
        <v>0</v>
      </c>
      <c r="X403" s="169">
        <f t="shared" si="212"/>
        <v>0</v>
      </c>
      <c r="Y403" s="169">
        <f t="shared" si="212"/>
        <v>0</v>
      </c>
      <c r="Z403" s="169">
        <f t="shared" si="212"/>
        <v>0</v>
      </c>
      <c r="AA403" s="169">
        <f t="shared" si="212"/>
        <v>0</v>
      </c>
      <c r="AB403" s="169">
        <f t="shared" si="212"/>
        <v>0</v>
      </c>
      <c r="AC403" s="169">
        <f t="shared" si="212"/>
        <v>0</v>
      </c>
      <c r="AD403" s="169">
        <f t="shared" si="212"/>
        <v>0</v>
      </c>
      <c r="AE403" s="169">
        <f t="shared" si="212"/>
        <v>0</v>
      </c>
      <c r="AF403" s="169">
        <f t="shared" si="212"/>
        <v>0</v>
      </c>
      <c r="AG403" s="169">
        <f t="shared" si="212"/>
        <v>0</v>
      </c>
      <c r="AH403" s="169">
        <f t="shared" si="212"/>
        <v>0</v>
      </c>
      <c r="AI403" s="169">
        <f t="shared" si="212"/>
        <v>0</v>
      </c>
      <c r="AJ403" s="169">
        <f t="shared" si="212"/>
        <v>0</v>
      </c>
      <c r="AK403" s="169">
        <f t="shared" si="212"/>
        <v>0</v>
      </c>
      <c r="AL403" s="169">
        <f t="shared" si="212"/>
        <v>0</v>
      </c>
      <c r="AM403" s="169">
        <f t="shared" si="212"/>
        <v>0</v>
      </c>
      <c r="AN403" s="169">
        <f t="shared" si="212"/>
        <v>0</v>
      </c>
      <c r="AO403" s="169">
        <f t="shared" si="212"/>
        <v>0</v>
      </c>
      <c r="AP403" s="169">
        <f t="shared" si="212"/>
        <v>0</v>
      </c>
    </row>
    <row r="404" spans="1:42" x14ac:dyDescent="0.2">
      <c r="A404" s="101">
        <f t="shared" si="214"/>
        <v>5</v>
      </c>
      <c r="C404" s="169">
        <f t="shared" si="213"/>
        <v>0</v>
      </c>
      <c r="D404" s="169">
        <f t="shared" si="212"/>
        <v>0</v>
      </c>
      <c r="E404" s="169">
        <f t="shared" si="212"/>
        <v>0</v>
      </c>
      <c r="F404" s="169">
        <f t="shared" si="212"/>
        <v>0</v>
      </c>
      <c r="G404" s="169">
        <f t="shared" si="212"/>
        <v>0</v>
      </c>
      <c r="H404" s="169">
        <f t="shared" si="212"/>
        <v>0</v>
      </c>
      <c r="I404" s="169">
        <f t="shared" si="212"/>
        <v>0</v>
      </c>
      <c r="J404" s="169">
        <f t="shared" si="212"/>
        <v>0</v>
      </c>
      <c r="K404" s="169">
        <f t="shared" si="212"/>
        <v>0</v>
      </c>
      <c r="L404" s="169">
        <f t="shared" si="212"/>
        <v>0</v>
      </c>
      <c r="M404" s="169">
        <f t="shared" si="212"/>
        <v>0</v>
      </c>
      <c r="N404" s="169">
        <f t="shared" si="212"/>
        <v>0</v>
      </c>
      <c r="O404" s="169">
        <f t="shared" si="212"/>
        <v>0</v>
      </c>
      <c r="P404" s="169">
        <f t="shared" si="212"/>
        <v>0</v>
      </c>
      <c r="Q404" s="169">
        <f t="shared" si="212"/>
        <v>0</v>
      </c>
      <c r="R404" s="169">
        <f t="shared" si="212"/>
        <v>0</v>
      </c>
      <c r="S404" s="169">
        <f t="shared" si="212"/>
        <v>0</v>
      </c>
      <c r="T404" s="169">
        <f t="shared" si="212"/>
        <v>0</v>
      </c>
      <c r="U404" s="169">
        <f t="shared" si="212"/>
        <v>0</v>
      </c>
      <c r="V404" s="169">
        <f t="shared" si="212"/>
        <v>0</v>
      </c>
      <c r="W404" s="169">
        <f t="shared" si="212"/>
        <v>0</v>
      </c>
      <c r="X404" s="169">
        <f t="shared" si="212"/>
        <v>0</v>
      </c>
      <c r="Y404" s="169">
        <f t="shared" si="212"/>
        <v>0</v>
      </c>
      <c r="Z404" s="169">
        <f t="shared" si="212"/>
        <v>0</v>
      </c>
      <c r="AA404" s="169">
        <f t="shared" si="212"/>
        <v>0</v>
      </c>
      <c r="AB404" s="169">
        <f t="shared" si="212"/>
        <v>0</v>
      </c>
      <c r="AC404" s="169">
        <f t="shared" si="212"/>
        <v>0</v>
      </c>
      <c r="AD404" s="169">
        <f t="shared" si="212"/>
        <v>0</v>
      </c>
      <c r="AE404" s="169">
        <f t="shared" si="212"/>
        <v>0</v>
      </c>
      <c r="AF404" s="169">
        <f t="shared" si="212"/>
        <v>0</v>
      </c>
      <c r="AG404" s="169">
        <f t="shared" si="212"/>
        <v>0</v>
      </c>
      <c r="AH404" s="169">
        <f t="shared" si="212"/>
        <v>0</v>
      </c>
      <c r="AI404" s="169">
        <f t="shared" si="212"/>
        <v>0</v>
      </c>
      <c r="AJ404" s="169">
        <f t="shared" si="212"/>
        <v>0</v>
      </c>
      <c r="AK404" s="169">
        <f t="shared" si="212"/>
        <v>0</v>
      </c>
      <c r="AL404" s="169">
        <f t="shared" si="212"/>
        <v>0</v>
      </c>
      <c r="AM404" s="169">
        <f t="shared" si="212"/>
        <v>0</v>
      </c>
      <c r="AN404" s="169">
        <f t="shared" si="212"/>
        <v>0</v>
      </c>
      <c r="AO404" s="169">
        <f t="shared" si="212"/>
        <v>0</v>
      </c>
      <c r="AP404" s="169">
        <f t="shared" si="212"/>
        <v>0</v>
      </c>
    </row>
    <row r="405" spans="1:42" x14ac:dyDescent="0.2">
      <c r="A405" s="101">
        <f t="shared" si="214"/>
        <v>6</v>
      </c>
      <c r="C405" s="169">
        <f t="shared" si="213"/>
        <v>0</v>
      </c>
      <c r="D405" s="169">
        <f t="shared" si="212"/>
        <v>0</v>
      </c>
      <c r="E405" s="169">
        <f t="shared" si="212"/>
        <v>0</v>
      </c>
      <c r="F405" s="169">
        <f t="shared" si="212"/>
        <v>0</v>
      </c>
      <c r="G405" s="169">
        <f t="shared" si="212"/>
        <v>0</v>
      </c>
      <c r="H405" s="169">
        <f t="shared" si="212"/>
        <v>0</v>
      </c>
      <c r="I405" s="169">
        <f t="shared" si="212"/>
        <v>0</v>
      </c>
      <c r="J405" s="169">
        <f t="shared" si="212"/>
        <v>0</v>
      </c>
      <c r="K405" s="169">
        <f t="shared" si="212"/>
        <v>0</v>
      </c>
      <c r="L405" s="169">
        <f t="shared" si="212"/>
        <v>0</v>
      </c>
      <c r="M405" s="169">
        <f t="shared" si="212"/>
        <v>0</v>
      </c>
      <c r="N405" s="169">
        <f t="shared" si="212"/>
        <v>0</v>
      </c>
      <c r="O405" s="169">
        <f t="shared" si="212"/>
        <v>0</v>
      </c>
      <c r="P405" s="169">
        <f t="shared" si="212"/>
        <v>0</v>
      </c>
      <c r="Q405" s="169">
        <f t="shared" si="212"/>
        <v>0</v>
      </c>
      <c r="R405" s="169">
        <f t="shared" si="212"/>
        <v>0</v>
      </c>
      <c r="S405" s="169">
        <f t="shared" si="212"/>
        <v>0</v>
      </c>
      <c r="T405" s="169">
        <f t="shared" si="212"/>
        <v>0</v>
      </c>
      <c r="U405" s="169">
        <f t="shared" si="212"/>
        <v>0</v>
      </c>
      <c r="V405" s="169">
        <f t="shared" si="212"/>
        <v>0</v>
      </c>
      <c r="W405" s="169">
        <f t="shared" si="212"/>
        <v>0</v>
      </c>
      <c r="X405" s="169">
        <f t="shared" si="212"/>
        <v>0</v>
      </c>
      <c r="Y405" s="169">
        <f t="shared" si="212"/>
        <v>0</v>
      </c>
      <c r="Z405" s="169">
        <f t="shared" si="212"/>
        <v>0</v>
      </c>
      <c r="AA405" s="169">
        <f t="shared" si="212"/>
        <v>0</v>
      </c>
      <c r="AB405" s="169">
        <f t="shared" si="212"/>
        <v>0</v>
      </c>
      <c r="AC405" s="169">
        <f t="shared" si="212"/>
        <v>0</v>
      </c>
      <c r="AD405" s="169">
        <f t="shared" si="212"/>
        <v>0</v>
      </c>
      <c r="AE405" s="169">
        <f t="shared" si="212"/>
        <v>0</v>
      </c>
      <c r="AF405" s="169">
        <f t="shared" si="212"/>
        <v>0</v>
      </c>
      <c r="AG405" s="169">
        <f t="shared" si="212"/>
        <v>0</v>
      </c>
      <c r="AH405" s="169">
        <f t="shared" si="212"/>
        <v>0</v>
      </c>
      <c r="AI405" s="169">
        <f t="shared" si="212"/>
        <v>0</v>
      </c>
      <c r="AJ405" s="169">
        <f t="shared" si="212"/>
        <v>0</v>
      </c>
      <c r="AK405" s="169">
        <f t="shared" si="212"/>
        <v>0</v>
      </c>
      <c r="AL405" s="169">
        <f t="shared" si="212"/>
        <v>0</v>
      </c>
      <c r="AM405" s="169">
        <f t="shared" si="212"/>
        <v>0</v>
      </c>
      <c r="AN405" s="169">
        <f t="shared" si="212"/>
        <v>0</v>
      </c>
      <c r="AO405" s="169">
        <f t="shared" si="212"/>
        <v>0</v>
      </c>
      <c r="AP405" s="169">
        <f t="shared" si="212"/>
        <v>0</v>
      </c>
    </row>
    <row r="406" spans="1:42" x14ac:dyDescent="0.2">
      <c r="A406" s="101">
        <f t="shared" si="214"/>
        <v>7</v>
      </c>
      <c r="C406" s="169">
        <f t="shared" si="213"/>
        <v>0</v>
      </c>
      <c r="D406" s="169">
        <f t="shared" si="212"/>
        <v>0</v>
      </c>
      <c r="E406" s="169">
        <f t="shared" si="212"/>
        <v>0</v>
      </c>
      <c r="F406" s="169">
        <f t="shared" si="212"/>
        <v>0</v>
      </c>
      <c r="G406" s="169">
        <f t="shared" si="212"/>
        <v>0</v>
      </c>
      <c r="H406" s="169">
        <f t="shared" si="212"/>
        <v>0</v>
      </c>
      <c r="I406" s="169">
        <f t="shared" si="212"/>
        <v>0</v>
      </c>
      <c r="J406" s="169">
        <f t="shared" si="212"/>
        <v>0</v>
      </c>
      <c r="K406" s="169">
        <f t="shared" si="212"/>
        <v>0</v>
      </c>
      <c r="L406" s="169">
        <f t="shared" si="212"/>
        <v>0</v>
      </c>
      <c r="M406" s="169">
        <f t="shared" si="212"/>
        <v>0</v>
      </c>
      <c r="N406" s="169">
        <f t="shared" si="212"/>
        <v>0</v>
      </c>
      <c r="O406" s="169">
        <f t="shared" si="212"/>
        <v>0</v>
      </c>
      <c r="P406" s="169">
        <f t="shared" si="212"/>
        <v>0</v>
      </c>
      <c r="Q406" s="169">
        <f t="shared" si="212"/>
        <v>0</v>
      </c>
      <c r="R406" s="169">
        <f t="shared" si="212"/>
        <v>0</v>
      </c>
      <c r="S406" s="169">
        <f t="shared" si="212"/>
        <v>0</v>
      </c>
      <c r="T406" s="169">
        <f t="shared" si="212"/>
        <v>0</v>
      </c>
      <c r="U406" s="169">
        <f t="shared" si="212"/>
        <v>0</v>
      </c>
      <c r="V406" s="169">
        <f t="shared" si="212"/>
        <v>0</v>
      </c>
      <c r="W406" s="169">
        <f t="shared" si="212"/>
        <v>0</v>
      </c>
      <c r="X406" s="169">
        <f t="shared" si="212"/>
        <v>0</v>
      </c>
      <c r="Y406" s="169">
        <f t="shared" ref="Y406:AP406" si="215">Y272</f>
        <v>0</v>
      </c>
      <c r="Z406" s="169">
        <f t="shared" si="215"/>
        <v>0</v>
      </c>
      <c r="AA406" s="169">
        <f t="shared" si="215"/>
        <v>0</v>
      </c>
      <c r="AB406" s="169">
        <f t="shared" si="215"/>
        <v>0</v>
      </c>
      <c r="AC406" s="169">
        <f t="shared" si="215"/>
        <v>0</v>
      </c>
      <c r="AD406" s="169">
        <f t="shared" si="215"/>
        <v>0</v>
      </c>
      <c r="AE406" s="169">
        <f t="shared" si="215"/>
        <v>0</v>
      </c>
      <c r="AF406" s="169">
        <f t="shared" si="215"/>
        <v>0</v>
      </c>
      <c r="AG406" s="169">
        <f t="shared" si="215"/>
        <v>0</v>
      </c>
      <c r="AH406" s="169">
        <f t="shared" si="215"/>
        <v>0</v>
      </c>
      <c r="AI406" s="169">
        <f t="shared" si="215"/>
        <v>0</v>
      </c>
      <c r="AJ406" s="169">
        <f t="shared" si="215"/>
        <v>0</v>
      </c>
      <c r="AK406" s="169">
        <f t="shared" si="215"/>
        <v>0</v>
      </c>
      <c r="AL406" s="169">
        <f t="shared" si="215"/>
        <v>0</v>
      </c>
      <c r="AM406" s="169">
        <f t="shared" si="215"/>
        <v>0</v>
      </c>
      <c r="AN406" s="169">
        <f t="shared" si="215"/>
        <v>0</v>
      </c>
      <c r="AO406" s="169">
        <f t="shared" si="215"/>
        <v>0</v>
      </c>
      <c r="AP406" s="169">
        <f t="shared" si="215"/>
        <v>0</v>
      </c>
    </row>
    <row r="407" spans="1:42" x14ac:dyDescent="0.2">
      <c r="A407" s="101">
        <f t="shared" si="214"/>
        <v>8</v>
      </c>
      <c r="C407" s="169">
        <f t="shared" si="213"/>
        <v>0</v>
      </c>
      <c r="D407" s="169">
        <f t="shared" si="213"/>
        <v>0</v>
      </c>
      <c r="E407" s="169">
        <f t="shared" si="213"/>
        <v>0</v>
      </c>
      <c r="F407" s="169">
        <f t="shared" si="213"/>
        <v>0</v>
      </c>
      <c r="G407" s="169">
        <f t="shared" si="213"/>
        <v>0</v>
      </c>
      <c r="H407" s="169">
        <f t="shared" si="213"/>
        <v>0</v>
      </c>
      <c r="I407" s="169">
        <f t="shared" si="213"/>
        <v>0</v>
      </c>
      <c r="J407" s="169">
        <f t="shared" si="213"/>
        <v>0</v>
      </c>
      <c r="K407" s="169">
        <f t="shared" si="213"/>
        <v>0</v>
      </c>
      <c r="L407" s="169">
        <f t="shared" si="213"/>
        <v>0</v>
      </c>
      <c r="M407" s="169">
        <f t="shared" si="213"/>
        <v>0</v>
      </c>
      <c r="N407" s="169">
        <f t="shared" si="213"/>
        <v>0</v>
      </c>
      <c r="O407" s="169">
        <f t="shared" si="213"/>
        <v>0</v>
      </c>
      <c r="P407" s="169">
        <f t="shared" si="213"/>
        <v>0</v>
      </c>
      <c r="Q407" s="169">
        <f t="shared" si="213"/>
        <v>0</v>
      </c>
      <c r="R407" s="169">
        <f t="shared" si="213"/>
        <v>0</v>
      </c>
      <c r="S407" s="169">
        <f t="shared" ref="S407:AP409" si="216">S273</f>
        <v>0</v>
      </c>
      <c r="T407" s="169">
        <f t="shared" si="216"/>
        <v>0</v>
      </c>
      <c r="U407" s="169">
        <f t="shared" si="216"/>
        <v>0</v>
      </c>
      <c r="V407" s="169">
        <f t="shared" si="216"/>
        <v>0</v>
      </c>
      <c r="W407" s="169">
        <f t="shared" si="216"/>
        <v>0</v>
      </c>
      <c r="X407" s="169">
        <f t="shared" si="216"/>
        <v>0</v>
      </c>
      <c r="Y407" s="169">
        <f t="shared" si="216"/>
        <v>0</v>
      </c>
      <c r="Z407" s="169">
        <f t="shared" si="216"/>
        <v>0</v>
      </c>
      <c r="AA407" s="169">
        <f t="shared" si="216"/>
        <v>0</v>
      </c>
      <c r="AB407" s="169">
        <f t="shared" si="216"/>
        <v>0</v>
      </c>
      <c r="AC407" s="169">
        <f t="shared" si="216"/>
        <v>0</v>
      </c>
      <c r="AD407" s="169">
        <f t="shared" si="216"/>
        <v>0</v>
      </c>
      <c r="AE407" s="169">
        <f t="shared" si="216"/>
        <v>0</v>
      </c>
      <c r="AF407" s="169">
        <f t="shared" si="216"/>
        <v>0</v>
      </c>
      <c r="AG407" s="169">
        <f t="shared" si="216"/>
        <v>0</v>
      </c>
      <c r="AH407" s="169">
        <f t="shared" si="216"/>
        <v>0</v>
      </c>
      <c r="AI407" s="169">
        <f t="shared" si="216"/>
        <v>0</v>
      </c>
      <c r="AJ407" s="169">
        <f t="shared" si="216"/>
        <v>0</v>
      </c>
      <c r="AK407" s="169">
        <f t="shared" si="216"/>
        <v>0</v>
      </c>
      <c r="AL407" s="169">
        <f t="shared" si="216"/>
        <v>0</v>
      </c>
      <c r="AM407" s="169">
        <f t="shared" si="216"/>
        <v>0</v>
      </c>
      <c r="AN407" s="169">
        <f t="shared" si="216"/>
        <v>0</v>
      </c>
      <c r="AO407" s="169">
        <f t="shared" si="216"/>
        <v>0</v>
      </c>
      <c r="AP407" s="169">
        <f t="shared" si="216"/>
        <v>0</v>
      </c>
    </row>
    <row r="408" spans="1:42" x14ac:dyDescent="0.2">
      <c r="A408" s="101">
        <f>A407+1</f>
        <v>9</v>
      </c>
      <c r="C408" s="169">
        <f t="shared" si="213"/>
        <v>0</v>
      </c>
      <c r="D408" s="169">
        <f t="shared" si="213"/>
        <v>0</v>
      </c>
      <c r="E408" s="169">
        <f t="shared" si="213"/>
        <v>0</v>
      </c>
      <c r="F408" s="169">
        <f t="shared" si="213"/>
        <v>0</v>
      </c>
      <c r="G408" s="169">
        <f t="shared" si="213"/>
        <v>0</v>
      </c>
      <c r="H408" s="169">
        <f t="shared" si="213"/>
        <v>0</v>
      </c>
      <c r="I408" s="169">
        <f t="shared" si="213"/>
        <v>0</v>
      </c>
      <c r="J408" s="169">
        <f t="shared" si="213"/>
        <v>0</v>
      </c>
      <c r="K408" s="169">
        <f t="shared" si="213"/>
        <v>0</v>
      </c>
      <c r="L408" s="169">
        <f t="shared" si="213"/>
        <v>0</v>
      </c>
      <c r="M408" s="169">
        <f t="shared" si="213"/>
        <v>0</v>
      </c>
      <c r="N408" s="169">
        <f t="shared" si="213"/>
        <v>0</v>
      </c>
      <c r="O408" s="169">
        <f t="shared" si="213"/>
        <v>0</v>
      </c>
      <c r="P408" s="169">
        <f t="shared" si="213"/>
        <v>0</v>
      </c>
      <c r="Q408" s="169">
        <f t="shared" si="213"/>
        <v>0</v>
      </c>
      <c r="R408" s="169">
        <f t="shared" si="213"/>
        <v>0</v>
      </c>
      <c r="S408" s="169">
        <f t="shared" si="216"/>
        <v>0</v>
      </c>
      <c r="T408" s="169">
        <f t="shared" si="216"/>
        <v>0</v>
      </c>
      <c r="U408" s="169">
        <f t="shared" si="216"/>
        <v>0</v>
      </c>
      <c r="V408" s="169">
        <f t="shared" si="216"/>
        <v>0</v>
      </c>
      <c r="W408" s="169">
        <f t="shared" si="216"/>
        <v>0</v>
      </c>
      <c r="X408" s="169">
        <f t="shared" si="216"/>
        <v>0</v>
      </c>
      <c r="Y408" s="169">
        <f t="shared" si="216"/>
        <v>0</v>
      </c>
      <c r="Z408" s="169">
        <f t="shared" si="216"/>
        <v>0</v>
      </c>
      <c r="AA408" s="169">
        <f t="shared" si="216"/>
        <v>0</v>
      </c>
      <c r="AB408" s="169">
        <f t="shared" si="216"/>
        <v>0</v>
      </c>
      <c r="AC408" s="169">
        <f t="shared" si="216"/>
        <v>0</v>
      </c>
      <c r="AD408" s="169">
        <f t="shared" si="216"/>
        <v>0</v>
      </c>
      <c r="AE408" s="169">
        <f t="shared" si="216"/>
        <v>0</v>
      </c>
      <c r="AF408" s="169">
        <f t="shared" si="216"/>
        <v>0</v>
      </c>
      <c r="AG408" s="169">
        <f t="shared" si="216"/>
        <v>0</v>
      </c>
      <c r="AH408" s="169">
        <f t="shared" si="216"/>
        <v>0</v>
      </c>
      <c r="AI408" s="169">
        <f t="shared" si="216"/>
        <v>0</v>
      </c>
      <c r="AJ408" s="169">
        <f t="shared" si="216"/>
        <v>0</v>
      </c>
      <c r="AK408" s="169">
        <f t="shared" si="216"/>
        <v>0</v>
      </c>
      <c r="AL408" s="169">
        <f t="shared" si="216"/>
        <v>0</v>
      </c>
      <c r="AM408" s="169">
        <f t="shared" si="216"/>
        <v>0</v>
      </c>
      <c r="AN408" s="169">
        <f t="shared" si="216"/>
        <v>0</v>
      </c>
      <c r="AO408" s="169">
        <f t="shared" si="216"/>
        <v>0</v>
      </c>
      <c r="AP408" s="169">
        <f t="shared" si="216"/>
        <v>0</v>
      </c>
    </row>
    <row r="409" spans="1:42" x14ac:dyDescent="0.2">
      <c r="A409" s="101">
        <f t="shared" ref="A409" si="217">A408+1</f>
        <v>10</v>
      </c>
      <c r="C409" s="169">
        <f t="shared" si="213"/>
        <v>0</v>
      </c>
      <c r="D409" s="169">
        <f t="shared" si="213"/>
        <v>0</v>
      </c>
      <c r="E409" s="169">
        <f t="shared" si="213"/>
        <v>0</v>
      </c>
      <c r="F409" s="169">
        <f t="shared" si="213"/>
        <v>0</v>
      </c>
      <c r="G409" s="169">
        <f t="shared" si="213"/>
        <v>0</v>
      </c>
      <c r="H409" s="169">
        <f t="shared" si="213"/>
        <v>0</v>
      </c>
      <c r="I409" s="169">
        <f t="shared" si="213"/>
        <v>0</v>
      </c>
      <c r="J409" s="169">
        <f t="shared" si="213"/>
        <v>0</v>
      </c>
      <c r="K409" s="169">
        <f t="shared" si="213"/>
        <v>0</v>
      </c>
      <c r="L409" s="169">
        <f t="shared" si="213"/>
        <v>0</v>
      </c>
      <c r="M409" s="169">
        <f t="shared" si="213"/>
        <v>0</v>
      </c>
      <c r="N409" s="169">
        <f t="shared" si="213"/>
        <v>0</v>
      </c>
      <c r="O409" s="169">
        <f t="shared" si="213"/>
        <v>0</v>
      </c>
      <c r="P409" s="169">
        <f t="shared" si="213"/>
        <v>0</v>
      </c>
      <c r="Q409" s="169">
        <f t="shared" si="213"/>
        <v>0</v>
      </c>
      <c r="R409" s="169">
        <f t="shared" si="213"/>
        <v>0</v>
      </c>
      <c r="S409" s="169">
        <f t="shared" si="216"/>
        <v>0</v>
      </c>
      <c r="T409" s="169">
        <f t="shared" si="216"/>
        <v>0</v>
      </c>
      <c r="U409" s="169">
        <f t="shared" si="216"/>
        <v>0</v>
      </c>
      <c r="V409" s="169">
        <f t="shared" si="216"/>
        <v>0</v>
      </c>
      <c r="W409" s="169">
        <f t="shared" si="216"/>
        <v>0</v>
      </c>
      <c r="X409" s="169">
        <f t="shared" si="216"/>
        <v>0</v>
      </c>
      <c r="Y409" s="169">
        <f t="shared" si="216"/>
        <v>0</v>
      </c>
      <c r="Z409" s="169">
        <f t="shared" si="216"/>
        <v>0</v>
      </c>
      <c r="AA409" s="169">
        <f t="shared" si="216"/>
        <v>0</v>
      </c>
      <c r="AB409" s="169">
        <f t="shared" si="216"/>
        <v>0</v>
      </c>
      <c r="AC409" s="169">
        <f t="shared" si="216"/>
        <v>0</v>
      </c>
      <c r="AD409" s="169">
        <f t="shared" si="216"/>
        <v>0</v>
      </c>
      <c r="AE409" s="169">
        <f t="shared" si="216"/>
        <v>0</v>
      </c>
      <c r="AF409" s="169">
        <f t="shared" si="216"/>
        <v>0</v>
      </c>
      <c r="AG409" s="169">
        <f t="shared" si="216"/>
        <v>0</v>
      </c>
      <c r="AH409" s="169">
        <f t="shared" si="216"/>
        <v>0</v>
      </c>
      <c r="AI409" s="169">
        <f t="shared" si="216"/>
        <v>0</v>
      </c>
      <c r="AJ409" s="169">
        <f t="shared" si="216"/>
        <v>0</v>
      </c>
      <c r="AK409" s="169">
        <f t="shared" si="216"/>
        <v>0</v>
      </c>
      <c r="AL409" s="169">
        <f t="shared" si="216"/>
        <v>0</v>
      </c>
      <c r="AM409" s="169">
        <f t="shared" si="216"/>
        <v>0</v>
      </c>
      <c r="AN409" s="169">
        <f t="shared" si="216"/>
        <v>0</v>
      </c>
      <c r="AO409" s="169">
        <f t="shared" si="216"/>
        <v>0</v>
      </c>
      <c r="AP409" s="169">
        <f t="shared" si="216"/>
        <v>0</v>
      </c>
    </row>
    <row r="410" spans="1:42" x14ac:dyDescent="0.2">
      <c r="A410" s="187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</row>
    <row r="411" spans="1:42" x14ac:dyDescent="0.2">
      <c r="A411" s="187" t="s">
        <v>196</v>
      </c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</row>
    <row r="412" spans="1:42" x14ac:dyDescent="0.2">
      <c r="A412" s="101">
        <v>1</v>
      </c>
      <c r="B412" s="179">
        <f t="shared" ref="B412:B421" si="218">SUM(C412:AP412)</f>
        <v>2944872.3435013141</v>
      </c>
      <c r="C412" s="208">
        <f t="shared" ref="C412:AP412" si="219">LOOKUP(C400,$B$395:$AP$395,$B$396:$AP$396)*$B611</f>
        <v>0</v>
      </c>
      <c r="D412" s="169">
        <f t="shared" si="219"/>
        <v>0</v>
      </c>
      <c r="E412" s="169">
        <f t="shared" si="219"/>
        <v>0</v>
      </c>
      <c r="F412" s="169">
        <f t="shared" si="219"/>
        <v>0</v>
      </c>
      <c r="G412" s="169">
        <f t="shared" si="219"/>
        <v>0</v>
      </c>
      <c r="H412" s="169">
        <f t="shared" si="219"/>
        <v>0</v>
      </c>
      <c r="I412" s="169">
        <f t="shared" si="219"/>
        <v>0</v>
      </c>
      <c r="J412" s="169">
        <f t="shared" si="219"/>
        <v>0</v>
      </c>
      <c r="K412" s="169">
        <f t="shared" si="219"/>
        <v>0</v>
      </c>
      <c r="L412" s="169">
        <f t="shared" si="219"/>
        <v>0</v>
      </c>
      <c r="M412" s="169">
        <f t="shared" si="219"/>
        <v>0</v>
      </c>
      <c r="N412" s="169">
        <f t="shared" si="219"/>
        <v>588974.46870026283</v>
      </c>
      <c r="O412" s="169">
        <f t="shared" si="219"/>
        <v>942359.14992042049</v>
      </c>
      <c r="P412" s="169">
        <f t="shared" si="219"/>
        <v>565415.48995225236</v>
      </c>
      <c r="Q412" s="169">
        <f t="shared" si="219"/>
        <v>339249.29397135135</v>
      </c>
      <c r="R412" s="169">
        <f t="shared" si="219"/>
        <v>339249.29397135135</v>
      </c>
      <c r="S412" s="169">
        <f t="shared" si="219"/>
        <v>169624.64698567567</v>
      </c>
      <c r="T412" s="169">
        <f t="shared" si="219"/>
        <v>0</v>
      </c>
      <c r="U412" s="169">
        <f t="shared" si="219"/>
        <v>0</v>
      </c>
      <c r="V412" s="169">
        <f t="shared" si="219"/>
        <v>0</v>
      </c>
      <c r="W412" s="169">
        <f t="shared" si="219"/>
        <v>0</v>
      </c>
      <c r="X412" s="169">
        <f t="shared" si="219"/>
        <v>0</v>
      </c>
      <c r="Y412" s="169">
        <f t="shared" si="219"/>
        <v>0</v>
      </c>
      <c r="Z412" s="169">
        <f t="shared" si="219"/>
        <v>0</v>
      </c>
      <c r="AA412" s="169">
        <f t="shared" si="219"/>
        <v>0</v>
      </c>
      <c r="AB412" s="169">
        <f t="shared" si="219"/>
        <v>0</v>
      </c>
      <c r="AC412" s="169">
        <f t="shared" si="219"/>
        <v>0</v>
      </c>
      <c r="AD412" s="169">
        <f t="shared" si="219"/>
        <v>0</v>
      </c>
      <c r="AE412" s="169">
        <f t="shared" si="219"/>
        <v>0</v>
      </c>
      <c r="AF412" s="169">
        <f t="shared" si="219"/>
        <v>0</v>
      </c>
      <c r="AG412" s="169">
        <f t="shared" si="219"/>
        <v>0</v>
      </c>
      <c r="AH412" s="169">
        <f t="shared" si="219"/>
        <v>0</v>
      </c>
      <c r="AI412" s="169">
        <f t="shared" si="219"/>
        <v>0</v>
      </c>
      <c r="AJ412" s="169">
        <f t="shared" si="219"/>
        <v>0</v>
      </c>
      <c r="AK412" s="169">
        <f t="shared" si="219"/>
        <v>0</v>
      </c>
      <c r="AL412" s="169">
        <f t="shared" si="219"/>
        <v>0</v>
      </c>
      <c r="AM412" s="169">
        <f t="shared" si="219"/>
        <v>0</v>
      </c>
      <c r="AN412" s="169">
        <f t="shared" si="219"/>
        <v>0</v>
      </c>
      <c r="AO412" s="169">
        <f t="shared" si="219"/>
        <v>0</v>
      </c>
      <c r="AP412" s="169">
        <f t="shared" si="219"/>
        <v>0</v>
      </c>
    </row>
    <row r="413" spans="1:42" x14ac:dyDescent="0.2">
      <c r="A413" s="101">
        <f>A412+1</f>
        <v>2</v>
      </c>
      <c r="B413" s="179">
        <f t="shared" si="218"/>
        <v>3520942.886524681</v>
      </c>
      <c r="C413" s="208">
        <f t="shared" ref="C413:AP413" si="220">LOOKUP(C401,$B$395:$AP$395,$B$396:$AP$396)*$B612</f>
        <v>0</v>
      </c>
      <c r="D413" s="169">
        <f t="shared" si="220"/>
        <v>0</v>
      </c>
      <c r="E413" s="169">
        <f t="shared" si="220"/>
        <v>0</v>
      </c>
      <c r="F413" s="169">
        <f t="shared" si="220"/>
        <v>0</v>
      </c>
      <c r="G413" s="169">
        <f t="shared" si="220"/>
        <v>0</v>
      </c>
      <c r="H413" s="169">
        <f t="shared" si="220"/>
        <v>0</v>
      </c>
      <c r="I413" s="169">
        <f t="shared" si="220"/>
        <v>0</v>
      </c>
      <c r="J413" s="169">
        <f t="shared" si="220"/>
        <v>0</v>
      </c>
      <c r="K413" s="169">
        <f t="shared" si="220"/>
        <v>0</v>
      </c>
      <c r="L413" s="169">
        <f t="shared" si="220"/>
        <v>0</v>
      </c>
      <c r="M413" s="169">
        <f t="shared" si="220"/>
        <v>0</v>
      </c>
      <c r="N413" s="169">
        <f t="shared" si="220"/>
        <v>0</v>
      </c>
      <c r="O413" s="169">
        <f t="shared" si="220"/>
        <v>0</v>
      </c>
      <c r="P413" s="169">
        <f t="shared" si="220"/>
        <v>0</v>
      </c>
      <c r="Q413" s="169">
        <f t="shared" si="220"/>
        <v>0</v>
      </c>
      <c r="R413" s="169">
        <f t="shared" si="220"/>
        <v>0</v>
      </c>
      <c r="S413" s="169">
        <f t="shared" si="220"/>
        <v>0</v>
      </c>
      <c r="T413" s="169">
        <f t="shared" si="220"/>
        <v>0</v>
      </c>
      <c r="U413" s="169">
        <f t="shared" si="220"/>
        <v>0</v>
      </c>
      <c r="V413" s="169">
        <f t="shared" si="220"/>
        <v>0</v>
      </c>
      <c r="W413" s="169">
        <f t="shared" si="220"/>
        <v>0</v>
      </c>
      <c r="X413" s="169">
        <f t="shared" si="220"/>
        <v>0</v>
      </c>
      <c r="Y413" s="169">
        <f t="shared" si="220"/>
        <v>0</v>
      </c>
      <c r="Z413" s="169">
        <f t="shared" si="220"/>
        <v>704188.57730493625</v>
      </c>
      <c r="AA413" s="169">
        <f t="shared" si="220"/>
        <v>1126701.7236878979</v>
      </c>
      <c r="AB413" s="169">
        <f t="shared" si="220"/>
        <v>676021.03421273874</v>
      </c>
      <c r="AC413" s="169">
        <f t="shared" si="220"/>
        <v>405612.62052764324</v>
      </c>
      <c r="AD413" s="169">
        <f t="shared" si="220"/>
        <v>405612.62052764324</v>
      </c>
      <c r="AE413" s="169">
        <f t="shared" si="220"/>
        <v>202806.31026382162</v>
      </c>
      <c r="AF413" s="169">
        <f t="shared" si="220"/>
        <v>0</v>
      </c>
      <c r="AG413" s="169">
        <f t="shared" si="220"/>
        <v>0</v>
      </c>
      <c r="AH413" s="169">
        <f t="shared" si="220"/>
        <v>0</v>
      </c>
      <c r="AI413" s="169">
        <f t="shared" si="220"/>
        <v>0</v>
      </c>
      <c r="AJ413" s="169">
        <f t="shared" si="220"/>
        <v>0</v>
      </c>
      <c r="AK413" s="169">
        <f t="shared" si="220"/>
        <v>0</v>
      </c>
      <c r="AL413" s="169">
        <f t="shared" si="220"/>
        <v>0</v>
      </c>
      <c r="AM413" s="169">
        <f t="shared" si="220"/>
        <v>0</v>
      </c>
      <c r="AN413" s="169">
        <f t="shared" si="220"/>
        <v>0</v>
      </c>
      <c r="AO413" s="169">
        <f t="shared" si="220"/>
        <v>0</v>
      </c>
      <c r="AP413" s="169">
        <f t="shared" si="220"/>
        <v>0</v>
      </c>
    </row>
    <row r="414" spans="1:42" x14ac:dyDescent="0.2">
      <c r="A414" s="101">
        <f t="shared" ref="A414:A419" si="221">A413+1</f>
        <v>3</v>
      </c>
      <c r="B414" s="179">
        <f t="shared" si="218"/>
        <v>3967224.3859686418</v>
      </c>
      <c r="C414" s="208">
        <f t="shared" ref="C414:AP414" si="222">LOOKUP(C402,$B$395:$AP$395,$B$396:$AP$396)*$B613</f>
        <v>0</v>
      </c>
      <c r="D414" s="169">
        <f t="shared" si="222"/>
        <v>0</v>
      </c>
      <c r="E414" s="169">
        <f t="shared" si="222"/>
        <v>0</v>
      </c>
      <c r="F414" s="169">
        <f t="shared" si="222"/>
        <v>0</v>
      </c>
      <c r="G414" s="169">
        <f t="shared" si="222"/>
        <v>0</v>
      </c>
      <c r="H414" s="169">
        <f t="shared" si="222"/>
        <v>0</v>
      </c>
      <c r="I414" s="169">
        <f t="shared" si="222"/>
        <v>0</v>
      </c>
      <c r="J414" s="169">
        <f t="shared" si="222"/>
        <v>0</v>
      </c>
      <c r="K414" s="169">
        <f t="shared" si="222"/>
        <v>0</v>
      </c>
      <c r="L414" s="169">
        <f t="shared" si="222"/>
        <v>0</v>
      </c>
      <c r="M414" s="169">
        <f t="shared" si="222"/>
        <v>0</v>
      </c>
      <c r="N414" s="169">
        <f t="shared" si="222"/>
        <v>0</v>
      </c>
      <c r="O414" s="169">
        <f t="shared" si="222"/>
        <v>0</v>
      </c>
      <c r="P414" s="169">
        <f t="shared" si="222"/>
        <v>0</v>
      </c>
      <c r="Q414" s="169">
        <f t="shared" si="222"/>
        <v>0</v>
      </c>
      <c r="R414" s="169">
        <f t="shared" si="222"/>
        <v>0</v>
      </c>
      <c r="S414" s="169">
        <f t="shared" si="222"/>
        <v>0</v>
      </c>
      <c r="T414" s="169">
        <f t="shared" si="222"/>
        <v>0</v>
      </c>
      <c r="U414" s="169">
        <f t="shared" si="222"/>
        <v>0</v>
      </c>
      <c r="V414" s="169">
        <f t="shared" si="222"/>
        <v>0</v>
      </c>
      <c r="W414" s="169">
        <f t="shared" si="222"/>
        <v>0</v>
      </c>
      <c r="X414" s="169">
        <f t="shared" si="222"/>
        <v>0</v>
      </c>
      <c r="Y414" s="169">
        <f t="shared" si="222"/>
        <v>0</v>
      </c>
      <c r="Z414" s="169">
        <f t="shared" si="222"/>
        <v>0</v>
      </c>
      <c r="AA414" s="169">
        <f t="shared" si="222"/>
        <v>0</v>
      </c>
      <c r="AB414" s="169">
        <f t="shared" si="222"/>
        <v>0</v>
      </c>
      <c r="AC414" s="169">
        <f t="shared" si="222"/>
        <v>0</v>
      </c>
      <c r="AD414" s="169">
        <f t="shared" si="222"/>
        <v>0</v>
      </c>
      <c r="AE414" s="169">
        <f t="shared" si="222"/>
        <v>0</v>
      </c>
      <c r="AF414" s="169">
        <f t="shared" si="222"/>
        <v>0</v>
      </c>
      <c r="AG414" s="169">
        <f t="shared" si="222"/>
        <v>0</v>
      </c>
      <c r="AH414" s="169">
        <f t="shared" si="222"/>
        <v>0</v>
      </c>
      <c r="AI414" s="169">
        <f t="shared" si="222"/>
        <v>0</v>
      </c>
      <c r="AJ414" s="169">
        <f t="shared" si="222"/>
        <v>0</v>
      </c>
      <c r="AK414" s="169">
        <f t="shared" si="222"/>
        <v>0</v>
      </c>
      <c r="AL414" s="169">
        <f t="shared" si="222"/>
        <v>841940.65916142659</v>
      </c>
      <c r="AM414" s="169">
        <f t="shared" si="222"/>
        <v>1347105.0546582823</v>
      </c>
      <c r="AN414" s="169">
        <f t="shared" si="222"/>
        <v>808263.03279496951</v>
      </c>
      <c r="AO414" s="169">
        <f t="shared" si="222"/>
        <v>484957.81967698166</v>
      </c>
      <c r="AP414" s="169">
        <f t="shared" si="222"/>
        <v>484957.81967698166</v>
      </c>
    </row>
    <row r="415" spans="1:42" x14ac:dyDescent="0.2">
      <c r="A415" s="101">
        <f t="shared" si="221"/>
        <v>4</v>
      </c>
      <c r="B415" s="179">
        <f t="shared" si="218"/>
        <v>0</v>
      </c>
      <c r="C415" s="208">
        <f t="shared" ref="C415:AP415" si="223">LOOKUP(C403,$B$395:$AP$395,$B$396:$AP$396)*$B614</f>
        <v>0</v>
      </c>
      <c r="D415" s="169">
        <f t="shared" si="223"/>
        <v>0</v>
      </c>
      <c r="E415" s="169">
        <f t="shared" si="223"/>
        <v>0</v>
      </c>
      <c r="F415" s="169">
        <f t="shared" si="223"/>
        <v>0</v>
      </c>
      <c r="G415" s="169">
        <f t="shared" si="223"/>
        <v>0</v>
      </c>
      <c r="H415" s="169">
        <f t="shared" si="223"/>
        <v>0</v>
      </c>
      <c r="I415" s="169">
        <f t="shared" si="223"/>
        <v>0</v>
      </c>
      <c r="J415" s="169">
        <f t="shared" si="223"/>
        <v>0</v>
      </c>
      <c r="K415" s="169">
        <f t="shared" si="223"/>
        <v>0</v>
      </c>
      <c r="L415" s="169">
        <f t="shared" si="223"/>
        <v>0</v>
      </c>
      <c r="M415" s="169">
        <f t="shared" si="223"/>
        <v>0</v>
      </c>
      <c r="N415" s="169">
        <f t="shared" si="223"/>
        <v>0</v>
      </c>
      <c r="O415" s="169">
        <f t="shared" si="223"/>
        <v>0</v>
      </c>
      <c r="P415" s="169">
        <f t="shared" si="223"/>
        <v>0</v>
      </c>
      <c r="Q415" s="169">
        <f t="shared" si="223"/>
        <v>0</v>
      </c>
      <c r="R415" s="169">
        <f t="shared" si="223"/>
        <v>0</v>
      </c>
      <c r="S415" s="169">
        <f t="shared" si="223"/>
        <v>0</v>
      </c>
      <c r="T415" s="169">
        <f t="shared" si="223"/>
        <v>0</v>
      </c>
      <c r="U415" s="169">
        <f t="shared" si="223"/>
        <v>0</v>
      </c>
      <c r="V415" s="169">
        <f t="shared" si="223"/>
        <v>0</v>
      </c>
      <c r="W415" s="169">
        <f t="shared" si="223"/>
        <v>0</v>
      </c>
      <c r="X415" s="169">
        <f t="shared" si="223"/>
        <v>0</v>
      </c>
      <c r="Y415" s="169">
        <f t="shared" si="223"/>
        <v>0</v>
      </c>
      <c r="Z415" s="169">
        <f t="shared" si="223"/>
        <v>0</v>
      </c>
      <c r="AA415" s="169">
        <f t="shared" si="223"/>
        <v>0</v>
      </c>
      <c r="AB415" s="169">
        <f t="shared" si="223"/>
        <v>0</v>
      </c>
      <c r="AC415" s="169">
        <f t="shared" si="223"/>
        <v>0</v>
      </c>
      <c r="AD415" s="169">
        <f t="shared" si="223"/>
        <v>0</v>
      </c>
      <c r="AE415" s="169">
        <f t="shared" si="223"/>
        <v>0</v>
      </c>
      <c r="AF415" s="169">
        <f t="shared" si="223"/>
        <v>0</v>
      </c>
      <c r="AG415" s="169">
        <f t="shared" si="223"/>
        <v>0</v>
      </c>
      <c r="AH415" s="169">
        <f t="shared" si="223"/>
        <v>0</v>
      </c>
      <c r="AI415" s="169">
        <f t="shared" si="223"/>
        <v>0</v>
      </c>
      <c r="AJ415" s="169">
        <f t="shared" si="223"/>
        <v>0</v>
      </c>
      <c r="AK415" s="169">
        <f t="shared" si="223"/>
        <v>0</v>
      </c>
      <c r="AL415" s="169">
        <f t="shared" si="223"/>
        <v>0</v>
      </c>
      <c r="AM415" s="169">
        <f t="shared" si="223"/>
        <v>0</v>
      </c>
      <c r="AN415" s="169">
        <f t="shared" si="223"/>
        <v>0</v>
      </c>
      <c r="AO415" s="169">
        <f t="shared" si="223"/>
        <v>0</v>
      </c>
      <c r="AP415" s="169">
        <f t="shared" si="223"/>
        <v>0</v>
      </c>
    </row>
    <row r="416" spans="1:42" x14ac:dyDescent="0.2">
      <c r="A416" s="101">
        <f t="shared" si="221"/>
        <v>5</v>
      </c>
      <c r="B416" s="179">
        <f t="shared" si="218"/>
        <v>0</v>
      </c>
      <c r="C416" s="208">
        <f t="shared" ref="C416:AP416" si="224">LOOKUP(C404,$B$395:$AP$395,$B$396:$AP$396)*$B615</f>
        <v>0</v>
      </c>
      <c r="D416" s="169">
        <f t="shared" si="224"/>
        <v>0</v>
      </c>
      <c r="E416" s="169">
        <f t="shared" si="224"/>
        <v>0</v>
      </c>
      <c r="F416" s="169">
        <f t="shared" si="224"/>
        <v>0</v>
      </c>
      <c r="G416" s="169">
        <f t="shared" si="224"/>
        <v>0</v>
      </c>
      <c r="H416" s="169">
        <f t="shared" si="224"/>
        <v>0</v>
      </c>
      <c r="I416" s="169">
        <f t="shared" si="224"/>
        <v>0</v>
      </c>
      <c r="J416" s="169">
        <f t="shared" si="224"/>
        <v>0</v>
      </c>
      <c r="K416" s="169">
        <f t="shared" si="224"/>
        <v>0</v>
      </c>
      <c r="L416" s="169">
        <f t="shared" si="224"/>
        <v>0</v>
      </c>
      <c r="M416" s="169">
        <f t="shared" si="224"/>
        <v>0</v>
      </c>
      <c r="N416" s="169">
        <f t="shared" si="224"/>
        <v>0</v>
      </c>
      <c r="O416" s="169">
        <f t="shared" si="224"/>
        <v>0</v>
      </c>
      <c r="P416" s="169">
        <f t="shared" si="224"/>
        <v>0</v>
      </c>
      <c r="Q416" s="169">
        <f t="shared" si="224"/>
        <v>0</v>
      </c>
      <c r="R416" s="169">
        <f t="shared" si="224"/>
        <v>0</v>
      </c>
      <c r="S416" s="169">
        <f t="shared" si="224"/>
        <v>0</v>
      </c>
      <c r="T416" s="169">
        <f t="shared" si="224"/>
        <v>0</v>
      </c>
      <c r="U416" s="169">
        <f t="shared" si="224"/>
        <v>0</v>
      </c>
      <c r="V416" s="169">
        <f t="shared" si="224"/>
        <v>0</v>
      </c>
      <c r="W416" s="169">
        <f t="shared" si="224"/>
        <v>0</v>
      </c>
      <c r="X416" s="169">
        <f t="shared" si="224"/>
        <v>0</v>
      </c>
      <c r="Y416" s="169">
        <f t="shared" si="224"/>
        <v>0</v>
      </c>
      <c r="Z416" s="169">
        <f t="shared" si="224"/>
        <v>0</v>
      </c>
      <c r="AA416" s="169">
        <f t="shared" si="224"/>
        <v>0</v>
      </c>
      <c r="AB416" s="169">
        <f t="shared" si="224"/>
        <v>0</v>
      </c>
      <c r="AC416" s="169">
        <f t="shared" si="224"/>
        <v>0</v>
      </c>
      <c r="AD416" s="169">
        <f t="shared" si="224"/>
        <v>0</v>
      </c>
      <c r="AE416" s="169">
        <f t="shared" si="224"/>
        <v>0</v>
      </c>
      <c r="AF416" s="169">
        <f t="shared" si="224"/>
        <v>0</v>
      </c>
      <c r="AG416" s="169">
        <f t="shared" si="224"/>
        <v>0</v>
      </c>
      <c r="AH416" s="169">
        <f t="shared" si="224"/>
        <v>0</v>
      </c>
      <c r="AI416" s="169">
        <f t="shared" si="224"/>
        <v>0</v>
      </c>
      <c r="AJ416" s="169">
        <f t="shared" si="224"/>
        <v>0</v>
      </c>
      <c r="AK416" s="169">
        <f t="shared" si="224"/>
        <v>0</v>
      </c>
      <c r="AL416" s="169">
        <f t="shared" si="224"/>
        <v>0</v>
      </c>
      <c r="AM416" s="169">
        <f t="shared" si="224"/>
        <v>0</v>
      </c>
      <c r="AN416" s="169">
        <f t="shared" si="224"/>
        <v>0</v>
      </c>
      <c r="AO416" s="169">
        <f t="shared" si="224"/>
        <v>0</v>
      </c>
      <c r="AP416" s="169">
        <f t="shared" si="224"/>
        <v>0</v>
      </c>
    </row>
    <row r="417" spans="1:42" x14ac:dyDescent="0.2">
      <c r="A417" s="101">
        <f t="shared" si="221"/>
        <v>6</v>
      </c>
      <c r="B417" s="179">
        <f t="shared" si="218"/>
        <v>0</v>
      </c>
      <c r="C417" s="208">
        <f t="shared" ref="C417:AP417" si="225">LOOKUP(C405,$B$395:$AP$395,$B$396:$AP$396)*$B616</f>
        <v>0</v>
      </c>
      <c r="D417" s="169">
        <f t="shared" si="225"/>
        <v>0</v>
      </c>
      <c r="E417" s="169">
        <f t="shared" si="225"/>
        <v>0</v>
      </c>
      <c r="F417" s="169">
        <f t="shared" si="225"/>
        <v>0</v>
      </c>
      <c r="G417" s="169">
        <f t="shared" si="225"/>
        <v>0</v>
      </c>
      <c r="H417" s="169">
        <f t="shared" si="225"/>
        <v>0</v>
      </c>
      <c r="I417" s="169">
        <f t="shared" si="225"/>
        <v>0</v>
      </c>
      <c r="J417" s="169">
        <f t="shared" si="225"/>
        <v>0</v>
      </c>
      <c r="K417" s="169">
        <f t="shared" si="225"/>
        <v>0</v>
      </c>
      <c r="L417" s="169">
        <f t="shared" si="225"/>
        <v>0</v>
      </c>
      <c r="M417" s="169">
        <f t="shared" si="225"/>
        <v>0</v>
      </c>
      <c r="N417" s="169">
        <f t="shared" si="225"/>
        <v>0</v>
      </c>
      <c r="O417" s="169">
        <f t="shared" si="225"/>
        <v>0</v>
      </c>
      <c r="P417" s="169">
        <f t="shared" si="225"/>
        <v>0</v>
      </c>
      <c r="Q417" s="169">
        <f t="shared" si="225"/>
        <v>0</v>
      </c>
      <c r="R417" s="169">
        <f t="shared" si="225"/>
        <v>0</v>
      </c>
      <c r="S417" s="169">
        <f t="shared" si="225"/>
        <v>0</v>
      </c>
      <c r="T417" s="169">
        <f t="shared" si="225"/>
        <v>0</v>
      </c>
      <c r="U417" s="169">
        <f t="shared" si="225"/>
        <v>0</v>
      </c>
      <c r="V417" s="169">
        <f t="shared" si="225"/>
        <v>0</v>
      </c>
      <c r="W417" s="169">
        <f t="shared" si="225"/>
        <v>0</v>
      </c>
      <c r="X417" s="169">
        <f t="shared" si="225"/>
        <v>0</v>
      </c>
      <c r="Y417" s="169">
        <f t="shared" si="225"/>
        <v>0</v>
      </c>
      <c r="Z417" s="169">
        <f t="shared" si="225"/>
        <v>0</v>
      </c>
      <c r="AA417" s="169">
        <f t="shared" si="225"/>
        <v>0</v>
      </c>
      <c r="AB417" s="169">
        <f t="shared" si="225"/>
        <v>0</v>
      </c>
      <c r="AC417" s="169">
        <f t="shared" si="225"/>
        <v>0</v>
      </c>
      <c r="AD417" s="169">
        <f t="shared" si="225"/>
        <v>0</v>
      </c>
      <c r="AE417" s="169">
        <f t="shared" si="225"/>
        <v>0</v>
      </c>
      <c r="AF417" s="169">
        <f t="shared" si="225"/>
        <v>0</v>
      </c>
      <c r="AG417" s="169">
        <f t="shared" si="225"/>
        <v>0</v>
      </c>
      <c r="AH417" s="169">
        <f t="shared" si="225"/>
        <v>0</v>
      </c>
      <c r="AI417" s="169">
        <f t="shared" si="225"/>
        <v>0</v>
      </c>
      <c r="AJ417" s="169">
        <f t="shared" si="225"/>
        <v>0</v>
      </c>
      <c r="AK417" s="169">
        <f t="shared" si="225"/>
        <v>0</v>
      </c>
      <c r="AL417" s="169">
        <f t="shared" si="225"/>
        <v>0</v>
      </c>
      <c r="AM417" s="169">
        <f t="shared" si="225"/>
        <v>0</v>
      </c>
      <c r="AN417" s="169">
        <f t="shared" si="225"/>
        <v>0</v>
      </c>
      <c r="AO417" s="169">
        <f t="shared" si="225"/>
        <v>0</v>
      </c>
      <c r="AP417" s="169">
        <f t="shared" si="225"/>
        <v>0</v>
      </c>
    </row>
    <row r="418" spans="1:42" x14ac:dyDescent="0.2">
      <c r="A418" s="101">
        <f t="shared" si="221"/>
        <v>7</v>
      </c>
      <c r="B418" s="179">
        <f t="shared" si="218"/>
        <v>0</v>
      </c>
      <c r="C418" s="208">
        <f t="shared" ref="C418:AP418" si="226">LOOKUP(C406,$B$395:$AP$395,$B$396:$AP$396)*$B617</f>
        <v>0</v>
      </c>
      <c r="D418" s="169">
        <f t="shared" si="226"/>
        <v>0</v>
      </c>
      <c r="E418" s="169">
        <f t="shared" si="226"/>
        <v>0</v>
      </c>
      <c r="F418" s="169">
        <f t="shared" si="226"/>
        <v>0</v>
      </c>
      <c r="G418" s="169">
        <f t="shared" si="226"/>
        <v>0</v>
      </c>
      <c r="H418" s="169">
        <f t="shared" si="226"/>
        <v>0</v>
      </c>
      <c r="I418" s="169">
        <f t="shared" si="226"/>
        <v>0</v>
      </c>
      <c r="J418" s="169">
        <f t="shared" si="226"/>
        <v>0</v>
      </c>
      <c r="K418" s="169">
        <f t="shared" si="226"/>
        <v>0</v>
      </c>
      <c r="L418" s="169">
        <f t="shared" si="226"/>
        <v>0</v>
      </c>
      <c r="M418" s="169">
        <f t="shared" si="226"/>
        <v>0</v>
      </c>
      <c r="N418" s="169">
        <f t="shared" si="226"/>
        <v>0</v>
      </c>
      <c r="O418" s="169">
        <f t="shared" si="226"/>
        <v>0</v>
      </c>
      <c r="P418" s="169">
        <f t="shared" si="226"/>
        <v>0</v>
      </c>
      <c r="Q418" s="169">
        <f t="shared" si="226"/>
        <v>0</v>
      </c>
      <c r="R418" s="169">
        <f t="shared" si="226"/>
        <v>0</v>
      </c>
      <c r="S418" s="169">
        <f t="shared" si="226"/>
        <v>0</v>
      </c>
      <c r="T418" s="169">
        <f t="shared" si="226"/>
        <v>0</v>
      </c>
      <c r="U418" s="169">
        <f t="shared" si="226"/>
        <v>0</v>
      </c>
      <c r="V418" s="169">
        <f t="shared" si="226"/>
        <v>0</v>
      </c>
      <c r="W418" s="169">
        <f t="shared" si="226"/>
        <v>0</v>
      </c>
      <c r="X418" s="169">
        <f t="shared" si="226"/>
        <v>0</v>
      </c>
      <c r="Y418" s="169">
        <f t="shared" si="226"/>
        <v>0</v>
      </c>
      <c r="Z418" s="169">
        <f t="shared" si="226"/>
        <v>0</v>
      </c>
      <c r="AA418" s="169">
        <f t="shared" si="226"/>
        <v>0</v>
      </c>
      <c r="AB418" s="169">
        <f t="shared" si="226"/>
        <v>0</v>
      </c>
      <c r="AC418" s="169">
        <f t="shared" si="226"/>
        <v>0</v>
      </c>
      <c r="AD418" s="169">
        <f t="shared" si="226"/>
        <v>0</v>
      </c>
      <c r="AE418" s="169">
        <f t="shared" si="226"/>
        <v>0</v>
      </c>
      <c r="AF418" s="169">
        <f t="shared" si="226"/>
        <v>0</v>
      </c>
      <c r="AG418" s="169">
        <f t="shared" si="226"/>
        <v>0</v>
      </c>
      <c r="AH418" s="169">
        <f t="shared" si="226"/>
        <v>0</v>
      </c>
      <c r="AI418" s="169">
        <f t="shared" si="226"/>
        <v>0</v>
      </c>
      <c r="AJ418" s="169">
        <f t="shared" si="226"/>
        <v>0</v>
      </c>
      <c r="AK418" s="169">
        <f t="shared" si="226"/>
        <v>0</v>
      </c>
      <c r="AL418" s="169">
        <f t="shared" si="226"/>
        <v>0</v>
      </c>
      <c r="AM418" s="169">
        <f t="shared" si="226"/>
        <v>0</v>
      </c>
      <c r="AN418" s="169">
        <f t="shared" si="226"/>
        <v>0</v>
      </c>
      <c r="AO418" s="169">
        <f t="shared" si="226"/>
        <v>0</v>
      </c>
      <c r="AP418" s="169">
        <f t="shared" si="226"/>
        <v>0</v>
      </c>
    </row>
    <row r="419" spans="1:42" x14ac:dyDescent="0.2">
      <c r="A419" s="101">
        <f t="shared" si="221"/>
        <v>8</v>
      </c>
      <c r="B419" s="179">
        <f t="shared" si="218"/>
        <v>0</v>
      </c>
      <c r="C419" s="208">
        <f t="shared" ref="C419:AP419" si="227">LOOKUP(C407,$B$395:$AP$395,$B$396:$AP$396)*$B618</f>
        <v>0</v>
      </c>
      <c r="D419" s="169">
        <f t="shared" si="227"/>
        <v>0</v>
      </c>
      <c r="E419" s="169">
        <f t="shared" si="227"/>
        <v>0</v>
      </c>
      <c r="F419" s="169">
        <f t="shared" si="227"/>
        <v>0</v>
      </c>
      <c r="G419" s="169">
        <f t="shared" si="227"/>
        <v>0</v>
      </c>
      <c r="H419" s="169">
        <f t="shared" si="227"/>
        <v>0</v>
      </c>
      <c r="I419" s="169">
        <f t="shared" si="227"/>
        <v>0</v>
      </c>
      <c r="J419" s="169">
        <f t="shared" si="227"/>
        <v>0</v>
      </c>
      <c r="K419" s="169">
        <f t="shared" si="227"/>
        <v>0</v>
      </c>
      <c r="L419" s="169">
        <f t="shared" si="227"/>
        <v>0</v>
      </c>
      <c r="M419" s="169">
        <f t="shared" si="227"/>
        <v>0</v>
      </c>
      <c r="N419" s="169">
        <f t="shared" si="227"/>
        <v>0</v>
      </c>
      <c r="O419" s="169">
        <f t="shared" si="227"/>
        <v>0</v>
      </c>
      <c r="P419" s="169">
        <f t="shared" si="227"/>
        <v>0</v>
      </c>
      <c r="Q419" s="169">
        <f t="shared" si="227"/>
        <v>0</v>
      </c>
      <c r="R419" s="169">
        <f t="shared" si="227"/>
        <v>0</v>
      </c>
      <c r="S419" s="169">
        <f t="shared" si="227"/>
        <v>0</v>
      </c>
      <c r="T419" s="169">
        <f t="shared" si="227"/>
        <v>0</v>
      </c>
      <c r="U419" s="169">
        <f t="shared" si="227"/>
        <v>0</v>
      </c>
      <c r="V419" s="169">
        <f t="shared" si="227"/>
        <v>0</v>
      </c>
      <c r="W419" s="169">
        <f t="shared" si="227"/>
        <v>0</v>
      </c>
      <c r="X419" s="169">
        <f t="shared" si="227"/>
        <v>0</v>
      </c>
      <c r="Y419" s="169">
        <f t="shared" si="227"/>
        <v>0</v>
      </c>
      <c r="Z419" s="169">
        <f t="shared" si="227"/>
        <v>0</v>
      </c>
      <c r="AA419" s="169">
        <f t="shared" si="227"/>
        <v>0</v>
      </c>
      <c r="AB419" s="169">
        <f t="shared" si="227"/>
        <v>0</v>
      </c>
      <c r="AC419" s="169">
        <f t="shared" si="227"/>
        <v>0</v>
      </c>
      <c r="AD419" s="169">
        <f t="shared" si="227"/>
        <v>0</v>
      </c>
      <c r="AE419" s="169">
        <f t="shared" si="227"/>
        <v>0</v>
      </c>
      <c r="AF419" s="169">
        <f t="shared" si="227"/>
        <v>0</v>
      </c>
      <c r="AG419" s="169">
        <f t="shared" si="227"/>
        <v>0</v>
      </c>
      <c r="AH419" s="169">
        <f t="shared" si="227"/>
        <v>0</v>
      </c>
      <c r="AI419" s="169">
        <f t="shared" si="227"/>
        <v>0</v>
      </c>
      <c r="AJ419" s="169">
        <f t="shared" si="227"/>
        <v>0</v>
      </c>
      <c r="AK419" s="169">
        <f t="shared" si="227"/>
        <v>0</v>
      </c>
      <c r="AL419" s="169">
        <f t="shared" si="227"/>
        <v>0</v>
      </c>
      <c r="AM419" s="169">
        <f t="shared" si="227"/>
        <v>0</v>
      </c>
      <c r="AN419" s="169">
        <f t="shared" si="227"/>
        <v>0</v>
      </c>
      <c r="AO419" s="169">
        <f t="shared" si="227"/>
        <v>0</v>
      </c>
      <c r="AP419" s="169">
        <f t="shared" si="227"/>
        <v>0</v>
      </c>
    </row>
    <row r="420" spans="1:42" x14ac:dyDescent="0.2">
      <c r="A420" s="101">
        <f>A419+1</f>
        <v>9</v>
      </c>
      <c r="B420" s="179">
        <f t="shared" si="218"/>
        <v>0</v>
      </c>
      <c r="C420" s="208">
        <f t="shared" ref="C420:AP420" si="228">LOOKUP(C408,$B$395:$AP$395,$B$396:$AP$396)*$B619</f>
        <v>0</v>
      </c>
      <c r="D420" s="169">
        <f t="shared" si="228"/>
        <v>0</v>
      </c>
      <c r="E420" s="169">
        <f t="shared" si="228"/>
        <v>0</v>
      </c>
      <c r="F420" s="169">
        <f t="shared" si="228"/>
        <v>0</v>
      </c>
      <c r="G420" s="169">
        <f t="shared" si="228"/>
        <v>0</v>
      </c>
      <c r="H420" s="169">
        <f t="shared" si="228"/>
        <v>0</v>
      </c>
      <c r="I420" s="169">
        <f t="shared" si="228"/>
        <v>0</v>
      </c>
      <c r="J420" s="169">
        <f t="shared" si="228"/>
        <v>0</v>
      </c>
      <c r="K420" s="169">
        <f t="shared" si="228"/>
        <v>0</v>
      </c>
      <c r="L420" s="169">
        <f t="shared" si="228"/>
        <v>0</v>
      </c>
      <c r="M420" s="169">
        <f t="shared" si="228"/>
        <v>0</v>
      </c>
      <c r="N420" s="169">
        <f t="shared" si="228"/>
        <v>0</v>
      </c>
      <c r="O420" s="169">
        <f t="shared" si="228"/>
        <v>0</v>
      </c>
      <c r="P420" s="169">
        <f t="shared" si="228"/>
        <v>0</v>
      </c>
      <c r="Q420" s="169">
        <f t="shared" si="228"/>
        <v>0</v>
      </c>
      <c r="R420" s="169">
        <f t="shared" si="228"/>
        <v>0</v>
      </c>
      <c r="S420" s="169">
        <f t="shared" si="228"/>
        <v>0</v>
      </c>
      <c r="T420" s="169">
        <f t="shared" si="228"/>
        <v>0</v>
      </c>
      <c r="U420" s="169">
        <f t="shared" si="228"/>
        <v>0</v>
      </c>
      <c r="V420" s="169">
        <f t="shared" si="228"/>
        <v>0</v>
      </c>
      <c r="W420" s="169">
        <f t="shared" si="228"/>
        <v>0</v>
      </c>
      <c r="X420" s="169">
        <f t="shared" si="228"/>
        <v>0</v>
      </c>
      <c r="Y420" s="169">
        <f t="shared" si="228"/>
        <v>0</v>
      </c>
      <c r="Z420" s="169">
        <f t="shared" si="228"/>
        <v>0</v>
      </c>
      <c r="AA420" s="169">
        <f t="shared" si="228"/>
        <v>0</v>
      </c>
      <c r="AB420" s="169">
        <f t="shared" si="228"/>
        <v>0</v>
      </c>
      <c r="AC420" s="169">
        <f t="shared" si="228"/>
        <v>0</v>
      </c>
      <c r="AD420" s="169">
        <f t="shared" si="228"/>
        <v>0</v>
      </c>
      <c r="AE420" s="169">
        <f t="shared" si="228"/>
        <v>0</v>
      </c>
      <c r="AF420" s="169">
        <f t="shared" si="228"/>
        <v>0</v>
      </c>
      <c r="AG420" s="169">
        <f t="shared" si="228"/>
        <v>0</v>
      </c>
      <c r="AH420" s="169">
        <f t="shared" si="228"/>
        <v>0</v>
      </c>
      <c r="AI420" s="169">
        <f t="shared" si="228"/>
        <v>0</v>
      </c>
      <c r="AJ420" s="169">
        <f t="shared" si="228"/>
        <v>0</v>
      </c>
      <c r="AK420" s="169">
        <f t="shared" si="228"/>
        <v>0</v>
      </c>
      <c r="AL420" s="169">
        <f t="shared" si="228"/>
        <v>0</v>
      </c>
      <c r="AM420" s="169">
        <f t="shared" si="228"/>
        <v>0</v>
      </c>
      <c r="AN420" s="169">
        <f t="shared" si="228"/>
        <v>0</v>
      </c>
      <c r="AO420" s="169">
        <f t="shared" si="228"/>
        <v>0</v>
      </c>
      <c r="AP420" s="169">
        <f t="shared" si="228"/>
        <v>0</v>
      </c>
    </row>
    <row r="421" spans="1:42" x14ac:dyDescent="0.2">
      <c r="A421" s="101">
        <f t="shared" ref="A421" si="229">A420+1</f>
        <v>10</v>
      </c>
      <c r="B421" s="179">
        <f t="shared" si="218"/>
        <v>0</v>
      </c>
      <c r="C421" s="204">
        <f t="shared" ref="C421:AP421" si="230">LOOKUP(C409,$B$395:$AP$395,$B$396:$AP$396)*$B620</f>
        <v>0</v>
      </c>
      <c r="D421" s="170">
        <f t="shared" si="230"/>
        <v>0</v>
      </c>
      <c r="E421" s="170">
        <f t="shared" si="230"/>
        <v>0</v>
      </c>
      <c r="F421" s="170">
        <f t="shared" si="230"/>
        <v>0</v>
      </c>
      <c r="G421" s="170">
        <f t="shared" si="230"/>
        <v>0</v>
      </c>
      <c r="H421" s="170">
        <f t="shared" si="230"/>
        <v>0</v>
      </c>
      <c r="I421" s="170">
        <f t="shared" si="230"/>
        <v>0</v>
      </c>
      <c r="J421" s="170">
        <f t="shared" si="230"/>
        <v>0</v>
      </c>
      <c r="K421" s="170">
        <f t="shared" si="230"/>
        <v>0</v>
      </c>
      <c r="L421" s="170">
        <f t="shared" si="230"/>
        <v>0</v>
      </c>
      <c r="M421" s="170">
        <f t="shared" si="230"/>
        <v>0</v>
      </c>
      <c r="N421" s="170">
        <f t="shared" si="230"/>
        <v>0</v>
      </c>
      <c r="O421" s="170">
        <f t="shared" si="230"/>
        <v>0</v>
      </c>
      <c r="P421" s="170">
        <f t="shared" si="230"/>
        <v>0</v>
      </c>
      <c r="Q421" s="170">
        <f t="shared" si="230"/>
        <v>0</v>
      </c>
      <c r="R421" s="170">
        <f t="shared" si="230"/>
        <v>0</v>
      </c>
      <c r="S421" s="170">
        <f t="shared" si="230"/>
        <v>0</v>
      </c>
      <c r="T421" s="170">
        <f t="shared" si="230"/>
        <v>0</v>
      </c>
      <c r="U421" s="170">
        <f t="shared" si="230"/>
        <v>0</v>
      </c>
      <c r="V421" s="170">
        <f t="shared" si="230"/>
        <v>0</v>
      </c>
      <c r="W421" s="170">
        <f t="shared" si="230"/>
        <v>0</v>
      </c>
      <c r="X421" s="170">
        <f t="shared" si="230"/>
        <v>0</v>
      </c>
      <c r="Y421" s="170">
        <f t="shared" si="230"/>
        <v>0</v>
      </c>
      <c r="Z421" s="170">
        <f t="shared" si="230"/>
        <v>0</v>
      </c>
      <c r="AA421" s="170">
        <f t="shared" si="230"/>
        <v>0</v>
      </c>
      <c r="AB421" s="170">
        <f t="shared" si="230"/>
        <v>0</v>
      </c>
      <c r="AC421" s="170">
        <f t="shared" si="230"/>
        <v>0</v>
      </c>
      <c r="AD421" s="170">
        <f t="shared" si="230"/>
        <v>0</v>
      </c>
      <c r="AE421" s="170">
        <f t="shared" si="230"/>
        <v>0</v>
      </c>
      <c r="AF421" s="170">
        <f t="shared" si="230"/>
        <v>0</v>
      </c>
      <c r="AG421" s="170">
        <f t="shared" si="230"/>
        <v>0</v>
      </c>
      <c r="AH421" s="170">
        <f t="shared" si="230"/>
        <v>0</v>
      </c>
      <c r="AI421" s="170">
        <f t="shared" si="230"/>
        <v>0</v>
      </c>
      <c r="AJ421" s="170">
        <f t="shared" si="230"/>
        <v>0</v>
      </c>
      <c r="AK421" s="170">
        <f t="shared" si="230"/>
        <v>0</v>
      </c>
      <c r="AL421" s="170">
        <f t="shared" si="230"/>
        <v>0</v>
      </c>
      <c r="AM421" s="170">
        <f t="shared" si="230"/>
        <v>0</v>
      </c>
      <c r="AN421" s="170">
        <f t="shared" si="230"/>
        <v>0</v>
      </c>
      <c r="AO421" s="170">
        <f t="shared" si="230"/>
        <v>0</v>
      </c>
      <c r="AP421" s="170">
        <f t="shared" si="230"/>
        <v>0</v>
      </c>
    </row>
    <row r="422" spans="1:42" s="101" customFormat="1" x14ac:dyDescent="0.2">
      <c r="A422" s="205" t="s">
        <v>53</v>
      </c>
      <c r="B422" s="124"/>
      <c r="C422" s="124">
        <f>SUM(C412:C421)</f>
        <v>0</v>
      </c>
      <c r="D422" s="124">
        <f t="shared" ref="D422:AP422" si="231">SUM(D412:D421)</f>
        <v>0</v>
      </c>
      <c r="E422" s="124">
        <f t="shared" si="231"/>
        <v>0</v>
      </c>
      <c r="F422" s="124">
        <f t="shared" si="231"/>
        <v>0</v>
      </c>
      <c r="G422" s="124">
        <f t="shared" si="231"/>
        <v>0</v>
      </c>
      <c r="H422" s="124">
        <f t="shared" si="231"/>
        <v>0</v>
      </c>
      <c r="I422" s="124">
        <f t="shared" si="231"/>
        <v>0</v>
      </c>
      <c r="J422" s="124">
        <f t="shared" si="231"/>
        <v>0</v>
      </c>
      <c r="K422" s="124">
        <f t="shared" si="231"/>
        <v>0</v>
      </c>
      <c r="L422" s="124">
        <f t="shared" si="231"/>
        <v>0</v>
      </c>
      <c r="M422" s="124">
        <f t="shared" si="231"/>
        <v>0</v>
      </c>
      <c r="N422" s="124">
        <f t="shared" si="231"/>
        <v>588974.46870026283</v>
      </c>
      <c r="O422" s="124">
        <f t="shared" si="231"/>
        <v>942359.14992042049</v>
      </c>
      <c r="P422" s="124">
        <f t="shared" si="231"/>
        <v>565415.48995225236</v>
      </c>
      <c r="Q422" s="124">
        <f t="shared" si="231"/>
        <v>339249.29397135135</v>
      </c>
      <c r="R422" s="124">
        <f t="shared" si="231"/>
        <v>339249.29397135135</v>
      </c>
      <c r="S422" s="124">
        <f t="shared" si="231"/>
        <v>169624.64698567567</v>
      </c>
      <c r="T422" s="124">
        <f t="shared" si="231"/>
        <v>0</v>
      </c>
      <c r="U422" s="124">
        <f t="shared" si="231"/>
        <v>0</v>
      </c>
      <c r="V422" s="124">
        <f t="shared" si="231"/>
        <v>0</v>
      </c>
      <c r="W422" s="124">
        <f t="shared" si="231"/>
        <v>0</v>
      </c>
      <c r="X422" s="124">
        <f t="shared" si="231"/>
        <v>0</v>
      </c>
      <c r="Y422" s="124">
        <f t="shared" si="231"/>
        <v>0</v>
      </c>
      <c r="Z422" s="124">
        <f t="shared" si="231"/>
        <v>704188.57730493625</v>
      </c>
      <c r="AA422" s="124">
        <f t="shared" si="231"/>
        <v>1126701.7236878979</v>
      </c>
      <c r="AB422" s="124">
        <f t="shared" si="231"/>
        <v>676021.03421273874</v>
      </c>
      <c r="AC422" s="124">
        <f t="shared" si="231"/>
        <v>405612.62052764324</v>
      </c>
      <c r="AD422" s="124">
        <f t="shared" si="231"/>
        <v>405612.62052764324</v>
      </c>
      <c r="AE422" s="124">
        <f t="shared" si="231"/>
        <v>202806.31026382162</v>
      </c>
      <c r="AF422" s="124">
        <f t="shared" si="231"/>
        <v>0</v>
      </c>
      <c r="AG422" s="124">
        <f t="shared" si="231"/>
        <v>0</v>
      </c>
      <c r="AH422" s="124">
        <f t="shared" si="231"/>
        <v>0</v>
      </c>
      <c r="AI422" s="124">
        <f t="shared" si="231"/>
        <v>0</v>
      </c>
      <c r="AJ422" s="124">
        <f t="shared" si="231"/>
        <v>0</v>
      </c>
      <c r="AK422" s="124">
        <f t="shared" si="231"/>
        <v>0</v>
      </c>
      <c r="AL422" s="124">
        <f t="shared" si="231"/>
        <v>841940.65916142659</v>
      </c>
      <c r="AM422" s="124">
        <f t="shared" si="231"/>
        <v>1347105.0546582823</v>
      </c>
      <c r="AN422" s="124">
        <f t="shared" si="231"/>
        <v>808263.03279496951</v>
      </c>
      <c r="AO422" s="124">
        <f t="shared" si="231"/>
        <v>484957.81967698166</v>
      </c>
      <c r="AP422" s="124">
        <f t="shared" si="231"/>
        <v>484957.81967698166</v>
      </c>
    </row>
    <row r="423" spans="1:42" s="101" customFormat="1" x14ac:dyDescent="0.2">
      <c r="A423" s="205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</row>
    <row r="424" spans="1:42" x14ac:dyDescent="0.2">
      <c r="A424" s="180" t="s">
        <v>306</v>
      </c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</row>
    <row r="425" spans="1:42" x14ac:dyDescent="0.2">
      <c r="A425" s="187" t="s">
        <v>192</v>
      </c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</row>
    <row r="426" spans="1:42" x14ac:dyDescent="0.2">
      <c r="A426" s="101">
        <v>1</v>
      </c>
      <c r="C426" s="169">
        <f>C291</f>
        <v>0</v>
      </c>
      <c r="D426" s="169">
        <f t="shared" ref="D426:AP432" si="232">D291</f>
        <v>0</v>
      </c>
      <c r="E426" s="169">
        <f t="shared" si="232"/>
        <v>0</v>
      </c>
      <c r="F426" s="169">
        <f t="shared" si="232"/>
        <v>0</v>
      </c>
      <c r="G426" s="169">
        <f t="shared" si="232"/>
        <v>0</v>
      </c>
      <c r="H426" s="169">
        <f t="shared" si="232"/>
        <v>0</v>
      </c>
      <c r="I426" s="169">
        <f t="shared" si="232"/>
        <v>0</v>
      </c>
      <c r="J426" s="169">
        <f t="shared" si="232"/>
        <v>0</v>
      </c>
      <c r="K426" s="169">
        <f t="shared" si="232"/>
        <v>0</v>
      </c>
      <c r="L426" s="169">
        <f t="shared" si="232"/>
        <v>0</v>
      </c>
      <c r="M426" s="169">
        <f t="shared" si="232"/>
        <v>0</v>
      </c>
      <c r="N426" s="169">
        <f t="shared" si="232"/>
        <v>0</v>
      </c>
      <c r="O426" s="169">
        <f t="shared" si="232"/>
        <v>0</v>
      </c>
      <c r="P426" s="169">
        <f t="shared" si="232"/>
        <v>0</v>
      </c>
      <c r="Q426" s="169">
        <f t="shared" si="232"/>
        <v>0</v>
      </c>
      <c r="R426" s="169">
        <f t="shared" si="232"/>
        <v>0</v>
      </c>
      <c r="S426" s="169">
        <f t="shared" si="232"/>
        <v>0</v>
      </c>
      <c r="T426" s="169">
        <f t="shared" si="232"/>
        <v>0</v>
      </c>
      <c r="U426" s="169">
        <f t="shared" si="232"/>
        <v>0</v>
      </c>
      <c r="V426" s="169">
        <f t="shared" si="232"/>
        <v>0</v>
      </c>
      <c r="W426" s="169">
        <f t="shared" si="232"/>
        <v>0</v>
      </c>
      <c r="X426" s="169">
        <f t="shared" si="232"/>
        <v>0</v>
      </c>
      <c r="Y426" s="169">
        <f t="shared" si="232"/>
        <v>0</v>
      </c>
      <c r="Z426" s="169">
        <f t="shared" si="232"/>
        <v>0</v>
      </c>
      <c r="AA426" s="169">
        <f t="shared" si="232"/>
        <v>0</v>
      </c>
      <c r="AB426" s="169">
        <f t="shared" si="232"/>
        <v>0</v>
      </c>
      <c r="AC426" s="169">
        <f t="shared" si="232"/>
        <v>0</v>
      </c>
      <c r="AD426" s="169">
        <f t="shared" si="232"/>
        <v>0</v>
      </c>
      <c r="AE426" s="169">
        <f t="shared" si="232"/>
        <v>0</v>
      </c>
      <c r="AF426" s="169">
        <f t="shared" si="232"/>
        <v>0</v>
      </c>
      <c r="AG426" s="169">
        <f t="shared" si="232"/>
        <v>0</v>
      </c>
      <c r="AH426" s="169">
        <f t="shared" si="232"/>
        <v>0</v>
      </c>
      <c r="AI426" s="169">
        <f t="shared" si="232"/>
        <v>0</v>
      </c>
      <c r="AJ426" s="169">
        <f t="shared" si="232"/>
        <v>0</v>
      </c>
      <c r="AK426" s="169">
        <f t="shared" si="232"/>
        <v>0</v>
      </c>
      <c r="AL426" s="169">
        <f t="shared" si="232"/>
        <v>0</v>
      </c>
      <c r="AM426" s="169">
        <f t="shared" si="232"/>
        <v>0</v>
      </c>
      <c r="AN426" s="169">
        <f t="shared" si="232"/>
        <v>0</v>
      </c>
      <c r="AO426" s="169">
        <f t="shared" si="232"/>
        <v>0</v>
      </c>
      <c r="AP426" s="169">
        <f t="shared" si="232"/>
        <v>0</v>
      </c>
    </row>
    <row r="427" spans="1:42" x14ac:dyDescent="0.2">
      <c r="A427" s="101">
        <f>A426+1</f>
        <v>2</v>
      </c>
      <c r="C427" s="169">
        <f t="shared" ref="C427:R435" si="233">C292</f>
        <v>0</v>
      </c>
      <c r="D427" s="169">
        <f t="shared" si="233"/>
        <v>0</v>
      </c>
      <c r="E427" s="169">
        <f t="shared" si="233"/>
        <v>0</v>
      </c>
      <c r="F427" s="169">
        <f t="shared" si="233"/>
        <v>0</v>
      </c>
      <c r="G427" s="169">
        <f t="shared" si="233"/>
        <v>0</v>
      </c>
      <c r="H427" s="169">
        <f t="shared" si="233"/>
        <v>0</v>
      </c>
      <c r="I427" s="169">
        <f t="shared" si="233"/>
        <v>0</v>
      </c>
      <c r="J427" s="169">
        <f t="shared" si="233"/>
        <v>0</v>
      </c>
      <c r="K427" s="169">
        <f t="shared" si="233"/>
        <v>0</v>
      </c>
      <c r="L427" s="169">
        <f t="shared" si="233"/>
        <v>0</v>
      </c>
      <c r="M427" s="169">
        <f t="shared" si="233"/>
        <v>0</v>
      </c>
      <c r="N427" s="169">
        <f t="shared" si="233"/>
        <v>0</v>
      </c>
      <c r="O427" s="169">
        <f t="shared" si="233"/>
        <v>0</v>
      </c>
      <c r="P427" s="169">
        <f t="shared" si="233"/>
        <v>0</v>
      </c>
      <c r="Q427" s="169">
        <f t="shared" si="233"/>
        <v>0</v>
      </c>
      <c r="R427" s="169">
        <f t="shared" si="233"/>
        <v>0</v>
      </c>
      <c r="S427" s="169">
        <f t="shared" si="232"/>
        <v>0</v>
      </c>
      <c r="T427" s="169">
        <f t="shared" si="232"/>
        <v>0</v>
      </c>
      <c r="U427" s="169">
        <f t="shared" si="232"/>
        <v>0</v>
      </c>
      <c r="V427" s="169">
        <f t="shared" si="232"/>
        <v>0</v>
      </c>
      <c r="W427" s="169">
        <f t="shared" si="232"/>
        <v>0</v>
      </c>
      <c r="X427" s="169">
        <f t="shared" si="232"/>
        <v>0</v>
      </c>
      <c r="Y427" s="169">
        <f t="shared" si="232"/>
        <v>0</v>
      </c>
      <c r="Z427" s="169">
        <f t="shared" si="232"/>
        <v>0</v>
      </c>
      <c r="AA427" s="169">
        <f t="shared" si="232"/>
        <v>0</v>
      </c>
      <c r="AB427" s="169">
        <f t="shared" si="232"/>
        <v>0</v>
      </c>
      <c r="AC427" s="169">
        <f t="shared" si="232"/>
        <v>0</v>
      </c>
      <c r="AD427" s="169">
        <f t="shared" si="232"/>
        <v>0</v>
      </c>
      <c r="AE427" s="169">
        <f t="shared" si="232"/>
        <v>0</v>
      </c>
      <c r="AF427" s="169">
        <f t="shared" si="232"/>
        <v>0</v>
      </c>
      <c r="AG427" s="169">
        <f t="shared" si="232"/>
        <v>0</v>
      </c>
      <c r="AH427" s="169">
        <f t="shared" si="232"/>
        <v>0</v>
      </c>
      <c r="AI427" s="169">
        <f t="shared" si="232"/>
        <v>0</v>
      </c>
      <c r="AJ427" s="169">
        <f t="shared" si="232"/>
        <v>0</v>
      </c>
      <c r="AK427" s="169">
        <f t="shared" si="232"/>
        <v>0</v>
      </c>
      <c r="AL427" s="169">
        <f t="shared" si="232"/>
        <v>0</v>
      </c>
      <c r="AM427" s="169">
        <f t="shared" si="232"/>
        <v>0</v>
      </c>
      <c r="AN427" s="169">
        <f t="shared" si="232"/>
        <v>0</v>
      </c>
      <c r="AO427" s="169">
        <f t="shared" si="232"/>
        <v>0</v>
      </c>
      <c r="AP427" s="169">
        <f t="shared" si="232"/>
        <v>0</v>
      </c>
    </row>
    <row r="428" spans="1:42" x14ac:dyDescent="0.2">
      <c r="A428" s="101">
        <f t="shared" ref="A428:A433" si="234">A427+1</f>
        <v>3</v>
      </c>
      <c r="C428" s="169">
        <f t="shared" si="233"/>
        <v>0</v>
      </c>
      <c r="D428" s="169">
        <f t="shared" si="232"/>
        <v>0</v>
      </c>
      <c r="E428" s="169">
        <f t="shared" si="232"/>
        <v>0</v>
      </c>
      <c r="F428" s="169">
        <f t="shared" si="232"/>
        <v>0</v>
      </c>
      <c r="G428" s="169">
        <f t="shared" si="232"/>
        <v>0</v>
      </c>
      <c r="H428" s="169">
        <f t="shared" si="232"/>
        <v>0</v>
      </c>
      <c r="I428" s="169">
        <f t="shared" si="232"/>
        <v>0</v>
      </c>
      <c r="J428" s="169">
        <f t="shared" si="232"/>
        <v>0</v>
      </c>
      <c r="K428" s="169">
        <f t="shared" si="232"/>
        <v>0</v>
      </c>
      <c r="L428" s="169">
        <f t="shared" si="232"/>
        <v>0</v>
      </c>
      <c r="M428" s="169">
        <f t="shared" si="232"/>
        <v>0</v>
      </c>
      <c r="N428" s="169">
        <f t="shared" si="232"/>
        <v>0</v>
      </c>
      <c r="O428" s="169">
        <f t="shared" si="232"/>
        <v>0</v>
      </c>
      <c r="P428" s="169">
        <f t="shared" si="232"/>
        <v>0</v>
      </c>
      <c r="Q428" s="169">
        <f t="shared" si="232"/>
        <v>0</v>
      </c>
      <c r="R428" s="169">
        <f t="shared" si="232"/>
        <v>0</v>
      </c>
      <c r="S428" s="169">
        <f t="shared" si="232"/>
        <v>0</v>
      </c>
      <c r="T428" s="169">
        <f t="shared" si="232"/>
        <v>0</v>
      </c>
      <c r="U428" s="169">
        <f t="shared" si="232"/>
        <v>0</v>
      </c>
      <c r="V428" s="169">
        <f t="shared" si="232"/>
        <v>0</v>
      </c>
      <c r="W428" s="169">
        <f t="shared" si="232"/>
        <v>0</v>
      </c>
      <c r="X428" s="169">
        <f t="shared" si="232"/>
        <v>0</v>
      </c>
      <c r="Y428" s="169">
        <f t="shared" si="232"/>
        <v>0</v>
      </c>
      <c r="Z428" s="169">
        <f t="shared" si="232"/>
        <v>0</v>
      </c>
      <c r="AA428" s="169">
        <f t="shared" si="232"/>
        <v>0</v>
      </c>
      <c r="AB428" s="169">
        <f t="shared" si="232"/>
        <v>0</v>
      </c>
      <c r="AC428" s="169">
        <f t="shared" si="232"/>
        <v>0</v>
      </c>
      <c r="AD428" s="169">
        <f t="shared" si="232"/>
        <v>0</v>
      </c>
      <c r="AE428" s="169">
        <f t="shared" si="232"/>
        <v>0</v>
      </c>
      <c r="AF428" s="169">
        <f t="shared" si="232"/>
        <v>0</v>
      </c>
      <c r="AG428" s="169">
        <f t="shared" si="232"/>
        <v>0</v>
      </c>
      <c r="AH428" s="169">
        <f t="shared" si="232"/>
        <v>0</v>
      </c>
      <c r="AI428" s="169">
        <f t="shared" si="232"/>
        <v>0</v>
      </c>
      <c r="AJ428" s="169">
        <f t="shared" si="232"/>
        <v>0</v>
      </c>
      <c r="AK428" s="169">
        <f t="shared" si="232"/>
        <v>0</v>
      </c>
      <c r="AL428" s="169">
        <f t="shared" si="232"/>
        <v>0</v>
      </c>
      <c r="AM428" s="169">
        <f t="shared" si="232"/>
        <v>0</v>
      </c>
      <c r="AN428" s="169">
        <f t="shared" si="232"/>
        <v>0</v>
      </c>
      <c r="AO428" s="169">
        <f t="shared" si="232"/>
        <v>0</v>
      </c>
      <c r="AP428" s="169">
        <f t="shared" si="232"/>
        <v>0</v>
      </c>
    </row>
    <row r="429" spans="1:42" x14ac:dyDescent="0.2">
      <c r="A429" s="101">
        <f t="shared" si="234"/>
        <v>4</v>
      </c>
      <c r="C429" s="169">
        <f t="shared" si="233"/>
        <v>0</v>
      </c>
      <c r="D429" s="169">
        <f t="shared" si="232"/>
        <v>0</v>
      </c>
      <c r="E429" s="169">
        <f t="shared" si="232"/>
        <v>0</v>
      </c>
      <c r="F429" s="169">
        <f t="shared" si="232"/>
        <v>0</v>
      </c>
      <c r="G429" s="169">
        <f t="shared" si="232"/>
        <v>0</v>
      </c>
      <c r="H429" s="169">
        <f t="shared" si="232"/>
        <v>0</v>
      </c>
      <c r="I429" s="169">
        <f t="shared" si="232"/>
        <v>0</v>
      </c>
      <c r="J429" s="169">
        <f t="shared" si="232"/>
        <v>0</v>
      </c>
      <c r="K429" s="169">
        <f t="shared" si="232"/>
        <v>0</v>
      </c>
      <c r="L429" s="169">
        <f t="shared" si="232"/>
        <v>0</v>
      </c>
      <c r="M429" s="169">
        <f t="shared" si="232"/>
        <v>0</v>
      </c>
      <c r="N429" s="169">
        <f t="shared" si="232"/>
        <v>0</v>
      </c>
      <c r="O429" s="169">
        <f t="shared" si="232"/>
        <v>0</v>
      </c>
      <c r="P429" s="169">
        <f t="shared" si="232"/>
        <v>0</v>
      </c>
      <c r="Q429" s="169">
        <f t="shared" si="232"/>
        <v>0</v>
      </c>
      <c r="R429" s="169">
        <f t="shared" si="232"/>
        <v>0</v>
      </c>
      <c r="S429" s="169">
        <f t="shared" si="232"/>
        <v>0</v>
      </c>
      <c r="T429" s="169">
        <f t="shared" si="232"/>
        <v>0</v>
      </c>
      <c r="U429" s="169">
        <f t="shared" si="232"/>
        <v>0</v>
      </c>
      <c r="V429" s="169">
        <f t="shared" si="232"/>
        <v>0</v>
      </c>
      <c r="W429" s="169">
        <f t="shared" si="232"/>
        <v>0</v>
      </c>
      <c r="X429" s="169">
        <f t="shared" si="232"/>
        <v>0</v>
      </c>
      <c r="Y429" s="169">
        <f t="shared" si="232"/>
        <v>0</v>
      </c>
      <c r="Z429" s="169">
        <f t="shared" si="232"/>
        <v>0</v>
      </c>
      <c r="AA429" s="169">
        <f t="shared" si="232"/>
        <v>0</v>
      </c>
      <c r="AB429" s="169">
        <f t="shared" si="232"/>
        <v>0</v>
      </c>
      <c r="AC429" s="169">
        <f t="shared" si="232"/>
        <v>0</v>
      </c>
      <c r="AD429" s="169">
        <f t="shared" si="232"/>
        <v>0</v>
      </c>
      <c r="AE429" s="169">
        <f t="shared" si="232"/>
        <v>0</v>
      </c>
      <c r="AF429" s="169">
        <f t="shared" si="232"/>
        <v>0</v>
      </c>
      <c r="AG429" s="169">
        <f t="shared" si="232"/>
        <v>0</v>
      </c>
      <c r="AH429" s="169">
        <f t="shared" si="232"/>
        <v>0</v>
      </c>
      <c r="AI429" s="169">
        <f t="shared" si="232"/>
        <v>0</v>
      </c>
      <c r="AJ429" s="169">
        <f t="shared" si="232"/>
        <v>0</v>
      </c>
      <c r="AK429" s="169">
        <f t="shared" si="232"/>
        <v>0</v>
      </c>
      <c r="AL429" s="169">
        <f t="shared" si="232"/>
        <v>0</v>
      </c>
      <c r="AM429" s="169">
        <f t="shared" si="232"/>
        <v>0</v>
      </c>
      <c r="AN429" s="169">
        <f t="shared" si="232"/>
        <v>0</v>
      </c>
      <c r="AO429" s="169">
        <f t="shared" si="232"/>
        <v>0</v>
      </c>
      <c r="AP429" s="169">
        <f t="shared" si="232"/>
        <v>0</v>
      </c>
    </row>
    <row r="430" spans="1:42" x14ac:dyDescent="0.2">
      <c r="A430" s="101">
        <f t="shared" si="234"/>
        <v>5</v>
      </c>
      <c r="C430" s="169">
        <f t="shared" si="233"/>
        <v>0</v>
      </c>
      <c r="D430" s="169">
        <f t="shared" si="232"/>
        <v>0</v>
      </c>
      <c r="E430" s="169">
        <f t="shared" si="232"/>
        <v>0</v>
      </c>
      <c r="F430" s="169">
        <f t="shared" si="232"/>
        <v>0</v>
      </c>
      <c r="G430" s="169">
        <f t="shared" si="232"/>
        <v>0</v>
      </c>
      <c r="H430" s="169">
        <f t="shared" si="232"/>
        <v>0</v>
      </c>
      <c r="I430" s="169">
        <f t="shared" si="232"/>
        <v>0</v>
      </c>
      <c r="J430" s="169">
        <f t="shared" si="232"/>
        <v>0</v>
      </c>
      <c r="K430" s="169">
        <f t="shared" si="232"/>
        <v>0</v>
      </c>
      <c r="L430" s="169">
        <f t="shared" si="232"/>
        <v>0</v>
      </c>
      <c r="M430" s="169">
        <f t="shared" si="232"/>
        <v>0</v>
      </c>
      <c r="N430" s="169">
        <f t="shared" si="232"/>
        <v>0</v>
      </c>
      <c r="O430" s="169">
        <f t="shared" si="232"/>
        <v>0</v>
      </c>
      <c r="P430" s="169">
        <f t="shared" si="232"/>
        <v>0</v>
      </c>
      <c r="Q430" s="169">
        <f t="shared" si="232"/>
        <v>0</v>
      </c>
      <c r="R430" s="169">
        <f t="shared" si="232"/>
        <v>0</v>
      </c>
      <c r="S430" s="169">
        <f t="shared" si="232"/>
        <v>0</v>
      </c>
      <c r="T430" s="169">
        <f t="shared" si="232"/>
        <v>0</v>
      </c>
      <c r="U430" s="169">
        <f t="shared" si="232"/>
        <v>0</v>
      </c>
      <c r="V430" s="169">
        <f t="shared" si="232"/>
        <v>0</v>
      </c>
      <c r="W430" s="169">
        <f t="shared" si="232"/>
        <v>0</v>
      </c>
      <c r="X430" s="169">
        <f t="shared" si="232"/>
        <v>0</v>
      </c>
      <c r="Y430" s="169">
        <f t="shared" si="232"/>
        <v>0</v>
      </c>
      <c r="Z430" s="169">
        <f t="shared" si="232"/>
        <v>0</v>
      </c>
      <c r="AA430" s="169">
        <f t="shared" si="232"/>
        <v>0</v>
      </c>
      <c r="AB430" s="169">
        <f t="shared" si="232"/>
        <v>0</v>
      </c>
      <c r="AC430" s="169">
        <f t="shared" si="232"/>
        <v>0</v>
      </c>
      <c r="AD430" s="169">
        <f t="shared" si="232"/>
        <v>0</v>
      </c>
      <c r="AE430" s="169">
        <f t="shared" si="232"/>
        <v>0</v>
      </c>
      <c r="AF430" s="169">
        <f t="shared" si="232"/>
        <v>0</v>
      </c>
      <c r="AG430" s="169">
        <f t="shared" si="232"/>
        <v>0</v>
      </c>
      <c r="AH430" s="169">
        <f t="shared" si="232"/>
        <v>0</v>
      </c>
      <c r="AI430" s="169">
        <f t="shared" si="232"/>
        <v>0</v>
      </c>
      <c r="AJ430" s="169">
        <f t="shared" si="232"/>
        <v>0</v>
      </c>
      <c r="AK430" s="169">
        <f t="shared" si="232"/>
        <v>0</v>
      </c>
      <c r="AL430" s="169">
        <f t="shared" si="232"/>
        <v>0</v>
      </c>
      <c r="AM430" s="169">
        <f t="shared" si="232"/>
        <v>0</v>
      </c>
      <c r="AN430" s="169">
        <f t="shared" si="232"/>
        <v>0</v>
      </c>
      <c r="AO430" s="169">
        <f t="shared" si="232"/>
        <v>0</v>
      </c>
      <c r="AP430" s="169">
        <f t="shared" si="232"/>
        <v>0</v>
      </c>
    </row>
    <row r="431" spans="1:42" x14ac:dyDescent="0.2">
      <c r="A431" s="101">
        <f t="shared" si="234"/>
        <v>6</v>
      </c>
      <c r="C431" s="169">
        <f t="shared" si="233"/>
        <v>0</v>
      </c>
      <c r="D431" s="169">
        <f t="shared" si="232"/>
        <v>0</v>
      </c>
      <c r="E431" s="169">
        <f t="shared" si="232"/>
        <v>0</v>
      </c>
      <c r="F431" s="169">
        <f t="shared" si="232"/>
        <v>0</v>
      </c>
      <c r="G431" s="169">
        <f t="shared" si="232"/>
        <v>0</v>
      </c>
      <c r="H431" s="169">
        <f t="shared" si="232"/>
        <v>0</v>
      </c>
      <c r="I431" s="169">
        <f t="shared" si="232"/>
        <v>0</v>
      </c>
      <c r="J431" s="169">
        <f t="shared" si="232"/>
        <v>0</v>
      </c>
      <c r="K431" s="169">
        <f t="shared" si="232"/>
        <v>0</v>
      </c>
      <c r="L431" s="169">
        <f t="shared" si="232"/>
        <v>0</v>
      </c>
      <c r="M431" s="169">
        <f t="shared" si="232"/>
        <v>0</v>
      </c>
      <c r="N431" s="169">
        <f t="shared" si="232"/>
        <v>0</v>
      </c>
      <c r="O431" s="169">
        <f t="shared" si="232"/>
        <v>0</v>
      </c>
      <c r="P431" s="169">
        <f t="shared" si="232"/>
        <v>0</v>
      </c>
      <c r="Q431" s="169">
        <f t="shared" si="232"/>
        <v>0</v>
      </c>
      <c r="R431" s="169">
        <f t="shared" si="232"/>
        <v>0</v>
      </c>
      <c r="S431" s="169">
        <f t="shared" si="232"/>
        <v>0</v>
      </c>
      <c r="T431" s="169">
        <f t="shared" si="232"/>
        <v>0</v>
      </c>
      <c r="U431" s="169">
        <f t="shared" si="232"/>
        <v>0</v>
      </c>
      <c r="V431" s="169">
        <f t="shared" si="232"/>
        <v>0</v>
      </c>
      <c r="W431" s="169">
        <f t="shared" si="232"/>
        <v>0</v>
      </c>
      <c r="X431" s="169">
        <f t="shared" si="232"/>
        <v>0</v>
      </c>
      <c r="Y431" s="169">
        <f t="shared" si="232"/>
        <v>0</v>
      </c>
      <c r="Z431" s="169">
        <f t="shared" si="232"/>
        <v>0</v>
      </c>
      <c r="AA431" s="169">
        <f t="shared" si="232"/>
        <v>0</v>
      </c>
      <c r="AB431" s="169">
        <f t="shared" si="232"/>
        <v>0</v>
      </c>
      <c r="AC431" s="169">
        <f t="shared" si="232"/>
        <v>0</v>
      </c>
      <c r="AD431" s="169">
        <f t="shared" si="232"/>
        <v>0</v>
      </c>
      <c r="AE431" s="169">
        <f t="shared" si="232"/>
        <v>0</v>
      </c>
      <c r="AF431" s="169">
        <f t="shared" si="232"/>
        <v>0</v>
      </c>
      <c r="AG431" s="169">
        <f t="shared" si="232"/>
        <v>0</v>
      </c>
      <c r="AH431" s="169">
        <f t="shared" si="232"/>
        <v>0</v>
      </c>
      <c r="AI431" s="169">
        <f t="shared" si="232"/>
        <v>0</v>
      </c>
      <c r="AJ431" s="169">
        <f t="shared" si="232"/>
        <v>0</v>
      </c>
      <c r="AK431" s="169">
        <f t="shared" si="232"/>
        <v>0</v>
      </c>
      <c r="AL431" s="169">
        <f t="shared" si="232"/>
        <v>0</v>
      </c>
      <c r="AM431" s="169">
        <f t="shared" si="232"/>
        <v>0</v>
      </c>
      <c r="AN431" s="169">
        <f t="shared" si="232"/>
        <v>0</v>
      </c>
      <c r="AO431" s="169">
        <f t="shared" si="232"/>
        <v>0</v>
      </c>
      <c r="AP431" s="169">
        <f t="shared" si="232"/>
        <v>0</v>
      </c>
    </row>
    <row r="432" spans="1:42" x14ac:dyDescent="0.2">
      <c r="A432" s="101">
        <f t="shared" si="234"/>
        <v>7</v>
      </c>
      <c r="C432" s="169">
        <f t="shared" si="233"/>
        <v>0</v>
      </c>
      <c r="D432" s="169">
        <f t="shared" si="232"/>
        <v>0</v>
      </c>
      <c r="E432" s="169">
        <f t="shared" si="232"/>
        <v>0</v>
      </c>
      <c r="F432" s="169">
        <f t="shared" si="232"/>
        <v>0</v>
      </c>
      <c r="G432" s="169">
        <f t="shared" si="232"/>
        <v>0</v>
      </c>
      <c r="H432" s="169">
        <f t="shared" si="232"/>
        <v>0</v>
      </c>
      <c r="I432" s="169">
        <f t="shared" si="232"/>
        <v>0</v>
      </c>
      <c r="J432" s="169">
        <f t="shared" si="232"/>
        <v>0</v>
      </c>
      <c r="K432" s="169">
        <f t="shared" si="232"/>
        <v>0</v>
      </c>
      <c r="L432" s="169">
        <f t="shared" si="232"/>
        <v>0</v>
      </c>
      <c r="M432" s="169">
        <f t="shared" si="232"/>
        <v>0</v>
      </c>
      <c r="N432" s="169">
        <f t="shared" si="232"/>
        <v>0</v>
      </c>
      <c r="O432" s="169">
        <f t="shared" si="232"/>
        <v>0</v>
      </c>
      <c r="P432" s="169">
        <f t="shared" si="232"/>
        <v>0</v>
      </c>
      <c r="Q432" s="169">
        <f t="shared" si="232"/>
        <v>0</v>
      </c>
      <c r="R432" s="169">
        <f t="shared" si="232"/>
        <v>0</v>
      </c>
      <c r="S432" s="169">
        <f t="shared" si="232"/>
        <v>0</v>
      </c>
      <c r="T432" s="169">
        <f t="shared" si="232"/>
        <v>0</v>
      </c>
      <c r="U432" s="169">
        <f t="shared" si="232"/>
        <v>0</v>
      </c>
      <c r="V432" s="169">
        <f t="shared" si="232"/>
        <v>0</v>
      </c>
      <c r="W432" s="169">
        <f t="shared" si="232"/>
        <v>0</v>
      </c>
      <c r="X432" s="169">
        <f t="shared" si="232"/>
        <v>0</v>
      </c>
      <c r="Y432" s="169">
        <f t="shared" si="232"/>
        <v>0</v>
      </c>
      <c r="Z432" s="169">
        <f t="shared" si="232"/>
        <v>0</v>
      </c>
      <c r="AA432" s="169">
        <f t="shared" si="232"/>
        <v>0</v>
      </c>
      <c r="AB432" s="169">
        <f t="shared" si="232"/>
        <v>0</v>
      </c>
      <c r="AC432" s="169">
        <f t="shared" si="232"/>
        <v>0</v>
      </c>
      <c r="AD432" s="169">
        <f t="shared" si="232"/>
        <v>0</v>
      </c>
      <c r="AE432" s="169">
        <f t="shared" si="232"/>
        <v>0</v>
      </c>
      <c r="AF432" s="169">
        <f t="shared" si="232"/>
        <v>0</v>
      </c>
      <c r="AG432" s="169">
        <f t="shared" si="232"/>
        <v>0</v>
      </c>
      <c r="AH432" s="169">
        <f t="shared" si="232"/>
        <v>0</v>
      </c>
      <c r="AI432" s="169">
        <f t="shared" si="232"/>
        <v>0</v>
      </c>
      <c r="AJ432" s="169">
        <f t="shared" si="232"/>
        <v>0</v>
      </c>
      <c r="AK432" s="169">
        <f t="shared" si="232"/>
        <v>0</v>
      </c>
      <c r="AL432" s="169">
        <f t="shared" si="232"/>
        <v>0</v>
      </c>
      <c r="AM432" s="169">
        <f t="shared" si="232"/>
        <v>0</v>
      </c>
      <c r="AN432" s="169">
        <f t="shared" ref="AN432:AP432" si="235">AN297</f>
        <v>0</v>
      </c>
      <c r="AO432" s="169">
        <f t="shared" si="235"/>
        <v>0</v>
      </c>
      <c r="AP432" s="169">
        <f t="shared" si="235"/>
        <v>0</v>
      </c>
    </row>
    <row r="433" spans="1:42" x14ac:dyDescent="0.2">
      <c r="A433" s="101">
        <f t="shared" si="234"/>
        <v>8</v>
      </c>
      <c r="C433" s="169">
        <f t="shared" si="233"/>
        <v>0</v>
      </c>
      <c r="D433" s="169">
        <f t="shared" si="233"/>
        <v>0</v>
      </c>
      <c r="E433" s="169">
        <f t="shared" si="233"/>
        <v>0</v>
      </c>
      <c r="F433" s="169">
        <f t="shared" si="233"/>
        <v>0</v>
      </c>
      <c r="G433" s="169">
        <f t="shared" si="233"/>
        <v>0</v>
      </c>
      <c r="H433" s="169">
        <f t="shared" si="233"/>
        <v>0</v>
      </c>
      <c r="I433" s="169">
        <f t="shared" si="233"/>
        <v>0</v>
      </c>
      <c r="J433" s="169">
        <f t="shared" si="233"/>
        <v>0</v>
      </c>
      <c r="K433" s="169">
        <f t="shared" si="233"/>
        <v>0</v>
      </c>
      <c r="L433" s="169">
        <f t="shared" si="233"/>
        <v>0</v>
      </c>
      <c r="M433" s="169">
        <f t="shared" si="233"/>
        <v>0</v>
      </c>
      <c r="N433" s="169">
        <f t="shared" si="233"/>
        <v>0</v>
      </c>
      <c r="O433" s="169">
        <f t="shared" si="233"/>
        <v>0</v>
      </c>
      <c r="P433" s="169">
        <f t="shared" si="233"/>
        <v>0</v>
      </c>
      <c r="Q433" s="169">
        <f t="shared" si="233"/>
        <v>0</v>
      </c>
      <c r="R433" s="169">
        <f t="shared" si="233"/>
        <v>0</v>
      </c>
      <c r="S433" s="169">
        <f t="shared" ref="D433:AP435" si="236">S298</f>
        <v>0</v>
      </c>
      <c r="T433" s="169">
        <f t="shared" si="236"/>
        <v>0</v>
      </c>
      <c r="U433" s="169">
        <f t="shared" si="236"/>
        <v>0</v>
      </c>
      <c r="V433" s="169">
        <f t="shared" si="236"/>
        <v>0</v>
      </c>
      <c r="W433" s="169">
        <f t="shared" si="236"/>
        <v>0</v>
      </c>
      <c r="X433" s="169">
        <f t="shared" si="236"/>
        <v>0</v>
      </c>
      <c r="Y433" s="169">
        <f t="shared" si="236"/>
        <v>0</v>
      </c>
      <c r="Z433" s="169">
        <f t="shared" si="236"/>
        <v>0</v>
      </c>
      <c r="AA433" s="169">
        <f t="shared" si="236"/>
        <v>0</v>
      </c>
      <c r="AB433" s="169">
        <f t="shared" si="236"/>
        <v>0</v>
      </c>
      <c r="AC433" s="169">
        <f t="shared" si="236"/>
        <v>0</v>
      </c>
      <c r="AD433" s="169">
        <f t="shared" si="236"/>
        <v>0</v>
      </c>
      <c r="AE433" s="169">
        <f t="shared" si="236"/>
        <v>0</v>
      </c>
      <c r="AF433" s="169">
        <f t="shared" si="236"/>
        <v>0</v>
      </c>
      <c r="AG433" s="169">
        <f t="shared" si="236"/>
        <v>0</v>
      </c>
      <c r="AH433" s="169">
        <f t="shared" si="236"/>
        <v>0</v>
      </c>
      <c r="AI433" s="169">
        <f t="shared" si="236"/>
        <v>0</v>
      </c>
      <c r="AJ433" s="169">
        <f t="shared" si="236"/>
        <v>0</v>
      </c>
      <c r="AK433" s="169">
        <f t="shared" si="236"/>
        <v>0</v>
      </c>
      <c r="AL433" s="169">
        <f t="shared" si="236"/>
        <v>0</v>
      </c>
      <c r="AM433" s="169">
        <f t="shared" si="236"/>
        <v>0</v>
      </c>
      <c r="AN433" s="169">
        <f t="shared" si="236"/>
        <v>0</v>
      </c>
      <c r="AO433" s="169">
        <f t="shared" si="236"/>
        <v>0</v>
      </c>
      <c r="AP433" s="169">
        <f t="shared" si="236"/>
        <v>0</v>
      </c>
    </row>
    <row r="434" spans="1:42" x14ac:dyDescent="0.2">
      <c r="A434" s="101">
        <f>A433+1</f>
        <v>9</v>
      </c>
      <c r="C434" s="169">
        <f t="shared" si="233"/>
        <v>0</v>
      </c>
      <c r="D434" s="169">
        <f t="shared" si="236"/>
        <v>0</v>
      </c>
      <c r="E434" s="169">
        <f t="shared" si="236"/>
        <v>0</v>
      </c>
      <c r="F434" s="169">
        <f t="shared" si="236"/>
        <v>0</v>
      </c>
      <c r="G434" s="169">
        <f t="shared" si="236"/>
        <v>0</v>
      </c>
      <c r="H434" s="169">
        <f t="shared" si="236"/>
        <v>0</v>
      </c>
      <c r="I434" s="169">
        <f t="shared" si="236"/>
        <v>0</v>
      </c>
      <c r="J434" s="169">
        <f t="shared" si="236"/>
        <v>0</v>
      </c>
      <c r="K434" s="169">
        <f t="shared" si="236"/>
        <v>0</v>
      </c>
      <c r="L434" s="169">
        <f t="shared" si="236"/>
        <v>0</v>
      </c>
      <c r="M434" s="169">
        <f t="shared" si="236"/>
        <v>0</v>
      </c>
      <c r="N434" s="169">
        <f t="shared" si="236"/>
        <v>0</v>
      </c>
      <c r="O434" s="169">
        <f t="shared" si="236"/>
        <v>0</v>
      </c>
      <c r="P434" s="169">
        <f t="shared" si="236"/>
        <v>0</v>
      </c>
      <c r="Q434" s="169">
        <f t="shared" si="236"/>
        <v>0</v>
      </c>
      <c r="R434" s="169">
        <f t="shared" si="236"/>
        <v>0</v>
      </c>
      <c r="S434" s="169">
        <f t="shared" si="236"/>
        <v>0</v>
      </c>
      <c r="T434" s="169">
        <f t="shared" si="236"/>
        <v>0</v>
      </c>
      <c r="U434" s="169">
        <f t="shared" si="236"/>
        <v>0</v>
      </c>
      <c r="V434" s="169">
        <f t="shared" si="236"/>
        <v>0</v>
      </c>
      <c r="W434" s="169">
        <f t="shared" si="236"/>
        <v>0</v>
      </c>
      <c r="X434" s="169">
        <f t="shared" si="236"/>
        <v>0</v>
      </c>
      <c r="Y434" s="169">
        <f t="shared" si="236"/>
        <v>0</v>
      </c>
      <c r="Z434" s="169">
        <f t="shared" si="236"/>
        <v>0</v>
      </c>
      <c r="AA434" s="169">
        <f t="shared" si="236"/>
        <v>0</v>
      </c>
      <c r="AB434" s="169">
        <f t="shared" si="236"/>
        <v>0</v>
      </c>
      <c r="AC434" s="169">
        <f t="shared" si="236"/>
        <v>0</v>
      </c>
      <c r="AD434" s="169">
        <f t="shared" si="236"/>
        <v>0</v>
      </c>
      <c r="AE434" s="169">
        <f t="shared" si="236"/>
        <v>0</v>
      </c>
      <c r="AF434" s="169">
        <f t="shared" si="236"/>
        <v>0</v>
      </c>
      <c r="AG434" s="169">
        <f t="shared" si="236"/>
        <v>0</v>
      </c>
      <c r="AH434" s="169">
        <f t="shared" si="236"/>
        <v>0</v>
      </c>
      <c r="AI434" s="169">
        <f t="shared" si="236"/>
        <v>0</v>
      </c>
      <c r="AJ434" s="169">
        <f t="shared" si="236"/>
        <v>0</v>
      </c>
      <c r="AK434" s="169">
        <f t="shared" si="236"/>
        <v>0</v>
      </c>
      <c r="AL434" s="169">
        <f t="shared" si="236"/>
        <v>0</v>
      </c>
      <c r="AM434" s="169">
        <f t="shared" si="236"/>
        <v>0</v>
      </c>
      <c r="AN434" s="169">
        <f t="shared" si="236"/>
        <v>0</v>
      </c>
      <c r="AO434" s="169">
        <f t="shared" si="236"/>
        <v>0</v>
      </c>
      <c r="AP434" s="169">
        <f t="shared" si="236"/>
        <v>0</v>
      </c>
    </row>
    <row r="435" spans="1:42" x14ac:dyDescent="0.2">
      <c r="A435" s="101">
        <f t="shared" ref="A435" si="237">A434+1</f>
        <v>10</v>
      </c>
      <c r="C435" s="169">
        <f t="shared" si="233"/>
        <v>0</v>
      </c>
      <c r="D435" s="169">
        <f t="shared" si="236"/>
        <v>0</v>
      </c>
      <c r="E435" s="169">
        <f t="shared" si="236"/>
        <v>0</v>
      </c>
      <c r="F435" s="169">
        <f t="shared" si="236"/>
        <v>0</v>
      </c>
      <c r="G435" s="169">
        <f t="shared" si="236"/>
        <v>0</v>
      </c>
      <c r="H435" s="169">
        <f t="shared" si="236"/>
        <v>0</v>
      </c>
      <c r="I435" s="169">
        <f t="shared" si="236"/>
        <v>0</v>
      </c>
      <c r="J435" s="169">
        <f t="shared" si="236"/>
        <v>0</v>
      </c>
      <c r="K435" s="169">
        <f t="shared" si="236"/>
        <v>0</v>
      </c>
      <c r="L435" s="169">
        <f t="shared" si="236"/>
        <v>0</v>
      </c>
      <c r="M435" s="169">
        <f t="shared" si="236"/>
        <v>0</v>
      </c>
      <c r="N435" s="169">
        <f t="shared" si="236"/>
        <v>0</v>
      </c>
      <c r="O435" s="169">
        <f t="shared" si="236"/>
        <v>0</v>
      </c>
      <c r="P435" s="169">
        <f t="shared" si="236"/>
        <v>0</v>
      </c>
      <c r="Q435" s="169">
        <f t="shared" si="236"/>
        <v>0</v>
      </c>
      <c r="R435" s="169">
        <f t="shared" si="236"/>
        <v>0</v>
      </c>
      <c r="S435" s="169">
        <f t="shared" si="236"/>
        <v>0</v>
      </c>
      <c r="T435" s="169">
        <f t="shared" si="236"/>
        <v>0</v>
      </c>
      <c r="U435" s="169">
        <f t="shared" si="236"/>
        <v>0</v>
      </c>
      <c r="V435" s="169">
        <f t="shared" si="236"/>
        <v>0</v>
      </c>
      <c r="W435" s="169">
        <f t="shared" si="236"/>
        <v>0</v>
      </c>
      <c r="X435" s="169">
        <f t="shared" si="236"/>
        <v>0</v>
      </c>
      <c r="Y435" s="169">
        <f t="shared" si="236"/>
        <v>0</v>
      </c>
      <c r="Z435" s="169">
        <f t="shared" si="236"/>
        <v>0</v>
      </c>
      <c r="AA435" s="169">
        <f t="shared" si="236"/>
        <v>0</v>
      </c>
      <c r="AB435" s="169">
        <f t="shared" si="236"/>
        <v>0</v>
      </c>
      <c r="AC435" s="169">
        <f t="shared" si="236"/>
        <v>0</v>
      </c>
      <c r="AD435" s="169">
        <f t="shared" si="236"/>
        <v>0</v>
      </c>
      <c r="AE435" s="169">
        <f t="shared" si="236"/>
        <v>0</v>
      </c>
      <c r="AF435" s="169">
        <f t="shared" si="236"/>
        <v>0</v>
      </c>
      <c r="AG435" s="169">
        <f t="shared" si="236"/>
        <v>0</v>
      </c>
      <c r="AH435" s="169">
        <f t="shared" si="236"/>
        <v>0</v>
      </c>
      <c r="AI435" s="169">
        <f t="shared" si="236"/>
        <v>0</v>
      </c>
      <c r="AJ435" s="169">
        <f t="shared" si="236"/>
        <v>0</v>
      </c>
      <c r="AK435" s="169">
        <f t="shared" si="236"/>
        <v>0</v>
      </c>
      <c r="AL435" s="169">
        <f t="shared" si="236"/>
        <v>0</v>
      </c>
      <c r="AM435" s="169">
        <f t="shared" si="236"/>
        <v>0</v>
      </c>
      <c r="AN435" s="169">
        <f t="shared" si="236"/>
        <v>0</v>
      </c>
      <c r="AO435" s="169">
        <f t="shared" si="236"/>
        <v>0</v>
      </c>
      <c r="AP435" s="169">
        <f t="shared" si="236"/>
        <v>0</v>
      </c>
    </row>
    <row r="436" spans="1:42" x14ac:dyDescent="0.2">
      <c r="A436" s="187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</row>
    <row r="437" spans="1:42" x14ac:dyDescent="0.2">
      <c r="A437" s="187" t="s">
        <v>196</v>
      </c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</row>
    <row r="438" spans="1:42" x14ac:dyDescent="0.2">
      <c r="A438" s="101">
        <v>1</v>
      </c>
      <c r="B438" s="179">
        <f t="shared" ref="B438:B447" si="238">SUM(C438:AP438)</f>
        <v>0</v>
      </c>
      <c r="C438" s="208">
        <f t="shared" ref="C438:AP438" si="239">LOOKUP(C426,$B$395:$AP$395,$B$396:$AP$396)*$B643</f>
        <v>0</v>
      </c>
      <c r="D438" s="169">
        <f t="shared" si="239"/>
        <v>0</v>
      </c>
      <c r="E438" s="169">
        <f t="shared" si="239"/>
        <v>0</v>
      </c>
      <c r="F438" s="169">
        <f t="shared" si="239"/>
        <v>0</v>
      </c>
      <c r="G438" s="169">
        <f t="shared" si="239"/>
        <v>0</v>
      </c>
      <c r="H438" s="169">
        <f t="shared" si="239"/>
        <v>0</v>
      </c>
      <c r="I438" s="169">
        <f t="shared" si="239"/>
        <v>0</v>
      </c>
      <c r="J438" s="169">
        <f t="shared" si="239"/>
        <v>0</v>
      </c>
      <c r="K438" s="169">
        <f t="shared" si="239"/>
        <v>0</v>
      </c>
      <c r="L438" s="169">
        <f t="shared" si="239"/>
        <v>0</v>
      </c>
      <c r="M438" s="169">
        <f t="shared" si="239"/>
        <v>0</v>
      </c>
      <c r="N438" s="169">
        <f t="shared" si="239"/>
        <v>0</v>
      </c>
      <c r="O438" s="169">
        <f t="shared" si="239"/>
        <v>0</v>
      </c>
      <c r="P438" s="169">
        <f t="shared" si="239"/>
        <v>0</v>
      </c>
      <c r="Q438" s="169">
        <f t="shared" si="239"/>
        <v>0</v>
      </c>
      <c r="R438" s="169">
        <f t="shared" si="239"/>
        <v>0</v>
      </c>
      <c r="S438" s="169">
        <f t="shared" si="239"/>
        <v>0</v>
      </c>
      <c r="T438" s="169">
        <f t="shared" si="239"/>
        <v>0</v>
      </c>
      <c r="U438" s="169">
        <f t="shared" si="239"/>
        <v>0</v>
      </c>
      <c r="V438" s="169">
        <f t="shared" si="239"/>
        <v>0</v>
      </c>
      <c r="W438" s="169">
        <f t="shared" si="239"/>
        <v>0</v>
      </c>
      <c r="X438" s="169">
        <f t="shared" si="239"/>
        <v>0</v>
      </c>
      <c r="Y438" s="169">
        <f t="shared" si="239"/>
        <v>0</v>
      </c>
      <c r="Z438" s="169">
        <f t="shared" si="239"/>
        <v>0</v>
      </c>
      <c r="AA438" s="169">
        <f t="shared" si="239"/>
        <v>0</v>
      </c>
      <c r="AB438" s="169">
        <f t="shared" si="239"/>
        <v>0</v>
      </c>
      <c r="AC438" s="169">
        <f t="shared" si="239"/>
        <v>0</v>
      </c>
      <c r="AD438" s="169">
        <f t="shared" si="239"/>
        <v>0</v>
      </c>
      <c r="AE438" s="169">
        <f t="shared" si="239"/>
        <v>0</v>
      </c>
      <c r="AF438" s="169">
        <f t="shared" si="239"/>
        <v>0</v>
      </c>
      <c r="AG438" s="169">
        <f t="shared" si="239"/>
        <v>0</v>
      </c>
      <c r="AH438" s="169">
        <f t="shared" si="239"/>
        <v>0</v>
      </c>
      <c r="AI438" s="169">
        <f t="shared" si="239"/>
        <v>0</v>
      </c>
      <c r="AJ438" s="169">
        <f t="shared" si="239"/>
        <v>0</v>
      </c>
      <c r="AK438" s="169">
        <f t="shared" si="239"/>
        <v>0</v>
      </c>
      <c r="AL438" s="169">
        <f t="shared" si="239"/>
        <v>0</v>
      </c>
      <c r="AM438" s="169">
        <f t="shared" si="239"/>
        <v>0</v>
      </c>
      <c r="AN438" s="169">
        <f t="shared" si="239"/>
        <v>0</v>
      </c>
      <c r="AO438" s="169">
        <f t="shared" si="239"/>
        <v>0</v>
      </c>
      <c r="AP438" s="169">
        <f t="shared" si="239"/>
        <v>0</v>
      </c>
    </row>
    <row r="439" spans="1:42" x14ac:dyDescent="0.2">
      <c r="A439" s="101">
        <f>A438+1</f>
        <v>2</v>
      </c>
      <c r="B439" s="179">
        <f t="shared" si="238"/>
        <v>0</v>
      </c>
      <c r="C439" s="208">
        <f t="shared" ref="C439:AP439" si="240">LOOKUP(C427,$B$395:$AP$395,$B$396:$AP$396)*$B644</f>
        <v>0</v>
      </c>
      <c r="D439" s="169">
        <f t="shared" si="240"/>
        <v>0</v>
      </c>
      <c r="E439" s="169">
        <f t="shared" si="240"/>
        <v>0</v>
      </c>
      <c r="F439" s="169">
        <f t="shared" si="240"/>
        <v>0</v>
      </c>
      <c r="G439" s="169">
        <f t="shared" si="240"/>
        <v>0</v>
      </c>
      <c r="H439" s="169">
        <f t="shared" si="240"/>
        <v>0</v>
      </c>
      <c r="I439" s="169">
        <f t="shared" si="240"/>
        <v>0</v>
      </c>
      <c r="J439" s="169">
        <f t="shared" si="240"/>
        <v>0</v>
      </c>
      <c r="K439" s="169">
        <f t="shared" si="240"/>
        <v>0</v>
      </c>
      <c r="L439" s="169">
        <f t="shared" si="240"/>
        <v>0</v>
      </c>
      <c r="M439" s="169">
        <f t="shared" si="240"/>
        <v>0</v>
      </c>
      <c r="N439" s="169">
        <f t="shared" si="240"/>
        <v>0</v>
      </c>
      <c r="O439" s="169">
        <f t="shared" si="240"/>
        <v>0</v>
      </c>
      <c r="P439" s="169">
        <f t="shared" si="240"/>
        <v>0</v>
      </c>
      <c r="Q439" s="169">
        <f t="shared" si="240"/>
        <v>0</v>
      </c>
      <c r="R439" s="169">
        <f t="shared" si="240"/>
        <v>0</v>
      </c>
      <c r="S439" s="169">
        <f t="shared" si="240"/>
        <v>0</v>
      </c>
      <c r="T439" s="169">
        <f t="shared" si="240"/>
        <v>0</v>
      </c>
      <c r="U439" s="169">
        <f t="shared" si="240"/>
        <v>0</v>
      </c>
      <c r="V439" s="169">
        <f t="shared" si="240"/>
        <v>0</v>
      </c>
      <c r="W439" s="169">
        <f t="shared" si="240"/>
        <v>0</v>
      </c>
      <c r="X439" s="169">
        <f t="shared" si="240"/>
        <v>0</v>
      </c>
      <c r="Y439" s="169">
        <f t="shared" si="240"/>
        <v>0</v>
      </c>
      <c r="Z439" s="169">
        <f t="shared" si="240"/>
        <v>0</v>
      </c>
      <c r="AA439" s="169">
        <f t="shared" si="240"/>
        <v>0</v>
      </c>
      <c r="AB439" s="169">
        <f t="shared" si="240"/>
        <v>0</v>
      </c>
      <c r="AC439" s="169">
        <f t="shared" si="240"/>
        <v>0</v>
      </c>
      <c r="AD439" s="169">
        <f t="shared" si="240"/>
        <v>0</v>
      </c>
      <c r="AE439" s="169">
        <f t="shared" si="240"/>
        <v>0</v>
      </c>
      <c r="AF439" s="169">
        <f t="shared" si="240"/>
        <v>0</v>
      </c>
      <c r="AG439" s="169">
        <f t="shared" si="240"/>
        <v>0</v>
      </c>
      <c r="AH439" s="169">
        <f t="shared" si="240"/>
        <v>0</v>
      </c>
      <c r="AI439" s="169">
        <f t="shared" si="240"/>
        <v>0</v>
      </c>
      <c r="AJ439" s="169">
        <f t="shared" si="240"/>
        <v>0</v>
      </c>
      <c r="AK439" s="169">
        <f t="shared" si="240"/>
        <v>0</v>
      </c>
      <c r="AL439" s="169">
        <f t="shared" si="240"/>
        <v>0</v>
      </c>
      <c r="AM439" s="169">
        <f t="shared" si="240"/>
        <v>0</v>
      </c>
      <c r="AN439" s="169">
        <f t="shared" si="240"/>
        <v>0</v>
      </c>
      <c r="AO439" s="169">
        <f t="shared" si="240"/>
        <v>0</v>
      </c>
      <c r="AP439" s="169">
        <f t="shared" si="240"/>
        <v>0</v>
      </c>
    </row>
    <row r="440" spans="1:42" x14ac:dyDescent="0.2">
      <c r="A440" s="101">
        <f t="shared" ref="A440:A445" si="241">A439+1</f>
        <v>3</v>
      </c>
      <c r="B440" s="179">
        <f t="shared" si="238"/>
        <v>0</v>
      </c>
      <c r="C440" s="208">
        <f t="shared" ref="C440:AP440" si="242">LOOKUP(C428,$B$395:$AP$395,$B$396:$AP$396)*$B645</f>
        <v>0</v>
      </c>
      <c r="D440" s="169">
        <f t="shared" si="242"/>
        <v>0</v>
      </c>
      <c r="E440" s="169">
        <f t="shared" si="242"/>
        <v>0</v>
      </c>
      <c r="F440" s="169">
        <f t="shared" si="242"/>
        <v>0</v>
      </c>
      <c r="G440" s="169">
        <f t="shared" si="242"/>
        <v>0</v>
      </c>
      <c r="H440" s="169">
        <f t="shared" si="242"/>
        <v>0</v>
      </c>
      <c r="I440" s="169">
        <f t="shared" si="242"/>
        <v>0</v>
      </c>
      <c r="J440" s="169">
        <f t="shared" si="242"/>
        <v>0</v>
      </c>
      <c r="K440" s="169">
        <f t="shared" si="242"/>
        <v>0</v>
      </c>
      <c r="L440" s="169">
        <f t="shared" si="242"/>
        <v>0</v>
      </c>
      <c r="M440" s="169">
        <f t="shared" si="242"/>
        <v>0</v>
      </c>
      <c r="N440" s="169">
        <f t="shared" si="242"/>
        <v>0</v>
      </c>
      <c r="O440" s="169">
        <f t="shared" si="242"/>
        <v>0</v>
      </c>
      <c r="P440" s="169">
        <f t="shared" si="242"/>
        <v>0</v>
      </c>
      <c r="Q440" s="169">
        <f t="shared" si="242"/>
        <v>0</v>
      </c>
      <c r="R440" s="169">
        <f t="shared" si="242"/>
        <v>0</v>
      </c>
      <c r="S440" s="169">
        <f t="shared" si="242"/>
        <v>0</v>
      </c>
      <c r="T440" s="169">
        <f t="shared" si="242"/>
        <v>0</v>
      </c>
      <c r="U440" s="169">
        <f t="shared" si="242"/>
        <v>0</v>
      </c>
      <c r="V440" s="169">
        <f t="shared" si="242"/>
        <v>0</v>
      </c>
      <c r="W440" s="169">
        <f t="shared" si="242"/>
        <v>0</v>
      </c>
      <c r="X440" s="169">
        <f t="shared" si="242"/>
        <v>0</v>
      </c>
      <c r="Y440" s="169">
        <f t="shared" si="242"/>
        <v>0</v>
      </c>
      <c r="Z440" s="169">
        <f t="shared" si="242"/>
        <v>0</v>
      </c>
      <c r="AA440" s="169">
        <f t="shared" si="242"/>
        <v>0</v>
      </c>
      <c r="AB440" s="169">
        <f t="shared" si="242"/>
        <v>0</v>
      </c>
      <c r="AC440" s="169">
        <f t="shared" si="242"/>
        <v>0</v>
      </c>
      <c r="AD440" s="169">
        <f t="shared" si="242"/>
        <v>0</v>
      </c>
      <c r="AE440" s="169">
        <f t="shared" si="242"/>
        <v>0</v>
      </c>
      <c r="AF440" s="169">
        <f t="shared" si="242"/>
        <v>0</v>
      </c>
      <c r="AG440" s="169">
        <f t="shared" si="242"/>
        <v>0</v>
      </c>
      <c r="AH440" s="169">
        <f t="shared" si="242"/>
        <v>0</v>
      </c>
      <c r="AI440" s="169">
        <f t="shared" si="242"/>
        <v>0</v>
      </c>
      <c r="AJ440" s="169">
        <f t="shared" si="242"/>
        <v>0</v>
      </c>
      <c r="AK440" s="169">
        <f t="shared" si="242"/>
        <v>0</v>
      </c>
      <c r="AL440" s="169">
        <f t="shared" si="242"/>
        <v>0</v>
      </c>
      <c r="AM440" s="169">
        <f t="shared" si="242"/>
        <v>0</v>
      </c>
      <c r="AN440" s="169">
        <f t="shared" si="242"/>
        <v>0</v>
      </c>
      <c r="AO440" s="169">
        <f t="shared" si="242"/>
        <v>0</v>
      </c>
      <c r="AP440" s="169">
        <f t="shared" si="242"/>
        <v>0</v>
      </c>
    </row>
    <row r="441" spans="1:42" x14ac:dyDescent="0.2">
      <c r="A441" s="101">
        <f t="shared" si="241"/>
        <v>4</v>
      </c>
      <c r="B441" s="179">
        <f t="shared" si="238"/>
        <v>0</v>
      </c>
      <c r="C441" s="208">
        <f t="shared" ref="C441:AP441" si="243">LOOKUP(C429,$B$395:$AP$395,$B$396:$AP$396)*$B646</f>
        <v>0</v>
      </c>
      <c r="D441" s="169">
        <f t="shared" si="243"/>
        <v>0</v>
      </c>
      <c r="E441" s="169">
        <f t="shared" si="243"/>
        <v>0</v>
      </c>
      <c r="F441" s="169">
        <f t="shared" si="243"/>
        <v>0</v>
      </c>
      <c r="G441" s="169">
        <f t="shared" si="243"/>
        <v>0</v>
      </c>
      <c r="H441" s="169">
        <f t="shared" si="243"/>
        <v>0</v>
      </c>
      <c r="I441" s="169">
        <f t="shared" si="243"/>
        <v>0</v>
      </c>
      <c r="J441" s="169">
        <f t="shared" si="243"/>
        <v>0</v>
      </c>
      <c r="K441" s="169">
        <f t="shared" si="243"/>
        <v>0</v>
      </c>
      <c r="L441" s="169">
        <f t="shared" si="243"/>
        <v>0</v>
      </c>
      <c r="M441" s="169">
        <f t="shared" si="243"/>
        <v>0</v>
      </c>
      <c r="N441" s="169">
        <f t="shared" si="243"/>
        <v>0</v>
      </c>
      <c r="O441" s="169">
        <f t="shared" si="243"/>
        <v>0</v>
      </c>
      <c r="P441" s="169">
        <f t="shared" si="243"/>
        <v>0</v>
      </c>
      <c r="Q441" s="169">
        <f t="shared" si="243"/>
        <v>0</v>
      </c>
      <c r="R441" s="169">
        <f t="shared" si="243"/>
        <v>0</v>
      </c>
      <c r="S441" s="169">
        <f t="shared" si="243"/>
        <v>0</v>
      </c>
      <c r="T441" s="169">
        <f t="shared" si="243"/>
        <v>0</v>
      </c>
      <c r="U441" s="169">
        <f t="shared" si="243"/>
        <v>0</v>
      </c>
      <c r="V441" s="169">
        <f t="shared" si="243"/>
        <v>0</v>
      </c>
      <c r="W441" s="169">
        <f t="shared" si="243"/>
        <v>0</v>
      </c>
      <c r="X441" s="169">
        <f t="shared" si="243"/>
        <v>0</v>
      </c>
      <c r="Y441" s="169">
        <f t="shared" si="243"/>
        <v>0</v>
      </c>
      <c r="Z441" s="169">
        <f t="shared" si="243"/>
        <v>0</v>
      </c>
      <c r="AA441" s="169">
        <f t="shared" si="243"/>
        <v>0</v>
      </c>
      <c r="AB441" s="169">
        <f t="shared" si="243"/>
        <v>0</v>
      </c>
      <c r="AC441" s="169">
        <f t="shared" si="243"/>
        <v>0</v>
      </c>
      <c r="AD441" s="169">
        <f t="shared" si="243"/>
        <v>0</v>
      </c>
      <c r="AE441" s="169">
        <f t="shared" si="243"/>
        <v>0</v>
      </c>
      <c r="AF441" s="169">
        <f t="shared" si="243"/>
        <v>0</v>
      </c>
      <c r="AG441" s="169">
        <f t="shared" si="243"/>
        <v>0</v>
      </c>
      <c r="AH441" s="169">
        <f t="shared" si="243"/>
        <v>0</v>
      </c>
      <c r="AI441" s="169">
        <f t="shared" si="243"/>
        <v>0</v>
      </c>
      <c r="AJ441" s="169">
        <f t="shared" si="243"/>
        <v>0</v>
      </c>
      <c r="AK441" s="169">
        <f t="shared" si="243"/>
        <v>0</v>
      </c>
      <c r="AL441" s="169">
        <f t="shared" si="243"/>
        <v>0</v>
      </c>
      <c r="AM441" s="169">
        <f t="shared" si="243"/>
        <v>0</v>
      </c>
      <c r="AN441" s="169">
        <f t="shared" si="243"/>
        <v>0</v>
      </c>
      <c r="AO441" s="169">
        <f t="shared" si="243"/>
        <v>0</v>
      </c>
      <c r="AP441" s="169">
        <f t="shared" si="243"/>
        <v>0</v>
      </c>
    </row>
    <row r="442" spans="1:42" x14ac:dyDescent="0.2">
      <c r="A442" s="101">
        <f t="shared" si="241"/>
        <v>5</v>
      </c>
      <c r="B442" s="179">
        <f t="shared" si="238"/>
        <v>0</v>
      </c>
      <c r="C442" s="208">
        <f t="shared" ref="C442:AP442" si="244">LOOKUP(C430,$B$395:$AP$395,$B$396:$AP$396)*$B647</f>
        <v>0</v>
      </c>
      <c r="D442" s="169">
        <f t="shared" si="244"/>
        <v>0</v>
      </c>
      <c r="E442" s="169">
        <f t="shared" si="244"/>
        <v>0</v>
      </c>
      <c r="F442" s="169">
        <f t="shared" si="244"/>
        <v>0</v>
      </c>
      <c r="G442" s="169">
        <f t="shared" si="244"/>
        <v>0</v>
      </c>
      <c r="H442" s="169">
        <f t="shared" si="244"/>
        <v>0</v>
      </c>
      <c r="I442" s="169">
        <f t="shared" si="244"/>
        <v>0</v>
      </c>
      <c r="J442" s="169">
        <f t="shared" si="244"/>
        <v>0</v>
      </c>
      <c r="K442" s="169">
        <f t="shared" si="244"/>
        <v>0</v>
      </c>
      <c r="L442" s="169">
        <f t="shared" si="244"/>
        <v>0</v>
      </c>
      <c r="M442" s="169">
        <f t="shared" si="244"/>
        <v>0</v>
      </c>
      <c r="N442" s="169">
        <f t="shared" si="244"/>
        <v>0</v>
      </c>
      <c r="O442" s="169">
        <f t="shared" si="244"/>
        <v>0</v>
      </c>
      <c r="P442" s="169">
        <f t="shared" si="244"/>
        <v>0</v>
      </c>
      <c r="Q442" s="169">
        <f t="shared" si="244"/>
        <v>0</v>
      </c>
      <c r="R442" s="169">
        <f t="shared" si="244"/>
        <v>0</v>
      </c>
      <c r="S442" s="169">
        <f t="shared" si="244"/>
        <v>0</v>
      </c>
      <c r="T442" s="169">
        <f t="shared" si="244"/>
        <v>0</v>
      </c>
      <c r="U442" s="169">
        <f t="shared" si="244"/>
        <v>0</v>
      </c>
      <c r="V442" s="169">
        <f t="shared" si="244"/>
        <v>0</v>
      </c>
      <c r="W442" s="169">
        <f t="shared" si="244"/>
        <v>0</v>
      </c>
      <c r="X442" s="169">
        <f t="shared" si="244"/>
        <v>0</v>
      </c>
      <c r="Y442" s="169">
        <f t="shared" si="244"/>
        <v>0</v>
      </c>
      <c r="Z442" s="169">
        <f t="shared" si="244"/>
        <v>0</v>
      </c>
      <c r="AA442" s="169">
        <f t="shared" si="244"/>
        <v>0</v>
      </c>
      <c r="AB442" s="169">
        <f t="shared" si="244"/>
        <v>0</v>
      </c>
      <c r="AC442" s="169">
        <f t="shared" si="244"/>
        <v>0</v>
      </c>
      <c r="AD442" s="169">
        <f t="shared" si="244"/>
        <v>0</v>
      </c>
      <c r="AE442" s="169">
        <f t="shared" si="244"/>
        <v>0</v>
      </c>
      <c r="AF442" s="169">
        <f t="shared" si="244"/>
        <v>0</v>
      </c>
      <c r="AG442" s="169">
        <f t="shared" si="244"/>
        <v>0</v>
      </c>
      <c r="AH442" s="169">
        <f t="shared" si="244"/>
        <v>0</v>
      </c>
      <c r="AI442" s="169">
        <f t="shared" si="244"/>
        <v>0</v>
      </c>
      <c r="AJ442" s="169">
        <f t="shared" si="244"/>
        <v>0</v>
      </c>
      <c r="AK442" s="169">
        <f t="shared" si="244"/>
        <v>0</v>
      </c>
      <c r="AL442" s="169">
        <f t="shared" si="244"/>
        <v>0</v>
      </c>
      <c r="AM442" s="169">
        <f t="shared" si="244"/>
        <v>0</v>
      </c>
      <c r="AN442" s="169">
        <f t="shared" si="244"/>
        <v>0</v>
      </c>
      <c r="AO442" s="169">
        <f t="shared" si="244"/>
        <v>0</v>
      </c>
      <c r="AP442" s="169">
        <f t="shared" si="244"/>
        <v>0</v>
      </c>
    </row>
    <row r="443" spans="1:42" x14ac:dyDescent="0.2">
      <c r="A443" s="101">
        <f t="shared" si="241"/>
        <v>6</v>
      </c>
      <c r="B443" s="179">
        <f t="shared" si="238"/>
        <v>0</v>
      </c>
      <c r="C443" s="208">
        <f t="shared" ref="C443:AP443" si="245">LOOKUP(C431,$B$395:$AP$395,$B$396:$AP$396)*$B648</f>
        <v>0</v>
      </c>
      <c r="D443" s="169">
        <f t="shared" si="245"/>
        <v>0</v>
      </c>
      <c r="E443" s="169">
        <f t="shared" si="245"/>
        <v>0</v>
      </c>
      <c r="F443" s="169">
        <f t="shared" si="245"/>
        <v>0</v>
      </c>
      <c r="G443" s="169">
        <f t="shared" si="245"/>
        <v>0</v>
      </c>
      <c r="H443" s="169">
        <f t="shared" si="245"/>
        <v>0</v>
      </c>
      <c r="I443" s="169">
        <f t="shared" si="245"/>
        <v>0</v>
      </c>
      <c r="J443" s="169">
        <f t="shared" si="245"/>
        <v>0</v>
      </c>
      <c r="K443" s="169">
        <f t="shared" si="245"/>
        <v>0</v>
      </c>
      <c r="L443" s="169">
        <f t="shared" si="245"/>
        <v>0</v>
      </c>
      <c r="M443" s="169">
        <f t="shared" si="245"/>
        <v>0</v>
      </c>
      <c r="N443" s="169">
        <f t="shared" si="245"/>
        <v>0</v>
      </c>
      <c r="O443" s="169">
        <f t="shared" si="245"/>
        <v>0</v>
      </c>
      <c r="P443" s="169">
        <f t="shared" si="245"/>
        <v>0</v>
      </c>
      <c r="Q443" s="169">
        <f t="shared" si="245"/>
        <v>0</v>
      </c>
      <c r="R443" s="169">
        <f t="shared" si="245"/>
        <v>0</v>
      </c>
      <c r="S443" s="169">
        <f t="shared" si="245"/>
        <v>0</v>
      </c>
      <c r="T443" s="169">
        <f t="shared" si="245"/>
        <v>0</v>
      </c>
      <c r="U443" s="169">
        <f t="shared" si="245"/>
        <v>0</v>
      </c>
      <c r="V443" s="169">
        <f t="shared" si="245"/>
        <v>0</v>
      </c>
      <c r="W443" s="169">
        <f t="shared" si="245"/>
        <v>0</v>
      </c>
      <c r="X443" s="169">
        <f t="shared" si="245"/>
        <v>0</v>
      </c>
      <c r="Y443" s="169">
        <f t="shared" si="245"/>
        <v>0</v>
      </c>
      <c r="Z443" s="169">
        <f t="shared" si="245"/>
        <v>0</v>
      </c>
      <c r="AA443" s="169">
        <f t="shared" si="245"/>
        <v>0</v>
      </c>
      <c r="AB443" s="169">
        <f t="shared" si="245"/>
        <v>0</v>
      </c>
      <c r="AC443" s="169">
        <f t="shared" si="245"/>
        <v>0</v>
      </c>
      <c r="AD443" s="169">
        <f t="shared" si="245"/>
        <v>0</v>
      </c>
      <c r="AE443" s="169">
        <f t="shared" si="245"/>
        <v>0</v>
      </c>
      <c r="AF443" s="169">
        <f t="shared" si="245"/>
        <v>0</v>
      </c>
      <c r="AG443" s="169">
        <f t="shared" si="245"/>
        <v>0</v>
      </c>
      <c r="AH443" s="169">
        <f t="shared" si="245"/>
        <v>0</v>
      </c>
      <c r="AI443" s="169">
        <f t="shared" si="245"/>
        <v>0</v>
      </c>
      <c r="AJ443" s="169">
        <f t="shared" si="245"/>
        <v>0</v>
      </c>
      <c r="AK443" s="169">
        <f t="shared" si="245"/>
        <v>0</v>
      </c>
      <c r="AL443" s="169">
        <f t="shared" si="245"/>
        <v>0</v>
      </c>
      <c r="AM443" s="169">
        <f t="shared" si="245"/>
        <v>0</v>
      </c>
      <c r="AN443" s="169">
        <f t="shared" si="245"/>
        <v>0</v>
      </c>
      <c r="AO443" s="169">
        <f t="shared" si="245"/>
        <v>0</v>
      </c>
      <c r="AP443" s="169">
        <f t="shared" si="245"/>
        <v>0</v>
      </c>
    </row>
    <row r="444" spans="1:42" x14ac:dyDescent="0.2">
      <c r="A444" s="101">
        <f t="shared" si="241"/>
        <v>7</v>
      </c>
      <c r="B444" s="179">
        <f t="shared" si="238"/>
        <v>0</v>
      </c>
      <c r="C444" s="208">
        <f t="shared" ref="C444:AP444" si="246">LOOKUP(C432,$B$395:$AP$395,$B$396:$AP$396)*$B649</f>
        <v>0</v>
      </c>
      <c r="D444" s="169">
        <f t="shared" si="246"/>
        <v>0</v>
      </c>
      <c r="E444" s="169">
        <f t="shared" si="246"/>
        <v>0</v>
      </c>
      <c r="F444" s="169">
        <f t="shared" si="246"/>
        <v>0</v>
      </c>
      <c r="G444" s="169">
        <f t="shared" si="246"/>
        <v>0</v>
      </c>
      <c r="H444" s="169">
        <f t="shared" si="246"/>
        <v>0</v>
      </c>
      <c r="I444" s="169">
        <f t="shared" si="246"/>
        <v>0</v>
      </c>
      <c r="J444" s="169">
        <f t="shared" si="246"/>
        <v>0</v>
      </c>
      <c r="K444" s="169">
        <f t="shared" si="246"/>
        <v>0</v>
      </c>
      <c r="L444" s="169">
        <f t="shared" si="246"/>
        <v>0</v>
      </c>
      <c r="M444" s="169">
        <f t="shared" si="246"/>
        <v>0</v>
      </c>
      <c r="N444" s="169">
        <f t="shared" si="246"/>
        <v>0</v>
      </c>
      <c r="O444" s="169">
        <f t="shared" si="246"/>
        <v>0</v>
      </c>
      <c r="P444" s="169">
        <f t="shared" si="246"/>
        <v>0</v>
      </c>
      <c r="Q444" s="169">
        <f t="shared" si="246"/>
        <v>0</v>
      </c>
      <c r="R444" s="169">
        <f t="shared" si="246"/>
        <v>0</v>
      </c>
      <c r="S444" s="169">
        <f t="shared" si="246"/>
        <v>0</v>
      </c>
      <c r="T444" s="169">
        <f t="shared" si="246"/>
        <v>0</v>
      </c>
      <c r="U444" s="169">
        <f t="shared" si="246"/>
        <v>0</v>
      </c>
      <c r="V444" s="169">
        <f t="shared" si="246"/>
        <v>0</v>
      </c>
      <c r="W444" s="169">
        <f t="shared" si="246"/>
        <v>0</v>
      </c>
      <c r="X444" s="169">
        <f t="shared" si="246"/>
        <v>0</v>
      </c>
      <c r="Y444" s="169">
        <f t="shared" si="246"/>
        <v>0</v>
      </c>
      <c r="Z444" s="169">
        <f t="shared" si="246"/>
        <v>0</v>
      </c>
      <c r="AA444" s="169">
        <f t="shared" si="246"/>
        <v>0</v>
      </c>
      <c r="AB444" s="169">
        <f t="shared" si="246"/>
        <v>0</v>
      </c>
      <c r="AC444" s="169">
        <f t="shared" si="246"/>
        <v>0</v>
      </c>
      <c r="AD444" s="169">
        <f t="shared" si="246"/>
        <v>0</v>
      </c>
      <c r="AE444" s="169">
        <f t="shared" si="246"/>
        <v>0</v>
      </c>
      <c r="AF444" s="169">
        <f t="shared" si="246"/>
        <v>0</v>
      </c>
      <c r="AG444" s="169">
        <f t="shared" si="246"/>
        <v>0</v>
      </c>
      <c r="AH444" s="169">
        <f t="shared" si="246"/>
        <v>0</v>
      </c>
      <c r="AI444" s="169">
        <f t="shared" si="246"/>
        <v>0</v>
      </c>
      <c r="AJ444" s="169">
        <f t="shared" si="246"/>
        <v>0</v>
      </c>
      <c r="AK444" s="169">
        <f t="shared" si="246"/>
        <v>0</v>
      </c>
      <c r="AL444" s="169">
        <f t="shared" si="246"/>
        <v>0</v>
      </c>
      <c r="AM444" s="169">
        <f t="shared" si="246"/>
        <v>0</v>
      </c>
      <c r="AN444" s="169">
        <f t="shared" si="246"/>
        <v>0</v>
      </c>
      <c r="AO444" s="169">
        <f t="shared" si="246"/>
        <v>0</v>
      </c>
      <c r="AP444" s="169">
        <f t="shared" si="246"/>
        <v>0</v>
      </c>
    </row>
    <row r="445" spans="1:42" x14ac:dyDescent="0.2">
      <c r="A445" s="101">
        <f t="shared" si="241"/>
        <v>8</v>
      </c>
      <c r="B445" s="179">
        <f t="shared" si="238"/>
        <v>0</v>
      </c>
      <c r="C445" s="208">
        <f t="shared" ref="C445:AP445" si="247">LOOKUP(C433,$B$395:$AP$395,$B$396:$AP$396)*$B650</f>
        <v>0</v>
      </c>
      <c r="D445" s="169">
        <f t="shared" si="247"/>
        <v>0</v>
      </c>
      <c r="E445" s="169">
        <f t="shared" si="247"/>
        <v>0</v>
      </c>
      <c r="F445" s="169">
        <f t="shared" si="247"/>
        <v>0</v>
      </c>
      <c r="G445" s="169">
        <f t="shared" si="247"/>
        <v>0</v>
      </c>
      <c r="H445" s="169">
        <f t="shared" si="247"/>
        <v>0</v>
      </c>
      <c r="I445" s="169">
        <f t="shared" si="247"/>
        <v>0</v>
      </c>
      <c r="J445" s="169">
        <f t="shared" si="247"/>
        <v>0</v>
      </c>
      <c r="K445" s="169">
        <f t="shared" si="247"/>
        <v>0</v>
      </c>
      <c r="L445" s="169">
        <f t="shared" si="247"/>
        <v>0</v>
      </c>
      <c r="M445" s="169">
        <f t="shared" si="247"/>
        <v>0</v>
      </c>
      <c r="N445" s="169">
        <f t="shared" si="247"/>
        <v>0</v>
      </c>
      <c r="O445" s="169">
        <f t="shared" si="247"/>
        <v>0</v>
      </c>
      <c r="P445" s="169">
        <f t="shared" si="247"/>
        <v>0</v>
      </c>
      <c r="Q445" s="169">
        <f t="shared" si="247"/>
        <v>0</v>
      </c>
      <c r="R445" s="169">
        <f t="shared" si="247"/>
        <v>0</v>
      </c>
      <c r="S445" s="169">
        <f t="shared" si="247"/>
        <v>0</v>
      </c>
      <c r="T445" s="169">
        <f t="shared" si="247"/>
        <v>0</v>
      </c>
      <c r="U445" s="169">
        <f t="shared" si="247"/>
        <v>0</v>
      </c>
      <c r="V445" s="169">
        <f t="shared" si="247"/>
        <v>0</v>
      </c>
      <c r="W445" s="169">
        <f t="shared" si="247"/>
        <v>0</v>
      </c>
      <c r="X445" s="169">
        <f t="shared" si="247"/>
        <v>0</v>
      </c>
      <c r="Y445" s="169">
        <f t="shared" si="247"/>
        <v>0</v>
      </c>
      <c r="Z445" s="169">
        <f t="shared" si="247"/>
        <v>0</v>
      </c>
      <c r="AA445" s="169">
        <f t="shared" si="247"/>
        <v>0</v>
      </c>
      <c r="AB445" s="169">
        <f t="shared" si="247"/>
        <v>0</v>
      </c>
      <c r="AC445" s="169">
        <f t="shared" si="247"/>
        <v>0</v>
      </c>
      <c r="AD445" s="169">
        <f t="shared" si="247"/>
        <v>0</v>
      </c>
      <c r="AE445" s="169">
        <f t="shared" si="247"/>
        <v>0</v>
      </c>
      <c r="AF445" s="169">
        <f t="shared" si="247"/>
        <v>0</v>
      </c>
      <c r="AG445" s="169">
        <f t="shared" si="247"/>
        <v>0</v>
      </c>
      <c r="AH445" s="169">
        <f t="shared" si="247"/>
        <v>0</v>
      </c>
      <c r="AI445" s="169">
        <f t="shared" si="247"/>
        <v>0</v>
      </c>
      <c r="AJ445" s="169">
        <f t="shared" si="247"/>
        <v>0</v>
      </c>
      <c r="AK445" s="169">
        <f t="shared" si="247"/>
        <v>0</v>
      </c>
      <c r="AL445" s="169">
        <f t="shared" si="247"/>
        <v>0</v>
      </c>
      <c r="AM445" s="169">
        <f t="shared" si="247"/>
        <v>0</v>
      </c>
      <c r="AN445" s="169">
        <f t="shared" si="247"/>
        <v>0</v>
      </c>
      <c r="AO445" s="169">
        <f t="shared" si="247"/>
        <v>0</v>
      </c>
      <c r="AP445" s="169">
        <f t="shared" si="247"/>
        <v>0</v>
      </c>
    </row>
    <row r="446" spans="1:42" x14ac:dyDescent="0.2">
      <c r="A446" s="101">
        <f>A445+1</f>
        <v>9</v>
      </c>
      <c r="B446" s="179">
        <f t="shared" si="238"/>
        <v>0</v>
      </c>
      <c r="C446" s="208">
        <f t="shared" ref="C446:AP446" si="248">LOOKUP(C434,$B$395:$AP$395,$B$396:$AP$396)*$B651</f>
        <v>0</v>
      </c>
      <c r="D446" s="169">
        <f t="shared" si="248"/>
        <v>0</v>
      </c>
      <c r="E446" s="169">
        <f t="shared" si="248"/>
        <v>0</v>
      </c>
      <c r="F446" s="169">
        <f t="shared" si="248"/>
        <v>0</v>
      </c>
      <c r="G446" s="169">
        <f t="shared" si="248"/>
        <v>0</v>
      </c>
      <c r="H446" s="169">
        <f t="shared" si="248"/>
        <v>0</v>
      </c>
      <c r="I446" s="169">
        <f t="shared" si="248"/>
        <v>0</v>
      </c>
      <c r="J446" s="169">
        <f t="shared" si="248"/>
        <v>0</v>
      </c>
      <c r="K446" s="169">
        <f t="shared" si="248"/>
        <v>0</v>
      </c>
      <c r="L446" s="169">
        <f t="shared" si="248"/>
        <v>0</v>
      </c>
      <c r="M446" s="169">
        <f t="shared" si="248"/>
        <v>0</v>
      </c>
      <c r="N446" s="169">
        <f t="shared" si="248"/>
        <v>0</v>
      </c>
      <c r="O446" s="169">
        <f t="shared" si="248"/>
        <v>0</v>
      </c>
      <c r="P446" s="169">
        <f t="shared" si="248"/>
        <v>0</v>
      </c>
      <c r="Q446" s="169">
        <f t="shared" si="248"/>
        <v>0</v>
      </c>
      <c r="R446" s="169">
        <f t="shared" si="248"/>
        <v>0</v>
      </c>
      <c r="S446" s="169">
        <f t="shared" si="248"/>
        <v>0</v>
      </c>
      <c r="T446" s="169">
        <f t="shared" si="248"/>
        <v>0</v>
      </c>
      <c r="U446" s="169">
        <f t="shared" si="248"/>
        <v>0</v>
      </c>
      <c r="V446" s="169">
        <f t="shared" si="248"/>
        <v>0</v>
      </c>
      <c r="W446" s="169">
        <f t="shared" si="248"/>
        <v>0</v>
      </c>
      <c r="X446" s="169">
        <f t="shared" si="248"/>
        <v>0</v>
      </c>
      <c r="Y446" s="169">
        <f t="shared" si="248"/>
        <v>0</v>
      </c>
      <c r="Z446" s="169">
        <f t="shared" si="248"/>
        <v>0</v>
      </c>
      <c r="AA446" s="169">
        <f t="shared" si="248"/>
        <v>0</v>
      </c>
      <c r="AB446" s="169">
        <f t="shared" si="248"/>
        <v>0</v>
      </c>
      <c r="AC446" s="169">
        <f t="shared" si="248"/>
        <v>0</v>
      </c>
      <c r="AD446" s="169">
        <f t="shared" si="248"/>
        <v>0</v>
      </c>
      <c r="AE446" s="169">
        <f t="shared" si="248"/>
        <v>0</v>
      </c>
      <c r="AF446" s="169">
        <f t="shared" si="248"/>
        <v>0</v>
      </c>
      <c r="AG446" s="169">
        <f t="shared" si="248"/>
        <v>0</v>
      </c>
      <c r="AH446" s="169">
        <f t="shared" si="248"/>
        <v>0</v>
      </c>
      <c r="AI446" s="169">
        <f t="shared" si="248"/>
        <v>0</v>
      </c>
      <c r="AJ446" s="169">
        <f t="shared" si="248"/>
        <v>0</v>
      </c>
      <c r="AK446" s="169">
        <f t="shared" si="248"/>
        <v>0</v>
      </c>
      <c r="AL446" s="169">
        <f t="shared" si="248"/>
        <v>0</v>
      </c>
      <c r="AM446" s="169">
        <f t="shared" si="248"/>
        <v>0</v>
      </c>
      <c r="AN446" s="169">
        <f t="shared" si="248"/>
        <v>0</v>
      </c>
      <c r="AO446" s="169">
        <f t="shared" si="248"/>
        <v>0</v>
      </c>
      <c r="AP446" s="169">
        <f t="shared" si="248"/>
        <v>0</v>
      </c>
    </row>
    <row r="447" spans="1:42" x14ac:dyDescent="0.2">
      <c r="A447" s="101">
        <f t="shared" ref="A447" si="249">A446+1</f>
        <v>10</v>
      </c>
      <c r="B447" s="179">
        <f t="shared" si="238"/>
        <v>0</v>
      </c>
      <c r="C447" s="204">
        <f t="shared" ref="C447:AP447" si="250">LOOKUP(C435,$B$395:$AP$395,$B$396:$AP$396)*$B652</f>
        <v>0</v>
      </c>
      <c r="D447" s="170">
        <f t="shared" si="250"/>
        <v>0</v>
      </c>
      <c r="E447" s="170">
        <f t="shared" si="250"/>
        <v>0</v>
      </c>
      <c r="F447" s="170">
        <f t="shared" si="250"/>
        <v>0</v>
      </c>
      <c r="G447" s="170">
        <f t="shared" si="250"/>
        <v>0</v>
      </c>
      <c r="H447" s="170">
        <f t="shared" si="250"/>
        <v>0</v>
      </c>
      <c r="I447" s="170">
        <f t="shared" si="250"/>
        <v>0</v>
      </c>
      <c r="J447" s="170">
        <f t="shared" si="250"/>
        <v>0</v>
      </c>
      <c r="K447" s="170">
        <f t="shared" si="250"/>
        <v>0</v>
      </c>
      <c r="L447" s="170">
        <f t="shared" si="250"/>
        <v>0</v>
      </c>
      <c r="M447" s="170">
        <f t="shared" si="250"/>
        <v>0</v>
      </c>
      <c r="N447" s="170">
        <f t="shared" si="250"/>
        <v>0</v>
      </c>
      <c r="O447" s="170">
        <f t="shared" si="250"/>
        <v>0</v>
      </c>
      <c r="P447" s="170">
        <f t="shared" si="250"/>
        <v>0</v>
      </c>
      <c r="Q447" s="170">
        <f t="shared" si="250"/>
        <v>0</v>
      </c>
      <c r="R447" s="170">
        <f t="shared" si="250"/>
        <v>0</v>
      </c>
      <c r="S447" s="170">
        <f t="shared" si="250"/>
        <v>0</v>
      </c>
      <c r="T447" s="170">
        <f t="shared" si="250"/>
        <v>0</v>
      </c>
      <c r="U447" s="170">
        <f t="shared" si="250"/>
        <v>0</v>
      </c>
      <c r="V447" s="170">
        <f t="shared" si="250"/>
        <v>0</v>
      </c>
      <c r="W447" s="170">
        <f t="shared" si="250"/>
        <v>0</v>
      </c>
      <c r="X447" s="170">
        <f t="shared" si="250"/>
        <v>0</v>
      </c>
      <c r="Y447" s="170">
        <f t="shared" si="250"/>
        <v>0</v>
      </c>
      <c r="Z447" s="170">
        <f t="shared" si="250"/>
        <v>0</v>
      </c>
      <c r="AA447" s="170">
        <f t="shared" si="250"/>
        <v>0</v>
      </c>
      <c r="AB447" s="170">
        <f t="shared" si="250"/>
        <v>0</v>
      </c>
      <c r="AC447" s="170">
        <f t="shared" si="250"/>
        <v>0</v>
      </c>
      <c r="AD447" s="170">
        <f t="shared" si="250"/>
        <v>0</v>
      </c>
      <c r="AE447" s="170">
        <f t="shared" si="250"/>
        <v>0</v>
      </c>
      <c r="AF447" s="170">
        <f t="shared" si="250"/>
        <v>0</v>
      </c>
      <c r="AG447" s="170">
        <f t="shared" si="250"/>
        <v>0</v>
      </c>
      <c r="AH447" s="170">
        <f t="shared" si="250"/>
        <v>0</v>
      </c>
      <c r="AI447" s="170">
        <f t="shared" si="250"/>
        <v>0</v>
      </c>
      <c r="AJ447" s="170">
        <f t="shared" si="250"/>
        <v>0</v>
      </c>
      <c r="AK447" s="170">
        <f t="shared" si="250"/>
        <v>0</v>
      </c>
      <c r="AL447" s="170">
        <f t="shared" si="250"/>
        <v>0</v>
      </c>
      <c r="AM447" s="170">
        <f t="shared" si="250"/>
        <v>0</v>
      </c>
      <c r="AN447" s="170">
        <f t="shared" si="250"/>
        <v>0</v>
      </c>
      <c r="AO447" s="170">
        <f t="shared" si="250"/>
        <v>0</v>
      </c>
      <c r="AP447" s="170">
        <f t="shared" si="250"/>
        <v>0</v>
      </c>
    </row>
    <row r="448" spans="1:42" s="101" customFormat="1" x14ac:dyDescent="0.2">
      <c r="A448" s="205" t="s">
        <v>53</v>
      </c>
      <c r="B448" s="124"/>
      <c r="C448" s="124">
        <f>SUM(C438:C447)</f>
        <v>0</v>
      </c>
      <c r="D448" s="124">
        <f t="shared" ref="D448:AP448" si="251">SUM(D438:D447)</f>
        <v>0</v>
      </c>
      <c r="E448" s="124">
        <f t="shared" si="251"/>
        <v>0</v>
      </c>
      <c r="F448" s="124">
        <f t="shared" si="251"/>
        <v>0</v>
      </c>
      <c r="G448" s="124">
        <f t="shared" si="251"/>
        <v>0</v>
      </c>
      <c r="H448" s="124">
        <f t="shared" si="251"/>
        <v>0</v>
      </c>
      <c r="I448" s="124">
        <f t="shared" si="251"/>
        <v>0</v>
      </c>
      <c r="J448" s="124">
        <f t="shared" si="251"/>
        <v>0</v>
      </c>
      <c r="K448" s="124">
        <f t="shared" si="251"/>
        <v>0</v>
      </c>
      <c r="L448" s="124">
        <f t="shared" si="251"/>
        <v>0</v>
      </c>
      <c r="M448" s="124">
        <f t="shared" si="251"/>
        <v>0</v>
      </c>
      <c r="N448" s="124">
        <f t="shared" si="251"/>
        <v>0</v>
      </c>
      <c r="O448" s="124">
        <f t="shared" si="251"/>
        <v>0</v>
      </c>
      <c r="P448" s="124">
        <f t="shared" si="251"/>
        <v>0</v>
      </c>
      <c r="Q448" s="124">
        <f t="shared" si="251"/>
        <v>0</v>
      </c>
      <c r="R448" s="124">
        <f t="shared" si="251"/>
        <v>0</v>
      </c>
      <c r="S448" s="124">
        <f t="shared" si="251"/>
        <v>0</v>
      </c>
      <c r="T448" s="124">
        <f t="shared" si="251"/>
        <v>0</v>
      </c>
      <c r="U448" s="124">
        <f t="shared" si="251"/>
        <v>0</v>
      </c>
      <c r="V448" s="124">
        <f t="shared" si="251"/>
        <v>0</v>
      </c>
      <c r="W448" s="124">
        <f t="shared" si="251"/>
        <v>0</v>
      </c>
      <c r="X448" s="124">
        <f t="shared" si="251"/>
        <v>0</v>
      </c>
      <c r="Y448" s="124">
        <f t="shared" si="251"/>
        <v>0</v>
      </c>
      <c r="Z448" s="124">
        <f t="shared" si="251"/>
        <v>0</v>
      </c>
      <c r="AA448" s="124">
        <f t="shared" si="251"/>
        <v>0</v>
      </c>
      <c r="AB448" s="124">
        <f t="shared" si="251"/>
        <v>0</v>
      </c>
      <c r="AC448" s="124">
        <f t="shared" si="251"/>
        <v>0</v>
      </c>
      <c r="AD448" s="124">
        <f t="shared" si="251"/>
        <v>0</v>
      </c>
      <c r="AE448" s="124">
        <f t="shared" si="251"/>
        <v>0</v>
      </c>
      <c r="AF448" s="124">
        <f t="shared" si="251"/>
        <v>0</v>
      </c>
      <c r="AG448" s="124">
        <f t="shared" si="251"/>
        <v>0</v>
      </c>
      <c r="AH448" s="124">
        <f t="shared" si="251"/>
        <v>0</v>
      </c>
      <c r="AI448" s="124">
        <f t="shared" si="251"/>
        <v>0</v>
      </c>
      <c r="AJ448" s="124">
        <f t="shared" si="251"/>
        <v>0</v>
      </c>
      <c r="AK448" s="124">
        <f t="shared" si="251"/>
        <v>0</v>
      </c>
      <c r="AL448" s="124">
        <f t="shared" si="251"/>
        <v>0</v>
      </c>
      <c r="AM448" s="124">
        <f t="shared" si="251"/>
        <v>0</v>
      </c>
      <c r="AN448" s="124">
        <f t="shared" si="251"/>
        <v>0</v>
      </c>
      <c r="AO448" s="124">
        <f t="shared" si="251"/>
        <v>0</v>
      </c>
      <c r="AP448" s="124">
        <f t="shared" si="251"/>
        <v>0</v>
      </c>
    </row>
    <row r="449" spans="1:42" s="101" customFormat="1" x14ac:dyDescent="0.2">
      <c r="A449" s="205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</row>
    <row r="450" spans="1:42" x14ac:dyDescent="0.2">
      <c r="A450" s="180" t="s">
        <v>307</v>
      </c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</row>
    <row r="451" spans="1:42" x14ac:dyDescent="0.2">
      <c r="A451" s="187" t="s">
        <v>192</v>
      </c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</row>
    <row r="452" spans="1:42" x14ac:dyDescent="0.2">
      <c r="A452" s="20">
        <v>1</v>
      </c>
      <c r="C452" s="169">
        <f>C317</f>
        <v>0</v>
      </c>
      <c r="D452" s="169">
        <f t="shared" ref="D452:AP458" si="252">D317</f>
        <v>0</v>
      </c>
      <c r="E452" s="169">
        <f t="shared" si="252"/>
        <v>0</v>
      </c>
      <c r="F452" s="169">
        <f t="shared" si="252"/>
        <v>0</v>
      </c>
      <c r="G452" s="169">
        <f t="shared" si="252"/>
        <v>0</v>
      </c>
      <c r="H452" s="169">
        <f t="shared" si="252"/>
        <v>0</v>
      </c>
      <c r="I452" s="169">
        <f t="shared" si="252"/>
        <v>0</v>
      </c>
      <c r="J452" s="169">
        <f t="shared" si="252"/>
        <v>0</v>
      </c>
      <c r="K452" s="169">
        <f t="shared" si="252"/>
        <v>0</v>
      </c>
      <c r="L452" s="169">
        <f t="shared" si="252"/>
        <v>0</v>
      </c>
      <c r="M452" s="169">
        <f t="shared" si="252"/>
        <v>0</v>
      </c>
      <c r="N452" s="169">
        <f t="shared" si="252"/>
        <v>0</v>
      </c>
      <c r="O452" s="169">
        <f t="shared" si="252"/>
        <v>0</v>
      </c>
      <c r="P452" s="169">
        <f t="shared" si="252"/>
        <v>0</v>
      </c>
      <c r="Q452" s="169">
        <f t="shared" si="252"/>
        <v>0</v>
      </c>
      <c r="R452" s="169">
        <f t="shared" si="252"/>
        <v>0</v>
      </c>
      <c r="S452" s="169">
        <f t="shared" si="252"/>
        <v>0</v>
      </c>
      <c r="T452" s="169">
        <f t="shared" si="252"/>
        <v>0</v>
      </c>
      <c r="U452" s="169">
        <f t="shared" si="252"/>
        <v>0</v>
      </c>
      <c r="V452" s="169">
        <f t="shared" si="252"/>
        <v>0</v>
      </c>
      <c r="W452" s="169">
        <f t="shared" si="252"/>
        <v>0</v>
      </c>
      <c r="X452" s="169">
        <f t="shared" si="252"/>
        <v>0</v>
      </c>
      <c r="Y452" s="169">
        <f t="shared" si="252"/>
        <v>0</v>
      </c>
      <c r="Z452" s="169">
        <f t="shared" si="252"/>
        <v>0</v>
      </c>
      <c r="AA452" s="169">
        <f t="shared" si="252"/>
        <v>0</v>
      </c>
      <c r="AB452" s="169">
        <f t="shared" si="252"/>
        <v>0</v>
      </c>
      <c r="AC452" s="169">
        <f t="shared" si="252"/>
        <v>0</v>
      </c>
      <c r="AD452" s="169">
        <f t="shared" si="252"/>
        <v>0</v>
      </c>
      <c r="AE452" s="169">
        <f t="shared" si="252"/>
        <v>0</v>
      </c>
      <c r="AF452" s="169">
        <f t="shared" si="252"/>
        <v>0</v>
      </c>
      <c r="AG452" s="169">
        <f t="shared" si="252"/>
        <v>0</v>
      </c>
      <c r="AH452" s="169">
        <f t="shared" si="252"/>
        <v>0</v>
      </c>
      <c r="AI452" s="169">
        <f t="shared" si="252"/>
        <v>0</v>
      </c>
      <c r="AJ452" s="169">
        <f t="shared" si="252"/>
        <v>0</v>
      </c>
      <c r="AK452" s="169">
        <f t="shared" si="252"/>
        <v>0</v>
      </c>
      <c r="AL452" s="169">
        <f t="shared" si="252"/>
        <v>0</v>
      </c>
      <c r="AM452" s="169">
        <f t="shared" si="252"/>
        <v>0</v>
      </c>
      <c r="AN452" s="169">
        <f t="shared" si="252"/>
        <v>0</v>
      </c>
      <c r="AO452" s="169">
        <f t="shared" si="252"/>
        <v>0</v>
      </c>
      <c r="AP452" s="169">
        <f t="shared" si="252"/>
        <v>0</v>
      </c>
    </row>
    <row r="453" spans="1:42" x14ac:dyDescent="0.2">
      <c r="A453" s="20">
        <f>A452+1</f>
        <v>2</v>
      </c>
      <c r="C453" s="169">
        <f t="shared" ref="C453:R461" si="253">C318</f>
        <v>0</v>
      </c>
      <c r="D453" s="169">
        <f t="shared" si="253"/>
        <v>0</v>
      </c>
      <c r="E453" s="169">
        <f t="shared" si="253"/>
        <v>0</v>
      </c>
      <c r="F453" s="169">
        <f t="shared" si="253"/>
        <v>0</v>
      </c>
      <c r="G453" s="169">
        <f t="shared" si="253"/>
        <v>0</v>
      </c>
      <c r="H453" s="169">
        <f t="shared" si="253"/>
        <v>0</v>
      </c>
      <c r="I453" s="169">
        <f t="shared" si="253"/>
        <v>0</v>
      </c>
      <c r="J453" s="169">
        <f t="shared" si="253"/>
        <v>0</v>
      </c>
      <c r="K453" s="169">
        <f t="shared" si="253"/>
        <v>0</v>
      </c>
      <c r="L453" s="169">
        <f t="shared" si="253"/>
        <v>0</v>
      </c>
      <c r="M453" s="169">
        <f t="shared" si="253"/>
        <v>0</v>
      </c>
      <c r="N453" s="169">
        <f t="shared" si="253"/>
        <v>0</v>
      </c>
      <c r="O453" s="169">
        <f t="shared" si="253"/>
        <v>0</v>
      </c>
      <c r="P453" s="169">
        <f t="shared" si="253"/>
        <v>0</v>
      </c>
      <c r="Q453" s="169">
        <f t="shared" si="253"/>
        <v>0</v>
      </c>
      <c r="R453" s="169">
        <f t="shared" si="253"/>
        <v>0</v>
      </c>
      <c r="S453" s="169">
        <f t="shared" si="252"/>
        <v>0</v>
      </c>
      <c r="T453" s="169">
        <f t="shared" si="252"/>
        <v>0</v>
      </c>
      <c r="U453" s="169">
        <f t="shared" si="252"/>
        <v>0</v>
      </c>
      <c r="V453" s="169">
        <f t="shared" si="252"/>
        <v>0</v>
      </c>
      <c r="W453" s="169">
        <f t="shared" si="252"/>
        <v>0</v>
      </c>
      <c r="X453" s="169">
        <f t="shared" si="252"/>
        <v>0</v>
      </c>
      <c r="Y453" s="169">
        <f t="shared" si="252"/>
        <v>0</v>
      </c>
      <c r="Z453" s="169">
        <f t="shared" si="252"/>
        <v>0</v>
      </c>
      <c r="AA453" s="169">
        <f t="shared" si="252"/>
        <v>0</v>
      </c>
      <c r="AB453" s="169">
        <f t="shared" si="252"/>
        <v>0</v>
      </c>
      <c r="AC453" s="169">
        <f t="shared" si="252"/>
        <v>0</v>
      </c>
      <c r="AD453" s="169">
        <f t="shared" si="252"/>
        <v>0</v>
      </c>
      <c r="AE453" s="169">
        <f t="shared" si="252"/>
        <v>0</v>
      </c>
      <c r="AF453" s="169">
        <f t="shared" si="252"/>
        <v>0</v>
      </c>
      <c r="AG453" s="169">
        <f t="shared" si="252"/>
        <v>0</v>
      </c>
      <c r="AH453" s="169">
        <f t="shared" si="252"/>
        <v>0</v>
      </c>
      <c r="AI453" s="169">
        <f t="shared" si="252"/>
        <v>0</v>
      </c>
      <c r="AJ453" s="169">
        <f t="shared" si="252"/>
        <v>0</v>
      </c>
      <c r="AK453" s="169">
        <f t="shared" si="252"/>
        <v>0</v>
      </c>
      <c r="AL453" s="169">
        <f t="shared" si="252"/>
        <v>0</v>
      </c>
      <c r="AM453" s="169">
        <f t="shared" si="252"/>
        <v>0</v>
      </c>
      <c r="AN453" s="169">
        <f t="shared" si="252"/>
        <v>0</v>
      </c>
      <c r="AO453" s="169">
        <f t="shared" si="252"/>
        <v>0</v>
      </c>
      <c r="AP453" s="169">
        <f t="shared" si="252"/>
        <v>0</v>
      </c>
    </row>
    <row r="454" spans="1:42" x14ac:dyDescent="0.2">
      <c r="A454" s="20">
        <f t="shared" ref="A454:A459" si="254">A453+1</f>
        <v>3</v>
      </c>
      <c r="C454" s="169">
        <f t="shared" si="253"/>
        <v>0</v>
      </c>
      <c r="D454" s="169">
        <f t="shared" si="252"/>
        <v>0</v>
      </c>
      <c r="E454" s="169">
        <f t="shared" si="252"/>
        <v>0</v>
      </c>
      <c r="F454" s="169">
        <f t="shared" si="252"/>
        <v>0</v>
      </c>
      <c r="G454" s="169">
        <f t="shared" si="252"/>
        <v>0</v>
      </c>
      <c r="H454" s="169">
        <f t="shared" si="252"/>
        <v>0</v>
      </c>
      <c r="I454" s="169">
        <f t="shared" si="252"/>
        <v>0</v>
      </c>
      <c r="J454" s="169">
        <f t="shared" si="252"/>
        <v>0</v>
      </c>
      <c r="K454" s="169">
        <f t="shared" si="252"/>
        <v>0</v>
      </c>
      <c r="L454" s="169">
        <f t="shared" si="252"/>
        <v>0</v>
      </c>
      <c r="M454" s="169">
        <f t="shared" si="252"/>
        <v>0</v>
      </c>
      <c r="N454" s="169">
        <f t="shared" si="252"/>
        <v>0</v>
      </c>
      <c r="O454" s="169">
        <f t="shared" si="252"/>
        <v>0</v>
      </c>
      <c r="P454" s="169">
        <f t="shared" si="252"/>
        <v>0</v>
      </c>
      <c r="Q454" s="169">
        <f t="shared" si="252"/>
        <v>0</v>
      </c>
      <c r="R454" s="169">
        <f t="shared" si="252"/>
        <v>0</v>
      </c>
      <c r="S454" s="169">
        <f t="shared" si="252"/>
        <v>0</v>
      </c>
      <c r="T454" s="169">
        <f t="shared" si="252"/>
        <v>0</v>
      </c>
      <c r="U454" s="169">
        <f t="shared" si="252"/>
        <v>0</v>
      </c>
      <c r="V454" s="169">
        <f t="shared" si="252"/>
        <v>0</v>
      </c>
      <c r="W454" s="169">
        <f t="shared" si="252"/>
        <v>0</v>
      </c>
      <c r="X454" s="169">
        <f t="shared" si="252"/>
        <v>0</v>
      </c>
      <c r="Y454" s="169">
        <f t="shared" si="252"/>
        <v>0</v>
      </c>
      <c r="Z454" s="169">
        <f t="shared" si="252"/>
        <v>0</v>
      </c>
      <c r="AA454" s="169">
        <f t="shared" si="252"/>
        <v>0</v>
      </c>
      <c r="AB454" s="169">
        <f t="shared" si="252"/>
        <v>0</v>
      </c>
      <c r="AC454" s="169">
        <f t="shared" si="252"/>
        <v>0</v>
      </c>
      <c r="AD454" s="169">
        <f t="shared" si="252"/>
        <v>0</v>
      </c>
      <c r="AE454" s="169">
        <f t="shared" si="252"/>
        <v>0</v>
      </c>
      <c r="AF454" s="169">
        <f t="shared" si="252"/>
        <v>0</v>
      </c>
      <c r="AG454" s="169">
        <f t="shared" si="252"/>
        <v>0</v>
      </c>
      <c r="AH454" s="169">
        <f t="shared" si="252"/>
        <v>0</v>
      </c>
      <c r="AI454" s="169">
        <f t="shared" si="252"/>
        <v>0</v>
      </c>
      <c r="AJ454" s="169">
        <f t="shared" si="252"/>
        <v>0</v>
      </c>
      <c r="AK454" s="169">
        <f t="shared" si="252"/>
        <v>0</v>
      </c>
      <c r="AL454" s="169">
        <f t="shared" si="252"/>
        <v>0</v>
      </c>
      <c r="AM454" s="169">
        <f t="shared" si="252"/>
        <v>0</v>
      </c>
      <c r="AN454" s="169">
        <f t="shared" si="252"/>
        <v>0</v>
      </c>
      <c r="AO454" s="169">
        <f t="shared" si="252"/>
        <v>0</v>
      </c>
      <c r="AP454" s="169">
        <f t="shared" si="252"/>
        <v>0</v>
      </c>
    </row>
    <row r="455" spans="1:42" x14ac:dyDescent="0.2">
      <c r="A455" s="20">
        <f t="shared" si="254"/>
        <v>4</v>
      </c>
      <c r="C455" s="169">
        <f t="shared" si="253"/>
        <v>0</v>
      </c>
      <c r="D455" s="169">
        <f t="shared" si="252"/>
        <v>0</v>
      </c>
      <c r="E455" s="169">
        <f t="shared" si="252"/>
        <v>0</v>
      </c>
      <c r="F455" s="169">
        <f t="shared" si="252"/>
        <v>0</v>
      </c>
      <c r="G455" s="169">
        <f t="shared" si="252"/>
        <v>0</v>
      </c>
      <c r="H455" s="169">
        <f t="shared" si="252"/>
        <v>0</v>
      </c>
      <c r="I455" s="169">
        <f t="shared" si="252"/>
        <v>0</v>
      </c>
      <c r="J455" s="169">
        <f t="shared" si="252"/>
        <v>0</v>
      </c>
      <c r="K455" s="169">
        <f t="shared" si="252"/>
        <v>0</v>
      </c>
      <c r="L455" s="169">
        <f t="shared" si="252"/>
        <v>0</v>
      </c>
      <c r="M455" s="169">
        <f t="shared" si="252"/>
        <v>0</v>
      </c>
      <c r="N455" s="169">
        <f t="shared" si="252"/>
        <v>0</v>
      </c>
      <c r="O455" s="169">
        <f t="shared" si="252"/>
        <v>0</v>
      </c>
      <c r="P455" s="169">
        <f t="shared" si="252"/>
        <v>0</v>
      </c>
      <c r="Q455" s="169">
        <f t="shared" si="252"/>
        <v>0</v>
      </c>
      <c r="R455" s="169">
        <f t="shared" si="252"/>
        <v>0</v>
      </c>
      <c r="S455" s="169">
        <f t="shared" si="252"/>
        <v>0</v>
      </c>
      <c r="T455" s="169">
        <f t="shared" si="252"/>
        <v>0</v>
      </c>
      <c r="U455" s="169">
        <f t="shared" si="252"/>
        <v>0</v>
      </c>
      <c r="V455" s="169">
        <f t="shared" si="252"/>
        <v>0</v>
      </c>
      <c r="W455" s="169">
        <f t="shared" si="252"/>
        <v>0</v>
      </c>
      <c r="X455" s="169">
        <f t="shared" si="252"/>
        <v>0</v>
      </c>
      <c r="Y455" s="169">
        <f t="shared" si="252"/>
        <v>0</v>
      </c>
      <c r="Z455" s="169">
        <f t="shared" si="252"/>
        <v>0</v>
      </c>
      <c r="AA455" s="169">
        <f t="shared" si="252"/>
        <v>0</v>
      </c>
      <c r="AB455" s="169">
        <f t="shared" si="252"/>
        <v>0</v>
      </c>
      <c r="AC455" s="169">
        <f t="shared" si="252"/>
        <v>0</v>
      </c>
      <c r="AD455" s="169">
        <f t="shared" si="252"/>
        <v>0</v>
      </c>
      <c r="AE455" s="169">
        <f t="shared" si="252"/>
        <v>0</v>
      </c>
      <c r="AF455" s="169">
        <f t="shared" si="252"/>
        <v>0</v>
      </c>
      <c r="AG455" s="169">
        <f t="shared" si="252"/>
        <v>0</v>
      </c>
      <c r="AH455" s="169">
        <f t="shared" si="252"/>
        <v>0</v>
      </c>
      <c r="AI455" s="169">
        <f t="shared" si="252"/>
        <v>0</v>
      </c>
      <c r="AJ455" s="169">
        <f t="shared" si="252"/>
        <v>0</v>
      </c>
      <c r="AK455" s="169">
        <f t="shared" si="252"/>
        <v>0</v>
      </c>
      <c r="AL455" s="169">
        <f t="shared" si="252"/>
        <v>0</v>
      </c>
      <c r="AM455" s="169">
        <f t="shared" si="252"/>
        <v>0</v>
      </c>
      <c r="AN455" s="169">
        <f t="shared" si="252"/>
        <v>0</v>
      </c>
      <c r="AO455" s="169">
        <f t="shared" si="252"/>
        <v>0</v>
      </c>
      <c r="AP455" s="169">
        <f t="shared" si="252"/>
        <v>0</v>
      </c>
    </row>
    <row r="456" spans="1:42" x14ac:dyDescent="0.2">
      <c r="A456" s="20">
        <f t="shared" si="254"/>
        <v>5</v>
      </c>
      <c r="C456" s="169">
        <f t="shared" si="253"/>
        <v>0</v>
      </c>
      <c r="D456" s="169">
        <f t="shared" si="252"/>
        <v>0</v>
      </c>
      <c r="E456" s="169">
        <f t="shared" si="252"/>
        <v>0</v>
      </c>
      <c r="F456" s="169">
        <f t="shared" si="252"/>
        <v>0</v>
      </c>
      <c r="G456" s="169">
        <f t="shared" si="252"/>
        <v>0</v>
      </c>
      <c r="H456" s="169">
        <f t="shared" si="252"/>
        <v>0</v>
      </c>
      <c r="I456" s="169">
        <f t="shared" si="252"/>
        <v>0</v>
      </c>
      <c r="J456" s="169">
        <f t="shared" si="252"/>
        <v>0</v>
      </c>
      <c r="K456" s="169">
        <f t="shared" si="252"/>
        <v>0</v>
      </c>
      <c r="L456" s="169">
        <f t="shared" si="252"/>
        <v>0</v>
      </c>
      <c r="M456" s="169">
        <f t="shared" si="252"/>
        <v>0</v>
      </c>
      <c r="N456" s="169">
        <f t="shared" si="252"/>
        <v>0</v>
      </c>
      <c r="O456" s="169">
        <f t="shared" si="252"/>
        <v>0</v>
      </c>
      <c r="P456" s="169">
        <f t="shared" si="252"/>
        <v>0</v>
      </c>
      <c r="Q456" s="169">
        <f t="shared" si="252"/>
        <v>0</v>
      </c>
      <c r="R456" s="169">
        <f t="shared" si="252"/>
        <v>0</v>
      </c>
      <c r="S456" s="169">
        <f t="shared" si="252"/>
        <v>0</v>
      </c>
      <c r="T456" s="169">
        <f t="shared" si="252"/>
        <v>0</v>
      </c>
      <c r="U456" s="169">
        <f t="shared" si="252"/>
        <v>0</v>
      </c>
      <c r="V456" s="169">
        <f t="shared" si="252"/>
        <v>0</v>
      </c>
      <c r="W456" s="169">
        <f t="shared" si="252"/>
        <v>0</v>
      </c>
      <c r="X456" s="169">
        <f t="shared" si="252"/>
        <v>0</v>
      </c>
      <c r="Y456" s="169">
        <f t="shared" si="252"/>
        <v>0</v>
      </c>
      <c r="Z456" s="169">
        <f t="shared" si="252"/>
        <v>0</v>
      </c>
      <c r="AA456" s="169">
        <f t="shared" si="252"/>
        <v>0</v>
      </c>
      <c r="AB456" s="169">
        <f t="shared" si="252"/>
        <v>0</v>
      </c>
      <c r="AC456" s="169">
        <f t="shared" si="252"/>
        <v>0</v>
      </c>
      <c r="AD456" s="169">
        <f t="shared" si="252"/>
        <v>0</v>
      </c>
      <c r="AE456" s="169">
        <f t="shared" si="252"/>
        <v>0</v>
      </c>
      <c r="AF456" s="169">
        <f t="shared" si="252"/>
        <v>0</v>
      </c>
      <c r="AG456" s="169">
        <f t="shared" si="252"/>
        <v>0</v>
      </c>
      <c r="AH456" s="169">
        <f t="shared" si="252"/>
        <v>0</v>
      </c>
      <c r="AI456" s="169">
        <f t="shared" si="252"/>
        <v>0</v>
      </c>
      <c r="AJ456" s="169">
        <f t="shared" si="252"/>
        <v>0</v>
      </c>
      <c r="AK456" s="169">
        <f t="shared" si="252"/>
        <v>0</v>
      </c>
      <c r="AL456" s="169">
        <f t="shared" si="252"/>
        <v>0</v>
      </c>
      <c r="AM456" s="169">
        <f t="shared" si="252"/>
        <v>0</v>
      </c>
      <c r="AN456" s="169">
        <f t="shared" si="252"/>
        <v>0</v>
      </c>
      <c r="AO456" s="169">
        <f t="shared" si="252"/>
        <v>0</v>
      </c>
      <c r="AP456" s="169">
        <f t="shared" si="252"/>
        <v>0</v>
      </c>
    </row>
    <row r="457" spans="1:42" x14ac:dyDescent="0.2">
      <c r="A457" s="20">
        <f t="shared" si="254"/>
        <v>6</v>
      </c>
      <c r="C457" s="169">
        <f t="shared" si="253"/>
        <v>0</v>
      </c>
      <c r="D457" s="169">
        <f t="shared" si="252"/>
        <v>0</v>
      </c>
      <c r="E457" s="169">
        <f t="shared" si="252"/>
        <v>0</v>
      </c>
      <c r="F457" s="169">
        <f t="shared" si="252"/>
        <v>0</v>
      </c>
      <c r="G457" s="169">
        <f t="shared" si="252"/>
        <v>0</v>
      </c>
      <c r="H457" s="169">
        <f t="shared" si="252"/>
        <v>0</v>
      </c>
      <c r="I457" s="169">
        <f t="shared" si="252"/>
        <v>0</v>
      </c>
      <c r="J457" s="169">
        <f t="shared" si="252"/>
        <v>0</v>
      </c>
      <c r="K457" s="169">
        <f t="shared" si="252"/>
        <v>0</v>
      </c>
      <c r="L457" s="169">
        <f t="shared" si="252"/>
        <v>0</v>
      </c>
      <c r="M457" s="169">
        <f t="shared" si="252"/>
        <v>0</v>
      </c>
      <c r="N457" s="169">
        <f t="shared" si="252"/>
        <v>0</v>
      </c>
      <c r="O457" s="169">
        <f t="shared" si="252"/>
        <v>0</v>
      </c>
      <c r="P457" s="169">
        <f t="shared" si="252"/>
        <v>0</v>
      </c>
      <c r="Q457" s="169">
        <f t="shared" si="252"/>
        <v>0</v>
      </c>
      <c r="R457" s="169">
        <f t="shared" si="252"/>
        <v>0</v>
      </c>
      <c r="S457" s="169">
        <f t="shared" si="252"/>
        <v>0</v>
      </c>
      <c r="T457" s="169">
        <f t="shared" si="252"/>
        <v>0</v>
      </c>
      <c r="U457" s="169">
        <f t="shared" si="252"/>
        <v>0</v>
      </c>
      <c r="V457" s="169">
        <f t="shared" si="252"/>
        <v>0</v>
      </c>
      <c r="W457" s="169">
        <f t="shared" si="252"/>
        <v>0</v>
      </c>
      <c r="X457" s="169">
        <f t="shared" si="252"/>
        <v>0</v>
      </c>
      <c r="Y457" s="169">
        <f t="shared" si="252"/>
        <v>0</v>
      </c>
      <c r="Z457" s="169">
        <f t="shared" si="252"/>
        <v>0</v>
      </c>
      <c r="AA457" s="169">
        <f t="shared" si="252"/>
        <v>0</v>
      </c>
      <c r="AB457" s="169">
        <f t="shared" si="252"/>
        <v>0</v>
      </c>
      <c r="AC457" s="169">
        <f t="shared" si="252"/>
        <v>0</v>
      </c>
      <c r="AD457" s="169">
        <f t="shared" si="252"/>
        <v>0</v>
      </c>
      <c r="AE457" s="169">
        <f t="shared" si="252"/>
        <v>0</v>
      </c>
      <c r="AF457" s="169">
        <f t="shared" si="252"/>
        <v>0</v>
      </c>
      <c r="AG457" s="169">
        <f t="shared" si="252"/>
        <v>0</v>
      </c>
      <c r="AH457" s="169">
        <f t="shared" si="252"/>
        <v>0</v>
      </c>
      <c r="AI457" s="169">
        <f t="shared" si="252"/>
        <v>0</v>
      </c>
      <c r="AJ457" s="169">
        <f t="shared" si="252"/>
        <v>0</v>
      </c>
      <c r="AK457" s="169">
        <f t="shared" si="252"/>
        <v>0</v>
      </c>
      <c r="AL457" s="169">
        <f t="shared" si="252"/>
        <v>0</v>
      </c>
      <c r="AM457" s="169">
        <f t="shared" si="252"/>
        <v>0</v>
      </c>
      <c r="AN457" s="169">
        <f t="shared" si="252"/>
        <v>0</v>
      </c>
      <c r="AO457" s="169">
        <f t="shared" si="252"/>
        <v>0</v>
      </c>
      <c r="AP457" s="169">
        <f t="shared" si="252"/>
        <v>0</v>
      </c>
    </row>
    <row r="458" spans="1:42" x14ac:dyDescent="0.2">
      <c r="A458" s="20">
        <f t="shared" si="254"/>
        <v>7</v>
      </c>
      <c r="C458" s="169">
        <f t="shared" si="253"/>
        <v>0</v>
      </c>
      <c r="D458" s="169">
        <f t="shared" si="252"/>
        <v>0</v>
      </c>
      <c r="E458" s="169">
        <f t="shared" si="252"/>
        <v>0</v>
      </c>
      <c r="F458" s="169">
        <f t="shared" si="252"/>
        <v>0</v>
      </c>
      <c r="G458" s="169">
        <f t="shared" si="252"/>
        <v>0</v>
      </c>
      <c r="H458" s="169">
        <f t="shared" si="252"/>
        <v>0</v>
      </c>
      <c r="I458" s="169">
        <f t="shared" si="252"/>
        <v>0</v>
      </c>
      <c r="J458" s="169">
        <f t="shared" si="252"/>
        <v>0</v>
      </c>
      <c r="K458" s="169">
        <f t="shared" si="252"/>
        <v>0</v>
      </c>
      <c r="L458" s="169">
        <f t="shared" si="252"/>
        <v>0</v>
      </c>
      <c r="M458" s="169">
        <f t="shared" si="252"/>
        <v>0</v>
      </c>
      <c r="N458" s="169">
        <f t="shared" si="252"/>
        <v>0</v>
      </c>
      <c r="O458" s="169">
        <f t="shared" si="252"/>
        <v>0</v>
      </c>
      <c r="P458" s="169">
        <f t="shared" si="252"/>
        <v>0</v>
      </c>
      <c r="Q458" s="169">
        <f t="shared" si="252"/>
        <v>0</v>
      </c>
      <c r="R458" s="169">
        <f t="shared" si="252"/>
        <v>0</v>
      </c>
      <c r="S458" s="169">
        <f t="shared" si="252"/>
        <v>0</v>
      </c>
      <c r="T458" s="169">
        <f t="shared" si="252"/>
        <v>0</v>
      </c>
      <c r="U458" s="169">
        <f t="shared" si="252"/>
        <v>0</v>
      </c>
      <c r="V458" s="169">
        <f t="shared" si="252"/>
        <v>0</v>
      </c>
      <c r="W458" s="169">
        <f t="shared" si="252"/>
        <v>0</v>
      </c>
      <c r="X458" s="169">
        <f t="shared" si="252"/>
        <v>0</v>
      </c>
      <c r="Y458" s="169">
        <f t="shared" si="252"/>
        <v>0</v>
      </c>
      <c r="Z458" s="169">
        <f t="shared" si="252"/>
        <v>0</v>
      </c>
      <c r="AA458" s="169">
        <f t="shared" si="252"/>
        <v>0</v>
      </c>
      <c r="AB458" s="169">
        <f t="shared" si="252"/>
        <v>0</v>
      </c>
      <c r="AC458" s="169">
        <f t="shared" si="252"/>
        <v>0</v>
      </c>
      <c r="AD458" s="169">
        <f t="shared" si="252"/>
        <v>0</v>
      </c>
      <c r="AE458" s="169">
        <f t="shared" si="252"/>
        <v>0</v>
      </c>
      <c r="AF458" s="169">
        <f t="shared" si="252"/>
        <v>0</v>
      </c>
      <c r="AG458" s="169">
        <f t="shared" si="252"/>
        <v>0</v>
      </c>
      <c r="AH458" s="169">
        <f t="shared" si="252"/>
        <v>0</v>
      </c>
      <c r="AI458" s="169">
        <f t="shared" si="252"/>
        <v>0</v>
      </c>
      <c r="AJ458" s="169">
        <f t="shared" si="252"/>
        <v>0</v>
      </c>
      <c r="AK458" s="169">
        <f t="shared" si="252"/>
        <v>0</v>
      </c>
      <c r="AL458" s="169">
        <f t="shared" si="252"/>
        <v>0</v>
      </c>
      <c r="AM458" s="169">
        <f t="shared" si="252"/>
        <v>0</v>
      </c>
      <c r="AN458" s="169">
        <f t="shared" ref="AN458:AP458" si="255">AN323</f>
        <v>0</v>
      </c>
      <c r="AO458" s="169">
        <f t="shared" si="255"/>
        <v>0</v>
      </c>
      <c r="AP458" s="169">
        <f t="shared" si="255"/>
        <v>0</v>
      </c>
    </row>
    <row r="459" spans="1:42" x14ac:dyDescent="0.2">
      <c r="A459" s="20">
        <f t="shared" si="254"/>
        <v>8</v>
      </c>
      <c r="C459" s="169">
        <f t="shared" si="253"/>
        <v>0</v>
      </c>
      <c r="D459" s="169">
        <f t="shared" si="253"/>
        <v>0</v>
      </c>
      <c r="E459" s="169">
        <f t="shared" si="253"/>
        <v>0</v>
      </c>
      <c r="F459" s="169">
        <f t="shared" si="253"/>
        <v>0</v>
      </c>
      <c r="G459" s="169">
        <f t="shared" si="253"/>
        <v>0</v>
      </c>
      <c r="H459" s="169">
        <f t="shared" si="253"/>
        <v>0</v>
      </c>
      <c r="I459" s="169">
        <f t="shared" si="253"/>
        <v>0</v>
      </c>
      <c r="J459" s="169">
        <f t="shared" si="253"/>
        <v>0</v>
      </c>
      <c r="K459" s="169">
        <f t="shared" si="253"/>
        <v>0</v>
      </c>
      <c r="L459" s="169">
        <f t="shared" si="253"/>
        <v>0</v>
      </c>
      <c r="M459" s="169">
        <f t="shared" si="253"/>
        <v>0</v>
      </c>
      <c r="N459" s="169">
        <f t="shared" si="253"/>
        <v>0</v>
      </c>
      <c r="O459" s="169">
        <f t="shared" si="253"/>
        <v>0</v>
      </c>
      <c r="P459" s="169">
        <f t="shared" si="253"/>
        <v>0</v>
      </c>
      <c r="Q459" s="169">
        <f t="shared" si="253"/>
        <v>0</v>
      </c>
      <c r="R459" s="169">
        <f t="shared" si="253"/>
        <v>0</v>
      </c>
      <c r="S459" s="169">
        <f t="shared" ref="S459:AP461" si="256">S324</f>
        <v>0</v>
      </c>
      <c r="T459" s="169">
        <f t="shared" si="256"/>
        <v>0</v>
      </c>
      <c r="U459" s="169">
        <f t="shared" si="256"/>
        <v>0</v>
      </c>
      <c r="V459" s="169">
        <f t="shared" si="256"/>
        <v>0</v>
      </c>
      <c r="W459" s="169">
        <f t="shared" si="256"/>
        <v>0</v>
      </c>
      <c r="X459" s="169">
        <f t="shared" si="256"/>
        <v>0</v>
      </c>
      <c r="Y459" s="169">
        <f t="shared" si="256"/>
        <v>0</v>
      </c>
      <c r="Z459" s="169">
        <f t="shared" si="256"/>
        <v>0</v>
      </c>
      <c r="AA459" s="169">
        <f t="shared" si="256"/>
        <v>0</v>
      </c>
      <c r="AB459" s="169">
        <f t="shared" si="256"/>
        <v>0</v>
      </c>
      <c r="AC459" s="169">
        <f t="shared" si="256"/>
        <v>0</v>
      </c>
      <c r="AD459" s="169">
        <f t="shared" si="256"/>
        <v>0</v>
      </c>
      <c r="AE459" s="169">
        <f t="shared" si="256"/>
        <v>0</v>
      </c>
      <c r="AF459" s="169">
        <f t="shared" si="256"/>
        <v>0</v>
      </c>
      <c r="AG459" s="169">
        <f t="shared" si="256"/>
        <v>0</v>
      </c>
      <c r="AH459" s="169">
        <f t="shared" si="256"/>
        <v>0</v>
      </c>
      <c r="AI459" s="169">
        <f t="shared" si="256"/>
        <v>0</v>
      </c>
      <c r="AJ459" s="169">
        <f t="shared" si="256"/>
        <v>0</v>
      </c>
      <c r="AK459" s="169">
        <f t="shared" si="256"/>
        <v>0</v>
      </c>
      <c r="AL459" s="169">
        <f t="shared" si="256"/>
        <v>0</v>
      </c>
      <c r="AM459" s="169">
        <f t="shared" si="256"/>
        <v>0</v>
      </c>
      <c r="AN459" s="169">
        <f t="shared" si="256"/>
        <v>0</v>
      </c>
      <c r="AO459" s="169">
        <f t="shared" si="256"/>
        <v>0</v>
      </c>
      <c r="AP459" s="169">
        <f t="shared" si="256"/>
        <v>0</v>
      </c>
    </row>
    <row r="460" spans="1:42" x14ac:dyDescent="0.2">
      <c r="A460" s="20">
        <f>A459+1</f>
        <v>9</v>
      </c>
      <c r="C460" s="169">
        <f t="shared" si="253"/>
        <v>0</v>
      </c>
      <c r="D460" s="169">
        <f t="shared" si="253"/>
        <v>0</v>
      </c>
      <c r="E460" s="169">
        <f t="shared" si="253"/>
        <v>0</v>
      </c>
      <c r="F460" s="169">
        <f t="shared" si="253"/>
        <v>0</v>
      </c>
      <c r="G460" s="169">
        <f t="shared" si="253"/>
        <v>0</v>
      </c>
      <c r="H460" s="169">
        <f t="shared" si="253"/>
        <v>0</v>
      </c>
      <c r="I460" s="169">
        <f t="shared" si="253"/>
        <v>0</v>
      </c>
      <c r="J460" s="169">
        <f t="shared" si="253"/>
        <v>0</v>
      </c>
      <c r="K460" s="169">
        <f t="shared" si="253"/>
        <v>0</v>
      </c>
      <c r="L460" s="169">
        <f t="shared" si="253"/>
        <v>0</v>
      </c>
      <c r="M460" s="169">
        <f t="shared" si="253"/>
        <v>0</v>
      </c>
      <c r="N460" s="169">
        <f t="shared" si="253"/>
        <v>0</v>
      </c>
      <c r="O460" s="169">
        <f t="shared" si="253"/>
        <v>0</v>
      </c>
      <c r="P460" s="169">
        <f t="shared" si="253"/>
        <v>0</v>
      </c>
      <c r="Q460" s="169">
        <f t="shared" si="253"/>
        <v>0</v>
      </c>
      <c r="R460" s="169">
        <f t="shared" si="253"/>
        <v>0</v>
      </c>
      <c r="S460" s="169">
        <f t="shared" si="256"/>
        <v>0</v>
      </c>
      <c r="T460" s="169">
        <f t="shared" si="256"/>
        <v>0</v>
      </c>
      <c r="U460" s="169">
        <f t="shared" si="256"/>
        <v>0</v>
      </c>
      <c r="V460" s="169">
        <f t="shared" si="256"/>
        <v>0</v>
      </c>
      <c r="W460" s="169">
        <f t="shared" si="256"/>
        <v>0</v>
      </c>
      <c r="X460" s="169">
        <f t="shared" si="256"/>
        <v>0</v>
      </c>
      <c r="Y460" s="169">
        <f t="shared" si="256"/>
        <v>0</v>
      </c>
      <c r="Z460" s="169">
        <f t="shared" si="256"/>
        <v>0</v>
      </c>
      <c r="AA460" s="169">
        <f t="shared" si="256"/>
        <v>0</v>
      </c>
      <c r="AB460" s="169">
        <f t="shared" si="256"/>
        <v>0</v>
      </c>
      <c r="AC460" s="169">
        <f t="shared" si="256"/>
        <v>0</v>
      </c>
      <c r="AD460" s="169">
        <f t="shared" si="256"/>
        <v>0</v>
      </c>
      <c r="AE460" s="169">
        <f t="shared" si="256"/>
        <v>0</v>
      </c>
      <c r="AF460" s="169">
        <f t="shared" si="256"/>
        <v>0</v>
      </c>
      <c r="AG460" s="169">
        <f t="shared" si="256"/>
        <v>0</v>
      </c>
      <c r="AH460" s="169">
        <f t="shared" si="256"/>
        <v>0</v>
      </c>
      <c r="AI460" s="169">
        <f t="shared" si="256"/>
        <v>0</v>
      </c>
      <c r="AJ460" s="169">
        <f t="shared" si="256"/>
        <v>0</v>
      </c>
      <c r="AK460" s="169">
        <f t="shared" si="256"/>
        <v>0</v>
      </c>
      <c r="AL460" s="169">
        <f t="shared" si="256"/>
        <v>0</v>
      </c>
      <c r="AM460" s="169">
        <f t="shared" si="256"/>
        <v>0</v>
      </c>
      <c r="AN460" s="169">
        <f t="shared" si="256"/>
        <v>0</v>
      </c>
      <c r="AO460" s="169">
        <f t="shared" si="256"/>
        <v>0</v>
      </c>
      <c r="AP460" s="169">
        <f t="shared" si="256"/>
        <v>0</v>
      </c>
    </row>
    <row r="461" spans="1:42" x14ac:dyDescent="0.2">
      <c r="A461" s="20">
        <f t="shared" ref="A461" si="257">A460+1</f>
        <v>10</v>
      </c>
      <c r="C461" s="169">
        <f t="shared" si="253"/>
        <v>0</v>
      </c>
      <c r="D461" s="169">
        <f t="shared" si="253"/>
        <v>0</v>
      </c>
      <c r="E461" s="169">
        <f t="shared" si="253"/>
        <v>0</v>
      </c>
      <c r="F461" s="169">
        <f t="shared" si="253"/>
        <v>0</v>
      </c>
      <c r="G461" s="169">
        <f t="shared" si="253"/>
        <v>0</v>
      </c>
      <c r="H461" s="169">
        <f t="shared" si="253"/>
        <v>0</v>
      </c>
      <c r="I461" s="169">
        <f t="shared" si="253"/>
        <v>0</v>
      </c>
      <c r="J461" s="169">
        <f t="shared" si="253"/>
        <v>0</v>
      </c>
      <c r="K461" s="169">
        <f t="shared" si="253"/>
        <v>0</v>
      </c>
      <c r="L461" s="169">
        <f t="shared" si="253"/>
        <v>0</v>
      </c>
      <c r="M461" s="169">
        <f t="shared" si="253"/>
        <v>0</v>
      </c>
      <c r="N461" s="169">
        <f t="shared" si="253"/>
        <v>0</v>
      </c>
      <c r="O461" s="169">
        <f t="shared" si="253"/>
        <v>0</v>
      </c>
      <c r="P461" s="169">
        <f t="shared" si="253"/>
        <v>0</v>
      </c>
      <c r="Q461" s="169">
        <f t="shared" si="253"/>
        <v>0</v>
      </c>
      <c r="R461" s="169">
        <f t="shared" si="253"/>
        <v>0</v>
      </c>
      <c r="S461" s="169">
        <f t="shared" si="256"/>
        <v>0</v>
      </c>
      <c r="T461" s="169">
        <f t="shared" si="256"/>
        <v>0</v>
      </c>
      <c r="U461" s="169">
        <f t="shared" si="256"/>
        <v>0</v>
      </c>
      <c r="V461" s="169">
        <f t="shared" si="256"/>
        <v>0</v>
      </c>
      <c r="W461" s="169">
        <f t="shared" si="256"/>
        <v>0</v>
      </c>
      <c r="X461" s="169">
        <f t="shared" si="256"/>
        <v>0</v>
      </c>
      <c r="Y461" s="169">
        <f t="shared" si="256"/>
        <v>0</v>
      </c>
      <c r="Z461" s="169">
        <f t="shared" si="256"/>
        <v>0</v>
      </c>
      <c r="AA461" s="169">
        <f t="shared" si="256"/>
        <v>0</v>
      </c>
      <c r="AB461" s="169">
        <f t="shared" si="256"/>
        <v>0</v>
      </c>
      <c r="AC461" s="169">
        <f t="shared" si="256"/>
        <v>0</v>
      </c>
      <c r="AD461" s="169">
        <f t="shared" si="256"/>
        <v>0</v>
      </c>
      <c r="AE461" s="169">
        <f t="shared" si="256"/>
        <v>0</v>
      </c>
      <c r="AF461" s="169">
        <f t="shared" si="256"/>
        <v>0</v>
      </c>
      <c r="AG461" s="169">
        <f t="shared" si="256"/>
        <v>0</v>
      </c>
      <c r="AH461" s="169">
        <f t="shared" si="256"/>
        <v>0</v>
      </c>
      <c r="AI461" s="169">
        <f t="shared" si="256"/>
        <v>0</v>
      </c>
      <c r="AJ461" s="169">
        <f t="shared" si="256"/>
        <v>0</v>
      </c>
      <c r="AK461" s="169">
        <f t="shared" si="256"/>
        <v>0</v>
      </c>
      <c r="AL461" s="169">
        <f t="shared" si="256"/>
        <v>0</v>
      </c>
      <c r="AM461" s="169">
        <f t="shared" si="256"/>
        <v>0</v>
      </c>
      <c r="AN461" s="169">
        <f t="shared" si="256"/>
        <v>0</v>
      </c>
      <c r="AO461" s="169">
        <f t="shared" si="256"/>
        <v>0</v>
      </c>
      <c r="AP461" s="169">
        <f t="shared" si="256"/>
        <v>0</v>
      </c>
    </row>
    <row r="462" spans="1:42" x14ac:dyDescent="0.2">
      <c r="A462" s="187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</row>
    <row r="463" spans="1:42" x14ac:dyDescent="0.2">
      <c r="A463" s="187" t="s">
        <v>196</v>
      </c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</row>
    <row r="464" spans="1:42" x14ac:dyDescent="0.2">
      <c r="A464" s="20">
        <v>1</v>
      </c>
      <c r="B464" s="179">
        <f t="shared" ref="B464:B473" si="258">SUM(C464:AP464)</f>
        <v>0</v>
      </c>
      <c r="C464" s="208">
        <f t="shared" ref="C464:AP464" si="259">LOOKUP(C452,$B$395:$AP$395,$B$396:$AP$396)*$B675</f>
        <v>0</v>
      </c>
      <c r="D464" s="169">
        <f t="shared" si="259"/>
        <v>0</v>
      </c>
      <c r="E464" s="169">
        <f t="shared" si="259"/>
        <v>0</v>
      </c>
      <c r="F464" s="169">
        <f t="shared" si="259"/>
        <v>0</v>
      </c>
      <c r="G464" s="169">
        <f t="shared" si="259"/>
        <v>0</v>
      </c>
      <c r="H464" s="169">
        <f t="shared" si="259"/>
        <v>0</v>
      </c>
      <c r="I464" s="169">
        <f t="shared" si="259"/>
        <v>0</v>
      </c>
      <c r="J464" s="169">
        <f t="shared" si="259"/>
        <v>0</v>
      </c>
      <c r="K464" s="169">
        <f t="shared" si="259"/>
        <v>0</v>
      </c>
      <c r="L464" s="169">
        <f t="shared" si="259"/>
        <v>0</v>
      </c>
      <c r="M464" s="169">
        <f t="shared" si="259"/>
        <v>0</v>
      </c>
      <c r="N464" s="169">
        <f t="shared" si="259"/>
        <v>0</v>
      </c>
      <c r="O464" s="169">
        <f t="shared" si="259"/>
        <v>0</v>
      </c>
      <c r="P464" s="169">
        <f t="shared" si="259"/>
        <v>0</v>
      </c>
      <c r="Q464" s="169">
        <f t="shared" si="259"/>
        <v>0</v>
      </c>
      <c r="R464" s="169">
        <f t="shared" si="259"/>
        <v>0</v>
      </c>
      <c r="S464" s="169">
        <f t="shared" si="259"/>
        <v>0</v>
      </c>
      <c r="T464" s="169">
        <f t="shared" si="259"/>
        <v>0</v>
      </c>
      <c r="U464" s="169">
        <f t="shared" si="259"/>
        <v>0</v>
      </c>
      <c r="V464" s="169">
        <f t="shared" si="259"/>
        <v>0</v>
      </c>
      <c r="W464" s="169">
        <f t="shared" si="259"/>
        <v>0</v>
      </c>
      <c r="X464" s="169">
        <f t="shared" si="259"/>
        <v>0</v>
      </c>
      <c r="Y464" s="169">
        <f t="shared" si="259"/>
        <v>0</v>
      </c>
      <c r="Z464" s="169">
        <f t="shared" si="259"/>
        <v>0</v>
      </c>
      <c r="AA464" s="169">
        <f t="shared" si="259"/>
        <v>0</v>
      </c>
      <c r="AB464" s="169">
        <f t="shared" si="259"/>
        <v>0</v>
      </c>
      <c r="AC464" s="169">
        <f t="shared" si="259"/>
        <v>0</v>
      </c>
      <c r="AD464" s="169">
        <f t="shared" si="259"/>
        <v>0</v>
      </c>
      <c r="AE464" s="169">
        <f t="shared" si="259"/>
        <v>0</v>
      </c>
      <c r="AF464" s="169">
        <f t="shared" si="259"/>
        <v>0</v>
      </c>
      <c r="AG464" s="169">
        <f t="shared" si="259"/>
        <v>0</v>
      </c>
      <c r="AH464" s="169">
        <f t="shared" si="259"/>
        <v>0</v>
      </c>
      <c r="AI464" s="169">
        <f t="shared" si="259"/>
        <v>0</v>
      </c>
      <c r="AJ464" s="169">
        <f t="shared" si="259"/>
        <v>0</v>
      </c>
      <c r="AK464" s="169">
        <f t="shared" si="259"/>
        <v>0</v>
      </c>
      <c r="AL464" s="169">
        <f t="shared" si="259"/>
        <v>0</v>
      </c>
      <c r="AM464" s="169">
        <f t="shared" si="259"/>
        <v>0</v>
      </c>
      <c r="AN464" s="169">
        <f t="shared" si="259"/>
        <v>0</v>
      </c>
      <c r="AO464" s="169">
        <f t="shared" si="259"/>
        <v>0</v>
      </c>
      <c r="AP464" s="169">
        <f t="shared" si="259"/>
        <v>0</v>
      </c>
    </row>
    <row r="465" spans="1:42" x14ac:dyDescent="0.2">
      <c r="A465" s="20">
        <f>A464+1</f>
        <v>2</v>
      </c>
      <c r="B465" s="179">
        <f t="shared" si="258"/>
        <v>0</v>
      </c>
      <c r="C465" s="208">
        <f t="shared" ref="C465:AP465" si="260">LOOKUP(C453,$B$395:$AP$395,$B$396:$AP$396)*$B676</f>
        <v>0</v>
      </c>
      <c r="D465" s="169">
        <f t="shared" si="260"/>
        <v>0</v>
      </c>
      <c r="E465" s="169">
        <f t="shared" si="260"/>
        <v>0</v>
      </c>
      <c r="F465" s="169">
        <f t="shared" si="260"/>
        <v>0</v>
      </c>
      <c r="G465" s="169">
        <f t="shared" si="260"/>
        <v>0</v>
      </c>
      <c r="H465" s="169">
        <f t="shared" si="260"/>
        <v>0</v>
      </c>
      <c r="I465" s="169">
        <f t="shared" si="260"/>
        <v>0</v>
      </c>
      <c r="J465" s="169">
        <f t="shared" si="260"/>
        <v>0</v>
      </c>
      <c r="K465" s="169">
        <f t="shared" si="260"/>
        <v>0</v>
      </c>
      <c r="L465" s="169">
        <f t="shared" si="260"/>
        <v>0</v>
      </c>
      <c r="M465" s="169">
        <f t="shared" si="260"/>
        <v>0</v>
      </c>
      <c r="N465" s="169">
        <f t="shared" si="260"/>
        <v>0</v>
      </c>
      <c r="O465" s="169">
        <f t="shared" si="260"/>
        <v>0</v>
      </c>
      <c r="P465" s="169">
        <f t="shared" si="260"/>
        <v>0</v>
      </c>
      <c r="Q465" s="169">
        <f t="shared" si="260"/>
        <v>0</v>
      </c>
      <c r="R465" s="169">
        <f t="shared" si="260"/>
        <v>0</v>
      </c>
      <c r="S465" s="169">
        <f t="shared" si="260"/>
        <v>0</v>
      </c>
      <c r="T465" s="169">
        <f t="shared" si="260"/>
        <v>0</v>
      </c>
      <c r="U465" s="169">
        <f t="shared" si="260"/>
        <v>0</v>
      </c>
      <c r="V465" s="169">
        <f t="shared" si="260"/>
        <v>0</v>
      </c>
      <c r="W465" s="169">
        <f t="shared" si="260"/>
        <v>0</v>
      </c>
      <c r="X465" s="169">
        <f t="shared" si="260"/>
        <v>0</v>
      </c>
      <c r="Y465" s="169">
        <f t="shared" si="260"/>
        <v>0</v>
      </c>
      <c r="Z465" s="169">
        <f t="shared" si="260"/>
        <v>0</v>
      </c>
      <c r="AA465" s="169">
        <f t="shared" si="260"/>
        <v>0</v>
      </c>
      <c r="AB465" s="169">
        <f t="shared" si="260"/>
        <v>0</v>
      </c>
      <c r="AC465" s="169">
        <f t="shared" si="260"/>
        <v>0</v>
      </c>
      <c r="AD465" s="169">
        <f t="shared" si="260"/>
        <v>0</v>
      </c>
      <c r="AE465" s="169">
        <f t="shared" si="260"/>
        <v>0</v>
      </c>
      <c r="AF465" s="169">
        <f t="shared" si="260"/>
        <v>0</v>
      </c>
      <c r="AG465" s="169">
        <f t="shared" si="260"/>
        <v>0</v>
      </c>
      <c r="AH465" s="169">
        <f t="shared" si="260"/>
        <v>0</v>
      </c>
      <c r="AI465" s="169">
        <f t="shared" si="260"/>
        <v>0</v>
      </c>
      <c r="AJ465" s="169">
        <f t="shared" si="260"/>
        <v>0</v>
      </c>
      <c r="AK465" s="169">
        <f t="shared" si="260"/>
        <v>0</v>
      </c>
      <c r="AL465" s="169">
        <f t="shared" si="260"/>
        <v>0</v>
      </c>
      <c r="AM465" s="169">
        <f t="shared" si="260"/>
        <v>0</v>
      </c>
      <c r="AN465" s="169">
        <f t="shared" si="260"/>
        <v>0</v>
      </c>
      <c r="AO465" s="169">
        <f t="shared" si="260"/>
        <v>0</v>
      </c>
      <c r="AP465" s="169">
        <f t="shared" si="260"/>
        <v>0</v>
      </c>
    </row>
    <row r="466" spans="1:42" x14ac:dyDescent="0.2">
      <c r="A466" s="20">
        <f t="shared" ref="A466:A471" si="261">A465+1</f>
        <v>3</v>
      </c>
      <c r="B466" s="179">
        <f t="shared" si="258"/>
        <v>0</v>
      </c>
      <c r="C466" s="208">
        <f t="shared" ref="C466:AP466" si="262">LOOKUP(C454,$B$395:$AP$395,$B$396:$AP$396)*$B677</f>
        <v>0</v>
      </c>
      <c r="D466" s="169">
        <f t="shared" si="262"/>
        <v>0</v>
      </c>
      <c r="E466" s="169">
        <f t="shared" si="262"/>
        <v>0</v>
      </c>
      <c r="F466" s="169">
        <f t="shared" si="262"/>
        <v>0</v>
      </c>
      <c r="G466" s="169">
        <f t="shared" si="262"/>
        <v>0</v>
      </c>
      <c r="H466" s="169">
        <f t="shared" si="262"/>
        <v>0</v>
      </c>
      <c r="I466" s="169">
        <f t="shared" si="262"/>
        <v>0</v>
      </c>
      <c r="J466" s="169">
        <f t="shared" si="262"/>
        <v>0</v>
      </c>
      <c r="K466" s="169">
        <f t="shared" si="262"/>
        <v>0</v>
      </c>
      <c r="L466" s="169">
        <f t="shared" si="262"/>
        <v>0</v>
      </c>
      <c r="M466" s="169">
        <f t="shared" si="262"/>
        <v>0</v>
      </c>
      <c r="N466" s="169">
        <f t="shared" si="262"/>
        <v>0</v>
      </c>
      <c r="O466" s="169">
        <f t="shared" si="262"/>
        <v>0</v>
      </c>
      <c r="P466" s="169">
        <f t="shared" si="262"/>
        <v>0</v>
      </c>
      <c r="Q466" s="169">
        <f t="shared" si="262"/>
        <v>0</v>
      </c>
      <c r="R466" s="169">
        <f t="shared" si="262"/>
        <v>0</v>
      </c>
      <c r="S466" s="169">
        <f t="shared" si="262"/>
        <v>0</v>
      </c>
      <c r="T466" s="169">
        <f t="shared" si="262"/>
        <v>0</v>
      </c>
      <c r="U466" s="169">
        <f t="shared" si="262"/>
        <v>0</v>
      </c>
      <c r="V466" s="169">
        <f t="shared" si="262"/>
        <v>0</v>
      </c>
      <c r="W466" s="169">
        <f t="shared" si="262"/>
        <v>0</v>
      </c>
      <c r="X466" s="169">
        <f t="shared" si="262"/>
        <v>0</v>
      </c>
      <c r="Y466" s="169">
        <f t="shared" si="262"/>
        <v>0</v>
      </c>
      <c r="Z466" s="169">
        <f t="shared" si="262"/>
        <v>0</v>
      </c>
      <c r="AA466" s="169">
        <f t="shared" si="262"/>
        <v>0</v>
      </c>
      <c r="AB466" s="169">
        <f t="shared" si="262"/>
        <v>0</v>
      </c>
      <c r="AC466" s="169">
        <f t="shared" si="262"/>
        <v>0</v>
      </c>
      <c r="AD466" s="169">
        <f t="shared" si="262"/>
        <v>0</v>
      </c>
      <c r="AE466" s="169">
        <f t="shared" si="262"/>
        <v>0</v>
      </c>
      <c r="AF466" s="169">
        <f t="shared" si="262"/>
        <v>0</v>
      </c>
      <c r="AG466" s="169">
        <f t="shared" si="262"/>
        <v>0</v>
      </c>
      <c r="AH466" s="169">
        <f t="shared" si="262"/>
        <v>0</v>
      </c>
      <c r="AI466" s="169">
        <f t="shared" si="262"/>
        <v>0</v>
      </c>
      <c r="AJ466" s="169">
        <f t="shared" si="262"/>
        <v>0</v>
      </c>
      <c r="AK466" s="169">
        <f t="shared" si="262"/>
        <v>0</v>
      </c>
      <c r="AL466" s="169">
        <f t="shared" si="262"/>
        <v>0</v>
      </c>
      <c r="AM466" s="169">
        <f t="shared" si="262"/>
        <v>0</v>
      </c>
      <c r="AN466" s="169">
        <f t="shared" si="262"/>
        <v>0</v>
      </c>
      <c r="AO466" s="169">
        <f t="shared" si="262"/>
        <v>0</v>
      </c>
      <c r="AP466" s="169">
        <f t="shared" si="262"/>
        <v>0</v>
      </c>
    </row>
    <row r="467" spans="1:42" x14ac:dyDescent="0.2">
      <c r="A467" s="20">
        <f t="shared" si="261"/>
        <v>4</v>
      </c>
      <c r="B467" s="179">
        <f t="shared" si="258"/>
        <v>0</v>
      </c>
      <c r="C467" s="208">
        <f t="shared" ref="C467:AP467" si="263">LOOKUP(C455,$B$395:$AP$395,$B$396:$AP$396)*$B678</f>
        <v>0</v>
      </c>
      <c r="D467" s="169">
        <f t="shared" si="263"/>
        <v>0</v>
      </c>
      <c r="E467" s="169">
        <f t="shared" si="263"/>
        <v>0</v>
      </c>
      <c r="F467" s="169">
        <f t="shared" si="263"/>
        <v>0</v>
      </c>
      <c r="G467" s="169">
        <f t="shared" si="263"/>
        <v>0</v>
      </c>
      <c r="H467" s="169">
        <f t="shared" si="263"/>
        <v>0</v>
      </c>
      <c r="I467" s="169">
        <f t="shared" si="263"/>
        <v>0</v>
      </c>
      <c r="J467" s="169">
        <f t="shared" si="263"/>
        <v>0</v>
      </c>
      <c r="K467" s="169">
        <f t="shared" si="263"/>
        <v>0</v>
      </c>
      <c r="L467" s="169">
        <f t="shared" si="263"/>
        <v>0</v>
      </c>
      <c r="M467" s="169">
        <f t="shared" si="263"/>
        <v>0</v>
      </c>
      <c r="N467" s="169">
        <f t="shared" si="263"/>
        <v>0</v>
      </c>
      <c r="O467" s="169">
        <f t="shared" si="263"/>
        <v>0</v>
      </c>
      <c r="P467" s="169">
        <f t="shared" si="263"/>
        <v>0</v>
      </c>
      <c r="Q467" s="169">
        <f t="shared" si="263"/>
        <v>0</v>
      </c>
      <c r="R467" s="169">
        <f t="shared" si="263"/>
        <v>0</v>
      </c>
      <c r="S467" s="169">
        <f t="shared" si="263"/>
        <v>0</v>
      </c>
      <c r="T467" s="169">
        <f t="shared" si="263"/>
        <v>0</v>
      </c>
      <c r="U467" s="169">
        <f t="shared" si="263"/>
        <v>0</v>
      </c>
      <c r="V467" s="169">
        <f t="shared" si="263"/>
        <v>0</v>
      </c>
      <c r="W467" s="169">
        <f t="shared" si="263"/>
        <v>0</v>
      </c>
      <c r="X467" s="169">
        <f t="shared" si="263"/>
        <v>0</v>
      </c>
      <c r="Y467" s="169">
        <f t="shared" si="263"/>
        <v>0</v>
      </c>
      <c r="Z467" s="169">
        <f t="shared" si="263"/>
        <v>0</v>
      </c>
      <c r="AA467" s="169">
        <f t="shared" si="263"/>
        <v>0</v>
      </c>
      <c r="AB467" s="169">
        <f t="shared" si="263"/>
        <v>0</v>
      </c>
      <c r="AC467" s="169">
        <f t="shared" si="263"/>
        <v>0</v>
      </c>
      <c r="AD467" s="169">
        <f t="shared" si="263"/>
        <v>0</v>
      </c>
      <c r="AE467" s="169">
        <f t="shared" si="263"/>
        <v>0</v>
      </c>
      <c r="AF467" s="169">
        <f t="shared" si="263"/>
        <v>0</v>
      </c>
      <c r="AG467" s="169">
        <f t="shared" si="263"/>
        <v>0</v>
      </c>
      <c r="AH467" s="169">
        <f t="shared" si="263"/>
        <v>0</v>
      </c>
      <c r="AI467" s="169">
        <f t="shared" si="263"/>
        <v>0</v>
      </c>
      <c r="AJ467" s="169">
        <f t="shared" si="263"/>
        <v>0</v>
      </c>
      <c r="AK467" s="169">
        <f t="shared" si="263"/>
        <v>0</v>
      </c>
      <c r="AL467" s="169">
        <f t="shared" si="263"/>
        <v>0</v>
      </c>
      <c r="AM467" s="169">
        <f t="shared" si="263"/>
        <v>0</v>
      </c>
      <c r="AN467" s="169">
        <f t="shared" si="263"/>
        <v>0</v>
      </c>
      <c r="AO467" s="169">
        <f t="shared" si="263"/>
        <v>0</v>
      </c>
      <c r="AP467" s="169">
        <f t="shared" si="263"/>
        <v>0</v>
      </c>
    </row>
    <row r="468" spans="1:42" x14ac:dyDescent="0.2">
      <c r="A468" s="20">
        <f t="shared" si="261"/>
        <v>5</v>
      </c>
      <c r="B468" s="179">
        <f t="shared" si="258"/>
        <v>0</v>
      </c>
      <c r="C468" s="208">
        <f t="shared" ref="C468:AP468" si="264">LOOKUP(C456,$B$395:$AP$395,$B$396:$AP$396)*$B679</f>
        <v>0</v>
      </c>
      <c r="D468" s="169">
        <f t="shared" si="264"/>
        <v>0</v>
      </c>
      <c r="E468" s="169">
        <f t="shared" si="264"/>
        <v>0</v>
      </c>
      <c r="F468" s="169">
        <f t="shared" si="264"/>
        <v>0</v>
      </c>
      <c r="G468" s="169">
        <f t="shared" si="264"/>
        <v>0</v>
      </c>
      <c r="H468" s="169">
        <f t="shared" si="264"/>
        <v>0</v>
      </c>
      <c r="I468" s="169">
        <f t="shared" si="264"/>
        <v>0</v>
      </c>
      <c r="J468" s="169">
        <f t="shared" si="264"/>
        <v>0</v>
      </c>
      <c r="K468" s="169">
        <f t="shared" si="264"/>
        <v>0</v>
      </c>
      <c r="L468" s="169">
        <f t="shared" si="264"/>
        <v>0</v>
      </c>
      <c r="M468" s="169">
        <f t="shared" si="264"/>
        <v>0</v>
      </c>
      <c r="N468" s="169">
        <f t="shared" si="264"/>
        <v>0</v>
      </c>
      <c r="O468" s="169">
        <f t="shared" si="264"/>
        <v>0</v>
      </c>
      <c r="P468" s="169">
        <f t="shared" si="264"/>
        <v>0</v>
      </c>
      <c r="Q468" s="169">
        <f t="shared" si="264"/>
        <v>0</v>
      </c>
      <c r="R468" s="169">
        <f t="shared" si="264"/>
        <v>0</v>
      </c>
      <c r="S468" s="169">
        <f t="shared" si="264"/>
        <v>0</v>
      </c>
      <c r="T468" s="169">
        <f t="shared" si="264"/>
        <v>0</v>
      </c>
      <c r="U468" s="169">
        <f t="shared" si="264"/>
        <v>0</v>
      </c>
      <c r="V468" s="169">
        <f t="shared" si="264"/>
        <v>0</v>
      </c>
      <c r="W468" s="169">
        <f t="shared" si="264"/>
        <v>0</v>
      </c>
      <c r="X468" s="169">
        <f t="shared" si="264"/>
        <v>0</v>
      </c>
      <c r="Y468" s="169">
        <f t="shared" si="264"/>
        <v>0</v>
      </c>
      <c r="Z468" s="169">
        <f t="shared" si="264"/>
        <v>0</v>
      </c>
      <c r="AA468" s="169">
        <f t="shared" si="264"/>
        <v>0</v>
      </c>
      <c r="AB468" s="169">
        <f t="shared" si="264"/>
        <v>0</v>
      </c>
      <c r="AC468" s="169">
        <f t="shared" si="264"/>
        <v>0</v>
      </c>
      <c r="AD468" s="169">
        <f t="shared" si="264"/>
        <v>0</v>
      </c>
      <c r="AE468" s="169">
        <f t="shared" si="264"/>
        <v>0</v>
      </c>
      <c r="AF468" s="169">
        <f t="shared" si="264"/>
        <v>0</v>
      </c>
      <c r="AG468" s="169">
        <f t="shared" si="264"/>
        <v>0</v>
      </c>
      <c r="AH468" s="169">
        <f t="shared" si="264"/>
        <v>0</v>
      </c>
      <c r="AI468" s="169">
        <f t="shared" si="264"/>
        <v>0</v>
      </c>
      <c r="AJ468" s="169">
        <f t="shared" si="264"/>
        <v>0</v>
      </c>
      <c r="AK468" s="169">
        <f t="shared" si="264"/>
        <v>0</v>
      </c>
      <c r="AL468" s="169">
        <f t="shared" si="264"/>
        <v>0</v>
      </c>
      <c r="AM468" s="169">
        <f t="shared" si="264"/>
        <v>0</v>
      </c>
      <c r="AN468" s="169">
        <f t="shared" si="264"/>
        <v>0</v>
      </c>
      <c r="AO468" s="169">
        <f t="shared" si="264"/>
        <v>0</v>
      </c>
      <c r="AP468" s="169">
        <f t="shared" si="264"/>
        <v>0</v>
      </c>
    </row>
    <row r="469" spans="1:42" x14ac:dyDescent="0.2">
      <c r="A469" s="20">
        <f t="shared" si="261"/>
        <v>6</v>
      </c>
      <c r="B469" s="179">
        <f t="shared" si="258"/>
        <v>0</v>
      </c>
      <c r="C469" s="208">
        <f t="shared" ref="C469:AP469" si="265">LOOKUP(C457,$B$395:$AP$395,$B$396:$AP$396)*$B680</f>
        <v>0</v>
      </c>
      <c r="D469" s="169">
        <f t="shared" si="265"/>
        <v>0</v>
      </c>
      <c r="E469" s="169">
        <f t="shared" si="265"/>
        <v>0</v>
      </c>
      <c r="F469" s="169">
        <f t="shared" si="265"/>
        <v>0</v>
      </c>
      <c r="G469" s="169">
        <f t="shared" si="265"/>
        <v>0</v>
      </c>
      <c r="H469" s="169">
        <f t="shared" si="265"/>
        <v>0</v>
      </c>
      <c r="I469" s="169">
        <f t="shared" si="265"/>
        <v>0</v>
      </c>
      <c r="J469" s="169">
        <f t="shared" si="265"/>
        <v>0</v>
      </c>
      <c r="K469" s="169">
        <f t="shared" si="265"/>
        <v>0</v>
      </c>
      <c r="L469" s="169">
        <f t="shared" si="265"/>
        <v>0</v>
      </c>
      <c r="M469" s="169">
        <f t="shared" si="265"/>
        <v>0</v>
      </c>
      <c r="N469" s="169">
        <f t="shared" si="265"/>
        <v>0</v>
      </c>
      <c r="O469" s="169">
        <f t="shared" si="265"/>
        <v>0</v>
      </c>
      <c r="P469" s="169">
        <f t="shared" si="265"/>
        <v>0</v>
      </c>
      <c r="Q469" s="169">
        <f t="shared" si="265"/>
        <v>0</v>
      </c>
      <c r="R469" s="169">
        <f t="shared" si="265"/>
        <v>0</v>
      </c>
      <c r="S469" s="169">
        <f t="shared" si="265"/>
        <v>0</v>
      </c>
      <c r="T469" s="169">
        <f t="shared" si="265"/>
        <v>0</v>
      </c>
      <c r="U469" s="169">
        <f t="shared" si="265"/>
        <v>0</v>
      </c>
      <c r="V469" s="169">
        <f t="shared" si="265"/>
        <v>0</v>
      </c>
      <c r="W469" s="169">
        <f t="shared" si="265"/>
        <v>0</v>
      </c>
      <c r="X469" s="169">
        <f t="shared" si="265"/>
        <v>0</v>
      </c>
      <c r="Y469" s="169">
        <f t="shared" si="265"/>
        <v>0</v>
      </c>
      <c r="Z469" s="169">
        <f t="shared" si="265"/>
        <v>0</v>
      </c>
      <c r="AA469" s="169">
        <f t="shared" si="265"/>
        <v>0</v>
      </c>
      <c r="AB469" s="169">
        <f t="shared" si="265"/>
        <v>0</v>
      </c>
      <c r="AC469" s="169">
        <f t="shared" si="265"/>
        <v>0</v>
      </c>
      <c r="AD469" s="169">
        <f t="shared" si="265"/>
        <v>0</v>
      </c>
      <c r="AE469" s="169">
        <f t="shared" si="265"/>
        <v>0</v>
      </c>
      <c r="AF469" s="169">
        <f t="shared" si="265"/>
        <v>0</v>
      </c>
      <c r="AG469" s="169">
        <f t="shared" si="265"/>
        <v>0</v>
      </c>
      <c r="AH469" s="169">
        <f t="shared" si="265"/>
        <v>0</v>
      </c>
      <c r="AI469" s="169">
        <f t="shared" si="265"/>
        <v>0</v>
      </c>
      <c r="AJ469" s="169">
        <f t="shared" si="265"/>
        <v>0</v>
      </c>
      <c r="AK469" s="169">
        <f t="shared" si="265"/>
        <v>0</v>
      </c>
      <c r="AL469" s="169">
        <f t="shared" si="265"/>
        <v>0</v>
      </c>
      <c r="AM469" s="169">
        <f t="shared" si="265"/>
        <v>0</v>
      </c>
      <c r="AN469" s="169">
        <f t="shared" si="265"/>
        <v>0</v>
      </c>
      <c r="AO469" s="169">
        <f t="shared" si="265"/>
        <v>0</v>
      </c>
      <c r="AP469" s="169">
        <f t="shared" si="265"/>
        <v>0</v>
      </c>
    </row>
    <row r="470" spans="1:42" x14ac:dyDescent="0.2">
      <c r="A470" s="20">
        <f t="shared" si="261"/>
        <v>7</v>
      </c>
      <c r="B470" s="179">
        <f t="shared" si="258"/>
        <v>0</v>
      </c>
      <c r="C470" s="208">
        <f t="shared" ref="C470:AP470" si="266">LOOKUP(C458,$B$395:$AP$395,$B$396:$AP$396)*$B681</f>
        <v>0</v>
      </c>
      <c r="D470" s="169">
        <f t="shared" si="266"/>
        <v>0</v>
      </c>
      <c r="E470" s="169">
        <f t="shared" si="266"/>
        <v>0</v>
      </c>
      <c r="F470" s="169">
        <f t="shared" si="266"/>
        <v>0</v>
      </c>
      <c r="G470" s="169">
        <f t="shared" si="266"/>
        <v>0</v>
      </c>
      <c r="H470" s="169">
        <f t="shared" si="266"/>
        <v>0</v>
      </c>
      <c r="I470" s="169">
        <f t="shared" si="266"/>
        <v>0</v>
      </c>
      <c r="J470" s="169">
        <f t="shared" si="266"/>
        <v>0</v>
      </c>
      <c r="K470" s="169">
        <f t="shared" si="266"/>
        <v>0</v>
      </c>
      <c r="L470" s="169">
        <f t="shared" si="266"/>
        <v>0</v>
      </c>
      <c r="M470" s="169">
        <f t="shared" si="266"/>
        <v>0</v>
      </c>
      <c r="N470" s="169">
        <f t="shared" si="266"/>
        <v>0</v>
      </c>
      <c r="O470" s="169">
        <f t="shared" si="266"/>
        <v>0</v>
      </c>
      <c r="P470" s="169">
        <f t="shared" si="266"/>
        <v>0</v>
      </c>
      <c r="Q470" s="169">
        <f t="shared" si="266"/>
        <v>0</v>
      </c>
      <c r="R470" s="169">
        <f t="shared" si="266"/>
        <v>0</v>
      </c>
      <c r="S470" s="169">
        <f t="shared" si="266"/>
        <v>0</v>
      </c>
      <c r="T470" s="169">
        <f t="shared" si="266"/>
        <v>0</v>
      </c>
      <c r="U470" s="169">
        <f t="shared" si="266"/>
        <v>0</v>
      </c>
      <c r="V470" s="169">
        <f t="shared" si="266"/>
        <v>0</v>
      </c>
      <c r="W470" s="169">
        <f t="shared" si="266"/>
        <v>0</v>
      </c>
      <c r="X470" s="169">
        <f t="shared" si="266"/>
        <v>0</v>
      </c>
      <c r="Y470" s="169">
        <f t="shared" si="266"/>
        <v>0</v>
      </c>
      <c r="Z470" s="169">
        <f t="shared" si="266"/>
        <v>0</v>
      </c>
      <c r="AA470" s="169">
        <f t="shared" si="266"/>
        <v>0</v>
      </c>
      <c r="AB470" s="169">
        <f t="shared" si="266"/>
        <v>0</v>
      </c>
      <c r="AC470" s="169">
        <f t="shared" si="266"/>
        <v>0</v>
      </c>
      <c r="AD470" s="169">
        <f t="shared" si="266"/>
        <v>0</v>
      </c>
      <c r="AE470" s="169">
        <f t="shared" si="266"/>
        <v>0</v>
      </c>
      <c r="AF470" s="169">
        <f t="shared" si="266"/>
        <v>0</v>
      </c>
      <c r="AG470" s="169">
        <f t="shared" si="266"/>
        <v>0</v>
      </c>
      <c r="AH470" s="169">
        <f t="shared" si="266"/>
        <v>0</v>
      </c>
      <c r="AI470" s="169">
        <f t="shared" si="266"/>
        <v>0</v>
      </c>
      <c r="AJ470" s="169">
        <f t="shared" si="266"/>
        <v>0</v>
      </c>
      <c r="AK470" s="169">
        <f t="shared" si="266"/>
        <v>0</v>
      </c>
      <c r="AL470" s="169">
        <f t="shared" si="266"/>
        <v>0</v>
      </c>
      <c r="AM470" s="169">
        <f t="shared" si="266"/>
        <v>0</v>
      </c>
      <c r="AN470" s="169">
        <f t="shared" si="266"/>
        <v>0</v>
      </c>
      <c r="AO470" s="169">
        <f t="shared" si="266"/>
        <v>0</v>
      </c>
      <c r="AP470" s="169">
        <f t="shared" si="266"/>
        <v>0</v>
      </c>
    </row>
    <row r="471" spans="1:42" x14ac:dyDescent="0.2">
      <c r="A471" s="20">
        <f t="shared" si="261"/>
        <v>8</v>
      </c>
      <c r="B471" s="179">
        <f t="shared" si="258"/>
        <v>0</v>
      </c>
      <c r="C471" s="208">
        <f t="shared" ref="C471:AP471" si="267">LOOKUP(C459,$B$395:$AP$395,$B$396:$AP$396)*$B682</f>
        <v>0</v>
      </c>
      <c r="D471" s="169">
        <f t="shared" si="267"/>
        <v>0</v>
      </c>
      <c r="E471" s="169">
        <f t="shared" si="267"/>
        <v>0</v>
      </c>
      <c r="F471" s="169">
        <f t="shared" si="267"/>
        <v>0</v>
      </c>
      <c r="G471" s="169">
        <f t="shared" si="267"/>
        <v>0</v>
      </c>
      <c r="H471" s="169">
        <f t="shared" si="267"/>
        <v>0</v>
      </c>
      <c r="I471" s="169">
        <f t="shared" si="267"/>
        <v>0</v>
      </c>
      <c r="J471" s="169">
        <f t="shared" si="267"/>
        <v>0</v>
      </c>
      <c r="K471" s="169">
        <f t="shared" si="267"/>
        <v>0</v>
      </c>
      <c r="L471" s="169">
        <f t="shared" si="267"/>
        <v>0</v>
      </c>
      <c r="M471" s="169">
        <f t="shared" si="267"/>
        <v>0</v>
      </c>
      <c r="N471" s="169">
        <f t="shared" si="267"/>
        <v>0</v>
      </c>
      <c r="O471" s="169">
        <f t="shared" si="267"/>
        <v>0</v>
      </c>
      <c r="P471" s="169">
        <f t="shared" si="267"/>
        <v>0</v>
      </c>
      <c r="Q471" s="169">
        <f t="shared" si="267"/>
        <v>0</v>
      </c>
      <c r="R471" s="169">
        <f t="shared" si="267"/>
        <v>0</v>
      </c>
      <c r="S471" s="169">
        <f t="shared" si="267"/>
        <v>0</v>
      </c>
      <c r="T471" s="169">
        <f t="shared" si="267"/>
        <v>0</v>
      </c>
      <c r="U471" s="169">
        <f t="shared" si="267"/>
        <v>0</v>
      </c>
      <c r="V471" s="169">
        <f t="shared" si="267"/>
        <v>0</v>
      </c>
      <c r="W471" s="169">
        <f t="shared" si="267"/>
        <v>0</v>
      </c>
      <c r="X471" s="169">
        <f t="shared" si="267"/>
        <v>0</v>
      </c>
      <c r="Y471" s="169">
        <f t="shared" si="267"/>
        <v>0</v>
      </c>
      <c r="Z471" s="169">
        <f t="shared" si="267"/>
        <v>0</v>
      </c>
      <c r="AA471" s="169">
        <f t="shared" si="267"/>
        <v>0</v>
      </c>
      <c r="AB471" s="169">
        <f t="shared" si="267"/>
        <v>0</v>
      </c>
      <c r="AC471" s="169">
        <f t="shared" si="267"/>
        <v>0</v>
      </c>
      <c r="AD471" s="169">
        <f t="shared" si="267"/>
        <v>0</v>
      </c>
      <c r="AE471" s="169">
        <f t="shared" si="267"/>
        <v>0</v>
      </c>
      <c r="AF471" s="169">
        <f t="shared" si="267"/>
        <v>0</v>
      </c>
      <c r="AG471" s="169">
        <f t="shared" si="267"/>
        <v>0</v>
      </c>
      <c r="AH471" s="169">
        <f t="shared" si="267"/>
        <v>0</v>
      </c>
      <c r="AI471" s="169">
        <f t="shared" si="267"/>
        <v>0</v>
      </c>
      <c r="AJ471" s="169">
        <f t="shared" si="267"/>
        <v>0</v>
      </c>
      <c r="AK471" s="169">
        <f t="shared" si="267"/>
        <v>0</v>
      </c>
      <c r="AL471" s="169">
        <f t="shared" si="267"/>
        <v>0</v>
      </c>
      <c r="AM471" s="169">
        <f t="shared" si="267"/>
        <v>0</v>
      </c>
      <c r="AN471" s="169">
        <f t="shared" si="267"/>
        <v>0</v>
      </c>
      <c r="AO471" s="169">
        <f t="shared" si="267"/>
        <v>0</v>
      </c>
      <c r="AP471" s="169">
        <f t="shared" si="267"/>
        <v>0</v>
      </c>
    </row>
    <row r="472" spans="1:42" x14ac:dyDescent="0.2">
      <c r="A472" s="20">
        <f>A471+1</f>
        <v>9</v>
      </c>
      <c r="B472" s="179">
        <f t="shared" si="258"/>
        <v>0</v>
      </c>
      <c r="C472" s="208">
        <f t="shared" ref="C472:AP472" si="268">LOOKUP(C460,$B$395:$AP$395,$B$396:$AP$396)*$B683</f>
        <v>0</v>
      </c>
      <c r="D472" s="169">
        <f t="shared" si="268"/>
        <v>0</v>
      </c>
      <c r="E472" s="169">
        <f t="shared" si="268"/>
        <v>0</v>
      </c>
      <c r="F472" s="169">
        <f t="shared" si="268"/>
        <v>0</v>
      </c>
      <c r="G472" s="169">
        <f t="shared" si="268"/>
        <v>0</v>
      </c>
      <c r="H472" s="169">
        <f t="shared" si="268"/>
        <v>0</v>
      </c>
      <c r="I472" s="169">
        <f t="shared" si="268"/>
        <v>0</v>
      </c>
      <c r="J472" s="169">
        <f t="shared" si="268"/>
        <v>0</v>
      </c>
      <c r="K472" s="169">
        <f t="shared" si="268"/>
        <v>0</v>
      </c>
      <c r="L472" s="169">
        <f t="shared" si="268"/>
        <v>0</v>
      </c>
      <c r="M472" s="169">
        <f t="shared" si="268"/>
        <v>0</v>
      </c>
      <c r="N472" s="169">
        <f t="shared" si="268"/>
        <v>0</v>
      </c>
      <c r="O472" s="169">
        <f t="shared" si="268"/>
        <v>0</v>
      </c>
      <c r="P472" s="169">
        <f t="shared" si="268"/>
        <v>0</v>
      </c>
      <c r="Q472" s="169">
        <f t="shared" si="268"/>
        <v>0</v>
      </c>
      <c r="R472" s="169">
        <f t="shared" si="268"/>
        <v>0</v>
      </c>
      <c r="S472" s="169">
        <f t="shared" si="268"/>
        <v>0</v>
      </c>
      <c r="T472" s="169">
        <f t="shared" si="268"/>
        <v>0</v>
      </c>
      <c r="U472" s="169">
        <f t="shared" si="268"/>
        <v>0</v>
      </c>
      <c r="V472" s="169">
        <f t="shared" si="268"/>
        <v>0</v>
      </c>
      <c r="W472" s="169">
        <f t="shared" si="268"/>
        <v>0</v>
      </c>
      <c r="X472" s="169">
        <f t="shared" si="268"/>
        <v>0</v>
      </c>
      <c r="Y472" s="169">
        <f t="shared" si="268"/>
        <v>0</v>
      </c>
      <c r="Z472" s="169">
        <f t="shared" si="268"/>
        <v>0</v>
      </c>
      <c r="AA472" s="169">
        <f t="shared" si="268"/>
        <v>0</v>
      </c>
      <c r="AB472" s="169">
        <f t="shared" si="268"/>
        <v>0</v>
      </c>
      <c r="AC472" s="169">
        <f t="shared" si="268"/>
        <v>0</v>
      </c>
      <c r="AD472" s="169">
        <f t="shared" si="268"/>
        <v>0</v>
      </c>
      <c r="AE472" s="169">
        <f t="shared" si="268"/>
        <v>0</v>
      </c>
      <c r="AF472" s="169">
        <f t="shared" si="268"/>
        <v>0</v>
      </c>
      <c r="AG472" s="169">
        <f t="shared" si="268"/>
        <v>0</v>
      </c>
      <c r="AH472" s="169">
        <f t="shared" si="268"/>
        <v>0</v>
      </c>
      <c r="AI472" s="169">
        <f t="shared" si="268"/>
        <v>0</v>
      </c>
      <c r="AJ472" s="169">
        <f t="shared" si="268"/>
        <v>0</v>
      </c>
      <c r="AK472" s="169">
        <f t="shared" si="268"/>
        <v>0</v>
      </c>
      <c r="AL472" s="169">
        <f t="shared" si="268"/>
        <v>0</v>
      </c>
      <c r="AM472" s="169">
        <f t="shared" si="268"/>
        <v>0</v>
      </c>
      <c r="AN472" s="169">
        <f t="shared" si="268"/>
        <v>0</v>
      </c>
      <c r="AO472" s="169">
        <f t="shared" si="268"/>
        <v>0</v>
      </c>
      <c r="AP472" s="169">
        <f t="shared" si="268"/>
        <v>0</v>
      </c>
    </row>
    <row r="473" spans="1:42" x14ac:dyDescent="0.2">
      <c r="A473" s="20">
        <f t="shared" ref="A473" si="269">A472+1</f>
        <v>10</v>
      </c>
      <c r="B473" s="179">
        <f t="shared" si="258"/>
        <v>0</v>
      </c>
      <c r="C473" s="204">
        <f t="shared" ref="C473:AP473" si="270">LOOKUP(C461,$B$395:$AP$395,$B$396:$AP$396)*$B684</f>
        <v>0</v>
      </c>
      <c r="D473" s="170">
        <f t="shared" si="270"/>
        <v>0</v>
      </c>
      <c r="E473" s="170">
        <f t="shared" si="270"/>
        <v>0</v>
      </c>
      <c r="F473" s="170">
        <f t="shared" si="270"/>
        <v>0</v>
      </c>
      <c r="G473" s="170">
        <f t="shared" si="270"/>
        <v>0</v>
      </c>
      <c r="H473" s="170">
        <f t="shared" si="270"/>
        <v>0</v>
      </c>
      <c r="I473" s="170">
        <f t="shared" si="270"/>
        <v>0</v>
      </c>
      <c r="J473" s="170">
        <f t="shared" si="270"/>
        <v>0</v>
      </c>
      <c r="K473" s="170">
        <f t="shared" si="270"/>
        <v>0</v>
      </c>
      <c r="L473" s="170">
        <f t="shared" si="270"/>
        <v>0</v>
      </c>
      <c r="M473" s="170">
        <f t="shared" si="270"/>
        <v>0</v>
      </c>
      <c r="N473" s="170">
        <f t="shared" si="270"/>
        <v>0</v>
      </c>
      <c r="O473" s="170">
        <f t="shared" si="270"/>
        <v>0</v>
      </c>
      <c r="P473" s="170">
        <f t="shared" si="270"/>
        <v>0</v>
      </c>
      <c r="Q473" s="170">
        <f t="shared" si="270"/>
        <v>0</v>
      </c>
      <c r="R473" s="170">
        <f t="shared" si="270"/>
        <v>0</v>
      </c>
      <c r="S473" s="170">
        <f t="shared" si="270"/>
        <v>0</v>
      </c>
      <c r="T473" s="170">
        <f t="shared" si="270"/>
        <v>0</v>
      </c>
      <c r="U473" s="170">
        <f t="shared" si="270"/>
        <v>0</v>
      </c>
      <c r="V473" s="170">
        <f t="shared" si="270"/>
        <v>0</v>
      </c>
      <c r="W473" s="170">
        <f t="shared" si="270"/>
        <v>0</v>
      </c>
      <c r="X473" s="170">
        <f t="shared" si="270"/>
        <v>0</v>
      </c>
      <c r="Y473" s="170">
        <f t="shared" si="270"/>
        <v>0</v>
      </c>
      <c r="Z473" s="170">
        <f t="shared" si="270"/>
        <v>0</v>
      </c>
      <c r="AA473" s="170">
        <f t="shared" si="270"/>
        <v>0</v>
      </c>
      <c r="AB473" s="170">
        <f t="shared" si="270"/>
        <v>0</v>
      </c>
      <c r="AC473" s="170">
        <f t="shared" si="270"/>
        <v>0</v>
      </c>
      <c r="AD473" s="170">
        <f t="shared" si="270"/>
        <v>0</v>
      </c>
      <c r="AE473" s="170">
        <f t="shared" si="270"/>
        <v>0</v>
      </c>
      <c r="AF473" s="170">
        <f t="shared" si="270"/>
        <v>0</v>
      </c>
      <c r="AG473" s="170">
        <f t="shared" si="270"/>
        <v>0</v>
      </c>
      <c r="AH473" s="170">
        <f t="shared" si="270"/>
        <v>0</v>
      </c>
      <c r="AI473" s="170">
        <f t="shared" si="270"/>
        <v>0</v>
      </c>
      <c r="AJ473" s="170">
        <f t="shared" si="270"/>
        <v>0</v>
      </c>
      <c r="AK473" s="170">
        <f t="shared" si="270"/>
        <v>0</v>
      </c>
      <c r="AL473" s="170">
        <f t="shared" si="270"/>
        <v>0</v>
      </c>
      <c r="AM473" s="170">
        <f t="shared" si="270"/>
        <v>0</v>
      </c>
      <c r="AN473" s="170">
        <f t="shared" si="270"/>
        <v>0</v>
      </c>
      <c r="AO473" s="170">
        <f t="shared" si="270"/>
        <v>0</v>
      </c>
      <c r="AP473" s="170">
        <f t="shared" si="270"/>
        <v>0</v>
      </c>
    </row>
    <row r="474" spans="1:42" s="101" customFormat="1" x14ac:dyDescent="0.2">
      <c r="A474" s="205" t="s">
        <v>53</v>
      </c>
      <c r="B474" s="124"/>
      <c r="C474" s="124">
        <f>SUM(C464:C473)</f>
        <v>0</v>
      </c>
      <c r="D474" s="124">
        <f t="shared" ref="D474:AP474" si="271">SUM(D464:D473)</f>
        <v>0</v>
      </c>
      <c r="E474" s="124">
        <f t="shared" si="271"/>
        <v>0</v>
      </c>
      <c r="F474" s="124">
        <f t="shared" si="271"/>
        <v>0</v>
      </c>
      <c r="G474" s="124">
        <f t="shared" si="271"/>
        <v>0</v>
      </c>
      <c r="H474" s="124">
        <f t="shared" si="271"/>
        <v>0</v>
      </c>
      <c r="I474" s="124">
        <f t="shared" si="271"/>
        <v>0</v>
      </c>
      <c r="J474" s="124">
        <f t="shared" si="271"/>
        <v>0</v>
      </c>
      <c r="K474" s="124">
        <f t="shared" si="271"/>
        <v>0</v>
      </c>
      <c r="L474" s="124">
        <f t="shared" si="271"/>
        <v>0</v>
      </c>
      <c r="M474" s="124">
        <f t="shared" si="271"/>
        <v>0</v>
      </c>
      <c r="N474" s="124">
        <f t="shared" si="271"/>
        <v>0</v>
      </c>
      <c r="O474" s="124">
        <f t="shared" si="271"/>
        <v>0</v>
      </c>
      <c r="P474" s="124">
        <f t="shared" si="271"/>
        <v>0</v>
      </c>
      <c r="Q474" s="124">
        <f t="shared" si="271"/>
        <v>0</v>
      </c>
      <c r="R474" s="124">
        <f t="shared" si="271"/>
        <v>0</v>
      </c>
      <c r="S474" s="124">
        <f t="shared" si="271"/>
        <v>0</v>
      </c>
      <c r="T474" s="124">
        <f t="shared" si="271"/>
        <v>0</v>
      </c>
      <c r="U474" s="124">
        <f t="shared" si="271"/>
        <v>0</v>
      </c>
      <c r="V474" s="124">
        <f t="shared" si="271"/>
        <v>0</v>
      </c>
      <c r="W474" s="124">
        <f t="shared" si="271"/>
        <v>0</v>
      </c>
      <c r="X474" s="124">
        <f t="shared" si="271"/>
        <v>0</v>
      </c>
      <c r="Y474" s="124">
        <f t="shared" si="271"/>
        <v>0</v>
      </c>
      <c r="Z474" s="124">
        <f t="shared" si="271"/>
        <v>0</v>
      </c>
      <c r="AA474" s="124">
        <f t="shared" si="271"/>
        <v>0</v>
      </c>
      <c r="AB474" s="124">
        <f t="shared" si="271"/>
        <v>0</v>
      </c>
      <c r="AC474" s="124">
        <f t="shared" si="271"/>
        <v>0</v>
      </c>
      <c r="AD474" s="124">
        <f t="shared" si="271"/>
        <v>0</v>
      </c>
      <c r="AE474" s="124">
        <f t="shared" si="271"/>
        <v>0</v>
      </c>
      <c r="AF474" s="124">
        <f t="shared" si="271"/>
        <v>0</v>
      </c>
      <c r="AG474" s="124">
        <f t="shared" si="271"/>
        <v>0</v>
      </c>
      <c r="AH474" s="124">
        <f t="shared" si="271"/>
        <v>0</v>
      </c>
      <c r="AI474" s="124">
        <f t="shared" si="271"/>
        <v>0</v>
      </c>
      <c r="AJ474" s="124">
        <f t="shared" si="271"/>
        <v>0</v>
      </c>
      <c r="AK474" s="124">
        <f t="shared" si="271"/>
        <v>0</v>
      </c>
      <c r="AL474" s="124">
        <f t="shared" si="271"/>
        <v>0</v>
      </c>
      <c r="AM474" s="124">
        <f t="shared" si="271"/>
        <v>0</v>
      </c>
      <c r="AN474" s="124">
        <f t="shared" si="271"/>
        <v>0</v>
      </c>
      <c r="AO474" s="124">
        <f t="shared" si="271"/>
        <v>0</v>
      </c>
      <c r="AP474" s="124">
        <f t="shared" si="271"/>
        <v>0</v>
      </c>
    </row>
    <row r="475" spans="1:42" s="101" customFormat="1" x14ac:dyDescent="0.2">
      <c r="A475" s="205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</row>
    <row r="476" spans="1:42" s="101" customFormat="1" x14ac:dyDescent="0.2">
      <c r="A476" s="162" t="s">
        <v>158</v>
      </c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</row>
    <row r="477" spans="1:42" s="101" customFormat="1" x14ac:dyDescent="0.2">
      <c r="A477" s="180" t="s">
        <v>37</v>
      </c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</row>
    <row r="478" spans="1:42" s="101" customFormat="1" x14ac:dyDescent="0.2">
      <c r="A478" s="187" t="s">
        <v>159</v>
      </c>
      <c r="C478" s="215">
        <f t="shared" ref="C478:AP478" si="272">IF(C$2&lt;=StatePTCTerm,StatePTCAmount*(1+Inflation)^B$2,0)</f>
        <v>0</v>
      </c>
      <c r="D478" s="215">
        <f t="shared" si="272"/>
        <v>0</v>
      </c>
      <c r="E478" s="215">
        <f t="shared" si="272"/>
        <v>0</v>
      </c>
      <c r="F478" s="215">
        <f t="shared" si="272"/>
        <v>0</v>
      </c>
      <c r="G478" s="215">
        <f t="shared" si="272"/>
        <v>0</v>
      </c>
      <c r="H478" s="215">
        <f t="shared" si="272"/>
        <v>0</v>
      </c>
      <c r="I478" s="215">
        <f t="shared" si="272"/>
        <v>0</v>
      </c>
      <c r="J478" s="215">
        <f t="shared" si="272"/>
        <v>0</v>
      </c>
      <c r="K478" s="215">
        <f t="shared" si="272"/>
        <v>0</v>
      </c>
      <c r="L478" s="215">
        <f t="shared" si="272"/>
        <v>0</v>
      </c>
      <c r="M478" s="215">
        <f t="shared" si="272"/>
        <v>0</v>
      </c>
      <c r="N478" s="215">
        <f t="shared" si="272"/>
        <v>0</v>
      </c>
      <c r="O478" s="215">
        <f t="shared" si="272"/>
        <v>0</v>
      </c>
      <c r="P478" s="215">
        <f t="shared" si="272"/>
        <v>0</v>
      </c>
      <c r="Q478" s="215">
        <f t="shared" si="272"/>
        <v>0</v>
      </c>
      <c r="R478" s="215">
        <f t="shared" si="272"/>
        <v>0</v>
      </c>
      <c r="S478" s="215">
        <f t="shared" si="272"/>
        <v>0</v>
      </c>
      <c r="T478" s="215">
        <f t="shared" si="272"/>
        <v>0</v>
      </c>
      <c r="U478" s="215">
        <f t="shared" si="272"/>
        <v>0</v>
      </c>
      <c r="V478" s="215">
        <f t="shared" si="272"/>
        <v>0</v>
      </c>
      <c r="W478" s="215">
        <f t="shared" si="272"/>
        <v>0</v>
      </c>
      <c r="X478" s="215">
        <f t="shared" si="272"/>
        <v>0</v>
      </c>
      <c r="Y478" s="215">
        <f t="shared" si="272"/>
        <v>0</v>
      </c>
      <c r="Z478" s="215">
        <f t="shared" si="272"/>
        <v>0</v>
      </c>
      <c r="AA478" s="215">
        <f t="shared" si="272"/>
        <v>0</v>
      </c>
      <c r="AB478" s="215">
        <f t="shared" si="272"/>
        <v>0</v>
      </c>
      <c r="AC478" s="215">
        <f t="shared" si="272"/>
        <v>0</v>
      </c>
      <c r="AD478" s="215">
        <f t="shared" si="272"/>
        <v>0</v>
      </c>
      <c r="AE478" s="215">
        <f t="shared" si="272"/>
        <v>0</v>
      </c>
      <c r="AF478" s="215">
        <f t="shared" si="272"/>
        <v>0</v>
      </c>
      <c r="AG478" s="215">
        <f t="shared" si="272"/>
        <v>0</v>
      </c>
      <c r="AH478" s="215">
        <f t="shared" si="272"/>
        <v>0</v>
      </c>
      <c r="AI478" s="215">
        <f t="shared" si="272"/>
        <v>0</v>
      </c>
      <c r="AJ478" s="215">
        <f t="shared" si="272"/>
        <v>0</v>
      </c>
      <c r="AK478" s="215">
        <f t="shared" si="272"/>
        <v>0</v>
      </c>
      <c r="AL478" s="215">
        <f t="shared" si="272"/>
        <v>0</v>
      </c>
      <c r="AM478" s="215">
        <f t="shared" si="272"/>
        <v>0</v>
      </c>
      <c r="AN478" s="215">
        <f t="shared" si="272"/>
        <v>0</v>
      </c>
      <c r="AO478" s="215">
        <f t="shared" si="272"/>
        <v>0</v>
      </c>
      <c r="AP478" s="215">
        <f t="shared" si="272"/>
        <v>0</v>
      </c>
    </row>
    <row r="479" spans="1:42" s="101" customFormat="1" x14ac:dyDescent="0.2">
      <c r="A479" s="187" t="s">
        <v>160</v>
      </c>
      <c r="C479" s="216">
        <f>ROUND(C478*1000,0)</f>
        <v>0</v>
      </c>
      <c r="D479" s="216">
        <f>ROUND(D478*1000,0)</f>
        <v>0</v>
      </c>
      <c r="E479" s="216">
        <f t="shared" ref="E479:AP479" si="273">ROUND(E478*1000,0)</f>
        <v>0</v>
      </c>
      <c r="F479" s="216">
        <f t="shared" si="273"/>
        <v>0</v>
      </c>
      <c r="G479" s="216">
        <f t="shared" si="273"/>
        <v>0</v>
      </c>
      <c r="H479" s="216">
        <f t="shared" si="273"/>
        <v>0</v>
      </c>
      <c r="I479" s="216">
        <f t="shared" si="273"/>
        <v>0</v>
      </c>
      <c r="J479" s="216">
        <f t="shared" si="273"/>
        <v>0</v>
      </c>
      <c r="K479" s="216">
        <f t="shared" si="273"/>
        <v>0</v>
      </c>
      <c r="L479" s="216">
        <f t="shared" si="273"/>
        <v>0</v>
      </c>
      <c r="M479" s="216">
        <f t="shared" si="273"/>
        <v>0</v>
      </c>
      <c r="N479" s="216">
        <f t="shared" si="273"/>
        <v>0</v>
      </c>
      <c r="O479" s="216">
        <f t="shared" si="273"/>
        <v>0</v>
      </c>
      <c r="P479" s="216">
        <f t="shared" si="273"/>
        <v>0</v>
      </c>
      <c r="Q479" s="216">
        <f t="shared" si="273"/>
        <v>0</v>
      </c>
      <c r="R479" s="216">
        <f t="shared" si="273"/>
        <v>0</v>
      </c>
      <c r="S479" s="216">
        <f t="shared" si="273"/>
        <v>0</v>
      </c>
      <c r="T479" s="216">
        <f t="shared" si="273"/>
        <v>0</v>
      </c>
      <c r="U479" s="216">
        <f t="shared" si="273"/>
        <v>0</v>
      </c>
      <c r="V479" s="216">
        <f t="shared" si="273"/>
        <v>0</v>
      </c>
      <c r="W479" s="216">
        <f t="shared" si="273"/>
        <v>0</v>
      </c>
      <c r="X479" s="216">
        <f t="shared" si="273"/>
        <v>0</v>
      </c>
      <c r="Y479" s="216">
        <f t="shared" si="273"/>
        <v>0</v>
      </c>
      <c r="Z479" s="216">
        <f t="shared" si="273"/>
        <v>0</v>
      </c>
      <c r="AA479" s="216">
        <f t="shared" si="273"/>
        <v>0</v>
      </c>
      <c r="AB479" s="216">
        <f t="shared" si="273"/>
        <v>0</v>
      </c>
      <c r="AC479" s="216">
        <f t="shared" si="273"/>
        <v>0</v>
      </c>
      <c r="AD479" s="216">
        <f t="shared" si="273"/>
        <v>0</v>
      </c>
      <c r="AE479" s="216">
        <f t="shared" si="273"/>
        <v>0</v>
      </c>
      <c r="AF479" s="216">
        <f t="shared" si="273"/>
        <v>0</v>
      </c>
      <c r="AG479" s="216">
        <f t="shared" si="273"/>
        <v>0</v>
      </c>
      <c r="AH479" s="216">
        <f t="shared" si="273"/>
        <v>0</v>
      </c>
      <c r="AI479" s="216">
        <f t="shared" si="273"/>
        <v>0</v>
      </c>
      <c r="AJ479" s="216">
        <f t="shared" si="273"/>
        <v>0</v>
      </c>
      <c r="AK479" s="216">
        <f t="shared" si="273"/>
        <v>0</v>
      </c>
      <c r="AL479" s="216">
        <f t="shared" si="273"/>
        <v>0</v>
      </c>
      <c r="AM479" s="216">
        <f t="shared" si="273"/>
        <v>0</v>
      </c>
      <c r="AN479" s="216">
        <f t="shared" si="273"/>
        <v>0</v>
      </c>
      <c r="AO479" s="216">
        <f t="shared" si="273"/>
        <v>0</v>
      </c>
      <c r="AP479" s="216">
        <f t="shared" si="273"/>
        <v>0</v>
      </c>
    </row>
    <row r="480" spans="1:42" s="101" customFormat="1" x14ac:dyDescent="0.2">
      <c r="A480" s="187" t="s">
        <v>161</v>
      </c>
      <c r="C480" s="186">
        <f>C$5/1000</f>
        <v>16188.48</v>
      </c>
      <c r="D480" s="186">
        <f>D$5/1000</f>
        <v>16107.5376</v>
      </c>
      <c r="E480" s="186">
        <f t="shared" ref="E480:AP480" si="274">E$5/1000</f>
        <v>16026.999912000001</v>
      </c>
      <c r="F480" s="186">
        <f t="shared" si="274"/>
        <v>15946.86491244</v>
      </c>
      <c r="G480" s="186">
        <f t="shared" si="274"/>
        <v>15867.1305878778</v>
      </c>
      <c r="H480" s="186">
        <f t="shared" si="274"/>
        <v>15787.794934938413</v>
      </c>
      <c r="I480" s="186">
        <f t="shared" si="274"/>
        <v>15708.85596026372</v>
      </c>
      <c r="J480" s="186">
        <f t="shared" si="274"/>
        <v>15630.311680462401</v>
      </c>
      <c r="K480" s="186">
        <f t="shared" si="274"/>
        <v>15552.16012206009</v>
      </c>
      <c r="L480" s="186">
        <f t="shared" si="274"/>
        <v>15474.399321449788</v>
      </c>
      <c r="M480" s="186">
        <f t="shared" si="274"/>
        <v>15397.02732484254</v>
      </c>
      <c r="N480" s="186">
        <f t="shared" si="274"/>
        <v>15320.042188218327</v>
      </c>
      <c r="O480" s="186">
        <f t="shared" si="274"/>
        <v>15243.441977277236</v>
      </c>
      <c r="P480" s="186">
        <f t="shared" si="274"/>
        <v>15167.224767390851</v>
      </c>
      <c r="Q480" s="186">
        <f t="shared" si="274"/>
        <v>15091.388643553897</v>
      </c>
      <c r="R480" s="186">
        <f t="shared" si="274"/>
        <v>15015.931700336127</v>
      </c>
      <c r="S480" s="186">
        <f t="shared" si="274"/>
        <v>14940.852041834445</v>
      </c>
      <c r="T480" s="186">
        <f t="shared" si="274"/>
        <v>14866.147781625275</v>
      </c>
      <c r="U480" s="186">
        <f t="shared" si="274"/>
        <v>14791.817042717148</v>
      </c>
      <c r="V480" s="186">
        <f t="shared" si="274"/>
        <v>14717.85795750356</v>
      </c>
      <c r="W480" s="186">
        <f t="shared" si="274"/>
        <v>14644.268667716045</v>
      </c>
      <c r="X480" s="186">
        <f t="shared" si="274"/>
        <v>14571.047324377465</v>
      </c>
      <c r="Y480" s="186">
        <f t="shared" si="274"/>
        <v>14498.192087755579</v>
      </c>
      <c r="Z480" s="186">
        <f t="shared" si="274"/>
        <v>14425.701127316799</v>
      </c>
      <c r="AA480" s="186">
        <f t="shared" si="274"/>
        <v>14353.572621680216</v>
      </c>
      <c r="AB480" s="186">
        <f t="shared" si="274"/>
        <v>14281.804758571814</v>
      </c>
      <c r="AC480" s="186">
        <f t="shared" si="274"/>
        <v>14210.395734778956</v>
      </c>
      <c r="AD480" s="186">
        <f t="shared" si="274"/>
        <v>14139.34375610506</v>
      </c>
      <c r="AE480" s="186">
        <f t="shared" si="274"/>
        <v>14068.647037324537</v>
      </c>
      <c r="AF480" s="186">
        <f t="shared" si="274"/>
        <v>13998.303802137914</v>
      </c>
      <c r="AG480" s="186">
        <f t="shared" si="274"/>
        <v>13928.312283127225</v>
      </c>
      <c r="AH480" s="186">
        <f t="shared" si="274"/>
        <v>13858.670721711587</v>
      </c>
      <c r="AI480" s="186">
        <f t="shared" si="274"/>
        <v>13789.377368103029</v>
      </c>
      <c r="AJ480" s="186">
        <f t="shared" si="274"/>
        <v>13720.430481262514</v>
      </c>
      <c r="AK480" s="186">
        <f t="shared" si="274"/>
        <v>13651.828328856202</v>
      </c>
      <c r="AL480" s="186">
        <f t="shared" si="274"/>
        <v>13583.569187211922</v>
      </c>
      <c r="AM480" s="186">
        <f t="shared" si="274"/>
        <v>13515.651341275861</v>
      </c>
      <c r="AN480" s="186">
        <f t="shared" si="274"/>
        <v>13448.073084569483</v>
      </c>
      <c r="AO480" s="186">
        <f t="shared" si="274"/>
        <v>13380.832719146636</v>
      </c>
      <c r="AP480" s="186">
        <f t="shared" si="274"/>
        <v>13313.928555550903</v>
      </c>
    </row>
    <row r="481" spans="1:42" s="101" customFormat="1" x14ac:dyDescent="0.2">
      <c r="A481" s="187" t="s">
        <v>53</v>
      </c>
      <c r="C481" s="124">
        <f>C479*C480</f>
        <v>0</v>
      </c>
      <c r="D481" s="124">
        <f>D479*D480</f>
        <v>0</v>
      </c>
      <c r="E481" s="124">
        <f t="shared" ref="E481:AP481" si="275">E479*E480</f>
        <v>0</v>
      </c>
      <c r="F481" s="124">
        <f t="shared" si="275"/>
        <v>0</v>
      </c>
      <c r="G481" s="124">
        <f t="shared" si="275"/>
        <v>0</v>
      </c>
      <c r="H481" s="124">
        <f t="shared" si="275"/>
        <v>0</v>
      </c>
      <c r="I481" s="124">
        <f t="shared" si="275"/>
        <v>0</v>
      </c>
      <c r="J481" s="124">
        <f t="shared" si="275"/>
        <v>0</v>
      </c>
      <c r="K481" s="124">
        <f t="shared" si="275"/>
        <v>0</v>
      </c>
      <c r="L481" s="124">
        <f t="shared" si="275"/>
        <v>0</v>
      </c>
      <c r="M481" s="124">
        <f t="shared" si="275"/>
        <v>0</v>
      </c>
      <c r="N481" s="124">
        <f t="shared" si="275"/>
        <v>0</v>
      </c>
      <c r="O481" s="124">
        <f t="shared" si="275"/>
        <v>0</v>
      </c>
      <c r="P481" s="124">
        <f t="shared" si="275"/>
        <v>0</v>
      </c>
      <c r="Q481" s="124">
        <f t="shared" si="275"/>
        <v>0</v>
      </c>
      <c r="R481" s="124">
        <f t="shared" si="275"/>
        <v>0</v>
      </c>
      <c r="S481" s="124">
        <f t="shared" si="275"/>
        <v>0</v>
      </c>
      <c r="T481" s="124">
        <f t="shared" si="275"/>
        <v>0</v>
      </c>
      <c r="U481" s="124">
        <f t="shared" si="275"/>
        <v>0</v>
      </c>
      <c r="V481" s="124">
        <f t="shared" si="275"/>
        <v>0</v>
      </c>
      <c r="W481" s="124">
        <f t="shared" si="275"/>
        <v>0</v>
      </c>
      <c r="X481" s="124">
        <f t="shared" si="275"/>
        <v>0</v>
      </c>
      <c r="Y481" s="124">
        <f t="shared" si="275"/>
        <v>0</v>
      </c>
      <c r="Z481" s="124">
        <f t="shared" si="275"/>
        <v>0</v>
      </c>
      <c r="AA481" s="124">
        <f t="shared" si="275"/>
        <v>0</v>
      </c>
      <c r="AB481" s="124">
        <f t="shared" si="275"/>
        <v>0</v>
      </c>
      <c r="AC481" s="124">
        <f t="shared" si="275"/>
        <v>0</v>
      </c>
      <c r="AD481" s="124">
        <f t="shared" si="275"/>
        <v>0</v>
      </c>
      <c r="AE481" s="124">
        <f t="shared" si="275"/>
        <v>0</v>
      </c>
      <c r="AF481" s="124">
        <f t="shared" si="275"/>
        <v>0</v>
      </c>
      <c r="AG481" s="124">
        <f t="shared" si="275"/>
        <v>0</v>
      </c>
      <c r="AH481" s="124">
        <f t="shared" si="275"/>
        <v>0</v>
      </c>
      <c r="AI481" s="124">
        <f t="shared" si="275"/>
        <v>0</v>
      </c>
      <c r="AJ481" s="124">
        <f t="shared" si="275"/>
        <v>0</v>
      </c>
      <c r="AK481" s="124">
        <f t="shared" si="275"/>
        <v>0</v>
      </c>
      <c r="AL481" s="124">
        <f t="shared" si="275"/>
        <v>0</v>
      </c>
      <c r="AM481" s="124">
        <f t="shared" si="275"/>
        <v>0</v>
      </c>
      <c r="AN481" s="124">
        <f t="shared" si="275"/>
        <v>0</v>
      </c>
      <c r="AO481" s="124">
        <f t="shared" si="275"/>
        <v>0</v>
      </c>
      <c r="AP481" s="124">
        <f t="shared" si="275"/>
        <v>0</v>
      </c>
    </row>
    <row r="482" spans="1:42" s="101" customFormat="1" x14ac:dyDescent="0.2">
      <c r="A482" s="180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</row>
    <row r="483" spans="1:42" s="101" customFormat="1" x14ac:dyDescent="0.2">
      <c r="A483" s="180" t="s">
        <v>36</v>
      </c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</row>
    <row r="484" spans="1:42" s="101" customFormat="1" x14ac:dyDescent="0.2">
      <c r="A484" s="187" t="s">
        <v>159</v>
      </c>
      <c r="C484" s="215">
        <f t="shared" ref="C484:AP484" si="276">IF(C$2&lt;=FedPTCTerm,FedPTCAmount*(1+Inflation)^B$2,0)</f>
        <v>0</v>
      </c>
      <c r="D484" s="215">
        <f t="shared" si="276"/>
        <v>0</v>
      </c>
      <c r="E484" s="215">
        <f t="shared" si="276"/>
        <v>0</v>
      </c>
      <c r="F484" s="215">
        <f t="shared" si="276"/>
        <v>0</v>
      </c>
      <c r="G484" s="215">
        <f t="shared" si="276"/>
        <v>0</v>
      </c>
      <c r="H484" s="215">
        <f t="shared" si="276"/>
        <v>0</v>
      </c>
      <c r="I484" s="215">
        <f t="shared" si="276"/>
        <v>0</v>
      </c>
      <c r="J484" s="215">
        <f t="shared" si="276"/>
        <v>0</v>
      </c>
      <c r="K484" s="215">
        <f t="shared" si="276"/>
        <v>0</v>
      </c>
      <c r="L484" s="215">
        <f t="shared" si="276"/>
        <v>0</v>
      </c>
      <c r="M484" s="215">
        <f t="shared" si="276"/>
        <v>0</v>
      </c>
      <c r="N484" s="215">
        <f t="shared" si="276"/>
        <v>0</v>
      </c>
      <c r="O484" s="215">
        <f t="shared" si="276"/>
        <v>0</v>
      </c>
      <c r="P484" s="215">
        <f t="shared" si="276"/>
        <v>0</v>
      </c>
      <c r="Q484" s="215">
        <f t="shared" si="276"/>
        <v>0</v>
      </c>
      <c r="R484" s="215">
        <f t="shared" si="276"/>
        <v>0</v>
      </c>
      <c r="S484" s="215">
        <f t="shared" si="276"/>
        <v>0</v>
      </c>
      <c r="T484" s="215">
        <f t="shared" si="276"/>
        <v>0</v>
      </c>
      <c r="U484" s="215">
        <f t="shared" si="276"/>
        <v>0</v>
      </c>
      <c r="V484" s="215">
        <f t="shared" si="276"/>
        <v>0</v>
      </c>
      <c r="W484" s="215">
        <f t="shared" si="276"/>
        <v>0</v>
      </c>
      <c r="X484" s="215">
        <f t="shared" si="276"/>
        <v>0</v>
      </c>
      <c r="Y484" s="215">
        <f t="shared" si="276"/>
        <v>0</v>
      </c>
      <c r="Z484" s="215">
        <f t="shared" si="276"/>
        <v>0</v>
      </c>
      <c r="AA484" s="215">
        <f t="shared" si="276"/>
        <v>0</v>
      </c>
      <c r="AB484" s="215">
        <f t="shared" si="276"/>
        <v>0</v>
      </c>
      <c r="AC484" s="215">
        <f t="shared" si="276"/>
        <v>0</v>
      </c>
      <c r="AD484" s="215">
        <f t="shared" si="276"/>
        <v>0</v>
      </c>
      <c r="AE484" s="215">
        <f t="shared" si="276"/>
        <v>0</v>
      </c>
      <c r="AF484" s="215">
        <f t="shared" si="276"/>
        <v>0</v>
      </c>
      <c r="AG484" s="215">
        <f t="shared" si="276"/>
        <v>0</v>
      </c>
      <c r="AH484" s="215">
        <f t="shared" si="276"/>
        <v>0</v>
      </c>
      <c r="AI484" s="215">
        <f t="shared" si="276"/>
        <v>0</v>
      </c>
      <c r="AJ484" s="215">
        <f t="shared" si="276"/>
        <v>0</v>
      </c>
      <c r="AK484" s="215">
        <f t="shared" si="276"/>
        <v>0</v>
      </c>
      <c r="AL484" s="215">
        <f t="shared" si="276"/>
        <v>0</v>
      </c>
      <c r="AM484" s="215">
        <f t="shared" si="276"/>
        <v>0</v>
      </c>
      <c r="AN484" s="215">
        <f t="shared" si="276"/>
        <v>0</v>
      </c>
      <c r="AO484" s="215">
        <f t="shared" si="276"/>
        <v>0</v>
      </c>
      <c r="AP484" s="215">
        <f t="shared" si="276"/>
        <v>0</v>
      </c>
    </row>
    <row r="485" spans="1:42" s="101" customFormat="1" x14ac:dyDescent="0.2">
      <c r="A485" s="187" t="s">
        <v>160</v>
      </c>
      <c r="C485" s="216">
        <f>ROUND(C484*1000,0)</f>
        <v>0</v>
      </c>
      <c r="D485" s="216">
        <f>ROUND(D484*1000,0)</f>
        <v>0</v>
      </c>
      <c r="E485" s="216">
        <f t="shared" ref="E485:AP485" si="277">ROUND(E484*1000,0)</f>
        <v>0</v>
      </c>
      <c r="F485" s="216">
        <f t="shared" si="277"/>
        <v>0</v>
      </c>
      <c r="G485" s="216">
        <f t="shared" si="277"/>
        <v>0</v>
      </c>
      <c r="H485" s="216">
        <f t="shared" si="277"/>
        <v>0</v>
      </c>
      <c r="I485" s="216">
        <f t="shared" si="277"/>
        <v>0</v>
      </c>
      <c r="J485" s="216">
        <f t="shared" si="277"/>
        <v>0</v>
      </c>
      <c r="K485" s="216">
        <f t="shared" si="277"/>
        <v>0</v>
      </c>
      <c r="L485" s="216">
        <f t="shared" si="277"/>
        <v>0</v>
      </c>
      <c r="M485" s="216">
        <f t="shared" si="277"/>
        <v>0</v>
      </c>
      <c r="N485" s="216">
        <f t="shared" si="277"/>
        <v>0</v>
      </c>
      <c r="O485" s="216">
        <f t="shared" si="277"/>
        <v>0</v>
      </c>
      <c r="P485" s="216">
        <f t="shared" si="277"/>
        <v>0</v>
      </c>
      <c r="Q485" s="216">
        <f t="shared" si="277"/>
        <v>0</v>
      </c>
      <c r="R485" s="216">
        <f t="shared" si="277"/>
        <v>0</v>
      </c>
      <c r="S485" s="216">
        <f t="shared" si="277"/>
        <v>0</v>
      </c>
      <c r="T485" s="216">
        <f t="shared" si="277"/>
        <v>0</v>
      </c>
      <c r="U485" s="216">
        <f t="shared" si="277"/>
        <v>0</v>
      </c>
      <c r="V485" s="216">
        <f t="shared" si="277"/>
        <v>0</v>
      </c>
      <c r="W485" s="216">
        <f t="shared" si="277"/>
        <v>0</v>
      </c>
      <c r="X485" s="216">
        <f t="shared" si="277"/>
        <v>0</v>
      </c>
      <c r="Y485" s="216">
        <f t="shared" si="277"/>
        <v>0</v>
      </c>
      <c r="Z485" s="216">
        <f t="shared" si="277"/>
        <v>0</v>
      </c>
      <c r="AA485" s="216">
        <f t="shared" si="277"/>
        <v>0</v>
      </c>
      <c r="AB485" s="216">
        <f t="shared" si="277"/>
        <v>0</v>
      </c>
      <c r="AC485" s="216">
        <f t="shared" si="277"/>
        <v>0</v>
      </c>
      <c r="AD485" s="216">
        <f t="shared" si="277"/>
        <v>0</v>
      </c>
      <c r="AE485" s="216">
        <f t="shared" si="277"/>
        <v>0</v>
      </c>
      <c r="AF485" s="216">
        <f t="shared" si="277"/>
        <v>0</v>
      </c>
      <c r="AG485" s="216">
        <f t="shared" si="277"/>
        <v>0</v>
      </c>
      <c r="AH485" s="216">
        <f t="shared" si="277"/>
        <v>0</v>
      </c>
      <c r="AI485" s="216">
        <f t="shared" si="277"/>
        <v>0</v>
      </c>
      <c r="AJ485" s="216">
        <f t="shared" si="277"/>
        <v>0</v>
      </c>
      <c r="AK485" s="216">
        <f t="shared" si="277"/>
        <v>0</v>
      </c>
      <c r="AL485" s="216">
        <f t="shared" si="277"/>
        <v>0</v>
      </c>
      <c r="AM485" s="216">
        <f t="shared" si="277"/>
        <v>0</v>
      </c>
      <c r="AN485" s="216">
        <f t="shared" si="277"/>
        <v>0</v>
      </c>
      <c r="AO485" s="216">
        <f t="shared" si="277"/>
        <v>0</v>
      </c>
      <c r="AP485" s="216">
        <f t="shared" si="277"/>
        <v>0</v>
      </c>
    </row>
    <row r="486" spans="1:42" s="101" customFormat="1" x14ac:dyDescent="0.2">
      <c r="A486" s="187" t="s">
        <v>161</v>
      </c>
      <c r="C486" s="186">
        <f>C$5/1000</f>
        <v>16188.48</v>
      </c>
      <c r="D486" s="186">
        <f>D$5/1000</f>
        <v>16107.5376</v>
      </c>
      <c r="E486" s="186">
        <f t="shared" ref="E486:AP486" si="278">E$5/1000</f>
        <v>16026.999912000001</v>
      </c>
      <c r="F486" s="186">
        <f t="shared" si="278"/>
        <v>15946.86491244</v>
      </c>
      <c r="G486" s="186">
        <f t="shared" si="278"/>
        <v>15867.1305878778</v>
      </c>
      <c r="H486" s="186">
        <f t="shared" si="278"/>
        <v>15787.794934938413</v>
      </c>
      <c r="I486" s="186">
        <f t="shared" si="278"/>
        <v>15708.85596026372</v>
      </c>
      <c r="J486" s="186">
        <f t="shared" si="278"/>
        <v>15630.311680462401</v>
      </c>
      <c r="K486" s="186">
        <f t="shared" si="278"/>
        <v>15552.16012206009</v>
      </c>
      <c r="L486" s="186">
        <f t="shared" si="278"/>
        <v>15474.399321449788</v>
      </c>
      <c r="M486" s="186">
        <f t="shared" si="278"/>
        <v>15397.02732484254</v>
      </c>
      <c r="N486" s="186">
        <f t="shared" si="278"/>
        <v>15320.042188218327</v>
      </c>
      <c r="O486" s="186">
        <f t="shared" si="278"/>
        <v>15243.441977277236</v>
      </c>
      <c r="P486" s="186">
        <f t="shared" si="278"/>
        <v>15167.224767390851</v>
      </c>
      <c r="Q486" s="186">
        <f t="shared" si="278"/>
        <v>15091.388643553897</v>
      </c>
      <c r="R486" s="186">
        <f t="shared" si="278"/>
        <v>15015.931700336127</v>
      </c>
      <c r="S486" s="186">
        <f t="shared" si="278"/>
        <v>14940.852041834445</v>
      </c>
      <c r="T486" s="186">
        <f t="shared" si="278"/>
        <v>14866.147781625275</v>
      </c>
      <c r="U486" s="186">
        <f t="shared" si="278"/>
        <v>14791.817042717148</v>
      </c>
      <c r="V486" s="186">
        <f t="shared" si="278"/>
        <v>14717.85795750356</v>
      </c>
      <c r="W486" s="186">
        <f t="shared" si="278"/>
        <v>14644.268667716045</v>
      </c>
      <c r="X486" s="186">
        <f t="shared" si="278"/>
        <v>14571.047324377465</v>
      </c>
      <c r="Y486" s="186">
        <f t="shared" si="278"/>
        <v>14498.192087755579</v>
      </c>
      <c r="Z486" s="186">
        <f t="shared" si="278"/>
        <v>14425.701127316799</v>
      </c>
      <c r="AA486" s="186">
        <f t="shared" si="278"/>
        <v>14353.572621680216</v>
      </c>
      <c r="AB486" s="186">
        <f t="shared" si="278"/>
        <v>14281.804758571814</v>
      </c>
      <c r="AC486" s="186">
        <f t="shared" si="278"/>
        <v>14210.395734778956</v>
      </c>
      <c r="AD486" s="186">
        <f t="shared" si="278"/>
        <v>14139.34375610506</v>
      </c>
      <c r="AE486" s="186">
        <f t="shared" si="278"/>
        <v>14068.647037324537</v>
      </c>
      <c r="AF486" s="186">
        <f t="shared" si="278"/>
        <v>13998.303802137914</v>
      </c>
      <c r="AG486" s="186">
        <f t="shared" si="278"/>
        <v>13928.312283127225</v>
      </c>
      <c r="AH486" s="186">
        <f t="shared" si="278"/>
        <v>13858.670721711587</v>
      </c>
      <c r="AI486" s="186">
        <f t="shared" si="278"/>
        <v>13789.377368103029</v>
      </c>
      <c r="AJ486" s="186">
        <f t="shared" si="278"/>
        <v>13720.430481262514</v>
      </c>
      <c r="AK486" s="186">
        <f t="shared" si="278"/>
        <v>13651.828328856202</v>
      </c>
      <c r="AL486" s="186">
        <f t="shared" si="278"/>
        <v>13583.569187211922</v>
      </c>
      <c r="AM486" s="186">
        <f t="shared" si="278"/>
        <v>13515.651341275861</v>
      </c>
      <c r="AN486" s="186">
        <f t="shared" si="278"/>
        <v>13448.073084569483</v>
      </c>
      <c r="AO486" s="186">
        <f t="shared" si="278"/>
        <v>13380.832719146636</v>
      </c>
      <c r="AP486" s="186">
        <f t="shared" si="278"/>
        <v>13313.928555550903</v>
      </c>
    </row>
    <row r="487" spans="1:42" s="101" customFormat="1" x14ac:dyDescent="0.2">
      <c r="A487" s="187" t="s">
        <v>53</v>
      </c>
      <c r="C487" s="124">
        <f>C485*C486</f>
        <v>0</v>
      </c>
      <c r="D487" s="124">
        <f>D485*D486</f>
        <v>0</v>
      </c>
      <c r="E487" s="124">
        <f t="shared" ref="E487:AP487" si="279">E485*E486</f>
        <v>0</v>
      </c>
      <c r="F487" s="124">
        <f t="shared" si="279"/>
        <v>0</v>
      </c>
      <c r="G487" s="124">
        <f t="shared" si="279"/>
        <v>0</v>
      </c>
      <c r="H487" s="124">
        <f t="shared" si="279"/>
        <v>0</v>
      </c>
      <c r="I487" s="124">
        <f t="shared" si="279"/>
        <v>0</v>
      </c>
      <c r="J487" s="124">
        <f t="shared" si="279"/>
        <v>0</v>
      </c>
      <c r="K487" s="124">
        <f t="shared" si="279"/>
        <v>0</v>
      </c>
      <c r="L487" s="124">
        <f t="shared" si="279"/>
        <v>0</v>
      </c>
      <c r="M487" s="124">
        <f t="shared" si="279"/>
        <v>0</v>
      </c>
      <c r="N487" s="124">
        <f t="shared" si="279"/>
        <v>0</v>
      </c>
      <c r="O487" s="124">
        <f t="shared" si="279"/>
        <v>0</v>
      </c>
      <c r="P487" s="124">
        <f t="shared" si="279"/>
        <v>0</v>
      </c>
      <c r="Q487" s="124">
        <f t="shared" si="279"/>
        <v>0</v>
      </c>
      <c r="R487" s="124">
        <f t="shared" si="279"/>
        <v>0</v>
      </c>
      <c r="S487" s="124">
        <f t="shared" si="279"/>
        <v>0</v>
      </c>
      <c r="T487" s="124">
        <f t="shared" si="279"/>
        <v>0</v>
      </c>
      <c r="U487" s="124">
        <f t="shared" si="279"/>
        <v>0</v>
      </c>
      <c r="V487" s="124">
        <f t="shared" si="279"/>
        <v>0</v>
      </c>
      <c r="W487" s="124">
        <f t="shared" si="279"/>
        <v>0</v>
      </c>
      <c r="X487" s="124">
        <f t="shared" si="279"/>
        <v>0</v>
      </c>
      <c r="Y487" s="124">
        <f t="shared" si="279"/>
        <v>0</v>
      </c>
      <c r="Z487" s="124">
        <f t="shared" si="279"/>
        <v>0</v>
      </c>
      <c r="AA487" s="124">
        <f t="shared" si="279"/>
        <v>0</v>
      </c>
      <c r="AB487" s="124">
        <f t="shared" si="279"/>
        <v>0</v>
      </c>
      <c r="AC487" s="124">
        <f t="shared" si="279"/>
        <v>0</v>
      </c>
      <c r="AD487" s="124">
        <f t="shared" si="279"/>
        <v>0</v>
      </c>
      <c r="AE487" s="124">
        <f t="shared" si="279"/>
        <v>0</v>
      </c>
      <c r="AF487" s="124">
        <f t="shared" si="279"/>
        <v>0</v>
      </c>
      <c r="AG487" s="124">
        <f t="shared" si="279"/>
        <v>0</v>
      </c>
      <c r="AH487" s="124">
        <f t="shared" si="279"/>
        <v>0</v>
      </c>
      <c r="AI487" s="124">
        <f t="shared" si="279"/>
        <v>0</v>
      </c>
      <c r="AJ487" s="124">
        <f t="shared" si="279"/>
        <v>0</v>
      </c>
      <c r="AK487" s="124">
        <f t="shared" si="279"/>
        <v>0</v>
      </c>
      <c r="AL487" s="124">
        <f t="shared" si="279"/>
        <v>0</v>
      </c>
      <c r="AM487" s="124">
        <f t="shared" si="279"/>
        <v>0</v>
      </c>
      <c r="AN487" s="124">
        <f t="shared" si="279"/>
        <v>0</v>
      </c>
      <c r="AO487" s="124">
        <f t="shared" si="279"/>
        <v>0</v>
      </c>
      <c r="AP487" s="124">
        <f t="shared" si="279"/>
        <v>0</v>
      </c>
    </row>
    <row r="488" spans="1:42" s="101" customFormat="1" x14ac:dyDescent="0.2">
      <c r="A488" s="187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</row>
    <row r="489" spans="1:42" x14ac:dyDescent="0.2">
      <c r="A489" s="162" t="s">
        <v>58</v>
      </c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</row>
    <row r="490" spans="1:42" x14ac:dyDescent="0.2">
      <c r="A490" s="180" t="str">
        <f>'Inputs &amp; Results'!A54</f>
        <v>Fixed Amount ($)</v>
      </c>
      <c r="B490" s="101"/>
      <c r="C490" s="101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</row>
    <row r="491" spans="1:42" x14ac:dyDescent="0.2">
      <c r="A491" s="187" t="str">
        <f>'Inputs &amp; Results'!A55</f>
        <v>Federal</v>
      </c>
      <c r="B491" s="101"/>
      <c r="C491" s="181">
        <f>IBIFedFixed</f>
        <v>0</v>
      </c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</row>
    <row r="492" spans="1:42" x14ac:dyDescent="0.2">
      <c r="A492" s="187" t="str">
        <f>'Inputs &amp; Results'!A56</f>
        <v>State</v>
      </c>
      <c r="B492" s="101"/>
      <c r="C492" s="181">
        <f>IBIStateFixed</f>
        <v>0</v>
      </c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</row>
    <row r="493" spans="1:42" x14ac:dyDescent="0.2">
      <c r="A493" s="187" t="str">
        <f>'Inputs &amp; Results'!A57</f>
        <v>Utility</v>
      </c>
      <c r="B493" s="101"/>
      <c r="C493" s="181">
        <f>IBIUtilityFixed</f>
        <v>0</v>
      </c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</row>
    <row r="494" spans="1:42" x14ac:dyDescent="0.2">
      <c r="A494" s="187" t="str">
        <f>'Inputs &amp; Results'!A58</f>
        <v>Other</v>
      </c>
      <c r="C494" s="186">
        <f>IBIOtherFixed</f>
        <v>0</v>
      </c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</row>
    <row r="495" spans="1:42" x14ac:dyDescent="0.2">
      <c r="A495" s="167" t="s">
        <v>53</v>
      </c>
      <c r="C495" s="169">
        <f>SUM(C491:C494)</f>
        <v>0</v>
      </c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</row>
    <row r="496" spans="1:42" x14ac:dyDescent="0.2">
      <c r="A496" s="180" t="str">
        <f>'Inputs &amp; Results'!A59</f>
        <v>Percentage of Pre-Financing Costs</v>
      </c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</row>
    <row r="497" spans="1:42" x14ac:dyDescent="0.2">
      <c r="A497" s="187" t="str">
        <f>'Inputs &amp; Results'!A60</f>
        <v>Federal</v>
      </c>
      <c r="C497" s="181">
        <f>IBIFedPercent</f>
        <v>0</v>
      </c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</row>
    <row r="498" spans="1:42" x14ac:dyDescent="0.2">
      <c r="A498" s="187" t="str">
        <f>'Inputs &amp; Results'!A61</f>
        <v>State</v>
      </c>
      <c r="C498" s="181">
        <f>IBIStatePercent</f>
        <v>0</v>
      </c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</row>
    <row r="499" spans="1:42" x14ac:dyDescent="0.2">
      <c r="A499" s="187" t="str">
        <f>'Inputs &amp; Results'!A62</f>
        <v>Utility</v>
      </c>
      <c r="C499" s="181">
        <f>IBIUtilityPercent</f>
        <v>0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</row>
    <row r="500" spans="1:42" x14ac:dyDescent="0.2">
      <c r="A500" s="187" t="str">
        <f>'Inputs &amp; Results'!A63</f>
        <v>Other</v>
      </c>
      <c r="C500" s="186">
        <f>IBIOtherPercent</f>
        <v>0</v>
      </c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</row>
    <row r="501" spans="1:42" x14ac:dyDescent="0.2">
      <c r="A501" s="187" t="s">
        <v>53</v>
      </c>
      <c r="C501" s="169">
        <f>SUM(C497:C500)</f>
        <v>0</v>
      </c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</row>
    <row r="502" spans="1:42" x14ac:dyDescent="0.2">
      <c r="A502" s="162" t="s">
        <v>120</v>
      </c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</row>
    <row r="503" spans="1:42" x14ac:dyDescent="0.2">
      <c r="A503" s="180" t="str">
        <f>'Inputs &amp; Results'!A65</f>
        <v>Federal</v>
      </c>
      <c r="B503" s="101"/>
      <c r="C503" s="181">
        <f>CBIFed</f>
        <v>0</v>
      </c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</row>
    <row r="504" spans="1:42" x14ac:dyDescent="0.2">
      <c r="A504" s="180" t="str">
        <f>'Inputs &amp; Results'!A66</f>
        <v>State</v>
      </c>
      <c r="B504" s="101"/>
      <c r="C504" s="181">
        <f>CBIState</f>
        <v>0</v>
      </c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</row>
    <row r="505" spans="1:42" x14ac:dyDescent="0.2">
      <c r="A505" s="180" t="str">
        <f>'Inputs &amp; Results'!A67</f>
        <v>Utility</v>
      </c>
      <c r="B505" s="101"/>
      <c r="C505" s="181">
        <f>CBIUtility</f>
        <v>0</v>
      </c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</row>
    <row r="506" spans="1:42" x14ac:dyDescent="0.2">
      <c r="A506" s="180" t="str">
        <f>'Inputs &amp; Results'!A68</f>
        <v>Other</v>
      </c>
      <c r="C506" s="186">
        <f>CBIOther</f>
        <v>0</v>
      </c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</row>
    <row r="507" spans="1:42" x14ac:dyDescent="0.2">
      <c r="A507" s="163" t="s">
        <v>53</v>
      </c>
      <c r="C507" s="169">
        <f>SUM(C503:C506)</f>
        <v>0</v>
      </c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</row>
    <row r="508" spans="1:42" x14ac:dyDescent="0.2"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</row>
    <row r="509" spans="1:42" x14ac:dyDescent="0.2">
      <c r="A509" s="162" t="s">
        <v>117</v>
      </c>
    </row>
    <row r="510" spans="1:42" x14ac:dyDescent="0.2">
      <c r="A510" s="163" t="str">
        <f>'Inputs &amp; Results'!A72</f>
        <v>Federal</v>
      </c>
    </row>
    <row r="511" spans="1:42" x14ac:dyDescent="0.2">
      <c r="A511" s="167" t="s">
        <v>118</v>
      </c>
      <c r="C511" s="215">
        <f t="shared" ref="C511:AP511" si="280">IF(AND(C$2&lt;=PBIFedTerm,C$2&lt;=AnalysisPeriod),PBIFed*(1+PBIFedEsc)^B$2,0)</f>
        <v>0</v>
      </c>
      <c r="D511" s="215">
        <f t="shared" si="280"/>
        <v>0</v>
      </c>
      <c r="E511" s="215">
        <f t="shared" si="280"/>
        <v>0</v>
      </c>
      <c r="F511" s="215">
        <f t="shared" si="280"/>
        <v>0</v>
      </c>
      <c r="G511" s="215">
        <f t="shared" si="280"/>
        <v>0</v>
      </c>
      <c r="H511" s="215">
        <f t="shared" si="280"/>
        <v>0</v>
      </c>
      <c r="I511" s="215">
        <f t="shared" si="280"/>
        <v>0</v>
      </c>
      <c r="J511" s="215">
        <f t="shared" si="280"/>
        <v>0</v>
      </c>
      <c r="K511" s="215">
        <f t="shared" si="280"/>
        <v>0</v>
      </c>
      <c r="L511" s="215">
        <f t="shared" si="280"/>
        <v>0</v>
      </c>
      <c r="M511" s="215">
        <f t="shared" si="280"/>
        <v>0</v>
      </c>
      <c r="N511" s="215">
        <f t="shared" si="280"/>
        <v>0</v>
      </c>
      <c r="O511" s="215">
        <f t="shared" si="280"/>
        <v>0</v>
      </c>
      <c r="P511" s="215">
        <f t="shared" si="280"/>
        <v>0</v>
      </c>
      <c r="Q511" s="215">
        <f t="shared" si="280"/>
        <v>0</v>
      </c>
      <c r="R511" s="215">
        <f t="shared" si="280"/>
        <v>0</v>
      </c>
      <c r="S511" s="215">
        <f t="shared" si="280"/>
        <v>0</v>
      </c>
      <c r="T511" s="215">
        <f t="shared" si="280"/>
        <v>0</v>
      </c>
      <c r="U511" s="215">
        <f t="shared" si="280"/>
        <v>0</v>
      </c>
      <c r="V511" s="215">
        <f t="shared" si="280"/>
        <v>0</v>
      </c>
      <c r="W511" s="215">
        <f t="shared" si="280"/>
        <v>0</v>
      </c>
      <c r="X511" s="215">
        <f t="shared" si="280"/>
        <v>0</v>
      </c>
      <c r="Y511" s="215">
        <f t="shared" si="280"/>
        <v>0</v>
      </c>
      <c r="Z511" s="215">
        <f t="shared" si="280"/>
        <v>0</v>
      </c>
      <c r="AA511" s="215">
        <f t="shared" si="280"/>
        <v>0</v>
      </c>
      <c r="AB511" s="215">
        <f t="shared" si="280"/>
        <v>0</v>
      </c>
      <c r="AC511" s="215">
        <f t="shared" si="280"/>
        <v>0</v>
      </c>
      <c r="AD511" s="215">
        <f t="shared" si="280"/>
        <v>0</v>
      </c>
      <c r="AE511" s="215">
        <f t="shared" si="280"/>
        <v>0</v>
      </c>
      <c r="AF511" s="215">
        <f t="shared" si="280"/>
        <v>0</v>
      </c>
      <c r="AG511" s="215">
        <f t="shared" si="280"/>
        <v>0</v>
      </c>
      <c r="AH511" s="215">
        <f t="shared" si="280"/>
        <v>0</v>
      </c>
      <c r="AI511" s="215">
        <f t="shared" si="280"/>
        <v>0</v>
      </c>
      <c r="AJ511" s="215">
        <f t="shared" si="280"/>
        <v>0</v>
      </c>
      <c r="AK511" s="215">
        <f t="shared" si="280"/>
        <v>0</v>
      </c>
      <c r="AL511" s="215">
        <f t="shared" si="280"/>
        <v>0</v>
      </c>
      <c r="AM511" s="215">
        <f t="shared" si="280"/>
        <v>0</v>
      </c>
      <c r="AN511" s="215">
        <f t="shared" si="280"/>
        <v>0</v>
      </c>
      <c r="AO511" s="215">
        <f t="shared" si="280"/>
        <v>0</v>
      </c>
      <c r="AP511" s="215">
        <f t="shared" si="280"/>
        <v>0</v>
      </c>
    </row>
    <row r="512" spans="1:42" x14ac:dyDescent="0.2">
      <c r="A512" s="167" t="s">
        <v>119</v>
      </c>
      <c r="C512" s="186">
        <f>C$5</f>
        <v>16188480</v>
      </c>
      <c r="D512" s="186">
        <f t="shared" ref="D512:AP512" si="281">D$5</f>
        <v>16107537.6</v>
      </c>
      <c r="E512" s="186">
        <f t="shared" si="281"/>
        <v>16026999.912</v>
      </c>
      <c r="F512" s="186">
        <f t="shared" si="281"/>
        <v>15946864.91244</v>
      </c>
      <c r="G512" s="186">
        <f t="shared" si="281"/>
        <v>15867130.587877801</v>
      </c>
      <c r="H512" s="186">
        <f t="shared" si="281"/>
        <v>15787794.934938412</v>
      </c>
      <c r="I512" s="186">
        <f t="shared" si="281"/>
        <v>15708855.96026372</v>
      </c>
      <c r="J512" s="186">
        <f t="shared" si="281"/>
        <v>15630311.680462401</v>
      </c>
      <c r="K512" s="186">
        <f t="shared" si="281"/>
        <v>15552160.12206009</v>
      </c>
      <c r="L512" s="186">
        <f t="shared" si="281"/>
        <v>15474399.321449788</v>
      </c>
      <c r="M512" s="186">
        <f t="shared" si="281"/>
        <v>15397027.324842541</v>
      </c>
      <c r="N512" s="186">
        <f t="shared" si="281"/>
        <v>15320042.188218327</v>
      </c>
      <c r="O512" s="186">
        <f t="shared" si="281"/>
        <v>15243441.977277236</v>
      </c>
      <c r="P512" s="186">
        <f t="shared" si="281"/>
        <v>15167224.767390851</v>
      </c>
      <c r="Q512" s="186">
        <f t="shared" si="281"/>
        <v>15091388.643553898</v>
      </c>
      <c r="R512" s="186">
        <f t="shared" si="281"/>
        <v>15015931.700336127</v>
      </c>
      <c r="S512" s="186">
        <f t="shared" si="281"/>
        <v>14940852.041834446</v>
      </c>
      <c r="T512" s="186">
        <f t="shared" si="281"/>
        <v>14866147.781625275</v>
      </c>
      <c r="U512" s="186">
        <f t="shared" si="281"/>
        <v>14791817.042717148</v>
      </c>
      <c r="V512" s="186">
        <f t="shared" si="281"/>
        <v>14717857.957503561</v>
      </c>
      <c r="W512" s="186">
        <f t="shared" si="281"/>
        <v>14644268.667716045</v>
      </c>
      <c r="X512" s="186">
        <f t="shared" si="281"/>
        <v>14571047.324377464</v>
      </c>
      <c r="Y512" s="186">
        <f t="shared" si="281"/>
        <v>14498192.087755578</v>
      </c>
      <c r="Z512" s="186">
        <f t="shared" si="281"/>
        <v>14425701.127316799</v>
      </c>
      <c r="AA512" s="186">
        <f t="shared" si="281"/>
        <v>14353572.621680215</v>
      </c>
      <c r="AB512" s="186">
        <f t="shared" si="281"/>
        <v>14281804.758571815</v>
      </c>
      <c r="AC512" s="186">
        <f t="shared" si="281"/>
        <v>14210395.734778956</v>
      </c>
      <c r="AD512" s="186">
        <f t="shared" si="281"/>
        <v>14139343.75610506</v>
      </c>
      <c r="AE512" s="186">
        <f t="shared" si="281"/>
        <v>14068647.037324537</v>
      </c>
      <c r="AF512" s="186">
        <f t="shared" si="281"/>
        <v>13998303.802137915</v>
      </c>
      <c r="AG512" s="186">
        <f t="shared" si="281"/>
        <v>13928312.283127224</v>
      </c>
      <c r="AH512" s="186">
        <f t="shared" si="281"/>
        <v>13858670.721711587</v>
      </c>
      <c r="AI512" s="186">
        <f t="shared" si="281"/>
        <v>13789377.368103029</v>
      </c>
      <c r="AJ512" s="186">
        <f t="shared" si="281"/>
        <v>13720430.481262514</v>
      </c>
      <c r="AK512" s="186">
        <f t="shared" si="281"/>
        <v>13651828.328856202</v>
      </c>
      <c r="AL512" s="186">
        <f t="shared" si="281"/>
        <v>13583569.187211921</v>
      </c>
      <c r="AM512" s="186">
        <f t="shared" si="281"/>
        <v>13515651.341275861</v>
      </c>
      <c r="AN512" s="186">
        <f t="shared" si="281"/>
        <v>13448073.084569484</v>
      </c>
      <c r="AO512" s="186">
        <f t="shared" si="281"/>
        <v>13380832.719146635</v>
      </c>
      <c r="AP512" s="186">
        <f t="shared" si="281"/>
        <v>13313928.555550903</v>
      </c>
    </row>
    <row r="513" spans="1:42" x14ac:dyDescent="0.2">
      <c r="A513" s="167" t="s">
        <v>53</v>
      </c>
      <c r="C513" s="181">
        <f>C511*C512</f>
        <v>0</v>
      </c>
      <c r="D513" s="181">
        <f t="shared" ref="D513:AP513" si="282">D511*D512</f>
        <v>0</v>
      </c>
      <c r="E513" s="181">
        <f t="shared" si="282"/>
        <v>0</v>
      </c>
      <c r="F513" s="181">
        <f t="shared" si="282"/>
        <v>0</v>
      </c>
      <c r="G513" s="181">
        <f t="shared" si="282"/>
        <v>0</v>
      </c>
      <c r="H513" s="181">
        <f t="shared" si="282"/>
        <v>0</v>
      </c>
      <c r="I513" s="181">
        <f t="shared" si="282"/>
        <v>0</v>
      </c>
      <c r="J513" s="181">
        <f t="shared" si="282"/>
        <v>0</v>
      </c>
      <c r="K513" s="181">
        <f t="shared" si="282"/>
        <v>0</v>
      </c>
      <c r="L513" s="181">
        <f t="shared" si="282"/>
        <v>0</v>
      </c>
      <c r="M513" s="181">
        <f t="shared" si="282"/>
        <v>0</v>
      </c>
      <c r="N513" s="181">
        <f t="shared" si="282"/>
        <v>0</v>
      </c>
      <c r="O513" s="181">
        <f t="shared" si="282"/>
        <v>0</v>
      </c>
      <c r="P513" s="181">
        <f t="shared" si="282"/>
        <v>0</v>
      </c>
      <c r="Q513" s="181">
        <f t="shared" si="282"/>
        <v>0</v>
      </c>
      <c r="R513" s="181">
        <f t="shared" si="282"/>
        <v>0</v>
      </c>
      <c r="S513" s="181">
        <f t="shared" si="282"/>
        <v>0</v>
      </c>
      <c r="T513" s="181">
        <f t="shared" si="282"/>
        <v>0</v>
      </c>
      <c r="U513" s="181">
        <f t="shared" si="282"/>
        <v>0</v>
      </c>
      <c r="V513" s="181">
        <f t="shared" si="282"/>
        <v>0</v>
      </c>
      <c r="W513" s="181">
        <f t="shared" si="282"/>
        <v>0</v>
      </c>
      <c r="X513" s="181">
        <f t="shared" si="282"/>
        <v>0</v>
      </c>
      <c r="Y513" s="181">
        <f t="shared" si="282"/>
        <v>0</v>
      </c>
      <c r="Z513" s="181">
        <f t="shared" si="282"/>
        <v>0</v>
      </c>
      <c r="AA513" s="181">
        <f t="shared" si="282"/>
        <v>0</v>
      </c>
      <c r="AB513" s="181">
        <f t="shared" si="282"/>
        <v>0</v>
      </c>
      <c r="AC513" s="181">
        <f t="shared" si="282"/>
        <v>0</v>
      </c>
      <c r="AD513" s="181">
        <f t="shared" si="282"/>
        <v>0</v>
      </c>
      <c r="AE513" s="181">
        <f t="shared" si="282"/>
        <v>0</v>
      </c>
      <c r="AF513" s="181">
        <f t="shared" si="282"/>
        <v>0</v>
      </c>
      <c r="AG513" s="181">
        <f t="shared" si="282"/>
        <v>0</v>
      </c>
      <c r="AH513" s="181">
        <f t="shared" si="282"/>
        <v>0</v>
      </c>
      <c r="AI513" s="181">
        <f t="shared" si="282"/>
        <v>0</v>
      </c>
      <c r="AJ513" s="181">
        <f t="shared" si="282"/>
        <v>0</v>
      </c>
      <c r="AK513" s="181">
        <f t="shared" si="282"/>
        <v>0</v>
      </c>
      <c r="AL513" s="181">
        <f t="shared" si="282"/>
        <v>0</v>
      </c>
      <c r="AM513" s="181">
        <f t="shared" si="282"/>
        <v>0</v>
      </c>
      <c r="AN513" s="181">
        <f t="shared" si="282"/>
        <v>0</v>
      </c>
      <c r="AO513" s="181">
        <f t="shared" si="282"/>
        <v>0</v>
      </c>
      <c r="AP513" s="181">
        <f t="shared" si="282"/>
        <v>0</v>
      </c>
    </row>
    <row r="514" spans="1:42" x14ac:dyDescent="0.2">
      <c r="A514" s="163" t="str">
        <f>'Inputs &amp; Results'!A73</f>
        <v>State</v>
      </c>
    </row>
    <row r="515" spans="1:42" x14ac:dyDescent="0.2">
      <c r="A515" s="167" t="s">
        <v>118</v>
      </c>
      <c r="C515" s="215">
        <f t="shared" ref="C515:AP515" si="283">IF(AND(C$2&lt;=PBIStateTerm,C$2&lt;=AnalysisPeriod),PBIState*(1+PBIStateEsc)^B$2,0)</f>
        <v>0</v>
      </c>
      <c r="D515" s="215">
        <f t="shared" si="283"/>
        <v>0</v>
      </c>
      <c r="E515" s="215">
        <f t="shared" si="283"/>
        <v>0</v>
      </c>
      <c r="F515" s="215">
        <f t="shared" si="283"/>
        <v>0</v>
      </c>
      <c r="G515" s="215">
        <f t="shared" si="283"/>
        <v>0</v>
      </c>
      <c r="H515" s="215">
        <f t="shared" si="283"/>
        <v>0</v>
      </c>
      <c r="I515" s="215">
        <f t="shared" si="283"/>
        <v>0</v>
      </c>
      <c r="J515" s="215">
        <f t="shared" si="283"/>
        <v>0</v>
      </c>
      <c r="K515" s="215">
        <f t="shared" si="283"/>
        <v>0</v>
      </c>
      <c r="L515" s="215">
        <f t="shared" si="283"/>
        <v>0</v>
      </c>
      <c r="M515" s="215">
        <f t="shared" si="283"/>
        <v>0</v>
      </c>
      <c r="N515" s="215">
        <f t="shared" si="283"/>
        <v>0</v>
      </c>
      <c r="O515" s="215">
        <f t="shared" si="283"/>
        <v>0</v>
      </c>
      <c r="P515" s="215">
        <f t="shared" si="283"/>
        <v>0</v>
      </c>
      <c r="Q515" s="215">
        <f t="shared" si="283"/>
        <v>0</v>
      </c>
      <c r="R515" s="215">
        <f t="shared" si="283"/>
        <v>0</v>
      </c>
      <c r="S515" s="215">
        <f t="shared" si="283"/>
        <v>0</v>
      </c>
      <c r="T515" s="215">
        <f t="shared" si="283"/>
        <v>0</v>
      </c>
      <c r="U515" s="215">
        <f t="shared" si="283"/>
        <v>0</v>
      </c>
      <c r="V515" s="215">
        <f t="shared" si="283"/>
        <v>0</v>
      </c>
      <c r="W515" s="215">
        <f t="shared" si="283"/>
        <v>0</v>
      </c>
      <c r="X515" s="215">
        <f t="shared" si="283"/>
        <v>0</v>
      </c>
      <c r="Y515" s="215">
        <f t="shared" si="283"/>
        <v>0</v>
      </c>
      <c r="Z515" s="215">
        <f t="shared" si="283"/>
        <v>0</v>
      </c>
      <c r="AA515" s="215">
        <f t="shared" si="283"/>
        <v>0</v>
      </c>
      <c r="AB515" s="215">
        <f t="shared" si="283"/>
        <v>0</v>
      </c>
      <c r="AC515" s="215">
        <f t="shared" si="283"/>
        <v>0</v>
      </c>
      <c r="AD515" s="215">
        <f t="shared" si="283"/>
        <v>0</v>
      </c>
      <c r="AE515" s="215">
        <f t="shared" si="283"/>
        <v>0</v>
      </c>
      <c r="AF515" s="215">
        <f t="shared" si="283"/>
        <v>0</v>
      </c>
      <c r="AG515" s="215">
        <f t="shared" si="283"/>
        <v>0</v>
      </c>
      <c r="AH515" s="215">
        <f t="shared" si="283"/>
        <v>0</v>
      </c>
      <c r="AI515" s="215">
        <f t="shared" si="283"/>
        <v>0</v>
      </c>
      <c r="AJ515" s="215">
        <f t="shared" si="283"/>
        <v>0</v>
      </c>
      <c r="AK515" s="215">
        <f t="shared" si="283"/>
        <v>0</v>
      </c>
      <c r="AL515" s="215">
        <f t="shared" si="283"/>
        <v>0</v>
      </c>
      <c r="AM515" s="215">
        <f t="shared" si="283"/>
        <v>0</v>
      </c>
      <c r="AN515" s="215">
        <f t="shared" si="283"/>
        <v>0</v>
      </c>
      <c r="AO515" s="215">
        <f t="shared" si="283"/>
        <v>0</v>
      </c>
      <c r="AP515" s="215">
        <f t="shared" si="283"/>
        <v>0</v>
      </c>
    </row>
    <row r="516" spans="1:42" x14ac:dyDescent="0.2">
      <c r="A516" s="167" t="s">
        <v>119</v>
      </c>
      <c r="C516" s="186">
        <f>C$5</f>
        <v>16188480</v>
      </c>
      <c r="D516" s="186">
        <f t="shared" ref="D516:AP516" si="284">D$5</f>
        <v>16107537.6</v>
      </c>
      <c r="E516" s="186">
        <f t="shared" si="284"/>
        <v>16026999.912</v>
      </c>
      <c r="F516" s="186">
        <f t="shared" si="284"/>
        <v>15946864.91244</v>
      </c>
      <c r="G516" s="186">
        <f t="shared" si="284"/>
        <v>15867130.587877801</v>
      </c>
      <c r="H516" s="186">
        <f t="shared" si="284"/>
        <v>15787794.934938412</v>
      </c>
      <c r="I516" s="186">
        <f t="shared" si="284"/>
        <v>15708855.96026372</v>
      </c>
      <c r="J516" s="186">
        <f t="shared" si="284"/>
        <v>15630311.680462401</v>
      </c>
      <c r="K516" s="186">
        <f t="shared" si="284"/>
        <v>15552160.12206009</v>
      </c>
      <c r="L516" s="186">
        <f t="shared" si="284"/>
        <v>15474399.321449788</v>
      </c>
      <c r="M516" s="186">
        <f t="shared" si="284"/>
        <v>15397027.324842541</v>
      </c>
      <c r="N516" s="186">
        <f t="shared" si="284"/>
        <v>15320042.188218327</v>
      </c>
      <c r="O516" s="186">
        <f t="shared" si="284"/>
        <v>15243441.977277236</v>
      </c>
      <c r="P516" s="186">
        <f t="shared" si="284"/>
        <v>15167224.767390851</v>
      </c>
      <c r="Q516" s="186">
        <f t="shared" si="284"/>
        <v>15091388.643553898</v>
      </c>
      <c r="R516" s="186">
        <f t="shared" si="284"/>
        <v>15015931.700336127</v>
      </c>
      <c r="S516" s="186">
        <f t="shared" si="284"/>
        <v>14940852.041834446</v>
      </c>
      <c r="T516" s="186">
        <f t="shared" si="284"/>
        <v>14866147.781625275</v>
      </c>
      <c r="U516" s="186">
        <f t="shared" si="284"/>
        <v>14791817.042717148</v>
      </c>
      <c r="V516" s="186">
        <f t="shared" si="284"/>
        <v>14717857.957503561</v>
      </c>
      <c r="W516" s="186">
        <f t="shared" si="284"/>
        <v>14644268.667716045</v>
      </c>
      <c r="X516" s="186">
        <f t="shared" si="284"/>
        <v>14571047.324377464</v>
      </c>
      <c r="Y516" s="186">
        <f t="shared" si="284"/>
        <v>14498192.087755578</v>
      </c>
      <c r="Z516" s="186">
        <f t="shared" si="284"/>
        <v>14425701.127316799</v>
      </c>
      <c r="AA516" s="186">
        <f t="shared" si="284"/>
        <v>14353572.621680215</v>
      </c>
      <c r="AB516" s="186">
        <f t="shared" si="284"/>
        <v>14281804.758571815</v>
      </c>
      <c r="AC516" s="186">
        <f t="shared" si="284"/>
        <v>14210395.734778956</v>
      </c>
      <c r="AD516" s="186">
        <f t="shared" si="284"/>
        <v>14139343.75610506</v>
      </c>
      <c r="AE516" s="186">
        <f t="shared" si="284"/>
        <v>14068647.037324537</v>
      </c>
      <c r="AF516" s="186">
        <f t="shared" si="284"/>
        <v>13998303.802137915</v>
      </c>
      <c r="AG516" s="186">
        <f t="shared" si="284"/>
        <v>13928312.283127224</v>
      </c>
      <c r="AH516" s="186">
        <f t="shared" si="284"/>
        <v>13858670.721711587</v>
      </c>
      <c r="AI516" s="186">
        <f t="shared" si="284"/>
        <v>13789377.368103029</v>
      </c>
      <c r="AJ516" s="186">
        <f t="shared" si="284"/>
        <v>13720430.481262514</v>
      </c>
      <c r="AK516" s="186">
        <f t="shared" si="284"/>
        <v>13651828.328856202</v>
      </c>
      <c r="AL516" s="186">
        <f t="shared" si="284"/>
        <v>13583569.187211921</v>
      </c>
      <c r="AM516" s="186">
        <f t="shared" si="284"/>
        <v>13515651.341275861</v>
      </c>
      <c r="AN516" s="186">
        <f t="shared" si="284"/>
        <v>13448073.084569484</v>
      </c>
      <c r="AO516" s="186">
        <f t="shared" si="284"/>
        <v>13380832.719146635</v>
      </c>
      <c r="AP516" s="186">
        <f t="shared" si="284"/>
        <v>13313928.555550903</v>
      </c>
    </row>
    <row r="517" spans="1:42" x14ac:dyDescent="0.2">
      <c r="A517" s="167" t="s">
        <v>53</v>
      </c>
      <c r="C517" s="181">
        <f>C515*C516</f>
        <v>0</v>
      </c>
      <c r="D517" s="181">
        <f t="shared" ref="D517:AP517" si="285">D515*D516</f>
        <v>0</v>
      </c>
      <c r="E517" s="181">
        <f t="shared" si="285"/>
        <v>0</v>
      </c>
      <c r="F517" s="181">
        <f t="shared" si="285"/>
        <v>0</v>
      </c>
      <c r="G517" s="181">
        <f t="shared" si="285"/>
        <v>0</v>
      </c>
      <c r="H517" s="181">
        <f t="shared" si="285"/>
        <v>0</v>
      </c>
      <c r="I517" s="181">
        <f t="shared" si="285"/>
        <v>0</v>
      </c>
      <c r="J517" s="181">
        <f t="shared" si="285"/>
        <v>0</v>
      </c>
      <c r="K517" s="181">
        <f t="shared" si="285"/>
        <v>0</v>
      </c>
      <c r="L517" s="181">
        <f t="shared" si="285"/>
        <v>0</v>
      </c>
      <c r="M517" s="181">
        <f t="shared" si="285"/>
        <v>0</v>
      </c>
      <c r="N517" s="181">
        <f t="shared" si="285"/>
        <v>0</v>
      </c>
      <c r="O517" s="181">
        <f t="shared" si="285"/>
        <v>0</v>
      </c>
      <c r="P517" s="181">
        <f t="shared" si="285"/>
        <v>0</v>
      </c>
      <c r="Q517" s="181">
        <f t="shared" si="285"/>
        <v>0</v>
      </c>
      <c r="R517" s="181">
        <f t="shared" si="285"/>
        <v>0</v>
      </c>
      <c r="S517" s="181">
        <f t="shared" si="285"/>
        <v>0</v>
      </c>
      <c r="T517" s="181">
        <f t="shared" si="285"/>
        <v>0</v>
      </c>
      <c r="U517" s="181">
        <f t="shared" si="285"/>
        <v>0</v>
      </c>
      <c r="V517" s="181">
        <f t="shared" si="285"/>
        <v>0</v>
      </c>
      <c r="W517" s="181">
        <f t="shared" si="285"/>
        <v>0</v>
      </c>
      <c r="X517" s="181">
        <f t="shared" si="285"/>
        <v>0</v>
      </c>
      <c r="Y517" s="181">
        <f t="shared" si="285"/>
        <v>0</v>
      </c>
      <c r="Z517" s="181">
        <f t="shared" si="285"/>
        <v>0</v>
      </c>
      <c r="AA517" s="181">
        <f t="shared" si="285"/>
        <v>0</v>
      </c>
      <c r="AB517" s="181">
        <f t="shared" si="285"/>
        <v>0</v>
      </c>
      <c r="AC517" s="181">
        <f t="shared" si="285"/>
        <v>0</v>
      </c>
      <c r="AD517" s="181">
        <f t="shared" si="285"/>
        <v>0</v>
      </c>
      <c r="AE517" s="181">
        <f t="shared" si="285"/>
        <v>0</v>
      </c>
      <c r="AF517" s="181">
        <f t="shared" si="285"/>
        <v>0</v>
      </c>
      <c r="AG517" s="181">
        <f t="shared" si="285"/>
        <v>0</v>
      </c>
      <c r="AH517" s="181">
        <f t="shared" si="285"/>
        <v>0</v>
      </c>
      <c r="AI517" s="181">
        <f t="shared" si="285"/>
        <v>0</v>
      </c>
      <c r="AJ517" s="181">
        <f t="shared" si="285"/>
        <v>0</v>
      </c>
      <c r="AK517" s="181">
        <f t="shared" si="285"/>
        <v>0</v>
      </c>
      <c r="AL517" s="181">
        <f t="shared" si="285"/>
        <v>0</v>
      </c>
      <c r="AM517" s="181">
        <f t="shared" si="285"/>
        <v>0</v>
      </c>
      <c r="AN517" s="181">
        <f t="shared" si="285"/>
        <v>0</v>
      </c>
      <c r="AO517" s="181">
        <f t="shared" si="285"/>
        <v>0</v>
      </c>
      <c r="AP517" s="181">
        <f t="shared" si="285"/>
        <v>0</v>
      </c>
    </row>
    <row r="518" spans="1:42" x14ac:dyDescent="0.2">
      <c r="A518" s="163" t="str">
        <f>'Inputs &amp; Results'!A74</f>
        <v>Utility</v>
      </c>
    </row>
    <row r="519" spans="1:42" x14ac:dyDescent="0.2">
      <c r="A519" s="167" t="s">
        <v>118</v>
      </c>
      <c r="C519" s="215">
        <f t="shared" ref="C519:AP519" si="286">IF(AND(C$2&lt;=PBIUtilityTerm,C$2&lt;=AnalysisPeriod),PBIUtility*(1+PBIUtilityEsc)^B$2,0)</f>
        <v>0</v>
      </c>
      <c r="D519" s="215">
        <f t="shared" si="286"/>
        <v>0</v>
      </c>
      <c r="E519" s="215">
        <f t="shared" si="286"/>
        <v>0</v>
      </c>
      <c r="F519" s="215">
        <f t="shared" si="286"/>
        <v>0</v>
      </c>
      <c r="G519" s="215">
        <f t="shared" si="286"/>
        <v>0</v>
      </c>
      <c r="H519" s="215">
        <f t="shared" si="286"/>
        <v>0</v>
      </c>
      <c r="I519" s="215">
        <f t="shared" si="286"/>
        <v>0</v>
      </c>
      <c r="J519" s="215">
        <f t="shared" si="286"/>
        <v>0</v>
      </c>
      <c r="K519" s="215">
        <f t="shared" si="286"/>
        <v>0</v>
      </c>
      <c r="L519" s="215">
        <f t="shared" si="286"/>
        <v>0</v>
      </c>
      <c r="M519" s="215">
        <f t="shared" si="286"/>
        <v>0</v>
      </c>
      <c r="N519" s="215">
        <f t="shared" si="286"/>
        <v>0</v>
      </c>
      <c r="O519" s="215">
        <f t="shared" si="286"/>
        <v>0</v>
      </c>
      <c r="P519" s="215">
        <f t="shared" si="286"/>
        <v>0</v>
      </c>
      <c r="Q519" s="215">
        <f t="shared" si="286"/>
        <v>0</v>
      </c>
      <c r="R519" s="215">
        <f t="shared" si="286"/>
        <v>0</v>
      </c>
      <c r="S519" s="215">
        <f t="shared" si="286"/>
        <v>0</v>
      </c>
      <c r="T519" s="215">
        <f t="shared" si="286"/>
        <v>0</v>
      </c>
      <c r="U519" s="215">
        <f t="shared" si="286"/>
        <v>0</v>
      </c>
      <c r="V519" s="215">
        <f t="shared" si="286"/>
        <v>0</v>
      </c>
      <c r="W519" s="215">
        <f t="shared" si="286"/>
        <v>0</v>
      </c>
      <c r="X519" s="215">
        <f t="shared" si="286"/>
        <v>0</v>
      </c>
      <c r="Y519" s="215">
        <f t="shared" si="286"/>
        <v>0</v>
      </c>
      <c r="Z519" s="215">
        <f t="shared" si="286"/>
        <v>0</v>
      </c>
      <c r="AA519" s="215">
        <f t="shared" si="286"/>
        <v>0</v>
      </c>
      <c r="AB519" s="215">
        <f t="shared" si="286"/>
        <v>0</v>
      </c>
      <c r="AC519" s="215">
        <f t="shared" si="286"/>
        <v>0</v>
      </c>
      <c r="AD519" s="215">
        <f t="shared" si="286"/>
        <v>0</v>
      </c>
      <c r="AE519" s="215">
        <f t="shared" si="286"/>
        <v>0</v>
      </c>
      <c r="AF519" s="215">
        <f t="shared" si="286"/>
        <v>0</v>
      </c>
      <c r="AG519" s="215">
        <f t="shared" si="286"/>
        <v>0</v>
      </c>
      <c r="AH519" s="215">
        <f t="shared" si="286"/>
        <v>0</v>
      </c>
      <c r="AI519" s="215">
        <f t="shared" si="286"/>
        <v>0</v>
      </c>
      <c r="AJ519" s="215">
        <f t="shared" si="286"/>
        <v>0</v>
      </c>
      <c r="AK519" s="215">
        <f t="shared" si="286"/>
        <v>0</v>
      </c>
      <c r="AL519" s="215">
        <f t="shared" si="286"/>
        <v>0</v>
      </c>
      <c r="AM519" s="215">
        <f t="shared" si="286"/>
        <v>0</v>
      </c>
      <c r="AN519" s="215">
        <f t="shared" si="286"/>
        <v>0</v>
      </c>
      <c r="AO519" s="215">
        <f t="shared" si="286"/>
        <v>0</v>
      </c>
      <c r="AP519" s="215">
        <f t="shared" si="286"/>
        <v>0</v>
      </c>
    </row>
    <row r="520" spans="1:42" x14ac:dyDescent="0.2">
      <c r="A520" s="167" t="s">
        <v>119</v>
      </c>
      <c r="C520" s="186">
        <f>C$5</f>
        <v>16188480</v>
      </c>
      <c r="D520" s="186">
        <f t="shared" ref="D520:AP520" si="287">D$5</f>
        <v>16107537.6</v>
      </c>
      <c r="E520" s="186">
        <f t="shared" si="287"/>
        <v>16026999.912</v>
      </c>
      <c r="F520" s="186">
        <f t="shared" si="287"/>
        <v>15946864.91244</v>
      </c>
      <c r="G520" s="186">
        <f t="shared" si="287"/>
        <v>15867130.587877801</v>
      </c>
      <c r="H520" s="186">
        <f t="shared" si="287"/>
        <v>15787794.934938412</v>
      </c>
      <c r="I520" s="186">
        <f t="shared" si="287"/>
        <v>15708855.96026372</v>
      </c>
      <c r="J520" s="186">
        <f t="shared" si="287"/>
        <v>15630311.680462401</v>
      </c>
      <c r="K520" s="186">
        <f t="shared" si="287"/>
        <v>15552160.12206009</v>
      </c>
      <c r="L520" s="186">
        <f t="shared" si="287"/>
        <v>15474399.321449788</v>
      </c>
      <c r="M520" s="186">
        <f t="shared" si="287"/>
        <v>15397027.324842541</v>
      </c>
      <c r="N520" s="186">
        <f t="shared" si="287"/>
        <v>15320042.188218327</v>
      </c>
      <c r="O520" s="186">
        <f t="shared" si="287"/>
        <v>15243441.977277236</v>
      </c>
      <c r="P520" s="186">
        <f t="shared" si="287"/>
        <v>15167224.767390851</v>
      </c>
      <c r="Q520" s="186">
        <f t="shared" si="287"/>
        <v>15091388.643553898</v>
      </c>
      <c r="R520" s="186">
        <f t="shared" si="287"/>
        <v>15015931.700336127</v>
      </c>
      <c r="S520" s="186">
        <f t="shared" si="287"/>
        <v>14940852.041834446</v>
      </c>
      <c r="T520" s="186">
        <f t="shared" si="287"/>
        <v>14866147.781625275</v>
      </c>
      <c r="U520" s="186">
        <f t="shared" si="287"/>
        <v>14791817.042717148</v>
      </c>
      <c r="V520" s="186">
        <f t="shared" si="287"/>
        <v>14717857.957503561</v>
      </c>
      <c r="W520" s="186">
        <f t="shared" si="287"/>
        <v>14644268.667716045</v>
      </c>
      <c r="X520" s="186">
        <f t="shared" si="287"/>
        <v>14571047.324377464</v>
      </c>
      <c r="Y520" s="186">
        <f t="shared" si="287"/>
        <v>14498192.087755578</v>
      </c>
      <c r="Z520" s="186">
        <f t="shared" si="287"/>
        <v>14425701.127316799</v>
      </c>
      <c r="AA520" s="186">
        <f t="shared" si="287"/>
        <v>14353572.621680215</v>
      </c>
      <c r="AB520" s="186">
        <f t="shared" si="287"/>
        <v>14281804.758571815</v>
      </c>
      <c r="AC520" s="186">
        <f t="shared" si="287"/>
        <v>14210395.734778956</v>
      </c>
      <c r="AD520" s="186">
        <f t="shared" si="287"/>
        <v>14139343.75610506</v>
      </c>
      <c r="AE520" s="186">
        <f t="shared" si="287"/>
        <v>14068647.037324537</v>
      </c>
      <c r="AF520" s="186">
        <f t="shared" si="287"/>
        <v>13998303.802137915</v>
      </c>
      <c r="AG520" s="186">
        <f t="shared" si="287"/>
        <v>13928312.283127224</v>
      </c>
      <c r="AH520" s="186">
        <f t="shared" si="287"/>
        <v>13858670.721711587</v>
      </c>
      <c r="AI520" s="186">
        <f t="shared" si="287"/>
        <v>13789377.368103029</v>
      </c>
      <c r="AJ520" s="186">
        <f t="shared" si="287"/>
        <v>13720430.481262514</v>
      </c>
      <c r="AK520" s="186">
        <f t="shared" si="287"/>
        <v>13651828.328856202</v>
      </c>
      <c r="AL520" s="186">
        <f t="shared" si="287"/>
        <v>13583569.187211921</v>
      </c>
      <c r="AM520" s="186">
        <f t="shared" si="287"/>
        <v>13515651.341275861</v>
      </c>
      <c r="AN520" s="186">
        <f t="shared" si="287"/>
        <v>13448073.084569484</v>
      </c>
      <c r="AO520" s="186">
        <f t="shared" si="287"/>
        <v>13380832.719146635</v>
      </c>
      <c r="AP520" s="186">
        <f t="shared" si="287"/>
        <v>13313928.555550903</v>
      </c>
    </row>
    <row r="521" spans="1:42" x14ac:dyDescent="0.2">
      <c r="A521" s="167" t="s">
        <v>53</v>
      </c>
      <c r="C521" s="181">
        <f>C519*C520</f>
        <v>0</v>
      </c>
      <c r="D521" s="181">
        <f t="shared" ref="D521:AP521" si="288">D519*D520</f>
        <v>0</v>
      </c>
      <c r="E521" s="181">
        <f t="shared" si="288"/>
        <v>0</v>
      </c>
      <c r="F521" s="181">
        <f t="shared" si="288"/>
        <v>0</v>
      </c>
      <c r="G521" s="181">
        <f t="shared" si="288"/>
        <v>0</v>
      </c>
      <c r="H521" s="181">
        <f t="shared" si="288"/>
        <v>0</v>
      </c>
      <c r="I521" s="181">
        <f t="shared" si="288"/>
        <v>0</v>
      </c>
      <c r="J521" s="181">
        <f t="shared" si="288"/>
        <v>0</v>
      </c>
      <c r="K521" s="181">
        <f t="shared" si="288"/>
        <v>0</v>
      </c>
      <c r="L521" s="181">
        <f t="shared" si="288"/>
        <v>0</v>
      </c>
      <c r="M521" s="181">
        <f t="shared" si="288"/>
        <v>0</v>
      </c>
      <c r="N521" s="181">
        <f t="shared" si="288"/>
        <v>0</v>
      </c>
      <c r="O521" s="181">
        <f t="shared" si="288"/>
        <v>0</v>
      </c>
      <c r="P521" s="181">
        <f t="shared" si="288"/>
        <v>0</v>
      </c>
      <c r="Q521" s="181">
        <f t="shared" si="288"/>
        <v>0</v>
      </c>
      <c r="R521" s="181">
        <f t="shared" si="288"/>
        <v>0</v>
      </c>
      <c r="S521" s="181">
        <f t="shared" si="288"/>
        <v>0</v>
      </c>
      <c r="T521" s="181">
        <f t="shared" si="288"/>
        <v>0</v>
      </c>
      <c r="U521" s="181">
        <f t="shared" si="288"/>
        <v>0</v>
      </c>
      <c r="V521" s="181">
        <f t="shared" si="288"/>
        <v>0</v>
      </c>
      <c r="W521" s="181">
        <f t="shared" si="288"/>
        <v>0</v>
      </c>
      <c r="X521" s="181">
        <f t="shared" si="288"/>
        <v>0</v>
      </c>
      <c r="Y521" s="181">
        <f t="shared" si="288"/>
        <v>0</v>
      </c>
      <c r="Z521" s="181">
        <f t="shared" si="288"/>
        <v>0</v>
      </c>
      <c r="AA521" s="181">
        <f t="shared" si="288"/>
        <v>0</v>
      </c>
      <c r="AB521" s="181">
        <f t="shared" si="288"/>
        <v>0</v>
      </c>
      <c r="AC521" s="181">
        <f t="shared" si="288"/>
        <v>0</v>
      </c>
      <c r="AD521" s="181">
        <f t="shared" si="288"/>
        <v>0</v>
      </c>
      <c r="AE521" s="181">
        <f t="shared" si="288"/>
        <v>0</v>
      </c>
      <c r="AF521" s="181">
        <f t="shared" si="288"/>
        <v>0</v>
      </c>
      <c r="AG521" s="181">
        <f t="shared" si="288"/>
        <v>0</v>
      </c>
      <c r="AH521" s="181">
        <f t="shared" si="288"/>
        <v>0</v>
      </c>
      <c r="AI521" s="181">
        <f t="shared" si="288"/>
        <v>0</v>
      </c>
      <c r="AJ521" s="181">
        <f t="shared" si="288"/>
        <v>0</v>
      </c>
      <c r="AK521" s="181">
        <f t="shared" si="288"/>
        <v>0</v>
      </c>
      <c r="AL521" s="181">
        <f t="shared" si="288"/>
        <v>0</v>
      </c>
      <c r="AM521" s="181">
        <f t="shared" si="288"/>
        <v>0</v>
      </c>
      <c r="AN521" s="181">
        <f t="shared" si="288"/>
        <v>0</v>
      </c>
      <c r="AO521" s="181">
        <f t="shared" si="288"/>
        <v>0</v>
      </c>
      <c r="AP521" s="181">
        <f t="shared" si="288"/>
        <v>0</v>
      </c>
    </row>
    <row r="522" spans="1:42" x14ac:dyDescent="0.2">
      <c r="A522" s="163" t="str">
        <f>'Inputs &amp; Results'!A75</f>
        <v>Other</v>
      </c>
    </row>
    <row r="523" spans="1:42" x14ac:dyDescent="0.2">
      <c r="A523" s="167" t="s">
        <v>118</v>
      </c>
      <c r="C523" s="217">
        <f t="shared" ref="C523:AP523" si="289">IF(AND(C$2&lt;=PBIOtherTerm,C$2&lt;=AnalysisPeriod),PBIOther*(1+PBIOtherEsc)^B$2,0)</f>
        <v>0</v>
      </c>
      <c r="D523" s="217">
        <f t="shared" si="289"/>
        <v>0</v>
      </c>
      <c r="E523" s="217">
        <f t="shared" si="289"/>
        <v>0</v>
      </c>
      <c r="F523" s="217">
        <f t="shared" si="289"/>
        <v>0</v>
      </c>
      <c r="G523" s="217">
        <f t="shared" si="289"/>
        <v>0</v>
      </c>
      <c r="H523" s="217">
        <f t="shared" si="289"/>
        <v>0</v>
      </c>
      <c r="I523" s="217">
        <f t="shared" si="289"/>
        <v>0</v>
      </c>
      <c r="J523" s="217">
        <f t="shared" si="289"/>
        <v>0</v>
      </c>
      <c r="K523" s="217">
        <f t="shared" si="289"/>
        <v>0</v>
      </c>
      <c r="L523" s="217">
        <f t="shared" si="289"/>
        <v>0</v>
      </c>
      <c r="M523" s="217">
        <f t="shared" si="289"/>
        <v>0</v>
      </c>
      <c r="N523" s="217">
        <f t="shared" si="289"/>
        <v>0</v>
      </c>
      <c r="O523" s="217">
        <f t="shared" si="289"/>
        <v>0</v>
      </c>
      <c r="P523" s="217">
        <f t="shared" si="289"/>
        <v>0</v>
      </c>
      <c r="Q523" s="217">
        <f t="shared" si="289"/>
        <v>0</v>
      </c>
      <c r="R523" s="217">
        <f t="shared" si="289"/>
        <v>0</v>
      </c>
      <c r="S523" s="217">
        <f t="shared" si="289"/>
        <v>0</v>
      </c>
      <c r="T523" s="217">
        <f t="shared" si="289"/>
        <v>0</v>
      </c>
      <c r="U523" s="217">
        <f t="shared" si="289"/>
        <v>0</v>
      </c>
      <c r="V523" s="217">
        <f t="shared" si="289"/>
        <v>0</v>
      </c>
      <c r="W523" s="217">
        <f t="shared" si="289"/>
        <v>0</v>
      </c>
      <c r="X523" s="217">
        <f t="shared" si="289"/>
        <v>0</v>
      </c>
      <c r="Y523" s="217">
        <f t="shared" si="289"/>
        <v>0</v>
      </c>
      <c r="Z523" s="217">
        <f t="shared" si="289"/>
        <v>0</v>
      </c>
      <c r="AA523" s="217">
        <f t="shared" si="289"/>
        <v>0</v>
      </c>
      <c r="AB523" s="217">
        <f t="shared" si="289"/>
        <v>0</v>
      </c>
      <c r="AC523" s="217">
        <f t="shared" si="289"/>
        <v>0</v>
      </c>
      <c r="AD523" s="217">
        <f t="shared" si="289"/>
        <v>0</v>
      </c>
      <c r="AE523" s="217">
        <f t="shared" si="289"/>
        <v>0</v>
      </c>
      <c r="AF523" s="217">
        <f t="shared" si="289"/>
        <v>0</v>
      </c>
      <c r="AG523" s="217">
        <f t="shared" si="289"/>
        <v>0</v>
      </c>
      <c r="AH523" s="217">
        <f t="shared" si="289"/>
        <v>0</v>
      </c>
      <c r="AI523" s="217">
        <f t="shared" si="289"/>
        <v>0</v>
      </c>
      <c r="AJ523" s="217">
        <f t="shared" si="289"/>
        <v>0</v>
      </c>
      <c r="AK523" s="217">
        <f t="shared" si="289"/>
        <v>0</v>
      </c>
      <c r="AL523" s="217">
        <f t="shared" si="289"/>
        <v>0</v>
      </c>
      <c r="AM523" s="217">
        <f t="shared" si="289"/>
        <v>0</v>
      </c>
      <c r="AN523" s="217">
        <f t="shared" si="289"/>
        <v>0</v>
      </c>
      <c r="AO523" s="217">
        <f t="shared" si="289"/>
        <v>0</v>
      </c>
      <c r="AP523" s="217">
        <f t="shared" si="289"/>
        <v>0</v>
      </c>
    </row>
    <row r="524" spans="1:42" x14ac:dyDescent="0.2">
      <c r="A524" s="167" t="s">
        <v>119</v>
      </c>
      <c r="C524" s="186">
        <f>C$5</f>
        <v>16188480</v>
      </c>
      <c r="D524" s="186">
        <f t="shared" ref="D524:AP524" si="290">D$5</f>
        <v>16107537.6</v>
      </c>
      <c r="E524" s="186">
        <f t="shared" si="290"/>
        <v>16026999.912</v>
      </c>
      <c r="F524" s="186">
        <f t="shared" si="290"/>
        <v>15946864.91244</v>
      </c>
      <c r="G524" s="186">
        <f t="shared" si="290"/>
        <v>15867130.587877801</v>
      </c>
      <c r="H524" s="186">
        <f t="shared" si="290"/>
        <v>15787794.934938412</v>
      </c>
      <c r="I524" s="186">
        <f t="shared" si="290"/>
        <v>15708855.96026372</v>
      </c>
      <c r="J524" s="186">
        <f t="shared" si="290"/>
        <v>15630311.680462401</v>
      </c>
      <c r="K524" s="186">
        <f t="shared" si="290"/>
        <v>15552160.12206009</v>
      </c>
      <c r="L524" s="186">
        <f t="shared" si="290"/>
        <v>15474399.321449788</v>
      </c>
      <c r="M524" s="186">
        <f t="shared" si="290"/>
        <v>15397027.324842541</v>
      </c>
      <c r="N524" s="186">
        <f t="shared" si="290"/>
        <v>15320042.188218327</v>
      </c>
      <c r="O524" s="186">
        <f t="shared" si="290"/>
        <v>15243441.977277236</v>
      </c>
      <c r="P524" s="186">
        <f t="shared" si="290"/>
        <v>15167224.767390851</v>
      </c>
      <c r="Q524" s="186">
        <f t="shared" si="290"/>
        <v>15091388.643553898</v>
      </c>
      <c r="R524" s="186">
        <f t="shared" si="290"/>
        <v>15015931.700336127</v>
      </c>
      <c r="S524" s="186">
        <f t="shared" si="290"/>
        <v>14940852.041834446</v>
      </c>
      <c r="T524" s="186">
        <f t="shared" si="290"/>
        <v>14866147.781625275</v>
      </c>
      <c r="U524" s="186">
        <f t="shared" si="290"/>
        <v>14791817.042717148</v>
      </c>
      <c r="V524" s="186">
        <f t="shared" si="290"/>
        <v>14717857.957503561</v>
      </c>
      <c r="W524" s="186">
        <f t="shared" si="290"/>
        <v>14644268.667716045</v>
      </c>
      <c r="X524" s="186">
        <f t="shared" si="290"/>
        <v>14571047.324377464</v>
      </c>
      <c r="Y524" s="186">
        <f t="shared" si="290"/>
        <v>14498192.087755578</v>
      </c>
      <c r="Z524" s="186">
        <f t="shared" si="290"/>
        <v>14425701.127316799</v>
      </c>
      <c r="AA524" s="186">
        <f t="shared" si="290"/>
        <v>14353572.621680215</v>
      </c>
      <c r="AB524" s="186">
        <f t="shared" si="290"/>
        <v>14281804.758571815</v>
      </c>
      <c r="AC524" s="186">
        <f t="shared" si="290"/>
        <v>14210395.734778956</v>
      </c>
      <c r="AD524" s="186">
        <f t="shared" si="290"/>
        <v>14139343.75610506</v>
      </c>
      <c r="AE524" s="186">
        <f t="shared" si="290"/>
        <v>14068647.037324537</v>
      </c>
      <c r="AF524" s="186">
        <f t="shared" si="290"/>
        <v>13998303.802137915</v>
      </c>
      <c r="AG524" s="186">
        <f t="shared" si="290"/>
        <v>13928312.283127224</v>
      </c>
      <c r="AH524" s="186">
        <f t="shared" si="290"/>
        <v>13858670.721711587</v>
      </c>
      <c r="AI524" s="186">
        <f t="shared" si="290"/>
        <v>13789377.368103029</v>
      </c>
      <c r="AJ524" s="186">
        <f t="shared" si="290"/>
        <v>13720430.481262514</v>
      </c>
      <c r="AK524" s="186">
        <f t="shared" si="290"/>
        <v>13651828.328856202</v>
      </c>
      <c r="AL524" s="186">
        <f t="shared" si="290"/>
        <v>13583569.187211921</v>
      </c>
      <c r="AM524" s="186">
        <f t="shared" si="290"/>
        <v>13515651.341275861</v>
      </c>
      <c r="AN524" s="186">
        <f t="shared" si="290"/>
        <v>13448073.084569484</v>
      </c>
      <c r="AO524" s="186">
        <f t="shared" si="290"/>
        <v>13380832.719146635</v>
      </c>
      <c r="AP524" s="186">
        <f t="shared" si="290"/>
        <v>13313928.555550903</v>
      </c>
    </row>
    <row r="525" spans="1:42" x14ac:dyDescent="0.2">
      <c r="A525" s="167" t="s">
        <v>53</v>
      </c>
      <c r="C525" s="181">
        <f>C523*C524</f>
        <v>0</v>
      </c>
      <c r="D525" s="181">
        <f t="shared" ref="D525:AP525" si="291">D523*D524</f>
        <v>0</v>
      </c>
      <c r="E525" s="181">
        <f t="shared" si="291"/>
        <v>0</v>
      </c>
      <c r="F525" s="181">
        <f t="shared" si="291"/>
        <v>0</v>
      </c>
      <c r="G525" s="181">
        <f t="shared" si="291"/>
        <v>0</v>
      </c>
      <c r="H525" s="181">
        <f t="shared" si="291"/>
        <v>0</v>
      </c>
      <c r="I525" s="181">
        <f t="shared" si="291"/>
        <v>0</v>
      </c>
      <c r="J525" s="181">
        <f t="shared" si="291"/>
        <v>0</v>
      </c>
      <c r="K525" s="181">
        <f t="shared" si="291"/>
        <v>0</v>
      </c>
      <c r="L525" s="181">
        <f t="shared" si="291"/>
        <v>0</v>
      </c>
      <c r="M525" s="181">
        <f t="shared" si="291"/>
        <v>0</v>
      </c>
      <c r="N525" s="181">
        <f t="shared" si="291"/>
        <v>0</v>
      </c>
      <c r="O525" s="181">
        <f t="shared" si="291"/>
        <v>0</v>
      </c>
      <c r="P525" s="181">
        <f t="shared" si="291"/>
        <v>0</v>
      </c>
      <c r="Q525" s="181">
        <f t="shared" si="291"/>
        <v>0</v>
      </c>
      <c r="R525" s="181">
        <f t="shared" si="291"/>
        <v>0</v>
      </c>
      <c r="S525" s="181">
        <f t="shared" si="291"/>
        <v>0</v>
      </c>
      <c r="T525" s="181">
        <f t="shared" si="291"/>
        <v>0</v>
      </c>
      <c r="U525" s="181">
        <f t="shared" si="291"/>
        <v>0</v>
      </c>
      <c r="V525" s="181">
        <f t="shared" si="291"/>
        <v>0</v>
      </c>
      <c r="W525" s="181">
        <f t="shared" si="291"/>
        <v>0</v>
      </c>
      <c r="X525" s="181">
        <f t="shared" si="291"/>
        <v>0</v>
      </c>
      <c r="Y525" s="181">
        <f t="shared" si="291"/>
        <v>0</v>
      </c>
      <c r="Z525" s="181">
        <f t="shared" si="291"/>
        <v>0</v>
      </c>
      <c r="AA525" s="181">
        <f t="shared" si="291"/>
        <v>0</v>
      </c>
      <c r="AB525" s="181">
        <f t="shared" si="291"/>
        <v>0</v>
      </c>
      <c r="AC525" s="181">
        <f t="shared" si="291"/>
        <v>0</v>
      </c>
      <c r="AD525" s="181">
        <f t="shared" si="291"/>
        <v>0</v>
      </c>
      <c r="AE525" s="181">
        <f t="shared" si="291"/>
        <v>0</v>
      </c>
      <c r="AF525" s="181">
        <f t="shared" si="291"/>
        <v>0</v>
      </c>
      <c r="AG525" s="181">
        <f t="shared" si="291"/>
        <v>0</v>
      </c>
      <c r="AH525" s="181">
        <f t="shared" si="291"/>
        <v>0</v>
      </c>
      <c r="AI525" s="181">
        <f t="shared" si="291"/>
        <v>0</v>
      </c>
      <c r="AJ525" s="181">
        <f t="shared" si="291"/>
        <v>0</v>
      </c>
      <c r="AK525" s="181">
        <f t="shared" si="291"/>
        <v>0</v>
      </c>
      <c r="AL525" s="181">
        <f t="shared" si="291"/>
        <v>0</v>
      </c>
      <c r="AM525" s="181">
        <f t="shared" si="291"/>
        <v>0</v>
      </c>
      <c r="AN525" s="181">
        <f t="shared" si="291"/>
        <v>0</v>
      </c>
      <c r="AO525" s="181">
        <f t="shared" si="291"/>
        <v>0</v>
      </c>
      <c r="AP525" s="181">
        <f t="shared" si="291"/>
        <v>0</v>
      </c>
    </row>
    <row r="526" spans="1:42" x14ac:dyDescent="0.2"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</row>
    <row r="527" spans="1:42" x14ac:dyDescent="0.2">
      <c r="A527" s="20" t="s">
        <v>53</v>
      </c>
      <c r="C527" s="177">
        <f>C513+C517+C521+C525</f>
        <v>0</v>
      </c>
      <c r="D527" s="177">
        <f t="shared" ref="D527:AP527" si="292">D513+D517+D521+D525</f>
        <v>0</v>
      </c>
      <c r="E527" s="177">
        <f t="shared" si="292"/>
        <v>0</v>
      </c>
      <c r="F527" s="177">
        <f t="shared" si="292"/>
        <v>0</v>
      </c>
      <c r="G527" s="177">
        <f t="shared" si="292"/>
        <v>0</v>
      </c>
      <c r="H527" s="177">
        <f t="shared" si="292"/>
        <v>0</v>
      </c>
      <c r="I527" s="177">
        <f t="shared" si="292"/>
        <v>0</v>
      </c>
      <c r="J527" s="177">
        <f t="shared" si="292"/>
        <v>0</v>
      </c>
      <c r="K527" s="177">
        <f t="shared" si="292"/>
        <v>0</v>
      </c>
      <c r="L527" s="177">
        <f t="shared" si="292"/>
        <v>0</v>
      </c>
      <c r="M527" s="177">
        <f t="shared" si="292"/>
        <v>0</v>
      </c>
      <c r="N527" s="177">
        <f t="shared" si="292"/>
        <v>0</v>
      </c>
      <c r="O527" s="177">
        <f t="shared" si="292"/>
        <v>0</v>
      </c>
      <c r="P527" s="177">
        <f t="shared" si="292"/>
        <v>0</v>
      </c>
      <c r="Q527" s="177">
        <f t="shared" si="292"/>
        <v>0</v>
      </c>
      <c r="R527" s="177">
        <f t="shared" si="292"/>
        <v>0</v>
      </c>
      <c r="S527" s="177">
        <f t="shared" si="292"/>
        <v>0</v>
      </c>
      <c r="T527" s="177">
        <f t="shared" si="292"/>
        <v>0</v>
      </c>
      <c r="U527" s="177">
        <f t="shared" si="292"/>
        <v>0</v>
      </c>
      <c r="V527" s="177">
        <f t="shared" si="292"/>
        <v>0</v>
      </c>
      <c r="W527" s="177">
        <f t="shared" si="292"/>
        <v>0</v>
      </c>
      <c r="X527" s="177">
        <f t="shared" si="292"/>
        <v>0</v>
      </c>
      <c r="Y527" s="177">
        <f t="shared" si="292"/>
        <v>0</v>
      </c>
      <c r="Z527" s="177">
        <f t="shared" si="292"/>
        <v>0</v>
      </c>
      <c r="AA527" s="177">
        <f t="shared" si="292"/>
        <v>0</v>
      </c>
      <c r="AB527" s="177">
        <f t="shared" si="292"/>
        <v>0</v>
      </c>
      <c r="AC527" s="177">
        <f t="shared" si="292"/>
        <v>0</v>
      </c>
      <c r="AD527" s="177">
        <f t="shared" si="292"/>
        <v>0</v>
      </c>
      <c r="AE527" s="177">
        <f t="shared" si="292"/>
        <v>0</v>
      </c>
      <c r="AF527" s="177">
        <f t="shared" si="292"/>
        <v>0</v>
      </c>
      <c r="AG527" s="177">
        <f t="shared" si="292"/>
        <v>0</v>
      </c>
      <c r="AH527" s="177">
        <f t="shared" si="292"/>
        <v>0</v>
      </c>
      <c r="AI527" s="177">
        <f t="shared" si="292"/>
        <v>0</v>
      </c>
      <c r="AJ527" s="177">
        <f t="shared" si="292"/>
        <v>0</v>
      </c>
      <c r="AK527" s="177">
        <f t="shared" si="292"/>
        <v>0</v>
      </c>
      <c r="AL527" s="177">
        <f t="shared" si="292"/>
        <v>0</v>
      </c>
      <c r="AM527" s="177">
        <f t="shared" si="292"/>
        <v>0</v>
      </c>
      <c r="AN527" s="177">
        <f t="shared" si="292"/>
        <v>0</v>
      </c>
      <c r="AO527" s="177">
        <f t="shared" si="292"/>
        <v>0</v>
      </c>
      <c r="AP527" s="177">
        <f t="shared" si="292"/>
        <v>0</v>
      </c>
    </row>
    <row r="529" spans="1:42" x14ac:dyDescent="0.2">
      <c r="A529" s="162" t="s">
        <v>95</v>
      </c>
    </row>
    <row r="530" spans="1:42" s="101" customFormat="1" x14ac:dyDescent="0.2">
      <c r="A530" s="178" t="s">
        <v>423</v>
      </c>
    </row>
    <row r="531" spans="1:42" s="101" customFormat="1" x14ac:dyDescent="0.2">
      <c r="A531" s="167" t="s">
        <v>98</v>
      </c>
    </row>
    <row r="532" spans="1:42" s="101" customFormat="1" x14ac:dyDescent="0.2">
      <c r="A532" s="183" t="s">
        <v>96</v>
      </c>
      <c r="B532" s="135">
        <v>0</v>
      </c>
      <c r="C532" s="135">
        <f>B535</f>
        <v>19188121.706207968</v>
      </c>
      <c r="D532" s="135">
        <f t="shared" ref="D532:AP532" si="293">C535</f>
        <v>18418062.456954956</v>
      </c>
      <c r="E532" s="135">
        <f t="shared" si="293"/>
        <v>17562811.385556892</v>
      </c>
      <c r="F532" s="135">
        <f t="shared" si="293"/>
        <v>16615174.632231377</v>
      </c>
      <c r="G532" s="135">
        <f t="shared" si="293"/>
        <v>15567348.992137328</v>
      </c>
      <c r="H532" s="135">
        <f t="shared" si="293"/>
        <v>14410870.171758903</v>
      </c>
      <c r="I532" s="135">
        <f t="shared" si="293"/>
        <v>13136556.648201952</v>
      </c>
      <c r="J532" s="135">
        <f t="shared" si="293"/>
        <v>11734448.757675147</v>
      </c>
      <c r="K532" s="135">
        <f t="shared" si="293"/>
        <v>10193742.60766173</v>
      </c>
      <c r="L532" s="135">
        <f t="shared" si="293"/>
        <v>8502718.3728212826</v>
      </c>
      <c r="M532" s="135">
        <f t="shared" si="293"/>
        <v>6648662.4972649356</v>
      </c>
      <c r="N532" s="135">
        <f t="shared" si="293"/>
        <v>4617783.2852726178</v>
      </c>
      <c r="O532" s="135">
        <f t="shared" si="293"/>
        <v>2395119.3184974594</v>
      </c>
      <c r="P532" s="135">
        <f t="shared" si="293"/>
        <v>7.4505805969238281E-9</v>
      </c>
      <c r="Q532" s="135">
        <f t="shared" si="293"/>
        <v>7.4505805969238281E-9</v>
      </c>
      <c r="R532" s="135">
        <f t="shared" si="293"/>
        <v>7.4505805969238281E-9</v>
      </c>
      <c r="S532" s="135">
        <f t="shared" si="293"/>
        <v>7.4505805969238281E-9</v>
      </c>
      <c r="T532" s="135">
        <f t="shared" si="293"/>
        <v>7.4505805969238281E-9</v>
      </c>
      <c r="U532" s="135">
        <f t="shared" si="293"/>
        <v>7.4505805969238281E-9</v>
      </c>
      <c r="V532" s="135">
        <f t="shared" si="293"/>
        <v>7.4505805969238281E-9</v>
      </c>
      <c r="W532" s="135">
        <f t="shared" si="293"/>
        <v>7.4505805969238281E-9</v>
      </c>
      <c r="X532" s="135">
        <f t="shared" si="293"/>
        <v>7.4505805969238281E-9</v>
      </c>
      <c r="Y532" s="135">
        <f t="shared" si="293"/>
        <v>7.4505805969238281E-9</v>
      </c>
      <c r="Z532" s="135">
        <f t="shared" si="293"/>
        <v>7.4505805969238281E-9</v>
      </c>
      <c r="AA532" s="135">
        <f t="shared" si="293"/>
        <v>7.4505805969238281E-9</v>
      </c>
      <c r="AB532" s="135">
        <f t="shared" si="293"/>
        <v>7.4505805969238281E-9</v>
      </c>
      <c r="AC532" s="135">
        <f t="shared" si="293"/>
        <v>7.4505805969238281E-9</v>
      </c>
      <c r="AD532" s="135">
        <f t="shared" si="293"/>
        <v>7.4505805969238281E-9</v>
      </c>
      <c r="AE532" s="135">
        <f t="shared" si="293"/>
        <v>7.4505805969238281E-9</v>
      </c>
      <c r="AF532" s="135">
        <f t="shared" si="293"/>
        <v>7.4505805969238281E-9</v>
      </c>
      <c r="AG532" s="135">
        <f t="shared" si="293"/>
        <v>7.4505805969238281E-9</v>
      </c>
      <c r="AH532" s="135">
        <f t="shared" si="293"/>
        <v>7.4505805969238281E-9</v>
      </c>
      <c r="AI532" s="135">
        <f t="shared" si="293"/>
        <v>7.4505805969238281E-9</v>
      </c>
      <c r="AJ532" s="135">
        <f t="shared" si="293"/>
        <v>7.4505805969238281E-9</v>
      </c>
      <c r="AK532" s="135">
        <f t="shared" si="293"/>
        <v>7.4505805969238281E-9</v>
      </c>
      <c r="AL532" s="135">
        <f t="shared" si="293"/>
        <v>7.4505805969238281E-9</v>
      </c>
      <c r="AM532" s="135">
        <f t="shared" si="293"/>
        <v>7.4505805969238281E-9</v>
      </c>
      <c r="AN532" s="135">
        <f t="shared" si="293"/>
        <v>7.4505805969238281E-9</v>
      </c>
      <c r="AO532" s="135">
        <f t="shared" si="293"/>
        <v>7.4505805969238281E-9</v>
      </c>
      <c r="AP532" s="135">
        <f t="shared" si="293"/>
        <v>7.4505805969238281E-9</v>
      </c>
    </row>
    <row r="533" spans="1:42" s="101" customFormat="1" x14ac:dyDescent="0.2">
      <c r="A533" s="183" t="s">
        <v>97</v>
      </c>
      <c r="B533" s="135">
        <f>IF(SODebtStructure="Mortgage Style",B575,B555)</f>
        <v>19188121.706207968</v>
      </c>
      <c r="C533" s="135">
        <v>0</v>
      </c>
      <c r="D533" s="135">
        <v>0</v>
      </c>
      <c r="E533" s="135">
        <v>0</v>
      </c>
      <c r="F533" s="135">
        <v>0</v>
      </c>
      <c r="G533" s="135">
        <v>0</v>
      </c>
      <c r="H533" s="135">
        <v>0</v>
      </c>
      <c r="I533" s="135">
        <v>0</v>
      </c>
      <c r="J533" s="135">
        <v>0</v>
      </c>
      <c r="K533" s="135">
        <v>0</v>
      </c>
      <c r="L533" s="135">
        <v>0</v>
      </c>
      <c r="M533" s="135">
        <v>0</v>
      </c>
      <c r="N533" s="135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5">
        <v>0</v>
      </c>
      <c r="V533" s="135">
        <v>0</v>
      </c>
      <c r="W533" s="135">
        <v>0</v>
      </c>
      <c r="X533" s="135">
        <v>0</v>
      </c>
      <c r="Y533" s="135">
        <v>0</v>
      </c>
      <c r="Z533" s="135">
        <v>0</v>
      </c>
      <c r="AA533" s="135">
        <v>0</v>
      </c>
      <c r="AB533" s="135">
        <v>0</v>
      </c>
      <c r="AC533" s="135">
        <v>0</v>
      </c>
      <c r="AD533" s="135">
        <v>0</v>
      </c>
      <c r="AE533" s="135">
        <v>0</v>
      </c>
      <c r="AF533" s="135">
        <v>0</v>
      </c>
      <c r="AG533" s="135">
        <v>0</v>
      </c>
      <c r="AH533" s="135">
        <v>0</v>
      </c>
      <c r="AI533" s="135">
        <v>0</v>
      </c>
      <c r="AJ533" s="135">
        <v>0</v>
      </c>
      <c r="AK533" s="135">
        <v>0</v>
      </c>
      <c r="AL533" s="135">
        <v>0</v>
      </c>
      <c r="AM533" s="135">
        <v>0</v>
      </c>
      <c r="AN533" s="135">
        <v>0</v>
      </c>
      <c r="AO533" s="135">
        <v>0</v>
      </c>
      <c r="AP533" s="135">
        <v>0</v>
      </c>
    </row>
    <row r="534" spans="1:42" s="101" customFormat="1" x14ac:dyDescent="0.2">
      <c r="A534" s="183" t="s">
        <v>98</v>
      </c>
      <c r="B534" s="170">
        <v>0</v>
      </c>
      <c r="C534" s="170">
        <f>-C537</f>
        <v>-770059.24925301294</v>
      </c>
      <c r="D534" s="170">
        <f t="shared" ref="D534:AP534" si="294">-D537</f>
        <v>-855251.07139806566</v>
      </c>
      <c r="E534" s="170">
        <f t="shared" si="294"/>
        <v>-947636.75332551473</v>
      </c>
      <c r="F534" s="170">
        <f t="shared" si="294"/>
        <v>-1047825.64009405</v>
      </c>
      <c r="G534" s="170">
        <f t="shared" si="294"/>
        <v>-1156478.8203784244</v>
      </c>
      <c r="H534" s="170">
        <f t="shared" si="294"/>
        <v>-1274313.523556951</v>
      </c>
      <c r="I534" s="170">
        <f t="shared" si="294"/>
        <v>-1402107.8905268044</v>
      </c>
      <c r="J534" s="170">
        <f t="shared" si="294"/>
        <v>-1540706.1500134165</v>
      </c>
      <c r="K534" s="170">
        <f t="shared" si="294"/>
        <v>-1691024.2348404466</v>
      </c>
      <c r="L534" s="170">
        <f t="shared" si="294"/>
        <v>-1854055.875556347</v>
      </c>
      <c r="M534" s="170">
        <f t="shared" si="294"/>
        <v>-2030879.2119923178</v>
      </c>
      <c r="N534" s="170">
        <f t="shared" si="294"/>
        <v>-2222663.9667751584</v>
      </c>
      <c r="O534" s="170">
        <f t="shared" si="294"/>
        <v>-2395119.318497452</v>
      </c>
      <c r="P534" s="170">
        <f t="shared" si="294"/>
        <v>0</v>
      </c>
      <c r="Q534" s="170">
        <f t="shared" si="294"/>
        <v>0</v>
      </c>
      <c r="R534" s="170">
        <f t="shared" si="294"/>
        <v>0</v>
      </c>
      <c r="S534" s="170">
        <f t="shared" si="294"/>
        <v>0</v>
      </c>
      <c r="T534" s="170">
        <f t="shared" si="294"/>
        <v>0</v>
      </c>
      <c r="U534" s="170">
        <f t="shared" si="294"/>
        <v>0</v>
      </c>
      <c r="V534" s="170">
        <f t="shared" si="294"/>
        <v>0</v>
      </c>
      <c r="W534" s="170">
        <f t="shared" si="294"/>
        <v>0</v>
      </c>
      <c r="X534" s="170">
        <f t="shared" si="294"/>
        <v>0</v>
      </c>
      <c r="Y534" s="170">
        <f t="shared" si="294"/>
        <v>0</v>
      </c>
      <c r="Z534" s="170">
        <f t="shared" si="294"/>
        <v>0</v>
      </c>
      <c r="AA534" s="170">
        <f t="shared" si="294"/>
        <v>0</v>
      </c>
      <c r="AB534" s="170">
        <f t="shared" si="294"/>
        <v>0</v>
      </c>
      <c r="AC534" s="170">
        <f t="shared" si="294"/>
        <v>0</v>
      </c>
      <c r="AD534" s="170">
        <f t="shared" si="294"/>
        <v>0</v>
      </c>
      <c r="AE534" s="170">
        <f t="shared" si="294"/>
        <v>0</v>
      </c>
      <c r="AF534" s="170">
        <f t="shared" si="294"/>
        <v>0</v>
      </c>
      <c r="AG534" s="170">
        <f t="shared" si="294"/>
        <v>0</v>
      </c>
      <c r="AH534" s="170">
        <f t="shared" si="294"/>
        <v>0</v>
      </c>
      <c r="AI534" s="170">
        <f t="shared" si="294"/>
        <v>0</v>
      </c>
      <c r="AJ534" s="170">
        <f t="shared" si="294"/>
        <v>0</v>
      </c>
      <c r="AK534" s="170">
        <f t="shared" si="294"/>
        <v>0</v>
      </c>
      <c r="AL534" s="170">
        <f t="shared" si="294"/>
        <v>0</v>
      </c>
      <c r="AM534" s="170">
        <f t="shared" si="294"/>
        <v>0</v>
      </c>
      <c r="AN534" s="170">
        <f t="shared" si="294"/>
        <v>0</v>
      </c>
      <c r="AO534" s="170">
        <f t="shared" si="294"/>
        <v>0</v>
      </c>
      <c r="AP534" s="170">
        <f t="shared" si="294"/>
        <v>0</v>
      </c>
    </row>
    <row r="535" spans="1:42" s="101" customFormat="1" x14ac:dyDescent="0.2">
      <c r="A535" s="183" t="s">
        <v>99</v>
      </c>
      <c r="B535" s="135">
        <f>SUM(B532:B534)</f>
        <v>19188121.706207968</v>
      </c>
      <c r="C535" s="135">
        <f>SUM(C532:C534)</f>
        <v>18418062.456954956</v>
      </c>
      <c r="D535" s="135">
        <f t="shared" ref="D535:AP535" si="295">SUM(D532:D534)</f>
        <v>17562811.385556892</v>
      </c>
      <c r="E535" s="135">
        <f t="shared" si="295"/>
        <v>16615174.632231377</v>
      </c>
      <c r="F535" s="135">
        <f t="shared" si="295"/>
        <v>15567348.992137328</v>
      </c>
      <c r="G535" s="135">
        <f t="shared" si="295"/>
        <v>14410870.171758903</v>
      </c>
      <c r="H535" s="135">
        <f t="shared" si="295"/>
        <v>13136556.648201952</v>
      </c>
      <c r="I535" s="135">
        <f t="shared" si="295"/>
        <v>11734448.757675147</v>
      </c>
      <c r="J535" s="135">
        <f t="shared" si="295"/>
        <v>10193742.60766173</v>
      </c>
      <c r="K535" s="135">
        <f t="shared" si="295"/>
        <v>8502718.3728212826</v>
      </c>
      <c r="L535" s="135">
        <f t="shared" si="295"/>
        <v>6648662.4972649356</v>
      </c>
      <c r="M535" s="135">
        <f t="shared" si="295"/>
        <v>4617783.2852726178</v>
      </c>
      <c r="N535" s="135">
        <f t="shared" si="295"/>
        <v>2395119.3184974594</v>
      </c>
      <c r="O535" s="135">
        <f t="shared" si="295"/>
        <v>7.4505805969238281E-9</v>
      </c>
      <c r="P535" s="135">
        <f t="shared" si="295"/>
        <v>7.4505805969238281E-9</v>
      </c>
      <c r="Q535" s="135">
        <f t="shared" si="295"/>
        <v>7.4505805969238281E-9</v>
      </c>
      <c r="R535" s="135">
        <f t="shared" si="295"/>
        <v>7.4505805969238281E-9</v>
      </c>
      <c r="S535" s="135">
        <f t="shared" si="295"/>
        <v>7.4505805969238281E-9</v>
      </c>
      <c r="T535" s="135">
        <f t="shared" si="295"/>
        <v>7.4505805969238281E-9</v>
      </c>
      <c r="U535" s="135">
        <f t="shared" si="295"/>
        <v>7.4505805969238281E-9</v>
      </c>
      <c r="V535" s="135">
        <f t="shared" si="295"/>
        <v>7.4505805969238281E-9</v>
      </c>
      <c r="W535" s="135">
        <f t="shared" si="295"/>
        <v>7.4505805969238281E-9</v>
      </c>
      <c r="X535" s="135">
        <f t="shared" si="295"/>
        <v>7.4505805969238281E-9</v>
      </c>
      <c r="Y535" s="135">
        <f t="shared" si="295"/>
        <v>7.4505805969238281E-9</v>
      </c>
      <c r="Z535" s="135">
        <f t="shared" si="295"/>
        <v>7.4505805969238281E-9</v>
      </c>
      <c r="AA535" s="135">
        <f t="shared" si="295"/>
        <v>7.4505805969238281E-9</v>
      </c>
      <c r="AB535" s="135">
        <f t="shared" si="295"/>
        <v>7.4505805969238281E-9</v>
      </c>
      <c r="AC535" s="135">
        <f t="shared" si="295"/>
        <v>7.4505805969238281E-9</v>
      </c>
      <c r="AD535" s="135">
        <f t="shared" si="295"/>
        <v>7.4505805969238281E-9</v>
      </c>
      <c r="AE535" s="135">
        <f t="shared" si="295"/>
        <v>7.4505805969238281E-9</v>
      </c>
      <c r="AF535" s="135">
        <f t="shared" si="295"/>
        <v>7.4505805969238281E-9</v>
      </c>
      <c r="AG535" s="135">
        <f t="shared" si="295"/>
        <v>7.4505805969238281E-9</v>
      </c>
      <c r="AH535" s="135">
        <f t="shared" si="295"/>
        <v>7.4505805969238281E-9</v>
      </c>
      <c r="AI535" s="135">
        <f t="shared" si="295"/>
        <v>7.4505805969238281E-9</v>
      </c>
      <c r="AJ535" s="135">
        <f t="shared" si="295"/>
        <v>7.4505805969238281E-9</v>
      </c>
      <c r="AK535" s="135">
        <f t="shared" si="295"/>
        <v>7.4505805969238281E-9</v>
      </c>
      <c r="AL535" s="135">
        <f t="shared" si="295"/>
        <v>7.4505805969238281E-9</v>
      </c>
      <c r="AM535" s="135">
        <f t="shared" si="295"/>
        <v>7.4505805969238281E-9</v>
      </c>
      <c r="AN535" s="135">
        <f t="shared" si="295"/>
        <v>7.4505805969238281E-9</v>
      </c>
      <c r="AO535" s="135">
        <f t="shared" si="295"/>
        <v>7.4505805969238281E-9</v>
      </c>
      <c r="AP535" s="135">
        <f t="shared" si="295"/>
        <v>7.4505805969238281E-9</v>
      </c>
    </row>
    <row r="536" spans="1:42" s="101" customFormat="1" x14ac:dyDescent="0.2">
      <c r="A536" s="167"/>
      <c r="C536" s="169"/>
      <c r="D536" s="169"/>
    </row>
    <row r="537" spans="1:42" s="101" customFormat="1" x14ac:dyDescent="0.2">
      <c r="A537" s="183" t="s">
        <v>100</v>
      </c>
      <c r="B537" s="266">
        <f>SUM(C537:AP537)</f>
        <v>19188121.706207961</v>
      </c>
      <c r="C537" s="169">
        <f t="shared" ref="C537:AP537" si="296">IF(SODebtStructure="Mortgage Style",C579,C559)</f>
        <v>770059.24925301294</v>
      </c>
      <c r="D537" s="169">
        <f t="shared" si="296"/>
        <v>855251.07139806566</v>
      </c>
      <c r="E537" s="169">
        <f t="shared" si="296"/>
        <v>947636.75332551473</v>
      </c>
      <c r="F537" s="169">
        <f t="shared" si="296"/>
        <v>1047825.64009405</v>
      </c>
      <c r="G537" s="169">
        <f t="shared" si="296"/>
        <v>1156478.8203784244</v>
      </c>
      <c r="H537" s="169">
        <f t="shared" si="296"/>
        <v>1274313.523556951</v>
      </c>
      <c r="I537" s="169">
        <f t="shared" si="296"/>
        <v>1402107.8905268044</v>
      </c>
      <c r="J537" s="169">
        <f t="shared" si="296"/>
        <v>1540706.1500134165</v>
      </c>
      <c r="K537" s="169">
        <f t="shared" si="296"/>
        <v>1691024.2348404466</v>
      </c>
      <c r="L537" s="169">
        <f t="shared" si="296"/>
        <v>1854055.875556347</v>
      </c>
      <c r="M537" s="169">
        <f t="shared" si="296"/>
        <v>2030879.2119923178</v>
      </c>
      <c r="N537" s="169">
        <f t="shared" si="296"/>
        <v>2222663.9667751584</v>
      </c>
      <c r="O537" s="169">
        <f t="shared" si="296"/>
        <v>2395119.318497452</v>
      </c>
      <c r="P537" s="169">
        <f t="shared" si="296"/>
        <v>0</v>
      </c>
      <c r="Q537" s="169">
        <f t="shared" si="296"/>
        <v>0</v>
      </c>
      <c r="R537" s="169">
        <f t="shared" si="296"/>
        <v>0</v>
      </c>
      <c r="S537" s="169">
        <f t="shared" si="296"/>
        <v>0</v>
      </c>
      <c r="T537" s="169">
        <f t="shared" si="296"/>
        <v>0</v>
      </c>
      <c r="U537" s="169">
        <f t="shared" si="296"/>
        <v>0</v>
      </c>
      <c r="V537" s="169">
        <f t="shared" si="296"/>
        <v>0</v>
      </c>
      <c r="W537" s="169">
        <f t="shared" si="296"/>
        <v>0</v>
      </c>
      <c r="X537" s="169">
        <f t="shared" si="296"/>
        <v>0</v>
      </c>
      <c r="Y537" s="169">
        <f t="shared" si="296"/>
        <v>0</v>
      </c>
      <c r="Z537" s="169">
        <f t="shared" si="296"/>
        <v>0</v>
      </c>
      <c r="AA537" s="169">
        <f t="shared" si="296"/>
        <v>0</v>
      </c>
      <c r="AB537" s="169">
        <f t="shared" si="296"/>
        <v>0</v>
      </c>
      <c r="AC537" s="169">
        <f t="shared" si="296"/>
        <v>0</v>
      </c>
      <c r="AD537" s="169">
        <f t="shared" si="296"/>
        <v>0</v>
      </c>
      <c r="AE537" s="169">
        <f t="shared" si="296"/>
        <v>0</v>
      </c>
      <c r="AF537" s="169">
        <f t="shared" si="296"/>
        <v>0</v>
      </c>
      <c r="AG537" s="169">
        <f t="shared" si="296"/>
        <v>0</v>
      </c>
      <c r="AH537" s="169">
        <f t="shared" si="296"/>
        <v>0</v>
      </c>
      <c r="AI537" s="169">
        <f t="shared" si="296"/>
        <v>0</v>
      </c>
      <c r="AJ537" s="169">
        <f t="shared" si="296"/>
        <v>0</v>
      </c>
      <c r="AK537" s="169">
        <f t="shared" si="296"/>
        <v>0</v>
      </c>
      <c r="AL537" s="169">
        <f t="shared" si="296"/>
        <v>0</v>
      </c>
      <c r="AM537" s="169">
        <f t="shared" si="296"/>
        <v>0</v>
      </c>
      <c r="AN537" s="169">
        <f t="shared" si="296"/>
        <v>0</v>
      </c>
      <c r="AO537" s="169">
        <f t="shared" si="296"/>
        <v>0</v>
      </c>
      <c r="AP537" s="169">
        <f t="shared" si="296"/>
        <v>0</v>
      </c>
    </row>
    <row r="538" spans="1:42" s="101" customFormat="1" x14ac:dyDescent="0.2">
      <c r="A538" s="183" t="s">
        <v>101</v>
      </c>
      <c r="B538" s="266">
        <f>SUM(C538:AP538)</f>
        <v>13514270.770740617</v>
      </c>
      <c r="C538" s="170">
        <f t="shared" ref="C538:AP538" si="297">IF(SODebtStructure="Mortgage Style",C580,C560)</f>
        <v>1630990.3450276775</v>
      </c>
      <c r="D538" s="170">
        <f t="shared" si="297"/>
        <v>1565535.3088411714</v>
      </c>
      <c r="E538" s="170">
        <f t="shared" si="297"/>
        <v>1492838.967772336</v>
      </c>
      <c r="F538" s="170">
        <f t="shared" si="297"/>
        <v>1412289.8437396672</v>
      </c>
      <c r="G538" s="170">
        <f t="shared" si="297"/>
        <v>1323224.6643316729</v>
      </c>
      <c r="H538" s="170">
        <f t="shared" si="297"/>
        <v>1224923.9645995069</v>
      </c>
      <c r="I538" s="170">
        <f t="shared" si="297"/>
        <v>1116607.315097166</v>
      </c>
      <c r="J538" s="170">
        <f t="shared" si="297"/>
        <v>997428.14440238755</v>
      </c>
      <c r="K538" s="170">
        <f t="shared" si="297"/>
        <v>866468.12165124703</v>
      </c>
      <c r="L538" s="170">
        <f t="shared" si="297"/>
        <v>722731.06168980908</v>
      </c>
      <c r="M538" s="170">
        <f t="shared" si="297"/>
        <v>565136.31226751953</v>
      </c>
      <c r="N538" s="170">
        <f t="shared" si="297"/>
        <v>392511.57924817252</v>
      </c>
      <c r="O538" s="170">
        <f t="shared" si="297"/>
        <v>203585.14207228407</v>
      </c>
      <c r="P538" s="170">
        <f t="shared" si="297"/>
        <v>0</v>
      </c>
      <c r="Q538" s="170">
        <f t="shared" si="297"/>
        <v>0</v>
      </c>
      <c r="R538" s="170">
        <f t="shared" si="297"/>
        <v>0</v>
      </c>
      <c r="S538" s="170">
        <f t="shared" si="297"/>
        <v>0</v>
      </c>
      <c r="T538" s="170">
        <f t="shared" si="297"/>
        <v>0</v>
      </c>
      <c r="U538" s="170">
        <f t="shared" si="297"/>
        <v>0</v>
      </c>
      <c r="V538" s="170">
        <f t="shared" si="297"/>
        <v>0</v>
      </c>
      <c r="W538" s="170">
        <f t="shared" si="297"/>
        <v>0</v>
      </c>
      <c r="X538" s="170">
        <f t="shared" si="297"/>
        <v>0</v>
      </c>
      <c r="Y538" s="170">
        <f t="shared" si="297"/>
        <v>0</v>
      </c>
      <c r="Z538" s="170">
        <f t="shared" si="297"/>
        <v>0</v>
      </c>
      <c r="AA538" s="170">
        <f t="shared" si="297"/>
        <v>0</v>
      </c>
      <c r="AB538" s="170">
        <f t="shared" si="297"/>
        <v>0</v>
      </c>
      <c r="AC538" s="170">
        <f t="shared" si="297"/>
        <v>0</v>
      </c>
      <c r="AD538" s="170">
        <f t="shared" si="297"/>
        <v>0</v>
      </c>
      <c r="AE538" s="170">
        <f t="shared" si="297"/>
        <v>0</v>
      </c>
      <c r="AF538" s="170">
        <f t="shared" si="297"/>
        <v>0</v>
      </c>
      <c r="AG538" s="170">
        <f t="shared" si="297"/>
        <v>0</v>
      </c>
      <c r="AH538" s="170">
        <f t="shared" si="297"/>
        <v>0</v>
      </c>
      <c r="AI538" s="170">
        <f t="shared" si="297"/>
        <v>0</v>
      </c>
      <c r="AJ538" s="170">
        <f t="shared" si="297"/>
        <v>0</v>
      </c>
      <c r="AK538" s="170">
        <f t="shared" si="297"/>
        <v>0</v>
      </c>
      <c r="AL538" s="170">
        <f t="shared" si="297"/>
        <v>0</v>
      </c>
      <c r="AM538" s="170">
        <f t="shared" si="297"/>
        <v>0</v>
      </c>
      <c r="AN538" s="170">
        <f t="shared" si="297"/>
        <v>0</v>
      </c>
      <c r="AO538" s="170">
        <f t="shared" si="297"/>
        <v>0</v>
      </c>
      <c r="AP538" s="170">
        <f t="shared" si="297"/>
        <v>0</v>
      </c>
    </row>
    <row r="539" spans="1:42" s="101" customFormat="1" x14ac:dyDescent="0.2">
      <c r="A539" s="183" t="s">
        <v>102</v>
      </c>
      <c r="B539" s="266">
        <f>SUM(C539:AP539)</f>
        <v>32702392.476948578</v>
      </c>
      <c r="C539" s="169">
        <f>SUM(C537:C538)</f>
        <v>2401049.5942806904</v>
      </c>
      <c r="D539" s="169">
        <f t="shared" ref="D539:AP539" si="298">SUM(D537:D538)</f>
        <v>2420786.3802392371</v>
      </c>
      <c r="E539" s="169">
        <f t="shared" si="298"/>
        <v>2440475.7210978507</v>
      </c>
      <c r="F539" s="169">
        <f t="shared" si="298"/>
        <v>2460115.4838337172</v>
      </c>
      <c r="G539" s="169">
        <f t="shared" si="298"/>
        <v>2479703.4847100973</v>
      </c>
      <c r="H539" s="169">
        <f t="shared" si="298"/>
        <v>2499237.4881564579</v>
      </c>
      <c r="I539" s="169">
        <f t="shared" si="298"/>
        <v>2518715.2056239704</v>
      </c>
      <c r="J539" s="169">
        <f t="shared" si="298"/>
        <v>2538134.2944158041</v>
      </c>
      <c r="K539" s="169">
        <f t="shared" si="298"/>
        <v>2557492.3564916938</v>
      </c>
      <c r="L539" s="169">
        <f t="shared" si="298"/>
        <v>2576786.9372461559</v>
      </c>
      <c r="M539" s="169">
        <f t="shared" si="298"/>
        <v>2596015.5242598373</v>
      </c>
      <c r="N539" s="169">
        <f t="shared" si="298"/>
        <v>2615175.5460233311</v>
      </c>
      <c r="O539" s="169">
        <f t="shared" si="298"/>
        <v>2598704.4605697361</v>
      </c>
      <c r="P539" s="169">
        <f t="shared" si="298"/>
        <v>0</v>
      </c>
      <c r="Q539" s="169">
        <f t="shared" si="298"/>
        <v>0</v>
      </c>
      <c r="R539" s="169">
        <f t="shared" si="298"/>
        <v>0</v>
      </c>
      <c r="S539" s="169">
        <f t="shared" si="298"/>
        <v>0</v>
      </c>
      <c r="T539" s="169">
        <f t="shared" si="298"/>
        <v>0</v>
      </c>
      <c r="U539" s="169">
        <f t="shared" si="298"/>
        <v>0</v>
      </c>
      <c r="V539" s="169">
        <f t="shared" si="298"/>
        <v>0</v>
      </c>
      <c r="W539" s="169">
        <f t="shared" si="298"/>
        <v>0</v>
      </c>
      <c r="X539" s="169">
        <f t="shared" si="298"/>
        <v>0</v>
      </c>
      <c r="Y539" s="169">
        <f t="shared" si="298"/>
        <v>0</v>
      </c>
      <c r="Z539" s="169">
        <f t="shared" si="298"/>
        <v>0</v>
      </c>
      <c r="AA539" s="169">
        <f t="shared" si="298"/>
        <v>0</v>
      </c>
      <c r="AB539" s="169">
        <f t="shared" si="298"/>
        <v>0</v>
      </c>
      <c r="AC539" s="169">
        <f t="shared" si="298"/>
        <v>0</v>
      </c>
      <c r="AD539" s="169">
        <f t="shared" si="298"/>
        <v>0</v>
      </c>
      <c r="AE539" s="169">
        <f t="shared" si="298"/>
        <v>0</v>
      </c>
      <c r="AF539" s="169">
        <f t="shared" si="298"/>
        <v>0</v>
      </c>
      <c r="AG539" s="169">
        <f t="shared" si="298"/>
        <v>0</v>
      </c>
      <c r="AH539" s="169">
        <f t="shared" si="298"/>
        <v>0</v>
      </c>
      <c r="AI539" s="169">
        <f t="shared" si="298"/>
        <v>0</v>
      </c>
      <c r="AJ539" s="169">
        <f t="shared" si="298"/>
        <v>0</v>
      </c>
      <c r="AK539" s="169">
        <f t="shared" si="298"/>
        <v>0</v>
      </c>
      <c r="AL539" s="169">
        <f t="shared" si="298"/>
        <v>0</v>
      </c>
      <c r="AM539" s="169">
        <f t="shared" si="298"/>
        <v>0</v>
      </c>
      <c r="AN539" s="169">
        <f t="shared" si="298"/>
        <v>0</v>
      </c>
      <c r="AO539" s="169">
        <f t="shared" si="298"/>
        <v>0</v>
      </c>
      <c r="AP539" s="169">
        <f t="shared" si="298"/>
        <v>0</v>
      </c>
    </row>
    <row r="540" spans="1:42" s="101" customFormat="1" x14ac:dyDescent="0.2">
      <c r="A540" s="25"/>
    </row>
    <row r="541" spans="1:42" s="101" customFormat="1" x14ac:dyDescent="0.2">
      <c r="A541" s="178" t="s">
        <v>418</v>
      </c>
    </row>
    <row r="542" spans="1:42" s="101" customFormat="1" x14ac:dyDescent="0.2">
      <c r="A542" s="167" t="s">
        <v>251</v>
      </c>
    </row>
    <row r="543" spans="1:42" s="101" customFormat="1" x14ac:dyDescent="0.2">
      <c r="A543" s="183" t="s">
        <v>252</v>
      </c>
      <c r="C543" s="218">
        <f t="shared" ref="C543:AP543" si="299">IF(AND(C$2&lt;=SODebtTerm,C$2&lt;=AnalysisPeriod),SODebtRate,0)</f>
        <v>8.5000000000000006E-2</v>
      </c>
      <c r="D543" s="218">
        <f t="shared" si="299"/>
        <v>8.5000000000000006E-2</v>
      </c>
      <c r="E543" s="218">
        <f t="shared" si="299"/>
        <v>8.5000000000000006E-2</v>
      </c>
      <c r="F543" s="218">
        <f t="shared" si="299"/>
        <v>8.5000000000000006E-2</v>
      </c>
      <c r="G543" s="218">
        <f t="shared" si="299"/>
        <v>8.5000000000000006E-2</v>
      </c>
      <c r="H543" s="218">
        <f t="shared" si="299"/>
        <v>8.5000000000000006E-2</v>
      </c>
      <c r="I543" s="218">
        <f t="shared" si="299"/>
        <v>8.5000000000000006E-2</v>
      </c>
      <c r="J543" s="218">
        <f t="shared" si="299"/>
        <v>8.5000000000000006E-2</v>
      </c>
      <c r="K543" s="218">
        <f t="shared" si="299"/>
        <v>8.5000000000000006E-2</v>
      </c>
      <c r="L543" s="218">
        <f t="shared" si="299"/>
        <v>8.5000000000000006E-2</v>
      </c>
      <c r="M543" s="218">
        <f t="shared" si="299"/>
        <v>8.5000000000000006E-2</v>
      </c>
      <c r="N543" s="218">
        <f t="shared" si="299"/>
        <v>8.5000000000000006E-2</v>
      </c>
      <c r="O543" s="218">
        <f t="shared" si="299"/>
        <v>8.5000000000000006E-2</v>
      </c>
      <c r="P543" s="218">
        <f t="shared" si="299"/>
        <v>0</v>
      </c>
      <c r="Q543" s="218">
        <f t="shared" si="299"/>
        <v>0</v>
      </c>
      <c r="R543" s="218">
        <f t="shared" si="299"/>
        <v>0</v>
      </c>
      <c r="S543" s="218">
        <f t="shared" si="299"/>
        <v>0</v>
      </c>
      <c r="T543" s="218">
        <f t="shared" si="299"/>
        <v>0</v>
      </c>
      <c r="U543" s="218">
        <f t="shared" si="299"/>
        <v>0</v>
      </c>
      <c r="V543" s="218">
        <f t="shared" si="299"/>
        <v>0</v>
      </c>
      <c r="W543" s="218">
        <f t="shared" si="299"/>
        <v>0</v>
      </c>
      <c r="X543" s="218">
        <f t="shared" si="299"/>
        <v>0</v>
      </c>
      <c r="Y543" s="218">
        <f t="shared" si="299"/>
        <v>0</v>
      </c>
      <c r="Z543" s="218">
        <f t="shared" si="299"/>
        <v>0</v>
      </c>
      <c r="AA543" s="218">
        <f t="shared" si="299"/>
        <v>0</v>
      </c>
      <c r="AB543" s="218">
        <f t="shared" si="299"/>
        <v>0</v>
      </c>
      <c r="AC543" s="218">
        <f t="shared" si="299"/>
        <v>0</v>
      </c>
      <c r="AD543" s="218">
        <f t="shared" si="299"/>
        <v>0</v>
      </c>
      <c r="AE543" s="218">
        <f t="shared" si="299"/>
        <v>0</v>
      </c>
      <c r="AF543" s="218">
        <f t="shared" si="299"/>
        <v>0</v>
      </c>
      <c r="AG543" s="218">
        <f t="shared" si="299"/>
        <v>0</v>
      </c>
      <c r="AH543" s="218">
        <f t="shared" si="299"/>
        <v>0</v>
      </c>
      <c r="AI543" s="218">
        <f t="shared" si="299"/>
        <v>0</v>
      </c>
      <c r="AJ543" s="218">
        <f t="shared" si="299"/>
        <v>0</v>
      </c>
      <c r="AK543" s="218">
        <f t="shared" si="299"/>
        <v>0</v>
      </c>
      <c r="AL543" s="218">
        <f t="shared" si="299"/>
        <v>0</v>
      </c>
      <c r="AM543" s="218">
        <f t="shared" si="299"/>
        <v>0</v>
      </c>
      <c r="AN543" s="218">
        <f t="shared" si="299"/>
        <v>0</v>
      </c>
      <c r="AO543" s="218">
        <f t="shared" si="299"/>
        <v>0</v>
      </c>
      <c r="AP543" s="218">
        <f t="shared" si="299"/>
        <v>0</v>
      </c>
    </row>
    <row r="544" spans="1:42" s="101" customFormat="1" x14ac:dyDescent="0.2">
      <c r="A544" s="183" t="s">
        <v>253</v>
      </c>
      <c r="C544" s="219">
        <f>IF(AND(C$2&lt;=SODebtTerm,C$2&lt;=AnalysisPeriod),1/(1+C543),0)</f>
        <v>0.92165898617511521</v>
      </c>
      <c r="D544" s="220">
        <f t="shared" ref="D544:AP544" si="300">IF(AND(D$2&lt;=SODebtTerm,D$2&lt;=AnalysisPeriod),C544/(1+D543),0)</f>
        <v>0.84945528679734128</v>
      </c>
      <c r="E544" s="220">
        <f t="shared" si="300"/>
        <v>0.78290809843072928</v>
      </c>
      <c r="F544" s="220">
        <f t="shared" si="300"/>
        <v>0.72157428426795323</v>
      </c>
      <c r="G544" s="220">
        <f t="shared" si="300"/>
        <v>0.66504542328843619</v>
      </c>
      <c r="H544" s="220">
        <f t="shared" si="300"/>
        <v>0.6129450905884205</v>
      </c>
      <c r="I544" s="220">
        <f t="shared" si="300"/>
        <v>0.56492635077273778</v>
      </c>
      <c r="J544" s="220">
        <f t="shared" si="300"/>
        <v>0.52066944771680901</v>
      </c>
      <c r="K544" s="220">
        <f t="shared" si="300"/>
        <v>0.47987967531503134</v>
      </c>
      <c r="L544" s="220">
        <f t="shared" si="300"/>
        <v>0.44228541503689528</v>
      </c>
      <c r="M544" s="220">
        <f t="shared" si="300"/>
        <v>0.40763632722294496</v>
      </c>
      <c r="N544" s="220">
        <f t="shared" si="300"/>
        <v>0.375701684076447</v>
      </c>
      <c r="O544" s="220">
        <f t="shared" si="300"/>
        <v>0.3462688332501816</v>
      </c>
      <c r="P544" s="220">
        <f t="shared" si="300"/>
        <v>0</v>
      </c>
      <c r="Q544" s="220">
        <f t="shared" si="300"/>
        <v>0</v>
      </c>
      <c r="R544" s="220">
        <f t="shared" si="300"/>
        <v>0</v>
      </c>
      <c r="S544" s="220">
        <f t="shared" si="300"/>
        <v>0</v>
      </c>
      <c r="T544" s="220">
        <f t="shared" si="300"/>
        <v>0</v>
      </c>
      <c r="U544" s="220">
        <f t="shared" si="300"/>
        <v>0</v>
      </c>
      <c r="V544" s="220">
        <f t="shared" si="300"/>
        <v>0</v>
      </c>
      <c r="W544" s="220">
        <f t="shared" si="300"/>
        <v>0</v>
      </c>
      <c r="X544" s="220">
        <f t="shared" si="300"/>
        <v>0</v>
      </c>
      <c r="Y544" s="220">
        <f t="shared" si="300"/>
        <v>0</v>
      </c>
      <c r="Z544" s="220">
        <f t="shared" si="300"/>
        <v>0</v>
      </c>
      <c r="AA544" s="220">
        <f t="shared" si="300"/>
        <v>0</v>
      </c>
      <c r="AB544" s="220">
        <f t="shared" si="300"/>
        <v>0</v>
      </c>
      <c r="AC544" s="220">
        <f t="shared" si="300"/>
        <v>0</v>
      </c>
      <c r="AD544" s="220">
        <f t="shared" si="300"/>
        <v>0</v>
      </c>
      <c r="AE544" s="220">
        <f t="shared" si="300"/>
        <v>0</v>
      </c>
      <c r="AF544" s="220">
        <f t="shared" si="300"/>
        <v>0</v>
      </c>
      <c r="AG544" s="220">
        <f t="shared" si="300"/>
        <v>0</v>
      </c>
      <c r="AH544" s="220">
        <f t="shared" si="300"/>
        <v>0</v>
      </c>
      <c r="AI544" s="220">
        <f t="shared" si="300"/>
        <v>0</v>
      </c>
      <c r="AJ544" s="220">
        <f t="shared" si="300"/>
        <v>0</v>
      </c>
      <c r="AK544" s="220">
        <f t="shared" si="300"/>
        <v>0</v>
      </c>
      <c r="AL544" s="220">
        <f t="shared" si="300"/>
        <v>0</v>
      </c>
      <c r="AM544" s="220">
        <f t="shared" si="300"/>
        <v>0</v>
      </c>
      <c r="AN544" s="220">
        <f t="shared" si="300"/>
        <v>0</v>
      </c>
      <c r="AO544" s="220">
        <f t="shared" si="300"/>
        <v>0</v>
      </c>
      <c r="AP544" s="220">
        <f t="shared" si="300"/>
        <v>0</v>
      </c>
    </row>
    <row r="545" spans="1:42" s="101" customFormat="1" x14ac:dyDescent="0.2">
      <c r="A545" s="183" t="s">
        <v>106</v>
      </c>
      <c r="C545" s="219"/>
      <c r="D545" s="220"/>
      <c r="E545" s="220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G545" s="220"/>
      <c r="AH545" s="220"/>
      <c r="AI545" s="220"/>
      <c r="AJ545" s="220"/>
      <c r="AK545" s="220"/>
      <c r="AL545" s="220"/>
      <c r="AM545" s="220"/>
      <c r="AN545" s="220"/>
      <c r="AO545" s="220"/>
      <c r="AP545" s="220"/>
    </row>
    <row r="546" spans="1:42" s="101" customFormat="1" x14ac:dyDescent="0.2">
      <c r="A546" s="196" t="s">
        <v>112</v>
      </c>
      <c r="B546" s="266">
        <f>SUM(C546:AP546)</f>
        <v>47386514.094592288</v>
      </c>
      <c r="C546" s="169">
        <f t="shared" ref="C546:AP546" si="301">IF(AND(C$2&lt;=SODebtTerm,C$2&lt;=AnalysisPeriod),C43,0)</f>
        <v>3486822.9809040418</v>
      </c>
      <c r="D546" s="169">
        <f t="shared" si="301"/>
        <v>3513467.6419480797</v>
      </c>
      <c r="E546" s="169">
        <f t="shared" si="301"/>
        <v>3540048.2521072086</v>
      </c>
      <c r="F546" s="169">
        <f t="shared" si="301"/>
        <v>3566561.9318006281</v>
      </c>
      <c r="G546" s="169">
        <f t="shared" si="301"/>
        <v>3593005.732983741</v>
      </c>
      <c r="H546" s="169">
        <f t="shared" si="301"/>
        <v>3619376.6376363281</v>
      </c>
      <c r="I546" s="169">
        <f t="shared" si="301"/>
        <v>3645671.5562174697</v>
      </c>
      <c r="J546" s="169">
        <f t="shared" si="301"/>
        <v>3671887.3260864457</v>
      </c>
      <c r="K546" s="169">
        <f t="shared" si="301"/>
        <v>3698020.7098888964</v>
      </c>
      <c r="L546" s="169">
        <f t="shared" si="301"/>
        <v>3724068.3939074203</v>
      </c>
      <c r="M546" s="169">
        <f t="shared" si="301"/>
        <v>3750026.9863758902</v>
      </c>
      <c r="N546" s="169">
        <f t="shared" si="301"/>
        <v>3775893.0157566071</v>
      </c>
      <c r="O546" s="169">
        <f t="shared" si="301"/>
        <v>3801662.9289795342</v>
      </c>
      <c r="P546" s="169">
        <f t="shared" si="301"/>
        <v>0</v>
      </c>
      <c r="Q546" s="169">
        <f t="shared" si="301"/>
        <v>0</v>
      </c>
      <c r="R546" s="169">
        <f t="shared" si="301"/>
        <v>0</v>
      </c>
      <c r="S546" s="169">
        <f t="shared" si="301"/>
        <v>0</v>
      </c>
      <c r="T546" s="169">
        <f t="shared" si="301"/>
        <v>0</v>
      </c>
      <c r="U546" s="169">
        <f t="shared" si="301"/>
        <v>0</v>
      </c>
      <c r="V546" s="169">
        <f t="shared" si="301"/>
        <v>0</v>
      </c>
      <c r="W546" s="169">
        <f t="shared" si="301"/>
        <v>0</v>
      </c>
      <c r="X546" s="169">
        <f t="shared" si="301"/>
        <v>0</v>
      </c>
      <c r="Y546" s="169">
        <f t="shared" si="301"/>
        <v>0</v>
      </c>
      <c r="Z546" s="169">
        <f t="shared" si="301"/>
        <v>0</v>
      </c>
      <c r="AA546" s="169">
        <f t="shared" si="301"/>
        <v>0</v>
      </c>
      <c r="AB546" s="169">
        <f t="shared" si="301"/>
        <v>0</v>
      </c>
      <c r="AC546" s="169">
        <f t="shared" si="301"/>
        <v>0</v>
      </c>
      <c r="AD546" s="169">
        <f t="shared" si="301"/>
        <v>0</v>
      </c>
      <c r="AE546" s="169">
        <f t="shared" si="301"/>
        <v>0</v>
      </c>
      <c r="AF546" s="169">
        <f t="shared" si="301"/>
        <v>0</v>
      </c>
      <c r="AG546" s="169">
        <f t="shared" si="301"/>
        <v>0</v>
      </c>
      <c r="AH546" s="169">
        <f t="shared" si="301"/>
        <v>0</v>
      </c>
      <c r="AI546" s="169">
        <f t="shared" si="301"/>
        <v>0</v>
      </c>
      <c r="AJ546" s="169">
        <f t="shared" si="301"/>
        <v>0</v>
      </c>
      <c r="AK546" s="169">
        <f t="shared" si="301"/>
        <v>0</v>
      </c>
      <c r="AL546" s="169">
        <f t="shared" si="301"/>
        <v>0</v>
      </c>
      <c r="AM546" s="169">
        <f t="shared" si="301"/>
        <v>0</v>
      </c>
      <c r="AN546" s="169">
        <f t="shared" si="301"/>
        <v>0</v>
      </c>
      <c r="AO546" s="169">
        <f t="shared" si="301"/>
        <v>0</v>
      </c>
      <c r="AP546" s="169">
        <f t="shared" si="301"/>
        <v>0</v>
      </c>
    </row>
    <row r="547" spans="1:42" s="101" customFormat="1" x14ac:dyDescent="0.2">
      <c r="A547" s="236" t="s">
        <v>387</v>
      </c>
      <c r="B547" s="266">
        <f>SUM(C547:AP547)</f>
        <v>-3238284.2507117046</v>
      </c>
      <c r="C547" s="186">
        <f t="shared" ref="C547:AP547" si="302">IF(AND(C$2&lt;=SODebtTerm,C$2&lt;=AnalysisPeriod),-C605-C637-C669,0)</f>
        <v>-245406.02862510949</v>
      </c>
      <c r="D547" s="124">
        <f t="shared" si="302"/>
        <v>-245406.02862510949</v>
      </c>
      <c r="E547" s="124">
        <f t="shared" si="302"/>
        <v>-245406.02862510949</v>
      </c>
      <c r="F547" s="124">
        <f t="shared" si="302"/>
        <v>-245406.02862510949</v>
      </c>
      <c r="G547" s="124">
        <f t="shared" si="302"/>
        <v>-245406.02862510949</v>
      </c>
      <c r="H547" s="124">
        <f t="shared" si="302"/>
        <v>-245406.02862510949</v>
      </c>
      <c r="I547" s="124">
        <f t="shared" si="302"/>
        <v>-245406.02862510949</v>
      </c>
      <c r="J547" s="124">
        <f t="shared" si="302"/>
        <v>-245406.02862510949</v>
      </c>
      <c r="K547" s="124">
        <f t="shared" si="302"/>
        <v>-245406.02862510949</v>
      </c>
      <c r="L547" s="124">
        <f t="shared" si="302"/>
        <v>-245406.02862510949</v>
      </c>
      <c r="M547" s="124">
        <f t="shared" si="302"/>
        <v>-245406.02862510949</v>
      </c>
      <c r="N547" s="124">
        <f t="shared" si="302"/>
        <v>-245406.02862510949</v>
      </c>
      <c r="O547" s="124">
        <f t="shared" si="302"/>
        <v>-293411.90721039008</v>
      </c>
      <c r="P547" s="124">
        <f t="shared" si="302"/>
        <v>0</v>
      </c>
      <c r="Q547" s="124">
        <f t="shared" si="302"/>
        <v>0</v>
      </c>
      <c r="R547" s="124">
        <f t="shared" si="302"/>
        <v>0</v>
      </c>
      <c r="S547" s="124">
        <f t="shared" si="302"/>
        <v>0</v>
      </c>
      <c r="T547" s="124">
        <f t="shared" si="302"/>
        <v>0</v>
      </c>
      <c r="U547" s="124">
        <f t="shared" si="302"/>
        <v>0</v>
      </c>
      <c r="V547" s="124">
        <f t="shared" si="302"/>
        <v>0</v>
      </c>
      <c r="W547" s="124">
        <f t="shared" si="302"/>
        <v>0</v>
      </c>
      <c r="X547" s="124">
        <f t="shared" si="302"/>
        <v>0</v>
      </c>
      <c r="Y547" s="124">
        <f t="shared" si="302"/>
        <v>0</v>
      </c>
      <c r="Z547" s="124">
        <f t="shared" si="302"/>
        <v>0</v>
      </c>
      <c r="AA547" s="124">
        <f t="shared" si="302"/>
        <v>0</v>
      </c>
      <c r="AB547" s="124">
        <f t="shared" si="302"/>
        <v>0</v>
      </c>
      <c r="AC547" s="124">
        <f t="shared" si="302"/>
        <v>0</v>
      </c>
      <c r="AD547" s="124">
        <f t="shared" si="302"/>
        <v>0</v>
      </c>
      <c r="AE547" s="124">
        <f t="shared" si="302"/>
        <v>0</v>
      </c>
      <c r="AF547" s="124">
        <f t="shared" si="302"/>
        <v>0</v>
      </c>
      <c r="AG547" s="124">
        <f t="shared" si="302"/>
        <v>0</v>
      </c>
      <c r="AH547" s="124">
        <f t="shared" si="302"/>
        <v>0</v>
      </c>
      <c r="AI547" s="124">
        <f t="shared" si="302"/>
        <v>0</v>
      </c>
      <c r="AJ547" s="124">
        <f t="shared" si="302"/>
        <v>0</v>
      </c>
      <c r="AK547" s="124">
        <f t="shared" si="302"/>
        <v>0</v>
      </c>
      <c r="AL547" s="124">
        <f t="shared" si="302"/>
        <v>0</v>
      </c>
      <c r="AM547" s="124">
        <f t="shared" si="302"/>
        <v>0</v>
      </c>
      <c r="AN547" s="124">
        <f t="shared" si="302"/>
        <v>0</v>
      </c>
      <c r="AO547" s="124">
        <f t="shared" si="302"/>
        <v>0</v>
      </c>
      <c r="AP547" s="124">
        <f t="shared" si="302"/>
        <v>0</v>
      </c>
    </row>
    <row r="548" spans="1:42" s="101" customFormat="1" x14ac:dyDescent="0.2">
      <c r="A548" s="196" t="s">
        <v>106</v>
      </c>
      <c r="B548" s="221">
        <f>SUM(C548:AP548)</f>
        <v>44148229.843880586</v>
      </c>
      <c r="C548" s="204">
        <f t="shared" ref="C548:AP548" si="303">IF(SODebtSwitch="No",0,SUM(C546:C547))</f>
        <v>3241416.9522789321</v>
      </c>
      <c r="D548" s="230">
        <f t="shared" si="303"/>
        <v>3268061.61332297</v>
      </c>
      <c r="E548" s="230">
        <f t="shared" si="303"/>
        <v>3294642.2234820989</v>
      </c>
      <c r="F548" s="230">
        <f t="shared" si="303"/>
        <v>3321155.9031755184</v>
      </c>
      <c r="G548" s="230">
        <f t="shared" si="303"/>
        <v>3347599.7043586313</v>
      </c>
      <c r="H548" s="230">
        <f t="shared" si="303"/>
        <v>3373970.6090112184</v>
      </c>
      <c r="I548" s="230">
        <f t="shared" si="303"/>
        <v>3400265.52759236</v>
      </c>
      <c r="J548" s="230">
        <f t="shared" si="303"/>
        <v>3426481.297461336</v>
      </c>
      <c r="K548" s="230">
        <f t="shared" si="303"/>
        <v>3452614.6812637867</v>
      </c>
      <c r="L548" s="230">
        <f t="shared" si="303"/>
        <v>3478662.3652823106</v>
      </c>
      <c r="M548" s="230">
        <f t="shared" si="303"/>
        <v>3504620.9577507805</v>
      </c>
      <c r="N548" s="230">
        <f t="shared" si="303"/>
        <v>3530486.9871314974</v>
      </c>
      <c r="O548" s="230">
        <f t="shared" si="303"/>
        <v>3508251.0217691441</v>
      </c>
      <c r="P548" s="230">
        <f t="shared" si="303"/>
        <v>0</v>
      </c>
      <c r="Q548" s="230">
        <f t="shared" si="303"/>
        <v>0</v>
      </c>
      <c r="R548" s="230">
        <f t="shared" si="303"/>
        <v>0</v>
      </c>
      <c r="S548" s="230">
        <f t="shared" si="303"/>
        <v>0</v>
      </c>
      <c r="T548" s="230">
        <f t="shared" si="303"/>
        <v>0</v>
      </c>
      <c r="U548" s="230">
        <f t="shared" si="303"/>
        <v>0</v>
      </c>
      <c r="V548" s="230">
        <f t="shared" si="303"/>
        <v>0</v>
      </c>
      <c r="W548" s="230">
        <f t="shared" si="303"/>
        <v>0</v>
      </c>
      <c r="X548" s="230">
        <f t="shared" si="303"/>
        <v>0</v>
      </c>
      <c r="Y548" s="230">
        <f t="shared" si="303"/>
        <v>0</v>
      </c>
      <c r="Z548" s="230">
        <f t="shared" si="303"/>
        <v>0</v>
      </c>
      <c r="AA548" s="230">
        <f t="shared" si="303"/>
        <v>0</v>
      </c>
      <c r="AB548" s="230">
        <f t="shared" si="303"/>
        <v>0</v>
      </c>
      <c r="AC548" s="230">
        <f t="shared" si="303"/>
        <v>0</v>
      </c>
      <c r="AD548" s="230">
        <f t="shared" si="303"/>
        <v>0</v>
      </c>
      <c r="AE548" s="230">
        <f t="shared" si="303"/>
        <v>0</v>
      </c>
      <c r="AF548" s="230">
        <f t="shared" si="303"/>
        <v>0</v>
      </c>
      <c r="AG548" s="230">
        <f t="shared" si="303"/>
        <v>0</v>
      </c>
      <c r="AH548" s="230">
        <f t="shared" si="303"/>
        <v>0</v>
      </c>
      <c r="AI548" s="230">
        <f t="shared" si="303"/>
        <v>0</v>
      </c>
      <c r="AJ548" s="230">
        <f t="shared" si="303"/>
        <v>0</v>
      </c>
      <c r="AK548" s="230">
        <f t="shared" si="303"/>
        <v>0</v>
      </c>
      <c r="AL548" s="230">
        <f t="shared" si="303"/>
        <v>0</v>
      </c>
      <c r="AM548" s="230">
        <f t="shared" si="303"/>
        <v>0</v>
      </c>
      <c r="AN548" s="230">
        <f t="shared" si="303"/>
        <v>0</v>
      </c>
      <c r="AO548" s="230">
        <f t="shared" si="303"/>
        <v>0</v>
      </c>
      <c r="AP548" s="230">
        <f t="shared" si="303"/>
        <v>0</v>
      </c>
    </row>
    <row r="549" spans="1:42" s="101" customFormat="1" x14ac:dyDescent="0.2">
      <c r="A549" s="183" t="s">
        <v>254</v>
      </c>
      <c r="B549" s="221">
        <f>SUM(C549:AP549)</f>
        <v>25903964.303380765</v>
      </c>
      <c r="C549" s="135">
        <f t="shared" ref="C549:AP549" si="304">C544*C548</f>
        <v>2987481.0620082323</v>
      </c>
      <c r="D549" s="135">
        <f t="shared" si="304"/>
        <v>2776072.2150166454</v>
      </c>
      <c r="E549" s="135">
        <f t="shared" si="304"/>
        <v>2579402.0781959598</v>
      </c>
      <c r="F549" s="135">
        <f t="shared" si="304"/>
        <v>2396460.6937761623</v>
      </c>
      <c r="G549" s="135">
        <f t="shared" si="304"/>
        <v>2226305.8623854299</v>
      </c>
      <c r="H549" s="135">
        <f t="shared" si="304"/>
        <v>2068058.7205830496</v>
      </c>
      <c r="I549" s="135">
        <f t="shared" si="304"/>
        <v>1920899.5961610898</v>
      </c>
      <c r="J549" s="135">
        <f t="shared" si="304"/>
        <v>1784064.1247611691</v>
      </c>
      <c r="K549" s="135">
        <f t="shared" si="304"/>
        <v>1656839.6122327764</v>
      </c>
      <c r="L549" s="135">
        <f t="shared" si="304"/>
        <v>1538561.6280021146</v>
      </c>
      <c r="M549" s="135">
        <f t="shared" si="304"/>
        <v>1428610.815526088</v>
      </c>
      <c r="N549" s="135">
        <f t="shared" si="304"/>
        <v>1326409.906675285</v>
      </c>
      <c r="O549" s="135">
        <f t="shared" si="304"/>
        <v>1214797.9880567589</v>
      </c>
      <c r="P549" s="135">
        <f t="shared" si="304"/>
        <v>0</v>
      </c>
      <c r="Q549" s="135">
        <f t="shared" si="304"/>
        <v>0</v>
      </c>
      <c r="R549" s="135">
        <f t="shared" si="304"/>
        <v>0</v>
      </c>
      <c r="S549" s="135">
        <f t="shared" si="304"/>
        <v>0</v>
      </c>
      <c r="T549" s="135">
        <f t="shared" si="304"/>
        <v>0</v>
      </c>
      <c r="U549" s="135">
        <f t="shared" si="304"/>
        <v>0</v>
      </c>
      <c r="V549" s="135">
        <f t="shared" si="304"/>
        <v>0</v>
      </c>
      <c r="W549" s="135">
        <f t="shared" si="304"/>
        <v>0</v>
      </c>
      <c r="X549" s="135">
        <f t="shared" si="304"/>
        <v>0</v>
      </c>
      <c r="Y549" s="135">
        <f t="shared" si="304"/>
        <v>0</v>
      </c>
      <c r="Z549" s="135">
        <f t="shared" si="304"/>
        <v>0</v>
      </c>
      <c r="AA549" s="135">
        <f t="shared" si="304"/>
        <v>0</v>
      </c>
      <c r="AB549" s="135">
        <f t="shared" si="304"/>
        <v>0</v>
      </c>
      <c r="AC549" s="135">
        <f t="shared" si="304"/>
        <v>0</v>
      </c>
      <c r="AD549" s="135">
        <f t="shared" si="304"/>
        <v>0</v>
      </c>
      <c r="AE549" s="135">
        <f t="shared" si="304"/>
        <v>0</v>
      </c>
      <c r="AF549" s="135">
        <f t="shared" si="304"/>
        <v>0</v>
      </c>
      <c r="AG549" s="135">
        <f t="shared" si="304"/>
        <v>0</v>
      </c>
      <c r="AH549" s="135">
        <f t="shared" si="304"/>
        <v>0</v>
      </c>
      <c r="AI549" s="135">
        <f t="shared" si="304"/>
        <v>0</v>
      </c>
      <c r="AJ549" s="135">
        <f t="shared" si="304"/>
        <v>0</v>
      </c>
      <c r="AK549" s="135">
        <f t="shared" si="304"/>
        <v>0</v>
      </c>
      <c r="AL549" s="135">
        <f t="shared" si="304"/>
        <v>0</v>
      </c>
      <c r="AM549" s="135">
        <f t="shared" si="304"/>
        <v>0</v>
      </c>
      <c r="AN549" s="135">
        <f t="shared" si="304"/>
        <v>0</v>
      </c>
      <c r="AO549" s="135">
        <f t="shared" si="304"/>
        <v>0</v>
      </c>
      <c r="AP549" s="135">
        <f t="shared" si="304"/>
        <v>0</v>
      </c>
    </row>
    <row r="550" spans="1:42" s="101" customFormat="1" x14ac:dyDescent="0.2">
      <c r="A550" s="183" t="s">
        <v>105</v>
      </c>
      <c r="C550" s="222">
        <f t="shared" ref="C550:AP550" si="305">IF(AND(C$2&lt;=SODebtTerm,C$2&lt;=AnalysisPeriod),SODSCR,0)</f>
        <v>1.35</v>
      </c>
      <c r="D550" s="222">
        <f t="shared" si="305"/>
        <v>1.35</v>
      </c>
      <c r="E550" s="222">
        <f t="shared" si="305"/>
        <v>1.35</v>
      </c>
      <c r="F550" s="222">
        <f t="shared" si="305"/>
        <v>1.35</v>
      </c>
      <c r="G550" s="222">
        <f t="shared" si="305"/>
        <v>1.35</v>
      </c>
      <c r="H550" s="222">
        <f t="shared" si="305"/>
        <v>1.35</v>
      </c>
      <c r="I550" s="222">
        <f t="shared" si="305"/>
        <v>1.35</v>
      </c>
      <c r="J550" s="222">
        <f t="shared" si="305"/>
        <v>1.35</v>
      </c>
      <c r="K550" s="222">
        <f t="shared" si="305"/>
        <v>1.35</v>
      </c>
      <c r="L550" s="222">
        <f t="shared" si="305"/>
        <v>1.35</v>
      </c>
      <c r="M550" s="222">
        <f t="shared" si="305"/>
        <v>1.35</v>
      </c>
      <c r="N550" s="222">
        <f t="shared" si="305"/>
        <v>1.35</v>
      </c>
      <c r="O550" s="222">
        <f t="shared" si="305"/>
        <v>1.35</v>
      </c>
      <c r="P550" s="222">
        <f t="shared" si="305"/>
        <v>0</v>
      </c>
      <c r="Q550" s="222">
        <f t="shared" si="305"/>
        <v>0</v>
      </c>
      <c r="R550" s="222">
        <f t="shared" si="305"/>
        <v>0</v>
      </c>
      <c r="S550" s="222">
        <f t="shared" si="305"/>
        <v>0</v>
      </c>
      <c r="T550" s="222">
        <f t="shared" si="305"/>
        <v>0</v>
      </c>
      <c r="U550" s="222">
        <f t="shared" si="305"/>
        <v>0</v>
      </c>
      <c r="V550" s="222">
        <f t="shared" si="305"/>
        <v>0</v>
      </c>
      <c r="W550" s="222">
        <f t="shared" si="305"/>
        <v>0</v>
      </c>
      <c r="X550" s="222">
        <f t="shared" si="305"/>
        <v>0</v>
      </c>
      <c r="Y550" s="222">
        <f t="shared" si="305"/>
        <v>0</v>
      </c>
      <c r="Z550" s="222">
        <f t="shared" si="305"/>
        <v>0</v>
      </c>
      <c r="AA550" s="222">
        <f t="shared" si="305"/>
        <v>0</v>
      </c>
      <c r="AB550" s="222">
        <f t="shared" si="305"/>
        <v>0</v>
      </c>
      <c r="AC550" s="222">
        <f t="shared" si="305"/>
        <v>0</v>
      </c>
      <c r="AD550" s="222">
        <f t="shared" si="305"/>
        <v>0</v>
      </c>
      <c r="AE550" s="222">
        <f t="shared" si="305"/>
        <v>0</v>
      </c>
      <c r="AF550" s="222">
        <f t="shared" si="305"/>
        <v>0</v>
      </c>
      <c r="AG550" s="222">
        <f t="shared" si="305"/>
        <v>0</v>
      </c>
      <c r="AH550" s="222">
        <f t="shared" si="305"/>
        <v>0</v>
      </c>
      <c r="AI550" s="222">
        <f t="shared" si="305"/>
        <v>0</v>
      </c>
      <c r="AJ550" s="222">
        <f t="shared" si="305"/>
        <v>0</v>
      </c>
      <c r="AK550" s="222">
        <f t="shared" si="305"/>
        <v>0</v>
      </c>
      <c r="AL550" s="222">
        <f t="shared" si="305"/>
        <v>0</v>
      </c>
      <c r="AM550" s="222">
        <f t="shared" si="305"/>
        <v>0</v>
      </c>
      <c r="AN550" s="222">
        <f t="shared" si="305"/>
        <v>0</v>
      </c>
      <c r="AO550" s="222">
        <f t="shared" si="305"/>
        <v>0</v>
      </c>
      <c r="AP550" s="222">
        <f t="shared" si="305"/>
        <v>0</v>
      </c>
    </row>
    <row r="551" spans="1:42" s="101" customFormat="1" x14ac:dyDescent="0.2">
      <c r="A551" s="183" t="s">
        <v>255</v>
      </c>
      <c r="B551" s="221">
        <f>SUM(C551:AP551)</f>
        <v>19188121.706207968</v>
      </c>
      <c r="C551" s="135">
        <f t="shared" ref="C551:AP551" si="306">IF(AND(C$2&lt;=SODebtTerm,C$2&lt;=AnalysisPeriod),C549/C550,0)</f>
        <v>2212948.9348209128</v>
      </c>
      <c r="D551" s="135">
        <f t="shared" si="306"/>
        <v>2056349.7889012187</v>
      </c>
      <c r="E551" s="135">
        <f t="shared" si="306"/>
        <v>1910668.2060710811</v>
      </c>
      <c r="F551" s="135">
        <f t="shared" si="306"/>
        <v>1775156.0694638239</v>
      </c>
      <c r="G551" s="135">
        <f t="shared" si="306"/>
        <v>1649115.4536188368</v>
      </c>
      <c r="H551" s="135">
        <f t="shared" si="306"/>
        <v>1531895.3485800365</v>
      </c>
      <c r="I551" s="135">
        <f t="shared" si="306"/>
        <v>1422888.5897489553</v>
      </c>
      <c r="J551" s="135">
        <f t="shared" si="306"/>
        <v>1321528.9813045696</v>
      </c>
      <c r="K551" s="135">
        <f t="shared" si="306"/>
        <v>1227288.6016539084</v>
      </c>
      <c r="L551" s="135">
        <f t="shared" si="306"/>
        <v>1139675.2800015663</v>
      </c>
      <c r="M551" s="135">
        <f t="shared" si="306"/>
        <v>1058230.2337230281</v>
      </c>
      <c r="N551" s="135">
        <f t="shared" si="306"/>
        <v>982525.85679650726</v>
      </c>
      <c r="O551" s="135">
        <f t="shared" si="306"/>
        <v>899850.36152352509</v>
      </c>
      <c r="P551" s="135">
        <f t="shared" si="306"/>
        <v>0</v>
      </c>
      <c r="Q551" s="135">
        <f t="shared" si="306"/>
        <v>0</v>
      </c>
      <c r="R551" s="135">
        <f t="shared" si="306"/>
        <v>0</v>
      </c>
      <c r="S551" s="135">
        <f t="shared" si="306"/>
        <v>0</v>
      </c>
      <c r="T551" s="135">
        <f t="shared" si="306"/>
        <v>0</v>
      </c>
      <c r="U551" s="135">
        <f t="shared" si="306"/>
        <v>0</v>
      </c>
      <c r="V551" s="135">
        <f t="shared" si="306"/>
        <v>0</v>
      </c>
      <c r="W551" s="135">
        <f t="shared" si="306"/>
        <v>0</v>
      </c>
      <c r="X551" s="135">
        <f t="shared" si="306"/>
        <v>0</v>
      </c>
      <c r="Y551" s="135">
        <f t="shared" si="306"/>
        <v>0</v>
      </c>
      <c r="Z551" s="135">
        <f t="shared" si="306"/>
        <v>0</v>
      </c>
      <c r="AA551" s="135">
        <f t="shared" si="306"/>
        <v>0</v>
      </c>
      <c r="AB551" s="135">
        <f t="shared" si="306"/>
        <v>0</v>
      </c>
      <c r="AC551" s="135">
        <f t="shared" si="306"/>
        <v>0</v>
      </c>
      <c r="AD551" s="135">
        <f t="shared" si="306"/>
        <v>0</v>
      </c>
      <c r="AE551" s="135">
        <f t="shared" si="306"/>
        <v>0</v>
      </c>
      <c r="AF551" s="135">
        <f t="shared" si="306"/>
        <v>0</v>
      </c>
      <c r="AG551" s="135">
        <f t="shared" si="306"/>
        <v>0</v>
      </c>
      <c r="AH551" s="135">
        <f t="shared" si="306"/>
        <v>0</v>
      </c>
      <c r="AI551" s="135">
        <f t="shared" si="306"/>
        <v>0</v>
      </c>
      <c r="AJ551" s="135">
        <f t="shared" si="306"/>
        <v>0</v>
      </c>
      <c r="AK551" s="135">
        <f t="shared" si="306"/>
        <v>0</v>
      </c>
      <c r="AL551" s="135">
        <f t="shared" si="306"/>
        <v>0</v>
      </c>
      <c r="AM551" s="135">
        <f t="shared" si="306"/>
        <v>0</v>
      </c>
      <c r="AN551" s="135">
        <f t="shared" si="306"/>
        <v>0</v>
      </c>
      <c r="AO551" s="135">
        <f t="shared" si="306"/>
        <v>0</v>
      </c>
      <c r="AP551" s="135">
        <f t="shared" si="306"/>
        <v>0</v>
      </c>
    </row>
    <row r="552" spans="1:42" s="101" customFormat="1" x14ac:dyDescent="0.2">
      <c r="A552" s="349"/>
    </row>
    <row r="553" spans="1:42" x14ac:dyDescent="0.2">
      <c r="A553" s="167" t="s">
        <v>98</v>
      </c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  <c r="AH553" s="135"/>
      <c r="AI553" s="135"/>
      <c r="AJ553" s="135"/>
      <c r="AK553" s="135"/>
      <c r="AL553" s="135"/>
      <c r="AM553" s="135"/>
      <c r="AN553" s="135"/>
      <c r="AO553" s="135"/>
      <c r="AP553" s="135"/>
    </row>
    <row r="554" spans="1:42" x14ac:dyDescent="0.2">
      <c r="A554" s="183" t="s">
        <v>96</v>
      </c>
      <c r="B554" s="135">
        <v>0</v>
      </c>
      <c r="C554" s="135">
        <f>B557</f>
        <v>19188121.706207968</v>
      </c>
      <c r="D554" s="135">
        <f t="shared" ref="D554:AP554" si="307">C557</f>
        <v>18418062.456954956</v>
      </c>
      <c r="E554" s="135">
        <f t="shared" si="307"/>
        <v>17562811.385556892</v>
      </c>
      <c r="F554" s="135">
        <f t="shared" si="307"/>
        <v>16615174.632231377</v>
      </c>
      <c r="G554" s="135">
        <f t="shared" si="307"/>
        <v>15567348.992137328</v>
      </c>
      <c r="H554" s="135">
        <f t="shared" si="307"/>
        <v>14410870.171758903</v>
      </c>
      <c r="I554" s="135">
        <f t="shared" si="307"/>
        <v>13136556.648201952</v>
      </c>
      <c r="J554" s="135">
        <f t="shared" si="307"/>
        <v>11734448.757675147</v>
      </c>
      <c r="K554" s="135">
        <f t="shared" si="307"/>
        <v>10193742.60766173</v>
      </c>
      <c r="L554" s="135">
        <f t="shared" si="307"/>
        <v>8502718.3728212826</v>
      </c>
      <c r="M554" s="135">
        <f t="shared" si="307"/>
        <v>6648662.4972649356</v>
      </c>
      <c r="N554" s="135">
        <f t="shared" si="307"/>
        <v>4617783.2852726178</v>
      </c>
      <c r="O554" s="135">
        <f t="shared" si="307"/>
        <v>2395119.3184974594</v>
      </c>
      <c r="P554" s="135">
        <f t="shared" si="307"/>
        <v>7.4505805969238281E-9</v>
      </c>
      <c r="Q554" s="135">
        <f t="shared" si="307"/>
        <v>7.4505805969238281E-9</v>
      </c>
      <c r="R554" s="135">
        <f t="shared" si="307"/>
        <v>7.4505805969238281E-9</v>
      </c>
      <c r="S554" s="135">
        <f t="shared" si="307"/>
        <v>7.4505805969238281E-9</v>
      </c>
      <c r="T554" s="135">
        <f t="shared" si="307"/>
        <v>7.4505805969238281E-9</v>
      </c>
      <c r="U554" s="135">
        <f t="shared" si="307"/>
        <v>7.4505805969238281E-9</v>
      </c>
      <c r="V554" s="135">
        <f t="shared" si="307"/>
        <v>7.4505805969238281E-9</v>
      </c>
      <c r="W554" s="135">
        <f t="shared" si="307"/>
        <v>7.4505805969238281E-9</v>
      </c>
      <c r="X554" s="135">
        <f t="shared" si="307"/>
        <v>7.4505805969238281E-9</v>
      </c>
      <c r="Y554" s="135">
        <f t="shared" si="307"/>
        <v>7.4505805969238281E-9</v>
      </c>
      <c r="Z554" s="135">
        <f t="shared" si="307"/>
        <v>7.4505805969238281E-9</v>
      </c>
      <c r="AA554" s="135">
        <f t="shared" si="307"/>
        <v>7.4505805969238281E-9</v>
      </c>
      <c r="AB554" s="135">
        <f t="shared" si="307"/>
        <v>7.4505805969238281E-9</v>
      </c>
      <c r="AC554" s="135">
        <f t="shared" si="307"/>
        <v>7.4505805969238281E-9</v>
      </c>
      <c r="AD554" s="135">
        <f t="shared" si="307"/>
        <v>7.4505805969238281E-9</v>
      </c>
      <c r="AE554" s="135">
        <f t="shared" si="307"/>
        <v>7.4505805969238281E-9</v>
      </c>
      <c r="AF554" s="135">
        <f t="shared" si="307"/>
        <v>7.4505805969238281E-9</v>
      </c>
      <c r="AG554" s="135">
        <f t="shared" si="307"/>
        <v>7.4505805969238281E-9</v>
      </c>
      <c r="AH554" s="135">
        <f t="shared" si="307"/>
        <v>7.4505805969238281E-9</v>
      </c>
      <c r="AI554" s="135">
        <f t="shared" si="307"/>
        <v>7.4505805969238281E-9</v>
      </c>
      <c r="AJ554" s="135">
        <f t="shared" si="307"/>
        <v>7.4505805969238281E-9</v>
      </c>
      <c r="AK554" s="135">
        <f t="shared" si="307"/>
        <v>7.4505805969238281E-9</v>
      </c>
      <c r="AL554" s="135">
        <f t="shared" si="307"/>
        <v>7.4505805969238281E-9</v>
      </c>
      <c r="AM554" s="135">
        <f t="shared" si="307"/>
        <v>7.4505805969238281E-9</v>
      </c>
      <c r="AN554" s="135">
        <f t="shared" si="307"/>
        <v>7.4505805969238281E-9</v>
      </c>
      <c r="AO554" s="135">
        <f t="shared" si="307"/>
        <v>7.4505805969238281E-9</v>
      </c>
      <c r="AP554" s="135">
        <f t="shared" si="307"/>
        <v>7.4505805969238281E-9</v>
      </c>
    </row>
    <row r="555" spans="1:42" x14ac:dyDescent="0.2">
      <c r="A555" s="183" t="s">
        <v>97</v>
      </c>
      <c r="B555" s="135">
        <f>B551</f>
        <v>19188121.706207968</v>
      </c>
      <c r="C555" s="135">
        <v>0</v>
      </c>
      <c r="D555" s="135">
        <v>0</v>
      </c>
      <c r="E555" s="135">
        <v>0</v>
      </c>
      <c r="F555" s="135">
        <v>0</v>
      </c>
      <c r="G555" s="135">
        <v>0</v>
      </c>
      <c r="H555" s="135">
        <v>0</v>
      </c>
      <c r="I555" s="135">
        <v>0</v>
      </c>
      <c r="J555" s="135">
        <v>0</v>
      </c>
      <c r="K555" s="135">
        <v>0</v>
      </c>
      <c r="L555" s="135">
        <v>0</v>
      </c>
      <c r="M555" s="135">
        <v>0</v>
      </c>
      <c r="N555" s="135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35">
        <v>0</v>
      </c>
      <c r="V555" s="135">
        <v>0</v>
      </c>
      <c r="W555" s="135">
        <v>0</v>
      </c>
      <c r="X555" s="135">
        <v>0</v>
      </c>
      <c r="Y555" s="135">
        <v>0</v>
      </c>
      <c r="Z555" s="135">
        <v>0</v>
      </c>
      <c r="AA555" s="135">
        <v>0</v>
      </c>
      <c r="AB555" s="135">
        <v>0</v>
      </c>
      <c r="AC555" s="135">
        <v>0</v>
      </c>
      <c r="AD555" s="135">
        <v>0</v>
      </c>
      <c r="AE555" s="135">
        <v>0</v>
      </c>
      <c r="AF555" s="135">
        <v>0</v>
      </c>
      <c r="AG555" s="135">
        <v>0</v>
      </c>
      <c r="AH555" s="135">
        <v>0</v>
      </c>
      <c r="AI555" s="135">
        <v>0</v>
      </c>
      <c r="AJ555" s="135">
        <v>0</v>
      </c>
      <c r="AK555" s="135">
        <v>0</v>
      </c>
      <c r="AL555" s="135">
        <v>0</v>
      </c>
      <c r="AM555" s="135">
        <v>0</v>
      </c>
      <c r="AN555" s="135">
        <v>0</v>
      </c>
      <c r="AO555" s="135">
        <v>0</v>
      </c>
      <c r="AP555" s="135">
        <v>0</v>
      </c>
    </row>
    <row r="556" spans="1:42" x14ac:dyDescent="0.2">
      <c r="A556" s="183" t="s">
        <v>98</v>
      </c>
      <c r="B556" s="170">
        <v>0</v>
      </c>
      <c r="C556" s="170">
        <f>-C559</f>
        <v>-770059.24925301294</v>
      </c>
      <c r="D556" s="170">
        <f t="shared" ref="D556:AP556" si="308">-D559</f>
        <v>-855251.07139806566</v>
      </c>
      <c r="E556" s="170">
        <f t="shared" si="308"/>
        <v>-947636.75332551473</v>
      </c>
      <c r="F556" s="170">
        <f t="shared" si="308"/>
        <v>-1047825.64009405</v>
      </c>
      <c r="G556" s="170">
        <f t="shared" si="308"/>
        <v>-1156478.8203784244</v>
      </c>
      <c r="H556" s="170">
        <f t="shared" si="308"/>
        <v>-1274313.523556951</v>
      </c>
      <c r="I556" s="170">
        <f t="shared" si="308"/>
        <v>-1402107.8905268044</v>
      </c>
      <c r="J556" s="170">
        <f t="shared" si="308"/>
        <v>-1540706.1500134165</v>
      </c>
      <c r="K556" s="170">
        <f t="shared" si="308"/>
        <v>-1691024.2348404466</v>
      </c>
      <c r="L556" s="170">
        <f t="shared" si="308"/>
        <v>-1854055.875556347</v>
      </c>
      <c r="M556" s="170">
        <f t="shared" si="308"/>
        <v>-2030879.2119923178</v>
      </c>
      <c r="N556" s="170">
        <f t="shared" si="308"/>
        <v>-2222663.9667751584</v>
      </c>
      <c r="O556" s="170">
        <f t="shared" si="308"/>
        <v>-2395119.318497452</v>
      </c>
      <c r="P556" s="170">
        <f t="shared" si="308"/>
        <v>0</v>
      </c>
      <c r="Q556" s="170">
        <f t="shared" si="308"/>
        <v>0</v>
      </c>
      <c r="R556" s="170">
        <f t="shared" si="308"/>
        <v>0</v>
      </c>
      <c r="S556" s="170">
        <f t="shared" si="308"/>
        <v>0</v>
      </c>
      <c r="T556" s="170">
        <f t="shared" si="308"/>
        <v>0</v>
      </c>
      <c r="U556" s="170">
        <f t="shared" si="308"/>
        <v>0</v>
      </c>
      <c r="V556" s="170">
        <f t="shared" si="308"/>
        <v>0</v>
      </c>
      <c r="W556" s="170">
        <f t="shared" si="308"/>
        <v>0</v>
      </c>
      <c r="X556" s="170">
        <f t="shared" si="308"/>
        <v>0</v>
      </c>
      <c r="Y556" s="170">
        <f t="shared" si="308"/>
        <v>0</v>
      </c>
      <c r="Z556" s="170">
        <f t="shared" si="308"/>
        <v>0</v>
      </c>
      <c r="AA556" s="170">
        <f t="shared" si="308"/>
        <v>0</v>
      </c>
      <c r="AB556" s="170">
        <f t="shared" si="308"/>
        <v>0</v>
      </c>
      <c r="AC556" s="170">
        <f t="shared" si="308"/>
        <v>0</v>
      </c>
      <c r="AD556" s="170">
        <f t="shared" si="308"/>
        <v>0</v>
      </c>
      <c r="AE556" s="170">
        <f t="shared" si="308"/>
        <v>0</v>
      </c>
      <c r="AF556" s="170">
        <f t="shared" si="308"/>
        <v>0</v>
      </c>
      <c r="AG556" s="170">
        <f t="shared" si="308"/>
        <v>0</v>
      </c>
      <c r="AH556" s="170">
        <f t="shared" si="308"/>
        <v>0</v>
      </c>
      <c r="AI556" s="170">
        <f t="shared" si="308"/>
        <v>0</v>
      </c>
      <c r="AJ556" s="170">
        <f t="shared" si="308"/>
        <v>0</v>
      </c>
      <c r="AK556" s="170">
        <f t="shared" si="308"/>
        <v>0</v>
      </c>
      <c r="AL556" s="170">
        <f t="shared" si="308"/>
        <v>0</v>
      </c>
      <c r="AM556" s="170">
        <f t="shared" si="308"/>
        <v>0</v>
      </c>
      <c r="AN556" s="170">
        <f t="shared" si="308"/>
        <v>0</v>
      </c>
      <c r="AO556" s="170">
        <f t="shared" si="308"/>
        <v>0</v>
      </c>
      <c r="AP556" s="170">
        <f t="shared" si="308"/>
        <v>0</v>
      </c>
    </row>
    <row r="557" spans="1:42" x14ac:dyDescent="0.2">
      <c r="A557" s="183" t="s">
        <v>99</v>
      </c>
      <c r="B557" s="135">
        <f>SUM(B554:B556)</f>
        <v>19188121.706207968</v>
      </c>
      <c r="C557" s="135">
        <f>SUM(C554:C556)</f>
        <v>18418062.456954956</v>
      </c>
      <c r="D557" s="135">
        <f t="shared" ref="D557:AP557" si="309">SUM(D554:D556)</f>
        <v>17562811.385556892</v>
      </c>
      <c r="E557" s="135">
        <f t="shared" si="309"/>
        <v>16615174.632231377</v>
      </c>
      <c r="F557" s="135">
        <f t="shared" si="309"/>
        <v>15567348.992137328</v>
      </c>
      <c r="G557" s="135">
        <f t="shared" si="309"/>
        <v>14410870.171758903</v>
      </c>
      <c r="H557" s="135">
        <f t="shared" si="309"/>
        <v>13136556.648201952</v>
      </c>
      <c r="I557" s="135">
        <f t="shared" si="309"/>
        <v>11734448.757675147</v>
      </c>
      <c r="J557" s="135">
        <f t="shared" si="309"/>
        <v>10193742.60766173</v>
      </c>
      <c r="K557" s="135">
        <f t="shared" si="309"/>
        <v>8502718.3728212826</v>
      </c>
      <c r="L557" s="135">
        <f t="shared" si="309"/>
        <v>6648662.4972649356</v>
      </c>
      <c r="M557" s="135">
        <f t="shared" si="309"/>
        <v>4617783.2852726178</v>
      </c>
      <c r="N557" s="135">
        <f t="shared" si="309"/>
        <v>2395119.3184974594</v>
      </c>
      <c r="O557" s="135">
        <f t="shared" si="309"/>
        <v>7.4505805969238281E-9</v>
      </c>
      <c r="P557" s="135">
        <f t="shared" si="309"/>
        <v>7.4505805969238281E-9</v>
      </c>
      <c r="Q557" s="135">
        <f t="shared" si="309"/>
        <v>7.4505805969238281E-9</v>
      </c>
      <c r="R557" s="135">
        <f t="shared" si="309"/>
        <v>7.4505805969238281E-9</v>
      </c>
      <c r="S557" s="135">
        <f t="shared" si="309"/>
        <v>7.4505805969238281E-9</v>
      </c>
      <c r="T557" s="135">
        <f t="shared" si="309"/>
        <v>7.4505805969238281E-9</v>
      </c>
      <c r="U557" s="135">
        <f t="shared" si="309"/>
        <v>7.4505805969238281E-9</v>
      </c>
      <c r="V557" s="135">
        <f t="shared" si="309"/>
        <v>7.4505805969238281E-9</v>
      </c>
      <c r="W557" s="135">
        <f t="shared" si="309"/>
        <v>7.4505805969238281E-9</v>
      </c>
      <c r="X557" s="135">
        <f t="shared" si="309"/>
        <v>7.4505805969238281E-9</v>
      </c>
      <c r="Y557" s="135">
        <f t="shared" si="309"/>
        <v>7.4505805969238281E-9</v>
      </c>
      <c r="Z557" s="135">
        <f t="shared" si="309"/>
        <v>7.4505805969238281E-9</v>
      </c>
      <c r="AA557" s="135">
        <f t="shared" si="309"/>
        <v>7.4505805969238281E-9</v>
      </c>
      <c r="AB557" s="135">
        <f t="shared" si="309"/>
        <v>7.4505805969238281E-9</v>
      </c>
      <c r="AC557" s="135">
        <f t="shared" si="309"/>
        <v>7.4505805969238281E-9</v>
      </c>
      <c r="AD557" s="135">
        <f t="shared" si="309"/>
        <v>7.4505805969238281E-9</v>
      </c>
      <c r="AE557" s="135">
        <f t="shared" si="309"/>
        <v>7.4505805969238281E-9</v>
      </c>
      <c r="AF557" s="135">
        <f t="shared" si="309"/>
        <v>7.4505805969238281E-9</v>
      </c>
      <c r="AG557" s="135">
        <f t="shared" si="309"/>
        <v>7.4505805969238281E-9</v>
      </c>
      <c r="AH557" s="135">
        <f t="shared" si="309"/>
        <v>7.4505805969238281E-9</v>
      </c>
      <c r="AI557" s="135">
        <f t="shared" si="309"/>
        <v>7.4505805969238281E-9</v>
      </c>
      <c r="AJ557" s="135">
        <f t="shared" si="309"/>
        <v>7.4505805969238281E-9</v>
      </c>
      <c r="AK557" s="135">
        <f t="shared" si="309"/>
        <v>7.4505805969238281E-9</v>
      </c>
      <c r="AL557" s="135">
        <f t="shared" si="309"/>
        <v>7.4505805969238281E-9</v>
      </c>
      <c r="AM557" s="135">
        <f t="shared" si="309"/>
        <v>7.4505805969238281E-9</v>
      </c>
      <c r="AN557" s="135">
        <f t="shared" si="309"/>
        <v>7.4505805969238281E-9</v>
      </c>
      <c r="AO557" s="135">
        <f t="shared" si="309"/>
        <v>7.4505805969238281E-9</v>
      </c>
      <c r="AP557" s="135">
        <f t="shared" si="309"/>
        <v>7.4505805969238281E-9</v>
      </c>
    </row>
    <row r="558" spans="1:42" x14ac:dyDescent="0.2">
      <c r="A558" s="167"/>
      <c r="B558" s="135"/>
      <c r="C558" s="135"/>
      <c r="D558" s="135"/>
      <c r="E558" s="135"/>
      <c r="F558" s="135"/>
      <c r="G558" s="135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135"/>
      <c r="AL558" s="135"/>
      <c r="AM558" s="135"/>
      <c r="AN558" s="135"/>
      <c r="AO558" s="135"/>
      <c r="AP558" s="135"/>
    </row>
    <row r="559" spans="1:42" x14ac:dyDescent="0.2">
      <c r="A559" s="183" t="s">
        <v>100</v>
      </c>
      <c r="B559" s="179">
        <f>SUM(C559:AP559)</f>
        <v>19188121.706207961</v>
      </c>
      <c r="C559" s="135">
        <f>C561-C560</f>
        <v>770059.24925301294</v>
      </c>
      <c r="D559" s="135">
        <f t="shared" ref="D559:AP559" si="310">D561-D560</f>
        <v>855251.07139806566</v>
      </c>
      <c r="E559" s="135">
        <f t="shared" si="310"/>
        <v>947636.75332551473</v>
      </c>
      <c r="F559" s="135">
        <f t="shared" si="310"/>
        <v>1047825.64009405</v>
      </c>
      <c r="G559" s="135">
        <f t="shared" si="310"/>
        <v>1156478.8203784244</v>
      </c>
      <c r="H559" s="135">
        <f t="shared" si="310"/>
        <v>1274313.523556951</v>
      </c>
      <c r="I559" s="135">
        <f t="shared" si="310"/>
        <v>1402107.8905268044</v>
      </c>
      <c r="J559" s="135">
        <f t="shared" si="310"/>
        <v>1540706.1500134165</v>
      </c>
      <c r="K559" s="135">
        <f t="shared" si="310"/>
        <v>1691024.2348404466</v>
      </c>
      <c r="L559" s="135">
        <f t="shared" si="310"/>
        <v>1854055.875556347</v>
      </c>
      <c r="M559" s="135">
        <f t="shared" si="310"/>
        <v>2030879.2119923178</v>
      </c>
      <c r="N559" s="135">
        <f t="shared" si="310"/>
        <v>2222663.9667751584</v>
      </c>
      <c r="O559" s="135">
        <f t="shared" si="310"/>
        <v>2395119.318497452</v>
      </c>
      <c r="P559" s="135">
        <f t="shared" si="310"/>
        <v>0</v>
      </c>
      <c r="Q559" s="135">
        <f t="shared" si="310"/>
        <v>0</v>
      </c>
      <c r="R559" s="135">
        <f t="shared" si="310"/>
        <v>0</v>
      </c>
      <c r="S559" s="135">
        <f t="shared" si="310"/>
        <v>0</v>
      </c>
      <c r="T559" s="135">
        <f t="shared" si="310"/>
        <v>0</v>
      </c>
      <c r="U559" s="135">
        <f t="shared" si="310"/>
        <v>0</v>
      </c>
      <c r="V559" s="135">
        <f t="shared" si="310"/>
        <v>0</v>
      </c>
      <c r="W559" s="135">
        <f t="shared" si="310"/>
        <v>0</v>
      </c>
      <c r="X559" s="135">
        <f t="shared" si="310"/>
        <v>0</v>
      </c>
      <c r="Y559" s="135">
        <f t="shared" si="310"/>
        <v>0</v>
      </c>
      <c r="Z559" s="135">
        <f t="shared" si="310"/>
        <v>0</v>
      </c>
      <c r="AA559" s="135">
        <f t="shared" si="310"/>
        <v>0</v>
      </c>
      <c r="AB559" s="135">
        <f t="shared" si="310"/>
        <v>0</v>
      </c>
      <c r="AC559" s="135">
        <f t="shared" si="310"/>
        <v>0</v>
      </c>
      <c r="AD559" s="135">
        <f t="shared" si="310"/>
        <v>0</v>
      </c>
      <c r="AE559" s="135">
        <f t="shared" si="310"/>
        <v>0</v>
      </c>
      <c r="AF559" s="135">
        <f t="shared" si="310"/>
        <v>0</v>
      </c>
      <c r="AG559" s="135">
        <f t="shared" si="310"/>
        <v>0</v>
      </c>
      <c r="AH559" s="135">
        <f t="shared" si="310"/>
        <v>0</v>
      </c>
      <c r="AI559" s="135">
        <f t="shared" si="310"/>
        <v>0</v>
      </c>
      <c r="AJ559" s="135">
        <f t="shared" si="310"/>
        <v>0</v>
      </c>
      <c r="AK559" s="135">
        <f t="shared" si="310"/>
        <v>0</v>
      </c>
      <c r="AL559" s="135">
        <f t="shared" si="310"/>
        <v>0</v>
      </c>
      <c r="AM559" s="135">
        <f t="shared" si="310"/>
        <v>0</v>
      </c>
      <c r="AN559" s="135">
        <f t="shared" si="310"/>
        <v>0</v>
      </c>
      <c r="AO559" s="135">
        <f t="shared" si="310"/>
        <v>0</v>
      </c>
      <c r="AP559" s="135">
        <f t="shared" si="310"/>
        <v>0</v>
      </c>
    </row>
    <row r="560" spans="1:42" x14ac:dyDescent="0.2">
      <c r="A560" s="183" t="s">
        <v>101</v>
      </c>
      <c r="B560" s="179">
        <f>SUM(C560:AP560)</f>
        <v>13514270.770740617</v>
      </c>
      <c r="C560" s="170">
        <f t="shared" ref="C560:AP560" si="311">IF(AND(C$2&lt;=SODebtTerm,C$2&lt;=AnalysisPeriod),B557*C543,0)</f>
        <v>1630990.3450276775</v>
      </c>
      <c r="D560" s="170">
        <f t="shared" si="311"/>
        <v>1565535.3088411714</v>
      </c>
      <c r="E560" s="170">
        <f t="shared" si="311"/>
        <v>1492838.967772336</v>
      </c>
      <c r="F560" s="170">
        <f t="shared" si="311"/>
        <v>1412289.8437396672</v>
      </c>
      <c r="G560" s="170">
        <f t="shared" si="311"/>
        <v>1323224.6643316729</v>
      </c>
      <c r="H560" s="170">
        <f t="shared" si="311"/>
        <v>1224923.9645995069</v>
      </c>
      <c r="I560" s="170">
        <f t="shared" si="311"/>
        <v>1116607.315097166</v>
      </c>
      <c r="J560" s="170">
        <f t="shared" si="311"/>
        <v>997428.14440238755</v>
      </c>
      <c r="K560" s="170">
        <f t="shared" si="311"/>
        <v>866468.12165124703</v>
      </c>
      <c r="L560" s="170">
        <f t="shared" si="311"/>
        <v>722731.06168980908</v>
      </c>
      <c r="M560" s="170">
        <f t="shared" si="311"/>
        <v>565136.31226751953</v>
      </c>
      <c r="N560" s="170">
        <f t="shared" si="311"/>
        <v>392511.57924817252</v>
      </c>
      <c r="O560" s="170">
        <f t="shared" si="311"/>
        <v>203585.14207228407</v>
      </c>
      <c r="P560" s="170">
        <f t="shared" si="311"/>
        <v>0</v>
      </c>
      <c r="Q560" s="170">
        <f t="shared" si="311"/>
        <v>0</v>
      </c>
      <c r="R560" s="170">
        <f t="shared" si="311"/>
        <v>0</v>
      </c>
      <c r="S560" s="170">
        <f t="shared" si="311"/>
        <v>0</v>
      </c>
      <c r="T560" s="170">
        <f t="shared" si="311"/>
        <v>0</v>
      </c>
      <c r="U560" s="170">
        <f t="shared" si="311"/>
        <v>0</v>
      </c>
      <c r="V560" s="170">
        <f t="shared" si="311"/>
        <v>0</v>
      </c>
      <c r="W560" s="170">
        <f t="shared" si="311"/>
        <v>0</v>
      </c>
      <c r="X560" s="170">
        <f t="shared" si="311"/>
        <v>0</v>
      </c>
      <c r="Y560" s="170">
        <f t="shared" si="311"/>
        <v>0</v>
      </c>
      <c r="Z560" s="170">
        <f t="shared" si="311"/>
        <v>0</v>
      </c>
      <c r="AA560" s="170">
        <f t="shared" si="311"/>
        <v>0</v>
      </c>
      <c r="AB560" s="170">
        <f t="shared" si="311"/>
        <v>0</v>
      </c>
      <c r="AC560" s="170">
        <f t="shared" si="311"/>
        <v>0</v>
      </c>
      <c r="AD560" s="170">
        <f t="shared" si="311"/>
        <v>0</v>
      </c>
      <c r="AE560" s="170">
        <f t="shared" si="311"/>
        <v>0</v>
      </c>
      <c r="AF560" s="170">
        <f t="shared" si="311"/>
        <v>0</v>
      </c>
      <c r="AG560" s="170">
        <f t="shared" si="311"/>
        <v>0</v>
      </c>
      <c r="AH560" s="170">
        <f t="shared" si="311"/>
        <v>0</v>
      </c>
      <c r="AI560" s="170">
        <f t="shared" si="311"/>
        <v>0</v>
      </c>
      <c r="AJ560" s="170">
        <f t="shared" si="311"/>
        <v>0</v>
      </c>
      <c r="AK560" s="170">
        <f t="shared" si="311"/>
        <v>0</v>
      </c>
      <c r="AL560" s="170">
        <f t="shared" si="311"/>
        <v>0</v>
      </c>
      <c r="AM560" s="170">
        <f t="shared" si="311"/>
        <v>0</v>
      </c>
      <c r="AN560" s="170">
        <f t="shared" si="311"/>
        <v>0</v>
      </c>
      <c r="AO560" s="170">
        <f t="shared" si="311"/>
        <v>0</v>
      </c>
      <c r="AP560" s="170">
        <f t="shared" si="311"/>
        <v>0</v>
      </c>
    </row>
    <row r="561" spans="1:42" x14ac:dyDescent="0.2">
      <c r="A561" s="183" t="s">
        <v>102</v>
      </c>
      <c r="B561" s="179">
        <f>SUM(C561:AP561)</f>
        <v>32702392.476948578</v>
      </c>
      <c r="C561" s="135">
        <f>IF(C550&gt;0,C548/C550,0)</f>
        <v>2401049.5942806904</v>
      </c>
      <c r="D561" s="135">
        <f>IF(D550&gt;0,D548/D550,0)</f>
        <v>2420786.3802392371</v>
      </c>
      <c r="E561" s="135">
        <f t="shared" ref="E561:AP561" si="312">IF(E550&gt;0,E548/E550,0)</f>
        <v>2440475.7210978507</v>
      </c>
      <c r="F561" s="135">
        <f t="shared" si="312"/>
        <v>2460115.4838337172</v>
      </c>
      <c r="G561" s="135">
        <f t="shared" si="312"/>
        <v>2479703.4847100973</v>
      </c>
      <c r="H561" s="135">
        <f t="shared" si="312"/>
        <v>2499237.4881564579</v>
      </c>
      <c r="I561" s="135">
        <f t="shared" si="312"/>
        <v>2518715.2056239704</v>
      </c>
      <c r="J561" s="135">
        <f t="shared" si="312"/>
        <v>2538134.2944158041</v>
      </c>
      <c r="K561" s="135">
        <f t="shared" si="312"/>
        <v>2557492.3564916938</v>
      </c>
      <c r="L561" s="135">
        <f t="shared" si="312"/>
        <v>2576786.9372461559</v>
      </c>
      <c r="M561" s="135">
        <f t="shared" si="312"/>
        <v>2596015.5242598373</v>
      </c>
      <c r="N561" s="135">
        <f t="shared" si="312"/>
        <v>2615175.5460233311</v>
      </c>
      <c r="O561" s="135">
        <f t="shared" si="312"/>
        <v>2598704.4605697361</v>
      </c>
      <c r="P561" s="135">
        <f t="shared" si="312"/>
        <v>0</v>
      </c>
      <c r="Q561" s="135">
        <f t="shared" si="312"/>
        <v>0</v>
      </c>
      <c r="R561" s="135">
        <f t="shared" si="312"/>
        <v>0</v>
      </c>
      <c r="S561" s="135">
        <f t="shared" si="312"/>
        <v>0</v>
      </c>
      <c r="T561" s="135">
        <f t="shared" si="312"/>
        <v>0</v>
      </c>
      <c r="U561" s="135">
        <f t="shared" si="312"/>
        <v>0</v>
      </c>
      <c r="V561" s="135">
        <f t="shared" si="312"/>
        <v>0</v>
      </c>
      <c r="W561" s="135">
        <f t="shared" si="312"/>
        <v>0</v>
      </c>
      <c r="X561" s="135">
        <f t="shared" si="312"/>
        <v>0</v>
      </c>
      <c r="Y561" s="135">
        <f t="shared" si="312"/>
        <v>0</v>
      </c>
      <c r="Z561" s="135">
        <f t="shared" si="312"/>
        <v>0</v>
      </c>
      <c r="AA561" s="135">
        <f t="shared" si="312"/>
        <v>0</v>
      </c>
      <c r="AB561" s="135">
        <f t="shared" si="312"/>
        <v>0</v>
      </c>
      <c r="AC561" s="135">
        <f t="shared" si="312"/>
        <v>0</v>
      </c>
      <c r="AD561" s="135">
        <f t="shared" si="312"/>
        <v>0</v>
      </c>
      <c r="AE561" s="135">
        <f t="shared" si="312"/>
        <v>0</v>
      </c>
      <c r="AF561" s="135">
        <f t="shared" si="312"/>
        <v>0</v>
      </c>
      <c r="AG561" s="135">
        <f t="shared" si="312"/>
        <v>0</v>
      </c>
      <c r="AH561" s="135">
        <f t="shared" si="312"/>
        <v>0</v>
      </c>
      <c r="AI561" s="135">
        <f t="shared" si="312"/>
        <v>0</v>
      </c>
      <c r="AJ561" s="135">
        <f t="shared" si="312"/>
        <v>0</v>
      </c>
      <c r="AK561" s="135">
        <f t="shared" si="312"/>
        <v>0</v>
      </c>
      <c r="AL561" s="135">
        <f t="shared" si="312"/>
        <v>0</v>
      </c>
      <c r="AM561" s="135">
        <f t="shared" si="312"/>
        <v>0</v>
      </c>
      <c r="AN561" s="135">
        <f t="shared" si="312"/>
        <v>0</v>
      </c>
      <c r="AO561" s="135">
        <f t="shared" si="312"/>
        <v>0</v>
      </c>
      <c r="AP561" s="135">
        <f t="shared" si="312"/>
        <v>0</v>
      </c>
    </row>
    <row r="562" spans="1:42" x14ac:dyDescent="0.2">
      <c r="A562" s="183"/>
    </row>
    <row r="563" spans="1:42" x14ac:dyDescent="0.2">
      <c r="A563" s="167" t="s">
        <v>105</v>
      </c>
    </row>
    <row r="564" spans="1:42" x14ac:dyDescent="0.2">
      <c r="A564" s="183" t="s">
        <v>106</v>
      </c>
      <c r="B564" s="179">
        <f>SUM(C564:AP564)</f>
        <v>44148229.843880586</v>
      </c>
      <c r="C564" s="135">
        <f t="shared" ref="C564:AP564" si="313">IF(C$2&lt;=SODebtTerm,C43-C605-C637-C669,0)</f>
        <v>3241416.9522789321</v>
      </c>
      <c r="D564" s="135">
        <f t="shared" si="313"/>
        <v>3268061.61332297</v>
      </c>
      <c r="E564" s="135">
        <f t="shared" si="313"/>
        <v>3294642.2234820989</v>
      </c>
      <c r="F564" s="135">
        <f t="shared" si="313"/>
        <v>3321155.9031755184</v>
      </c>
      <c r="G564" s="135">
        <f t="shared" si="313"/>
        <v>3347599.7043586313</v>
      </c>
      <c r="H564" s="135">
        <f t="shared" si="313"/>
        <v>3373970.6090112184</v>
      </c>
      <c r="I564" s="135">
        <f t="shared" si="313"/>
        <v>3400265.52759236</v>
      </c>
      <c r="J564" s="135">
        <f t="shared" si="313"/>
        <v>3426481.297461336</v>
      </c>
      <c r="K564" s="135">
        <f t="shared" si="313"/>
        <v>3452614.6812637867</v>
      </c>
      <c r="L564" s="135">
        <f t="shared" si="313"/>
        <v>3478662.3652823106</v>
      </c>
      <c r="M564" s="135">
        <f t="shared" si="313"/>
        <v>3504620.9577507805</v>
      </c>
      <c r="N564" s="135">
        <f t="shared" si="313"/>
        <v>3530486.9871314974</v>
      </c>
      <c r="O564" s="135">
        <f t="shared" si="313"/>
        <v>3508251.0217691441</v>
      </c>
      <c r="P564" s="135">
        <f t="shared" si="313"/>
        <v>0</v>
      </c>
      <c r="Q564" s="135">
        <f t="shared" si="313"/>
        <v>0</v>
      </c>
      <c r="R564" s="135">
        <f t="shared" si="313"/>
        <v>0</v>
      </c>
      <c r="S564" s="135">
        <f t="shared" si="313"/>
        <v>0</v>
      </c>
      <c r="T564" s="135">
        <f t="shared" si="313"/>
        <v>0</v>
      </c>
      <c r="U564" s="135">
        <f t="shared" si="313"/>
        <v>0</v>
      </c>
      <c r="V564" s="135">
        <f t="shared" si="313"/>
        <v>0</v>
      </c>
      <c r="W564" s="135">
        <f t="shared" si="313"/>
        <v>0</v>
      </c>
      <c r="X564" s="135">
        <f t="shared" si="313"/>
        <v>0</v>
      </c>
      <c r="Y564" s="135">
        <f t="shared" si="313"/>
        <v>0</v>
      </c>
      <c r="Z564" s="135">
        <f t="shared" si="313"/>
        <v>0</v>
      </c>
      <c r="AA564" s="135">
        <f t="shared" si="313"/>
        <v>0</v>
      </c>
      <c r="AB564" s="135">
        <f t="shared" si="313"/>
        <v>0</v>
      </c>
      <c r="AC564" s="135">
        <f t="shared" si="313"/>
        <v>0</v>
      </c>
      <c r="AD564" s="135">
        <f t="shared" si="313"/>
        <v>0</v>
      </c>
      <c r="AE564" s="135">
        <f t="shared" si="313"/>
        <v>0</v>
      </c>
      <c r="AF564" s="135">
        <f t="shared" si="313"/>
        <v>0</v>
      </c>
      <c r="AG564" s="135">
        <f t="shared" si="313"/>
        <v>0</v>
      </c>
      <c r="AH564" s="135">
        <f t="shared" si="313"/>
        <v>0</v>
      </c>
      <c r="AI564" s="135">
        <f t="shared" si="313"/>
        <v>0</v>
      </c>
      <c r="AJ564" s="135">
        <f t="shared" si="313"/>
        <v>0</v>
      </c>
      <c r="AK564" s="135">
        <f t="shared" si="313"/>
        <v>0</v>
      </c>
      <c r="AL564" s="135">
        <f t="shared" si="313"/>
        <v>0</v>
      </c>
      <c r="AM564" s="135">
        <f t="shared" si="313"/>
        <v>0</v>
      </c>
      <c r="AN564" s="135">
        <f t="shared" si="313"/>
        <v>0</v>
      </c>
      <c r="AO564" s="135">
        <f t="shared" si="313"/>
        <v>0</v>
      </c>
      <c r="AP564" s="135">
        <f t="shared" si="313"/>
        <v>0</v>
      </c>
    </row>
    <row r="565" spans="1:42" x14ac:dyDescent="0.2">
      <c r="A565" s="183" t="s">
        <v>107</v>
      </c>
      <c r="B565" s="179">
        <f>SUM(C565:AP565)</f>
        <v>32702392.476948578</v>
      </c>
      <c r="C565" s="135">
        <f>C561</f>
        <v>2401049.5942806904</v>
      </c>
      <c r="D565" s="135">
        <f t="shared" ref="D565:AP565" si="314">D561</f>
        <v>2420786.3802392371</v>
      </c>
      <c r="E565" s="135">
        <f t="shared" si="314"/>
        <v>2440475.7210978507</v>
      </c>
      <c r="F565" s="135">
        <f t="shared" si="314"/>
        <v>2460115.4838337172</v>
      </c>
      <c r="G565" s="135">
        <f t="shared" si="314"/>
        <v>2479703.4847100973</v>
      </c>
      <c r="H565" s="135">
        <f t="shared" si="314"/>
        <v>2499237.4881564579</v>
      </c>
      <c r="I565" s="135">
        <f t="shared" si="314"/>
        <v>2518715.2056239704</v>
      </c>
      <c r="J565" s="135">
        <f t="shared" si="314"/>
        <v>2538134.2944158041</v>
      </c>
      <c r="K565" s="135">
        <f t="shared" si="314"/>
        <v>2557492.3564916938</v>
      </c>
      <c r="L565" s="135">
        <f t="shared" si="314"/>
        <v>2576786.9372461559</v>
      </c>
      <c r="M565" s="135">
        <f t="shared" si="314"/>
        <v>2596015.5242598373</v>
      </c>
      <c r="N565" s="135">
        <f t="shared" si="314"/>
        <v>2615175.5460233311</v>
      </c>
      <c r="O565" s="135">
        <f t="shared" si="314"/>
        <v>2598704.4605697361</v>
      </c>
      <c r="P565" s="135">
        <f t="shared" si="314"/>
        <v>0</v>
      </c>
      <c r="Q565" s="135">
        <f t="shared" si="314"/>
        <v>0</v>
      </c>
      <c r="R565" s="135">
        <f t="shared" si="314"/>
        <v>0</v>
      </c>
      <c r="S565" s="135">
        <f t="shared" si="314"/>
        <v>0</v>
      </c>
      <c r="T565" s="135">
        <f t="shared" si="314"/>
        <v>0</v>
      </c>
      <c r="U565" s="135">
        <f t="shared" si="314"/>
        <v>0</v>
      </c>
      <c r="V565" s="135">
        <f t="shared" si="314"/>
        <v>0</v>
      </c>
      <c r="W565" s="135">
        <f t="shared" si="314"/>
        <v>0</v>
      </c>
      <c r="X565" s="135">
        <f t="shared" si="314"/>
        <v>0</v>
      </c>
      <c r="Y565" s="135">
        <f t="shared" si="314"/>
        <v>0</v>
      </c>
      <c r="Z565" s="135">
        <f t="shared" si="314"/>
        <v>0</v>
      </c>
      <c r="AA565" s="135">
        <f t="shared" si="314"/>
        <v>0</v>
      </c>
      <c r="AB565" s="135">
        <f t="shared" si="314"/>
        <v>0</v>
      </c>
      <c r="AC565" s="135">
        <f t="shared" si="314"/>
        <v>0</v>
      </c>
      <c r="AD565" s="135">
        <f t="shared" si="314"/>
        <v>0</v>
      </c>
      <c r="AE565" s="135">
        <f t="shared" si="314"/>
        <v>0</v>
      </c>
      <c r="AF565" s="135">
        <f t="shared" si="314"/>
        <v>0</v>
      </c>
      <c r="AG565" s="135">
        <f t="shared" si="314"/>
        <v>0</v>
      </c>
      <c r="AH565" s="135">
        <f t="shared" si="314"/>
        <v>0</v>
      </c>
      <c r="AI565" s="135">
        <f t="shared" si="314"/>
        <v>0</v>
      </c>
      <c r="AJ565" s="135">
        <f t="shared" si="314"/>
        <v>0</v>
      </c>
      <c r="AK565" s="135">
        <f t="shared" si="314"/>
        <v>0</v>
      </c>
      <c r="AL565" s="135">
        <f t="shared" si="314"/>
        <v>0</v>
      </c>
      <c r="AM565" s="135">
        <f t="shared" si="314"/>
        <v>0</v>
      </c>
      <c r="AN565" s="135">
        <f t="shared" si="314"/>
        <v>0</v>
      </c>
      <c r="AO565" s="135">
        <f t="shared" si="314"/>
        <v>0</v>
      </c>
      <c r="AP565" s="135">
        <f t="shared" si="314"/>
        <v>0</v>
      </c>
    </row>
    <row r="566" spans="1:42" x14ac:dyDescent="0.2">
      <c r="A566" s="183" t="s">
        <v>105</v>
      </c>
      <c r="C566" s="223">
        <f t="shared" ref="C566:AP566" si="315">IF(ISERROR(IF(C$2&lt;=SODebtTerm,C564/C565,"")),0,IF(C$2&lt;=SODebtTerm,C564/C565,""))</f>
        <v>1.35</v>
      </c>
      <c r="D566" s="223">
        <f t="shared" si="315"/>
        <v>1.3499999999999999</v>
      </c>
      <c r="E566" s="223">
        <f t="shared" si="315"/>
        <v>1.35</v>
      </c>
      <c r="F566" s="223">
        <f t="shared" si="315"/>
        <v>1.35</v>
      </c>
      <c r="G566" s="223">
        <f t="shared" si="315"/>
        <v>1.3499999999999999</v>
      </c>
      <c r="H566" s="223">
        <f t="shared" si="315"/>
        <v>1.35</v>
      </c>
      <c r="I566" s="223">
        <f t="shared" si="315"/>
        <v>1.35</v>
      </c>
      <c r="J566" s="223">
        <f t="shared" si="315"/>
        <v>1.35</v>
      </c>
      <c r="K566" s="223">
        <f t="shared" si="315"/>
        <v>1.35</v>
      </c>
      <c r="L566" s="223">
        <f t="shared" si="315"/>
        <v>1.35</v>
      </c>
      <c r="M566" s="223">
        <f t="shared" si="315"/>
        <v>1.35</v>
      </c>
      <c r="N566" s="223">
        <f t="shared" si="315"/>
        <v>1.35</v>
      </c>
      <c r="O566" s="223">
        <f t="shared" si="315"/>
        <v>1.35</v>
      </c>
      <c r="P566" s="223" t="str">
        <f t="shared" si="315"/>
        <v/>
      </c>
      <c r="Q566" s="223" t="str">
        <f t="shared" si="315"/>
        <v/>
      </c>
      <c r="R566" s="223" t="str">
        <f t="shared" si="315"/>
        <v/>
      </c>
      <c r="S566" s="223" t="str">
        <f t="shared" si="315"/>
        <v/>
      </c>
      <c r="T566" s="223" t="str">
        <f t="shared" si="315"/>
        <v/>
      </c>
      <c r="U566" s="223" t="str">
        <f t="shared" si="315"/>
        <v/>
      </c>
      <c r="V566" s="223" t="str">
        <f t="shared" si="315"/>
        <v/>
      </c>
      <c r="W566" s="223" t="str">
        <f t="shared" si="315"/>
        <v/>
      </c>
      <c r="X566" s="223" t="str">
        <f t="shared" si="315"/>
        <v/>
      </c>
      <c r="Y566" s="223" t="str">
        <f t="shared" si="315"/>
        <v/>
      </c>
      <c r="Z566" s="223" t="str">
        <f t="shared" si="315"/>
        <v/>
      </c>
      <c r="AA566" s="223" t="str">
        <f t="shared" si="315"/>
        <v/>
      </c>
      <c r="AB566" s="223" t="str">
        <f t="shared" si="315"/>
        <v/>
      </c>
      <c r="AC566" s="223" t="str">
        <f t="shared" si="315"/>
        <v/>
      </c>
      <c r="AD566" s="223" t="str">
        <f t="shared" si="315"/>
        <v/>
      </c>
      <c r="AE566" s="223" t="str">
        <f t="shared" si="315"/>
        <v/>
      </c>
      <c r="AF566" s="223" t="str">
        <f t="shared" si="315"/>
        <v/>
      </c>
      <c r="AG566" s="223" t="str">
        <f t="shared" si="315"/>
        <v/>
      </c>
      <c r="AH566" s="223" t="str">
        <f t="shared" si="315"/>
        <v/>
      </c>
      <c r="AI566" s="223" t="str">
        <f t="shared" si="315"/>
        <v/>
      </c>
      <c r="AJ566" s="223" t="str">
        <f t="shared" si="315"/>
        <v/>
      </c>
      <c r="AK566" s="223" t="str">
        <f t="shared" si="315"/>
        <v/>
      </c>
      <c r="AL566" s="223" t="str">
        <f t="shared" si="315"/>
        <v/>
      </c>
      <c r="AM566" s="223" t="str">
        <f t="shared" si="315"/>
        <v/>
      </c>
      <c r="AN566" s="223" t="str">
        <f t="shared" si="315"/>
        <v/>
      </c>
      <c r="AO566" s="223" t="str">
        <f t="shared" si="315"/>
        <v/>
      </c>
      <c r="AP566" s="223" t="str">
        <f t="shared" si="315"/>
        <v/>
      </c>
    </row>
    <row r="567" spans="1:42" x14ac:dyDescent="0.2">
      <c r="A567" s="183" t="s">
        <v>108</v>
      </c>
      <c r="B567" s="182">
        <f>IF(ISERROR(B564/B565),0,B564/B565)</f>
        <v>1.35</v>
      </c>
    </row>
    <row r="568" spans="1:42" x14ac:dyDescent="0.2">
      <c r="A568" s="183" t="s">
        <v>109</v>
      </c>
      <c r="B568" s="182">
        <f>MIN(C566:AP566)</f>
        <v>1.3499999999999999</v>
      </c>
    </row>
    <row r="569" spans="1:42" x14ac:dyDescent="0.2">
      <c r="A569" s="183"/>
      <c r="B569" s="291"/>
    </row>
    <row r="570" spans="1:42" x14ac:dyDescent="0.2">
      <c r="A570" s="178" t="s">
        <v>427</v>
      </c>
    </row>
    <row r="571" spans="1:42" x14ac:dyDescent="0.2">
      <c r="A571" s="349" t="s">
        <v>426</v>
      </c>
      <c r="B571" s="355">
        <f>SODebtRate</f>
        <v>8.5000000000000006E-2</v>
      </c>
    </row>
    <row r="572" spans="1:42" x14ac:dyDescent="0.2">
      <c r="A572" s="350"/>
    </row>
    <row r="573" spans="1:42" x14ac:dyDescent="0.2">
      <c r="A573" s="351" t="s">
        <v>98</v>
      </c>
    </row>
    <row r="574" spans="1:42" x14ac:dyDescent="0.2">
      <c r="A574" s="348" t="s">
        <v>96</v>
      </c>
      <c r="B574" s="135">
        <v>0</v>
      </c>
      <c r="C574" s="135">
        <f>B577</f>
        <v>22124932.5</v>
      </c>
      <c r="D574" s="135">
        <f t="shared" ref="D574:AP574" si="316">C577</f>
        <v>21128804.62521733</v>
      </c>
      <c r="E574" s="135">
        <f t="shared" si="316"/>
        <v>20048005.881078131</v>
      </c>
      <c r="F574" s="135">
        <f t="shared" si="316"/>
        <v>18875339.243687101</v>
      </c>
      <c r="G574" s="135">
        <f t="shared" si="316"/>
        <v>17602995.942117833</v>
      </c>
      <c r="H574" s="135">
        <f t="shared" si="316"/>
        <v>16222503.459915178</v>
      </c>
      <c r="I574" s="135">
        <f t="shared" si="316"/>
        <v>14724669.116725298</v>
      </c>
      <c r="J574" s="135">
        <f t="shared" si="316"/>
        <v>13099518.854364278</v>
      </c>
      <c r="K574" s="135">
        <f t="shared" si="316"/>
        <v>11336230.819702571</v>
      </c>
      <c r="L574" s="135">
        <f t="shared" si="316"/>
        <v>9423063.3020946197</v>
      </c>
      <c r="M574" s="135">
        <f t="shared" si="316"/>
        <v>7347276.545489992</v>
      </c>
      <c r="N574" s="135">
        <f t="shared" si="316"/>
        <v>5095047.9145739712</v>
      </c>
      <c r="O574" s="135">
        <f t="shared" si="316"/>
        <v>2651379.8500300883</v>
      </c>
      <c r="P574" s="135">
        <f t="shared" si="316"/>
        <v>-2.4680048227310181E-8</v>
      </c>
      <c r="Q574" s="135">
        <f t="shared" si="316"/>
        <v>-2.4680048227310181E-8</v>
      </c>
      <c r="R574" s="135">
        <f t="shared" si="316"/>
        <v>-2.4680048227310181E-8</v>
      </c>
      <c r="S574" s="135">
        <f t="shared" si="316"/>
        <v>-2.4680048227310181E-8</v>
      </c>
      <c r="T574" s="135">
        <f t="shared" si="316"/>
        <v>-2.4680048227310181E-8</v>
      </c>
      <c r="U574" s="135">
        <f t="shared" si="316"/>
        <v>-2.4680048227310181E-8</v>
      </c>
      <c r="V574" s="135">
        <f t="shared" si="316"/>
        <v>-2.4680048227310181E-8</v>
      </c>
      <c r="W574" s="135">
        <f t="shared" si="316"/>
        <v>-2.4680048227310181E-8</v>
      </c>
      <c r="X574" s="135">
        <f t="shared" si="316"/>
        <v>-2.4680048227310181E-8</v>
      </c>
      <c r="Y574" s="135">
        <f t="shared" si="316"/>
        <v>-2.4680048227310181E-8</v>
      </c>
      <c r="Z574" s="135">
        <f t="shared" si="316"/>
        <v>-2.4680048227310181E-8</v>
      </c>
      <c r="AA574" s="135">
        <f t="shared" si="316"/>
        <v>-2.4680048227310181E-8</v>
      </c>
      <c r="AB574" s="135">
        <f t="shared" si="316"/>
        <v>-2.4680048227310181E-8</v>
      </c>
      <c r="AC574" s="135">
        <f t="shared" si="316"/>
        <v>-2.4680048227310181E-8</v>
      </c>
      <c r="AD574" s="135">
        <f t="shared" si="316"/>
        <v>-2.4680048227310181E-8</v>
      </c>
      <c r="AE574" s="135">
        <f t="shared" si="316"/>
        <v>-2.4680048227310181E-8</v>
      </c>
      <c r="AF574" s="135">
        <f t="shared" si="316"/>
        <v>-2.4680048227310181E-8</v>
      </c>
      <c r="AG574" s="135">
        <f t="shared" si="316"/>
        <v>-2.4680048227310181E-8</v>
      </c>
      <c r="AH574" s="135">
        <f t="shared" si="316"/>
        <v>-2.4680048227310181E-8</v>
      </c>
      <c r="AI574" s="135">
        <f t="shared" si="316"/>
        <v>-2.4680048227310181E-8</v>
      </c>
      <c r="AJ574" s="135">
        <f t="shared" si="316"/>
        <v>-2.4680048227310181E-8</v>
      </c>
      <c r="AK574" s="135">
        <f t="shared" si="316"/>
        <v>-2.4680048227310181E-8</v>
      </c>
      <c r="AL574" s="135">
        <f t="shared" si="316"/>
        <v>-2.4680048227310181E-8</v>
      </c>
      <c r="AM574" s="135">
        <f t="shared" si="316"/>
        <v>-2.4680048227310181E-8</v>
      </c>
      <c r="AN574" s="135">
        <f t="shared" si="316"/>
        <v>-2.4680048227310181E-8</v>
      </c>
      <c r="AO574" s="135">
        <f t="shared" si="316"/>
        <v>-2.4680048227310181E-8</v>
      </c>
      <c r="AP574" s="135">
        <f t="shared" si="316"/>
        <v>-2.4680048227310181E-8</v>
      </c>
    </row>
    <row r="575" spans="1:42" x14ac:dyDescent="0.2">
      <c r="A575" s="348" t="s">
        <v>424</v>
      </c>
      <c r="B575" s="135">
        <f>IF(SODebtSwitch="Yes",SOMortgageAmount,0)</f>
        <v>22124932.5</v>
      </c>
      <c r="C575" s="135">
        <v>0</v>
      </c>
      <c r="D575" s="135">
        <v>0</v>
      </c>
      <c r="E575" s="135">
        <v>0</v>
      </c>
      <c r="F575" s="135">
        <v>0</v>
      </c>
      <c r="G575" s="135">
        <v>0</v>
      </c>
      <c r="H575" s="135">
        <v>0</v>
      </c>
      <c r="I575" s="135">
        <v>0</v>
      </c>
      <c r="J575" s="135">
        <v>0</v>
      </c>
      <c r="K575" s="135">
        <v>0</v>
      </c>
      <c r="L575" s="135">
        <v>0</v>
      </c>
      <c r="M575" s="135">
        <v>0</v>
      </c>
      <c r="N575" s="135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35">
        <v>0</v>
      </c>
      <c r="V575" s="135">
        <v>0</v>
      </c>
      <c r="W575" s="135">
        <v>0</v>
      </c>
      <c r="X575" s="135">
        <v>0</v>
      </c>
      <c r="Y575" s="135">
        <v>0</v>
      </c>
      <c r="Z575" s="135">
        <v>0</v>
      </c>
      <c r="AA575" s="135">
        <v>0</v>
      </c>
      <c r="AB575" s="135">
        <v>0</v>
      </c>
      <c r="AC575" s="135">
        <v>0</v>
      </c>
      <c r="AD575" s="135">
        <v>0</v>
      </c>
      <c r="AE575" s="135">
        <v>0</v>
      </c>
      <c r="AF575" s="135">
        <v>0</v>
      </c>
      <c r="AG575" s="135">
        <v>0</v>
      </c>
      <c r="AH575" s="135">
        <v>0</v>
      </c>
      <c r="AI575" s="135">
        <v>0</v>
      </c>
      <c r="AJ575" s="135">
        <v>0</v>
      </c>
      <c r="AK575" s="135">
        <v>0</v>
      </c>
      <c r="AL575" s="135">
        <v>0</v>
      </c>
      <c r="AM575" s="135">
        <v>0</v>
      </c>
      <c r="AN575" s="135">
        <v>0</v>
      </c>
      <c r="AO575" s="135">
        <v>0</v>
      </c>
      <c r="AP575" s="135">
        <v>0</v>
      </c>
    </row>
    <row r="576" spans="1:42" x14ac:dyDescent="0.2">
      <c r="A576" s="348" t="s">
        <v>425</v>
      </c>
      <c r="B576" s="170">
        <v>0</v>
      </c>
      <c r="C576" s="170">
        <f>-C579</f>
        <v>-996127.87478267029</v>
      </c>
      <c r="D576" s="170">
        <f t="shared" ref="D576:AP576" si="317">-D579</f>
        <v>-1080798.7441391973</v>
      </c>
      <c r="E576" s="170">
        <f t="shared" si="317"/>
        <v>-1172666.6373910292</v>
      </c>
      <c r="F576" s="170">
        <f t="shared" si="317"/>
        <v>-1272343.3015692667</v>
      </c>
      <c r="G576" s="170">
        <f t="shared" si="317"/>
        <v>-1380492.4822026547</v>
      </c>
      <c r="H576" s="170">
        <f t="shared" si="317"/>
        <v>-1497834.3431898803</v>
      </c>
      <c r="I576" s="170">
        <f t="shared" si="317"/>
        <v>-1625150.2623610201</v>
      </c>
      <c r="J576" s="170">
        <f t="shared" si="317"/>
        <v>-1763288.0346617068</v>
      </c>
      <c r="K576" s="170">
        <f t="shared" si="317"/>
        <v>-1913167.517607952</v>
      </c>
      <c r="L576" s="170">
        <f t="shared" si="317"/>
        <v>-2075786.7566046277</v>
      </c>
      <c r="M576" s="170">
        <f t="shared" si="317"/>
        <v>-2252228.6309160208</v>
      </c>
      <c r="N576" s="170">
        <f t="shared" si="317"/>
        <v>-2443668.0645438829</v>
      </c>
      <c r="O576" s="170">
        <f t="shared" si="317"/>
        <v>-2651379.850030113</v>
      </c>
      <c r="P576" s="170">
        <f t="shared" si="317"/>
        <v>0</v>
      </c>
      <c r="Q576" s="170">
        <f t="shared" si="317"/>
        <v>0</v>
      </c>
      <c r="R576" s="170">
        <f t="shared" si="317"/>
        <v>0</v>
      </c>
      <c r="S576" s="170">
        <f t="shared" si="317"/>
        <v>0</v>
      </c>
      <c r="T576" s="170">
        <f t="shared" si="317"/>
        <v>0</v>
      </c>
      <c r="U576" s="170">
        <f t="shared" si="317"/>
        <v>0</v>
      </c>
      <c r="V576" s="170">
        <f t="shared" si="317"/>
        <v>0</v>
      </c>
      <c r="W576" s="170">
        <f t="shared" si="317"/>
        <v>0</v>
      </c>
      <c r="X576" s="170">
        <f t="shared" si="317"/>
        <v>0</v>
      </c>
      <c r="Y576" s="170">
        <f t="shared" si="317"/>
        <v>0</v>
      </c>
      <c r="Z576" s="170">
        <f t="shared" si="317"/>
        <v>0</v>
      </c>
      <c r="AA576" s="170">
        <f t="shared" si="317"/>
        <v>0</v>
      </c>
      <c r="AB576" s="170">
        <f t="shared" si="317"/>
        <v>0</v>
      </c>
      <c r="AC576" s="170">
        <f t="shared" si="317"/>
        <v>0</v>
      </c>
      <c r="AD576" s="170">
        <f t="shared" si="317"/>
        <v>0</v>
      </c>
      <c r="AE576" s="170">
        <f t="shared" si="317"/>
        <v>0</v>
      </c>
      <c r="AF576" s="170">
        <f t="shared" si="317"/>
        <v>0</v>
      </c>
      <c r="AG576" s="170">
        <f t="shared" si="317"/>
        <v>0</v>
      </c>
      <c r="AH576" s="170">
        <f t="shared" si="317"/>
        <v>0</v>
      </c>
      <c r="AI576" s="170">
        <f t="shared" si="317"/>
        <v>0</v>
      </c>
      <c r="AJ576" s="170">
        <f t="shared" si="317"/>
        <v>0</v>
      </c>
      <c r="AK576" s="170">
        <f t="shared" si="317"/>
        <v>0</v>
      </c>
      <c r="AL576" s="170">
        <f t="shared" si="317"/>
        <v>0</v>
      </c>
      <c r="AM576" s="170">
        <f t="shared" si="317"/>
        <v>0</v>
      </c>
      <c r="AN576" s="170">
        <f t="shared" si="317"/>
        <v>0</v>
      </c>
      <c r="AO576" s="170">
        <f t="shared" si="317"/>
        <v>0</v>
      </c>
      <c r="AP576" s="170">
        <f t="shared" si="317"/>
        <v>0</v>
      </c>
    </row>
    <row r="577" spans="1:42" x14ac:dyDescent="0.2">
      <c r="A577" s="348" t="s">
        <v>99</v>
      </c>
      <c r="B577" s="135">
        <f>SUM(B574:B576)</f>
        <v>22124932.5</v>
      </c>
      <c r="C577" s="135">
        <f>SUM(C574:C576)</f>
        <v>21128804.62521733</v>
      </c>
      <c r="D577" s="135">
        <f t="shared" ref="D577:AP577" si="318">SUM(D574:D576)</f>
        <v>20048005.881078131</v>
      </c>
      <c r="E577" s="135">
        <f t="shared" si="318"/>
        <v>18875339.243687101</v>
      </c>
      <c r="F577" s="135">
        <f t="shared" si="318"/>
        <v>17602995.942117833</v>
      </c>
      <c r="G577" s="135">
        <f t="shared" si="318"/>
        <v>16222503.459915178</v>
      </c>
      <c r="H577" s="135">
        <f t="shared" si="318"/>
        <v>14724669.116725298</v>
      </c>
      <c r="I577" s="135">
        <f t="shared" si="318"/>
        <v>13099518.854364278</v>
      </c>
      <c r="J577" s="135">
        <f t="shared" si="318"/>
        <v>11336230.819702571</v>
      </c>
      <c r="K577" s="135">
        <f t="shared" si="318"/>
        <v>9423063.3020946197</v>
      </c>
      <c r="L577" s="135">
        <f t="shared" si="318"/>
        <v>7347276.545489992</v>
      </c>
      <c r="M577" s="135">
        <f t="shared" si="318"/>
        <v>5095047.9145739712</v>
      </c>
      <c r="N577" s="135">
        <f t="shared" si="318"/>
        <v>2651379.8500300883</v>
      </c>
      <c r="O577" s="135">
        <f t="shared" si="318"/>
        <v>-2.4680048227310181E-8</v>
      </c>
      <c r="P577" s="135">
        <f t="shared" si="318"/>
        <v>-2.4680048227310181E-8</v>
      </c>
      <c r="Q577" s="135">
        <f t="shared" si="318"/>
        <v>-2.4680048227310181E-8</v>
      </c>
      <c r="R577" s="135">
        <f t="shared" si="318"/>
        <v>-2.4680048227310181E-8</v>
      </c>
      <c r="S577" s="135">
        <f t="shared" si="318"/>
        <v>-2.4680048227310181E-8</v>
      </c>
      <c r="T577" s="135">
        <f t="shared" si="318"/>
        <v>-2.4680048227310181E-8</v>
      </c>
      <c r="U577" s="135">
        <f t="shared" si="318"/>
        <v>-2.4680048227310181E-8</v>
      </c>
      <c r="V577" s="135">
        <f t="shared" si="318"/>
        <v>-2.4680048227310181E-8</v>
      </c>
      <c r="W577" s="135">
        <f t="shared" si="318"/>
        <v>-2.4680048227310181E-8</v>
      </c>
      <c r="X577" s="135">
        <f t="shared" si="318"/>
        <v>-2.4680048227310181E-8</v>
      </c>
      <c r="Y577" s="135">
        <f t="shared" si="318"/>
        <v>-2.4680048227310181E-8</v>
      </c>
      <c r="Z577" s="135">
        <f t="shared" si="318"/>
        <v>-2.4680048227310181E-8</v>
      </c>
      <c r="AA577" s="135">
        <f t="shared" si="318"/>
        <v>-2.4680048227310181E-8</v>
      </c>
      <c r="AB577" s="135">
        <f t="shared" si="318"/>
        <v>-2.4680048227310181E-8</v>
      </c>
      <c r="AC577" s="135">
        <f t="shared" si="318"/>
        <v>-2.4680048227310181E-8</v>
      </c>
      <c r="AD577" s="135">
        <f t="shared" si="318"/>
        <v>-2.4680048227310181E-8</v>
      </c>
      <c r="AE577" s="135">
        <f t="shared" si="318"/>
        <v>-2.4680048227310181E-8</v>
      </c>
      <c r="AF577" s="135">
        <f t="shared" si="318"/>
        <v>-2.4680048227310181E-8</v>
      </c>
      <c r="AG577" s="135">
        <f t="shared" si="318"/>
        <v>-2.4680048227310181E-8</v>
      </c>
      <c r="AH577" s="135">
        <f t="shared" si="318"/>
        <v>-2.4680048227310181E-8</v>
      </c>
      <c r="AI577" s="135">
        <f t="shared" si="318"/>
        <v>-2.4680048227310181E-8</v>
      </c>
      <c r="AJ577" s="135">
        <f t="shared" si="318"/>
        <v>-2.4680048227310181E-8</v>
      </c>
      <c r="AK577" s="135">
        <f t="shared" si="318"/>
        <v>-2.4680048227310181E-8</v>
      </c>
      <c r="AL577" s="135">
        <f t="shared" si="318"/>
        <v>-2.4680048227310181E-8</v>
      </c>
      <c r="AM577" s="135">
        <f t="shared" si="318"/>
        <v>-2.4680048227310181E-8</v>
      </c>
      <c r="AN577" s="135">
        <f t="shared" si="318"/>
        <v>-2.4680048227310181E-8</v>
      </c>
      <c r="AO577" s="135">
        <f t="shared" si="318"/>
        <v>-2.4680048227310181E-8</v>
      </c>
      <c r="AP577" s="135">
        <f t="shared" si="318"/>
        <v>-2.4680048227310181E-8</v>
      </c>
    </row>
    <row r="578" spans="1:42" x14ac:dyDescent="0.2">
      <c r="A578" s="347"/>
      <c r="B578" s="135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  <c r="AI578" s="135"/>
      <c r="AJ578" s="135"/>
      <c r="AK578" s="135"/>
      <c r="AL578" s="135"/>
      <c r="AM578" s="135"/>
      <c r="AN578" s="135"/>
      <c r="AO578" s="135"/>
      <c r="AP578" s="135"/>
    </row>
    <row r="579" spans="1:42" x14ac:dyDescent="0.2">
      <c r="A579" s="348" t="s">
        <v>100</v>
      </c>
      <c r="B579" s="233">
        <f>SUM(C579:AP579)</f>
        <v>22124932.500000022</v>
      </c>
      <c r="C579" s="135">
        <f>C581-C580</f>
        <v>996127.87478267029</v>
      </c>
      <c r="D579" s="135">
        <f t="shared" ref="D579:AP579" si="319">D581-D580</f>
        <v>1080798.7441391973</v>
      </c>
      <c r="E579" s="135">
        <f t="shared" si="319"/>
        <v>1172666.6373910292</v>
      </c>
      <c r="F579" s="135">
        <f t="shared" si="319"/>
        <v>1272343.3015692667</v>
      </c>
      <c r="G579" s="135">
        <f t="shared" si="319"/>
        <v>1380492.4822026547</v>
      </c>
      <c r="H579" s="135">
        <f t="shared" si="319"/>
        <v>1497834.3431898803</v>
      </c>
      <c r="I579" s="135">
        <f t="shared" si="319"/>
        <v>1625150.2623610201</v>
      </c>
      <c r="J579" s="135">
        <f t="shared" si="319"/>
        <v>1763288.0346617068</v>
      </c>
      <c r="K579" s="135">
        <f t="shared" si="319"/>
        <v>1913167.517607952</v>
      </c>
      <c r="L579" s="135">
        <f t="shared" si="319"/>
        <v>2075786.7566046277</v>
      </c>
      <c r="M579" s="135">
        <f t="shared" si="319"/>
        <v>2252228.6309160208</v>
      </c>
      <c r="N579" s="135">
        <f t="shared" si="319"/>
        <v>2443668.0645438829</v>
      </c>
      <c r="O579" s="135">
        <f t="shared" si="319"/>
        <v>2651379.850030113</v>
      </c>
      <c r="P579" s="135">
        <f t="shared" si="319"/>
        <v>0</v>
      </c>
      <c r="Q579" s="135">
        <f t="shared" si="319"/>
        <v>0</v>
      </c>
      <c r="R579" s="135">
        <f t="shared" si="319"/>
        <v>0</v>
      </c>
      <c r="S579" s="135">
        <f t="shared" si="319"/>
        <v>0</v>
      </c>
      <c r="T579" s="135">
        <f t="shared" si="319"/>
        <v>0</v>
      </c>
      <c r="U579" s="135">
        <f t="shared" si="319"/>
        <v>0</v>
      </c>
      <c r="V579" s="135">
        <f t="shared" si="319"/>
        <v>0</v>
      </c>
      <c r="W579" s="135">
        <f t="shared" si="319"/>
        <v>0</v>
      </c>
      <c r="X579" s="135">
        <f t="shared" si="319"/>
        <v>0</v>
      </c>
      <c r="Y579" s="135">
        <f t="shared" si="319"/>
        <v>0</v>
      </c>
      <c r="Z579" s="135">
        <f t="shared" si="319"/>
        <v>0</v>
      </c>
      <c r="AA579" s="135">
        <f t="shared" si="319"/>
        <v>0</v>
      </c>
      <c r="AB579" s="135">
        <f t="shared" si="319"/>
        <v>0</v>
      </c>
      <c r="AC579" s="135">
        <f t="shared" si="319"/>
        <v>0</v>
      </c>
      <c r="AD579" s="135">
        <f t="shared" si="319"/>
        <v>0</v>
      </c>
      <c r="AE579" s="135">
        <f t="shared" si="319"/>
        <v>0</v>
      </c>
      <c r="AF579" s="135">
        <f t="shared" si="319"/>
        <v>0</v>
      </c>
      <c r="AG579" s="135">
        <f t="shared" si="319"/>
        <v>0</v>
      </c>
      <c r="AH579" s="135">
        <f t="shared" si="319"/>
        <v>0</v>
      </c>
      <c r="AI579" s="135">
        <f t="shared" si="319"/>
        <v>0</v>
      </c>
      <c r="AJ579" s="135">
        <f t="shared" si="319"/>
        <v>0</v>
      </c>
      <c r="AK579" s="135">
        <f t="shared" si="319"/>
        <v>0</v>
      </c>
      <c r="AL579" s="135">
        <f t="shared" si="319"/>
        <v>0</v>
      </c>
      <c r="AM579" s="135">
        <f t="shared" si="319"/>
        <v>0</v>
      </c>
      <c r="AN579" s="135">
        <f t="shared" si="319"/>
        <v>0</v>
      </c>
      <c r="AO579" s="135">
        <f t="shared" si="319"/>
        <v>0</v>
      </c>
      <c r="AP579" s="135">
        <f t="shared" si="319"/>
        <v>0</v>
      </c>
    </row>
    <row r="580" spans="1:42" x14ac:dyDescent="0.2">
      <c r="A580" s="348" t="s">
        <v>101</v>
      </c>
      <c r="B580" s="233">
        <f>SUM(C580:AP580)</f>
        <v>15272780.284674693</v>
      </c>
      <c r="C580" s="170">
        <f t="shared" ref="C580:AP580" si="320">IF(C$2&lt;=SODebtTerm,B577*$B$571,0)</f>
        <v>1880619.2625000002</v>
      </c>
      <c r="D580" s="170">
        <f t="shared" si="320"/>
        <v>1795948.3931434732</v>
      </c>
      <c r="E580" s="170">
        <f t="shared" si="320"/>
        <v>1704080.4998916413</v>
      </c>
      <c r="F580" s="170">
        <f t="shared" si="320"/>
        <v>1604403.8357134038</v>
      </c>
      <c r="G580" s="170">
        <f t="shared" si="320"/>
        <v>1496254.6550800158</v>
      </c>
      <c r="H580" s="170">
        <f t="shared" si="320"/>
        <v>1378912.7940927902</v>
      </c>
      <c r="I580" s="170">
        <f t="shared" si="320"/>
        <v>1251596.8749216504</v>
      </c>
      <c r="J580" s="170">
        <f t="shared" si="320"/>
        <v>1113459.1026209637</v>
      </c>
      <c r="K580" s="170">
        <f t="shared" si="320"/>
        <v>963579.61967471859</v>
      </c>
      <c r="L580" s="170">
        <f t="shared" si="320"/>
        <v>800960.38067804277</v>
      </c>
      <c r="M580" s="170">
        <f t="shared" si="320"/>
        <v>624518.50636664941</v>
      </c>
      <c r="N580" s="170">
        <f t="shared" si="320"/>
        <v>433079.07273878757</v>
      </c>
      <c r="O580" s="170">
        <f t="shared" si="320"/>
        <v>225367.28725255752</v>
      </c>
      <c r="P580" s="170">
        <f t="shared" si="320"/>
        <v>0</v>
      </c>
      <c r="Q580" s="170">
        <f t="shared" si="320"/>
        <v>0</v>
      </c>
      <c r="R580" s="170">
        <f t="shared" si="320"/>
        <v>0</v>
      </c>
      <c r="S580" s="170">
        <f t="shared" si="320"/>
        <v>0</v>
      </c>
      <c r="T580" s="170">
        <f t="shared" si="320"/>
        <v>0</v>
      </c>
      <c r="U580" s="170">
        <f t="shared" si="320"/>
        <v>0</v>
      </c>
      <c r="V580" s="170">
        <f t="shared" si="320"/>
        <v>0</v>
      </c>
      <c r="W580" s="170">
        <f t="shared" si="320"/>
        <v>0</v>
      </c>
      <c r="X580" s="170">
        <f t="shared" si="320"/>
        <v>0</v>
      </c>
      <c r="Y580" s="170">
        <f t="shared" si="320"/>
        <v>0</v>
      </c>
      <c r="Z580" s="170">
        <f t="shared" si="320"/>
        <v>0</v>
      </c>
      <c r="AA580" s="170">
        <f t="shared" si="320"/>
        <v>0</v>
      </c>
      <c r="AB580" s="170">
        <f t="shared" si="320"/>
        <v>0</v>
      </c>
      <c r="AC580" s="170">
        <f t="shared" si="320"/>
        <v>0</v>
      </c>
      <c r="AD580" s="170">
        <f t="shared" si="320"/>
        <v>0</v>
      </c>
      <c r="AE580" s="170">
        <f t="shared" si="320"/>
        <v>0</v>
      </c>
      <c r="AF580" s="170">
        <f t="shared" si="320"/>
        <v>0</v>
      </c>
      <c r="AG580" s="170">
        <f t="shared" si="320"/>
        <v>0</v>
      </c>
      <c r="AH580" s="170">
        <f t="shared" si="320"/>
        <v>0</v>
      </c>
      <c r="AI580" s="170">
        <f t="shared" si="320"/>
        <v>0</v>
      </c>
      <c r="AJ580" s="170">
        <f t="shared" si="320"/>
        <v>0</v>
      </c>
      <c r="AK580" s="170">
        <f t="shared" si="320"/>
        <v>0</v>
      </c>
      <c r="AL580" s="170">
        <f t="shared" si="320"/>
        <v>0</v>
      </c>
      <c r="AM580" s="170">
        <f t="shared" si="320"/>
        <v>0</v>
      </c>
      <c r="AN580" s="170">
        <f t="shared" si="320"/>
        <v>0</v>
      </c>
      <c r="AO580" s="170">
        <f t="shared" si="320"/>
        <v>0</v>
      </c>
      <c r="AP580" s="170">
        <f t="shared" si="320"/>
        <v>0</v>
      </c>
    </row>
    <row r="581" spans="1:42" x14ac:dyDescent="0.2">
      <c r="A581" s="348" t="s">
        <v>205</v>
      </c>
      <c r="B581" s="233">
        <f>SUM(C581:AP581)</f>
        <v>37397712.784674712</v>
      </c>
      <c r="C581" s="135">
        <f t="shared" ref="C581:AP581" si="321">IF(C$2&lt;=SODebtTerm,-PMT($B$571,SODebtTerm,$B$575),0)</f>
        <v>2876747.1372826705</v>
      </c>
      <c r="D581" s="135">
        <f t="shared" si="321"/>
        <v>2876747.1372826705</v>
      </c>
      <c r="E581" s="135">
        <f t="shared" si="321"/>
        <v>2876747.1372826705</v>
      </c>
      <c r="F581" s="135">
        <f t="shared" si="321"/>
        <v>2876747.1372826705</v>
      </c>
      <c r="G581" s="135">
        <f t="shared" si="321"/>
        <v>2876747.1372826705</v>
      </c>
      <c r="H581" s="135">
        <f t="shared" si="321"/>
        <v>2876747.1372826705</v>
      </c>
      <c r="I581" s="135">
        <f t="shared" si="321"/>
        <v>2876747.1372826705</v>
      </c>
      <c r="J581" s="135">
        <f t="shared" si="321"/>
        <v>2876747.1372826705</v>
      </c>
      <c r="K581" s="135">
        <f t="shared" si="321"/>
        <v>2876747.1372826705</v>
      </c>
      <c r="L581" s="135">
        <f t="shared" si="321"/>
        <v>2876747.1372826705</v>
      </c>
      <c r="M581" s="135">
        <f t="shared" si="321"/>
        <v>2876747.1372826705</v>
      </c>
      <c r="N581" s="135">
        <f t="shared" si="321"/>
        <v>2876747.1372826705</v>
      </c>
      <c r="O581" s="135">
        <f t="shared" si="321"/>
        <v>2876747.1372826705</v>
      </c>
      <c r="P581" s="135">
        <f t="shared" si="321"/>
        <v>0</v>
      </c>
      <c r="Q581" s="135">
        <f t="shared" si="321"/>
        <v>0</v>
      </c>
      <c r="R581" s="135">
        <f t="shared" si="321"/>
        <v>0</v>
      </c>
      <c r="S581" s="135">
        <f t="shared" si="321"/>
        <v>0</v>
      </c>
      <c r="T581" s="135">
        <f t="shared" si="321"/>
        <v>0</v>
      </c>
      <c r="U581" s="135">
        <f t="shared" si="321"/>
        <v>0</v>
      </c>
      <c r="V581" s="135">
        <f t="shared" si="321"/>
        <v>0</v>
      </c>
      <c r="W581" s="135">
        <f t="shared" si="321"/>
        <v>0</v>
      </c>
      <c r="X581" s="135">
        <f t="shared" si="321"/>
        <v>0</v>
      </c>
      <c r="Y581" s="135">
        <f t="shared" si="321"/>
        <v>0</v>
      </c>
      <c r="Z581" s="135">
        <f t="shared" si="321"/>
        <v>0</v>
      </c>
      <c r="AA581" s="135">
        <f t="shared" si="321"/>
        <v>0</v>
      </c>
      <c r="AB581" s="135">
        <f t="shared" si="321"/>
        <v>0</v>
      </c>
      <c r="AC581" s="135">
        <f t="shared" si="321"/>
        <v>0</v>
      </c>
      <c r="AD581" s="135">
        <f t="shared" si="321"/>
        <v>0</v>
      </c>
      <c r="AE581" s="135">
        <f t="shared" si="321"/>
        <v>0</v>
      </c>
      <c r="AF581" s="135">
        <f t="shared" si="321"/>
        <v>0</v>
      </c>
      <c r="AG581" s="135">
        <f t="shared" si="321"/>
        <v>0</v>
      </c>
      <c r="AH581" s="135">
        <f t="shared" si="321"/>
        <v>0</v>
      </c>
      <c r="AI581" s="135">
        <f t="shared" si="321"/>
        <v>0</v>
      </c>
      <c r="AJ581" s="135">
        <f t="shared" si="321"/>
        <v>0</v>
      </c>
      <c r="AK581" s="135">
        <f t="shared" si="321"/>
        <v>0</v>
      </c>
      <c r="AL581" s="135">
        <f t="shared" si="321"/>
        <v>0</v>
      </c>
      <c r="AM581" s="135">
        <f t="shared" si="321"/>
        <v>0</v>
      </c>
      <c r="AN581" s="135">
        <f t="shared" si="321"/>
        <v>0</v>
      </c>
      <c r="AO581" s="135">
        <f t="shared" si="321"/>
        <v>0</v>
      </c>
      <c r="AP581" s="135">
        <f t="shared" si="321"/>
        <v>0</v>
      </c>
    </row>
    <row r="582" spans="1:42" x14ac:dyDescent="0.2">
      <c r="A582" s="351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135"/>
      <c r="AL582" s="135"/>
      <c r="AM582" s="135"/>
      <c r="AN582" s="135"/>
      <c r="AO582" s="135"/>
      <c r="AP582" s="135"/>
    </row>
    <row r="583" spans="1:42" x14ac:dyDescent="0.2">
      <c r="A583" s="350" t="s">
        <v>105</v>
      </c>
      <c r="B583" s="135"/>
      <c r="C583" s="135"/>
      <c r="D583" s="135"/>
      <c r="E583" s="135"/>
      <c r="F583" s="135"/>
      <c r="G583" s="135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135"/>
      <c r="AL583" s="135"/>
      <c r="AM583" s="135"/>
      <c r="AN583" s="135"/>
      <c r="AO583" s="135"/>
      <c r="AP583" s="135"/>
    </row>
    <row r="584" spans="1:42" x14ac:dyDescent="0.2">
      <c r="A584" s="183" t="s">
        <v>106</v>
      </c>
      <c r="B584" s="179">
        <f>SUM(C584:AP584)</f>
        <v>44148229.843880586</v>
      </c>
      <c r="C584" s="135">
        <f>C564</f>
        <v>3241416.9522789321</v>
      </c>
      <c r="D584" s="135">
        <f t="shared" ref="D584:AP584" si="322">D564</f>
        <v>3268061.61332297</v>
      </c>
      <c r="E584" s="135">
        <f t="shared" si="322"/>
        <v>3294642.2234820989</v>
      </c>
      <c r="F584" s="135">
        <f t="shared" si="322"/>
        <v>3321155.9031755184</v>
      </c>
      <c r="G584" s="135">
        <f t="shared" si="322"/>
        <v>3347599.7043586313</v>
      </c>
      <c r="H584" s="135">
        <f t="shared" si="322"/>
        <v>3373970.6090112184</v>
      </c>
      <c r="I584" s="135">
        <f t="shared" si="322"/>
        <v>3400265.52759236</v>
      </c>
      <c r="J584" s="135">
        <f t="shared" si="322"/>
        <v>3426481.297461336</v>
      </c>
      <c r="K584" s="135">
        <f t="shared" si="322"/>
        <v>3452614.6812637867</v>
      </c>
      <c r="L584" s="135">
        <f t="shared" si="322"/>
        <v>3478662.3652823106</v>
      </c>
      <c r="M584" s="135">
        <f t="shared" si="322"/>
        <v>3504620.9577507805</v>
      </c>
      <c r="N584" s="135">
        <f t="shared" si="322"/>
        <v>3530486.9871314974</v>
      </c>
      <c r="O584" s="135">
        <f t="shared" si="322"/>
        <v>3508251.0217691441</v>
      </c>
      <c r="P584" s="135">
        <f t="shared" si="322"/>
        <v>0</v>
      </c>
      <c r="Q584" s="135">
        <f t="shared" si="322"/>
        <v>0</v>
      </c>
      <c r="R584" s="135">
        <f t="shared" si="322"/>
        <v>0</v>
      </c>
      <c r="S584" s="135">
        <f t="shared" si="322"/>
        <v>0</v>
      </c>
      <c r="T584" s="135">
        <f t="shared" si="322"/>
        <v>0</v>
      </c>
      <c r="U584" s="135">
        <f t="shared" si="322"/>
        <v>0</v>
      </c>
      <c r="V584" s="135">
        <f t="shared" si="322"/>
        <v>0</v>
      </c>
      <c r="W584" s="135">
        <f t="shared" si="322"/>
        <v>0</v>
      </c>
      <c r="X584" s="135">
        <f t="shared" si="322"/>
        <v>0</v>
      </c>
      <c r="Y584" s="135">
        <f t="shared" si="322"/>
        <v>0</v>
      </c>
      <c r="Z584" s="135">
        <f t="shared" si="322"/>
        <v>0</v>
      </c>
      <c r="AA584" s="135">
        <f t="shared" si="322"/>
        <v>0</v>
      </c>
      <c r="AB584" s="135">
        <f t="shared" si="322"/>
        <v>0</v>
      </c>
      <c r="AC584" s="135">
        <f t="shared" si="322"/>
        <v>0</v>
      </c>
      <c r="AD584" s="135">
        <f t="shared" si="322"/>
        <v>0</v>
      </c>
      <c r="AE584" s="135">
        <f t="shared" si="322"/>
        <v>0</v>
      </c>
      <c r="AF584" s="135">
        <f t="shared" si="322"/>
        <v>0</v>
      </c>
      <c r="AG584" s="135">
        <f t="shared" si="322"/>
        <v>0</v>
      </c>
      <c r="AH584" s="135">
        <f t="shared" si="322"/>
        <v>0</v>
      </c>
      <c r="AI584" s="135">
        <f t="shared" si="322"/>
        <v>0</v>
      </c>
      <c r="AJ584" s="135">
        <f t="shared" si="322"/>
        <v>0</v>
      </c>
      <c r="AK584" s="135">
        <f t="shared" si="322"/>
        <v>0</v>
      </c>
      <c r="AL584" s="135">
        <f t="shared" si="322"/>
        <v>0</v>
      </c>
      <c r="AM584" s="135">
        <f t="shared" si="322"/>
        <v>0</v>
      </c>
      <c r="AN584" s="135">
        <f t="shared" si="322"/>
        <v>0</v>
      </c>
      <c r="AO584" s="135">
        <f t="shared" si="322"/>
        <v>0</v>
      </c>
      <c r="AP584" s="135">
        <f t="shared" si="322"/>
        <v>0</v>
      </c>
    </row>
    <row r="585" spans="1:42" x14ac:dyDescent="0.2">
      <c r="A585" s="183" t="s">
        <v>107</v>
      </c>
      <c r="B585" s="179">
        <f>SUM(C585:AP585)</f>
        <v>37397712.784674712</v>
      </c>
      <c r="C585" s="135">
        <f t="shared" ref="C585:AP585" si="323">C581</f>
        <v>2876747.1372826705</v>
      </c>
      <c r="D585" s="135">
        <f t="shared" si="323"/>
        <v>2876747.1372826705</v>
      </c>
      <c r="E585" s="135">
        <f t="shared" si="323"/>
        <v>2876747.1372826705</v>
      </c>
      <c r="F585" s="135">
        <f t="shared" si="323"/>
        <v>2876747.1372826705</v>
      </c>
      <c r="G585" s="135">
        <f t="shared" si="323"/>
        <v>2876747.1372826705</v>
      </c>
      <c r="H585" s="135">
        <f t="shared" si="323"/>
        <v>2876747.1372826705</v>
      </c>
      <c r="I585" s="135">
        <f t="shared" si="323"/>
        <v>2876747.1372826705</v>
      </c>
      <c r="J585" s="135">
        <f t="shared" si="323"/>
        <v>2876747.1372826705</v>
      </c>
      <c r="K585" s="135">
        <f t="shared" si="323"/>
        <v>2876747.1372826705</v>
      </c>
      <c r="L585" s="135">
        <f t="shared" si="323"/>
        <v>2876747.1372826705</v>
      </c>
      <c r="M585" s="135">
        <f t="shared" si="323"/>
        <v>2876747.1372826705</v>
      </c>
      <c r="N585" s="135">
        <f t="shared" si="323"/>
        <v>2876747.1372826705</v>
      </c>
      <c r="O585" s="135">
        <f t="shared" si="323"/>
        <v>2876747.1372826705</v>
      </c>
      <c r="P585" s="135">
        <f t="shared" si="323"/>
        <v>0</v>
      </c>
      <c r="Q585" s="135">
        <f t="shared" si="323"/>
        <v>0</v>
      </c>
      <c r="R585" s="135">
        <f t="shared" si="323"/>
        <v>0</v>
      </c>
      <c r="S585" s="135">
        <f t="shared" si="323"/>
        <v>0</v>
      </c>
      <c r="T585" s="135">
        <f t="shared" si="323"/>
        <v>0</v>
      </c>
      <c r="U585" s="135">
        <f t="shared" si="323"/>
        <v>0</v>
      </c>
      <c r="V585" s="135">
        <f t="shared" si="323"/>
        <v>0</v>
      </c>
      <c r="W585" s="135">
        <f t="shared" si="323"/>
        <v>0</v>
      </c>
      <c r="X585" s="135">
        <f t="shared" si="323"/>
        <v>0</v>
      </c>
      <c r="Y585" s="135">
        <f t="shared" si="323"/>
        <v>0</v>
      </c>
      <c r="Z585" s="135">
        <f t="shared" si="323"/>
        <v>0</v>
      </c>
      <c r="AA585" s="135">
        <f t="shared" si="323"/>
        <v>0</v>
      </c>
      <c r="AB585" s="135">
        <f t="shared" si="323"/>
        <v>0</v>
      </c>
      <c r="AC585" s="135">
        <f t="shared" si="323"/>
        <v>0</v>
      </c>
      <c r="AD585" s="135">
        <f t="shared" si="323"/>
        <v>0</v>
      </c>
      <c r="AE585" s="135">
        <f t="shared" si="323"/>
        <v>0</v>
      </c>
      <c r="AF585" s="135">
        <f t="shared" si="323"/>
        <v>0</v>
      </c>
      <c r="AG585" s="135">
        <f t="shared" si="323"/>
        <v>0</v>
      </c>
      <c r="AH585" s="135">
        <f t="shared" si="323"/>
        <v>0</v>
      </c>
      <c r="AI585" s="135">
        <f t="shared" si="323"/>
        <v>0</v>
      </c>
      <c r="AJ585" s="135">
        <f t="shared" si="323"/>
        <v>0</v>
      </c>
      <c r="AK585" s="135">
        <f t="shared" si="323"/>
        <v>0</v>
      </c>
      <c r="AL585" s="135">
        <f t="shared" si="323"/>
        <v>0</v>
      </c>
      <c r="AM585" s="135">
        <f t="shared" si="323"/>
        <v>0</v>
      </c>
      <c r="AN585" s="135">
        <f t="shared" si="323"/>
        <v>0</v>
      </c>
      <c r="AO585" s="135">
        <f t="shared" si="323"/>
        <v>0</v>
      </c>
      <c r="AP585" s="135">
        <f t="shared" si="323"/>
        <v>0</v>
      </c>
    </row>
    <row r="586" spans="1:42" x14ac:dyDescent="0.2">
      <c r="A586" s="352" t="s">
        <v>105</v>
      </c>
      <c r="C586" s="223">
        <f t="shared" ref="C586:AP586" si="324">IF(AND(C$2&lt;=SODebtTerm,SODebtSwitch="Yes"),C584/C585,"")</f>
        <v>1.1267646399192119</v>
      </c>
      <c r="D586" s="223">
        <f t="shared" si="324"/>
        <v>1.1360267195433551</v>
      </c>
      <c r="E586" s="223">
        <f t="shared" si="324"/>
        <v>1.1452665341292962</v>
      </c>
      <c r="F586" s="223">
        <f t="shared" si="324"/>
        <v>1.1544830826920121</v>
      </c>
      <c r="G586" s="223">
        <f t="shared" si="324"/>
        <v>1.1636753404474474</v>
      </c>
      <c r="H586" s="223">
        <f t="shared" si="324"/>
        <v>1.1728422582869822</v>
      </c>
      <c r="I586" s="223">
        <f t="shared" si="324"/>
        <v>1.1819827622403396</v>
      </c>
      <c r="J586" s="223">
        <f t="shared" si="324"/>
        <v>1.1910957529266668</v>
      </c>
      <c r="K586" s="223">
        <f t="shared" si="324"/>
        <v>1.2001801049935419</v>
      </c>
      <c r="L586" s="223">
        <f t="shared" si="324"/>
        <v>1.2092346665436156</v>
      </c>
      <c r="M586" s="223">
        <f t="shared" si="324"/>
        <v>1.2182582585486432</v>
      </c>
      <c r="N586" s="223">
        <f t="shared" si="324"/>
        <v>1.2272496742505978</v>
      </c>
      <c r="O586" s="223">
        <f t="shared" si="324"/>
        <v>1.2195201226768169</v>
      </c>
      <c r="P586" s="223" t="str">
        <f t="shared" si="324"/>
        <v/>
      </c>
      <c r="Q586" s="223" t="str">
        <f t="shared" si="324"/>
        <v/>
      </c>
      <c r="R586" s="223" t="str">
        <f t="shared" si="324"/>
        <v/>
      </c>
      <c r="S586" s="223" t="str">
        <f t="shared" si="324"/>
        <v/>
      </c>
      <c r="T586" s="223" t="str">
        <f t="shared" si="324"/>
        <v/>
      </c>
      <c r="U586" s="223" t="str">
        <f t="shared" si="324"/>
        <v/>
      </c>
      <c r="V586" s="223" t="str">
        <f t="shared" si="324"/>
        <v/>
      </c>
      <c r="W586" s="223" t="str">
        <f t="shared" si="324"/>
        <v/>
      </c>
      <c r="X586" s="223" t="str">
        <f t="shared" si="324"/>
        <v/>
      </c>
      <c r="Y586" s="223" t="str">
        <f t="shared" si="324"/>
        <v/>
      </c>
      <c r="Z586" s="223" t="str">
        <f t="shared" si="324"/>
        <v/>
      </c>
      <c r="AA586" s="223" t="str">
        <f t="shared" si="324"/>
        <v/>
      </c>
      <c r="AB586" s="223" t="str">
        <f t="shared" si="324"/>
        <v/>
      </c>
      <c r="AC586" s="223" t="str">
        <f t="shared" si="324"/>
        <v/>
      </c>
      <c r="AD586" s="223" t="str">
        <f t="shared" si="324"/>
        <v/>
      </c>
      <c r="AE586" s="223" t="str">
        <f t="shared" si="324"/>
        <v/>
      </c>
      <c r="AF586" s="223" t="str">
        <f t="shared" si="324"/>
        <v/>
      </c>
      <c r="AG586" s="223" t="str">
        <f t="shared" si="324"/>
        <v/>
      </c>
      <c r="AH586" s="223" t="str">
        <f t="shared" si="324"/>
        <v/>
      </c>
      <c r="AI586" s="223" t="str">
        <f t="shared" si="324"/>
        <v/>
      </c>
      <c r="AJ586" s="223" t="str">
        <f t="shared" si="324"/>
        <v/>
      </c>
      <c r="AK586" s="223" t="str">
        <f t="shared" si="324"/>
        <v/>
      </c>
      <c r="AL586" s="223" t="str">
        <f t="shared" si="324"/>
        <v/>
      </c>
      <c r="AM586" s="223" t="str">
        <f t="shared" si="324"/>
        <v/>
      </c>
      <c r="AN586" s="223" t="str">
        <f t="shared" si="324"/>
        <v/>
      </c>
      <c r="AO586" s="223" t="str">
        <f t="shared" si="324"/>
        <v/>
      </c>
      <c r="AP586" s="223" t="str">
        <f t="shared" si="324"/>
        <v/>
      </c>
    </row>
    <row r="587" spans="1:42" x14ac:dyDescent="0.2">
      <c r="A587" s="183" t="s">
        <v>108</v>
      </c>
      <c r="B587" s="182">
        <f>IF(ISERROR(B584/B585),0,B584/B585)</f>
        <v>1.1805061474768099</v>
      </c>
    </row>
    <row r="588" spans="1:42" x14ac:dyDescent="0.2">
      <c r="A588" s="183" t="s">
        <v>109</v>
      </c>
      <c r="B588" s="182">
        <f>MIN(C586:AP586)</f>
        <v>1.1267646399192119</v>
      </c>
    </row>
    <row r="589" spans="1:42" x14ac:dyDescent="0.2">
      <c r="A589" s="183"/>
      <c r="B589" s="291"/>
    </row>
    <row r="590" spans="1:42" x14ac:dyDescent="0.2">
      <c r="A590" s="162" t="s">
        <v>178</v>
      </c>
      <c r="B590" s="135"/>
      <c r="C590" s="135"/>
      <c r="D590" s="135"/>
      <c r="E590" s="135"/>
      <c r="F590" s="135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</row>
    <row r="591" spans="1:42" x14ac:dyDescent="0.2">
      <c r="A591" s="165" t="s">
        <v>84</v>
      </c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135"/>
      <c r="AH591" s="135"/>
      <c r="AI591" s="135"/>
      <c r="AJ591" s="135"/>
      <c r="AK591" s="135"/>
      <c r="AL591" s="135"/>
      <c r="AM591" s="135"/>
      <c r="AN591" s="135"/>
      <c r="AO591" s="135"/>
      <c r="AP591" s="135"/>
    </row>
    <row r="592" spans="1:42" x14ac:dyDescent="0.2">
      <c r="A592" s="20" t="s">
        <v>96</v>
      </c>
      <c r="B592" s="135">
        <v>0</v>
      </c>
      <c r="C592" s="135">
        <f>B595</f>
        <v>1200524.7971403452</v>
      </c>
      <c r="D592" s="135">
        <f t="shared" ref="D592:AP592" si="325">C595</f>
        <v>1210393.1901196185</v>
      </c>
      <c r="E592" s="135">
        <f t="shared" si="325"/>
        <v>1220237.8605489254</v>
      </c>
      <c r="F592" s="135">
        <f t="shared" si="325"/>
        <v>1230057.7419168586</v>
      </c>
      <c r="G592" s="135">
        <f t="shared" si="325"/>
        <v>1239851.7423550487</v>
      </c>
      <c r="H592" s="135">
        <f t="shared" si="325"/>
        <v>1249618.7440782289</v>
      </c>
      <c r="I592" s="135">
        <f t="shared" si="325"/>
        <v>1259357.6028119852</v>
      </c>
      <c r="J592" s="135">
        <f t="shared" si="325"/>
        <v>1269067.147207902</v>
      </c>
      <c r="K592" s="135">
        <f t="shared" si="325"/>
        <v>1278746.1782458469</v>
      </c>
      <c r="L592" s="135">
        <f t="shared" si="325"/>
        <v>1288393.468623078</v>
      </c>
      <c r="M592" s="135">
        <f t="shared" si="325"/>
        <v>1298007.7621299187</v>
      </c>
      <c r="N592" s="135">
        <f t="shared" si="325"/>
        <v>1307587.7730116656</v>
      </c>
      <c r="O592" s="135">
        <f t="shared" si="325"/>
        <v>1299352.230284868</v>
      </c>
      <c r="P592" s="135">
        <f t="shared" si="325"/>
        <v>0</v>
      </c>
      <c r="Q592" s="135">
        <f t="shared" si="325"/>
        <v>0</v>
      </c>
      <c r="R592" s="135">
        <f t="shared" si="325"/>
        <v>0</v>
      </c>
      <c r="S592" s="135">
        <f t="shared" si="325"/>
        <v>0</v>
      </c>
      <c r="T592" s="135">
        <f t="shared" si="325"/>
        <v>0</v>
      </c>
      <c r="U592" s="135">
        <f t="shared" si="325"/>
        <v>0</v>
      </c>
      <c r="V592" s="135">
        <f t="shared" si="325"/>
        <v>0</v>
      </c>
      <c r="W592" s="135">
        <f t="shared" si="325"/>
        <v>0</v>
      </c>
      <c r="X592" s="135">
        <f t="shared" si="325"/>
        <v>0</v>
      </c>
      <c r="Y592" s="135">
        <f t="shared" si="325"/>
        <v>0</v>
      </c>
      <c r="Z592" s="135">
        <f t="shared" si="325"/>
        <v>0</v>
      </c>
      <c r="AA592" s="135">
        <f t="shared" si="325"/>
        <v>0</v>
      </c>
      <c r="AB592" s="135">
        <f t="shared" si="325"/>
        <v>0</v>
      </c>
      <c r="AC592" s="135">
        <f t="shared" si="325"/>
        <v>0</v>
      </c>
      <c r="AD592" s="135">
        <f t="shared" si="325"/>
        <v>0</v>
      </c>
      <c r="AE592" s="135">
        <f t="shared" si="325"/>
        <v>0</v>
      </c>
      <c r="AF592" s="135">
        <f t="shared" si="325"/>
        <v>0</v>
      </c>
      <c r="AG592" s="135">
        <f t="shared" si="325"/>
        <v>0</v>
      </c>
      <c r="AH592" s="135">
        <f t="shared" si="325"/>
        <v>0</v>
      </c>
      <c r="AI592" s="135">
        <f t="shared" si="325"/>
        <v>0</v>
      </c>
      <c r="AJ592" s="135">
        <f t="shared" si="325"/>
        <v>0</v>
      </c>
      <c r="AK592" s="135">
        <f t="shared" si="325"/>
        <v>0</v>
      </c>
      <c r="AL592" s="135">
        <f t="shared" si="325"/>
        <v>0</v>
      </c>
      <c r="AM592" s="135">
        <f t="shared" si="325"/>
        <v>0</v>
      </c>
      <c r="AN592" s="135">
        <f t="shared" si="325"/>
        <v>0</v>
      </c>
      <c r="AO592" s="135">
        <f t="shared" si="325"/>
        <v>0</v>
      </c>
      <c r="AP592" s="135">
        <f t="shared" si="325"/>
        <v>0</v>
      </c>
    </row>
    <row r="593" spans="1:42" x14ac:dyDescent="0.2">
      <c r="A593" s="20" t="s">
        <v>97</v>
      </c>
      <c r="B593" s="135">
        <f t="shared" ref="B593:AP593" si="326">IF(B2&lt;MIN(SODebtTerm,AnalysisPeriod),B595-B592,0)</f>
        <v>1200524.7971403452</v>
      </c>
      <c r="C593" s="135">
        <f t="shared" si="326"/>
        <v>9868.3929792733397</v>
      </c>
      <c r="D593" s="135">
        <f t="shared" si="326"/>
        <v>9844.6704293068033</v>
      </c>
      <c r="E593" s="135">
        <f t="shared" si="326"/>
        <v>9819.8813679332379</v>
      </c>
      <c r="F593" s="135">
        <f t="shared" si="326"/>
        <v>9794.0004381900653</v>
      </c>
      <c r="G593" s="135">
        <f t="shared" si="326"/>
        <v>9767.0017231802922</v>
      </c>
      <c r="H593" s="135">
        <f t="shared" si="326"/>
        <v>9738.8587337562349</v>
      </c>
      <c r="I593" s="135">
        <f t="shared" si="326"/>
        <v>9709.5443959168624</v>
      </c>
      <c r="J593" s="135">
        <f t="shared" si="326"/>
        <v>9679.0310379448347</v>
      </c>
      <c r="K593" s="135">
        <f t="shared" si="326"/>
        <v>9647.2903772310819</v>
      </c>
      <c r="L593" s="135">
        <f t="shared" si="326"/>
        <v>9614.2935068407096</v>
      </c>
      <c r="M593" s="135">
        <f t="shared" si="326"/>
        <v>9580.0108817468863</v>
      </c>
      <c r="N593" s="135">
        <f t="shared" si="326"/>
        <v>-8235.5427267975174</v>
      </c>
      <c r="O593" s="135">
        <f t="shared" si="326"/>
        <v>0</v>
      </c>
      <c r="P593" s="135">
        <f t="shared" si="326"/>
        <v>0</v>
      </c>
      <c r="Q593" s="135">
        <f t="shared" si="326"/>
        <v>0</v>
      </c>
      <c r="R593" s="135">
        <f t="shared" si="326"/>
        <v>0</v>
      </c>
      <c r="S593" s="135">
        <f t="shared" si="326"/>
        <v>0</v>
      </c>
      <c r="T593" s="135">
        <f t="shared" si="326"/>
        <v>0</v>
      </c>
      <c r="U593" s="135">
        <f t="shared" si="326"/>
        <v>0</v>
      </c>
      <c r="V593" s="135">
        <f t="shared" si="326"/>
        <v>0</v>
      </c>
      <c r="W593" s="135">
        <f t="shared" si="326"/>
        <v>0</v>
      </c>
      <c r="X593" s="135">
        <f t="shared" si="326"/>
        <v>0</v>
      </c>
      <c r="Y593" s="135">
        <f t="shared" si="326"/>
        <v>0</v>
      </c>
      <c r="Z593" s="135">
        <f t="shared" si="326"/>
        <v>0</v>
      </c>
      <c r="AA593" s="135">
        <f t="shared" si="326"/>
        <v>0</v>
      </c>
      <c r="AB593" s="135">
        <f t="shared" si="326"/>
        <v>0</v>
      </c>
      <c r="AC593" s="135">
        <f t="shared" si="326"/>
        <v>0</v>
      </c>
      <c r="AD593" s="135">
        <f t="shared" si="326"/>
        <v>0</v>
      </c>
      <c r="AE593" s="135">
        <f t="shared" si="326"/>
        <v>0</v>
      </c>
      <c r="AF593" s="135">
        <f t="shared" si="326"/>
        <v>0</v>
      </c>
      <c r="AG593" s="135">
        <f t="shared" si="326"/>
        <v>0</v>
      </c>
      <c r="AH593" s="135">
        <f t="shared" si="326"/>
        <v>0</v>
      </c>
      <c r="AI593" s="135">
        <f t="shared" si="326"/>
        <v>0</v>
      </c>
      <c r="AJ593" s="135">
        <f t="shared" si="326"/>
        <v>0</v>
      </c>
      <c r="AK593" s="135">
        <f t="shared" si="326"/>
        <v>0</v>
      </c>
      <c r="AL593" s="135">
        <f t="shared" si="326"/>
        <v>0</v>
      </c>
      <c r="AM593" s="135">
        <f t="shared" si="326"/>
        <v>0</v>
      </c>
      <c r="AN593" s="135">
        <f t="shared" si="326"/>
        <v>0</v>
      </c>
      <c r="AO593" s="135">
        <f t="shared" si="326"/>
        <v>0</v>
      </c>
      <c r="AP593" s="135">
        <f t="shared" si="326"/>
        <v>0</v>
      </c>
    </row>
    <row r="594" spans="1:42" x14ac:dyDescent="0.2">
      <c r="A594" s="20" t="s">
        <v>103</v>
      </c>
      <c r="B594" s="170">
        <v>0</v>
      </c>
      <c r="C594" s="170">
        <f t="shared" ref="C594:AP594" si="327">IF(C$2=SODebtTerm,-C592,0)</f>
        <v>0</v>
      </c>
      <c r="D594" s="170">
        <f t="shared" si="327"/>
        <v>0</v>
      </c>
      <c r="E594" s="170">
        <f t="shared" si="327"/>
        <v>0</v>
      </c>
      <c r="F594" s="170">
        <f t="shared" si="327"/>
        <v>0</v>
      </c>
      <c r="G594" s="170">
        <f t="shared" si="327"/>
        <v>0</v>
      </c>
      <c r="H594" s="170">
        <f t="shared" si="327"/>
        <v>0</v>
      </c>
      <c r="I594" s="170">
        <f t="shared" si="327"/>
        <v>0</v>
      </c>
      <c r="J594" s="170">
        <f t="shared" si="327"/>
        <v>0</v>
      </c>
      <c r="K594" s="170">
        <f t="shared" si="327"/>
        <v>0</v>
      </c>
      <c r="L594" s="170">
        <f t="shared" si="327"/>
        <v>0</v>
      </c>
      <c r="M594" s="170">
        <f t="shared" si="327"/>
        <v>0</v>
      </c>
      <c r="N594" s="170">
        <f t="shared" si="327"/>
        <v>0</v>
      </c>
      <c r="O594" s="170">
        <f t="shared" si="327"/>
        <v>-1299352.230284868</v>
      </c>
      <c r="P594" s="170">
        <f t="shared" si="327"/>
        <v>0</v>
      </c>
      <c r="Q594" s="170">
        <f t="shared" si="327"/>
        <v>0</v>
      </c>
      <c r="R594" s="170">
        <f t="shared" si="327"/>
        <v>0</v>
      </c>
      <c r="S594" s="170">
        <f t="shared" si="327"/>
        <v>0</v>
      </c>
      <c r="T594" s="170">
        <f t="shared" si="327"/>
        <v>0</v>
      </c>
      <c r="U594" s="170">
        <f t="shared" si="327"/>
        <v>0</v>
      </c>
      <c r="V594" s="170">
        <f t="shared" si="327"/>
        <v>0</v>
      </c>
      <c r="W594" s="170">
        <f t="shared" si="327"/>
        <v>0</v>
      </c>
      <c r="X594" s="170">
        <f t="shared" si="327"/>
        <v>0</v>
      </c>
      <c r="Y594" s="170">
        <f t="shared" si="327"/>
        <v>0</v>
      </c>
      <c r="Z594" s="170">
        <f t="shared" si="327"/>
        <v>0</v>
      </c>
      <c r="AA594" s="170">
        <f t="shared" si="327"/>
        <v>0</v>
      </c>
      <c r="AB594" s="170">
        <f t="shared" si="327"/>
        <v>0</v>
      </c>
      <c r="AC594" s="170">
        <f t="shared" si="327"/>
        <v>0</v>
      </c>
      <c r="AD594" s="170">
        <f t="shared" si="327"/>
        <v>0</v>
      </c>
      <c r="AE594" s="170">
        <f t="shared" si="327"/>
        <v>0</v>
      </c>
      <c r="AF594" s="170">
        <f t="shared" si="327"/>
        <v>0</v>
      </c>
      <c r="AG594" s="170">
        <f t="shared" si="327"/>
        <v>0</v>
      </c>
      <c r="AH594" s="170">
        <f t="shared" si="327"/>
        <v>0</v>
      </c>
      <c r="AI594" s="170">
        <f t="shared" si="327"/>
        <v>0</v>
      </c>
      <c r="AJ594" s="170">
        <f t="shared" si="327"/>
        <v>0</v>
      </c>
      <c r="AK594" s="170">
        <f t="shared" si="327"/>
        <v>0</v>
      </c>
      <c r="AL594" s="170">
        <f t="shared" si="327"/>
        <v>0</v>
      </c>
      <c r="AM594" s="170">
        <f t="shared" si="327"/>
        <v>0</v>
      </c>
      <c r="AN594" s="170">
        <f t="shared" si="327"/>
        <v>0</v>
      </c>
      <c r="AO594" s="170">
        <f t="shared" si="327"/>
        <v>0</v>
      </c>
      <c r="AP594" s="170">
        <f t="shared" si="327"/>
        <v>0</v>
      </c>
    </row>
    <row r="595" spans="1:42" x14ac:dyDescent="0.2">
      <c r="A595" s="20" t="s">
        <v>99</v>
      </c>
      <c r="B595" s="135">
        <f t="shared" ref="B595:AP595" si="328">IF(B2&lt;=MIN(SODebtTerm,AnalysisPeriod),(SODSRASize/12)*C539,0)</f>
        <v>1200524.7971403452</v>
      </c>
      <c r="C595" s="135">
        <f t="shared" si="328"/>
        <v>1210393.1901196185</v>
      </c>
      <c r="D595" s="135">
        <f t="shared" si="328"/>
        <v>1220237.8605489254</v>
      </c>
      <c r="E595" s="135">
        <f t="shared" si="328"/>
        <v>1230057.7419168586</v>
      </c>
      <c r="F595" s="135">
        <f t="shared" si="328"/>
        <v>1239851.7423550487</v>
      </c>
      <c r="G595" s="135">
        <f t="shared" si="328"/>
        <v>1249618.7440782289</v>
      </c>
      <c r="H595" s="135">
        <f t="shared" si="328"/>
        <v>1259357.6028119852</v>
      </c>
      <c r="I595" s="135">
        <f t="shared" si="328"/>
        <v>1269067.147207902</v>
      </c>
      <c r="J595" s="135">
        <f t="shared" si="328"/>
        <v>1278746.1782458469</v>
      </c>
      <c r="K595" s="135">
        <f t="shared" si="328"/>
        <v>1288393.468623078</v>
      </c>
      <c r="L595" s="135">
        <f t="shared" si="328"/>
        <v>1298007.7621299187</v>
      </c>
      <c r="M595" s="135">
        <f t="shared" si="328"/>
        <v>1307587.7730116656</v>
      </c>
      <c r="N595" s="135">
        <f t="shared" si="328"/>
        <v>1299352.230284868</v>
      </c>
      <c r="O595" s="135">
        <f t="shared" si="328"/>
        <v>0</v>
      </c>
      <c r="P595" s="135">
        <f t="shared" si="328"/>
        <v>0</v>
      </c>
      <c r="Q595" s="135">
        <f t="shared" si="328"/>
        <v>0</v>
      </c>
      <c r="R595" s="135">
        <f t="shared" si="328"/>
        <v>0</v>
      </c>
      <c r="S595" s="135">
        <f t="shared" si="328"/>
        <v>0</v>
      </c>
      <c r="T595" s="135">
        <f t="shared" si="328"/>
        <v>0</v>
      </c>
      <c r="U595" s="135">
        <f t="shared" si="328"/>
        <v>0</v>
      </c>
      <c r="V595" s="135">
        <f t="shared" si="328"/>
        <v>0</v>
      </c>
      <c r="W595" s="135">
        <f t="shared" si="328"/>
        <v>0</v>
      </c>
      <c r="X595" s="135">
        <f t="shared" si="328"/>
        <v>0</v>
      </c>
      <c r="Y595" s="135">
        <f t="shared" si="328"/>
        <v>0</v>
      </c>
      <c r="Z595" s="135">
        <f t="shared" si="328"/>
        <v>0</v>
      </c>
      <c r="AA595" s="135">
        <f t="shared" si="328"/>
        <v>0</v>
      </c>
      <c r="AB595" s="135">
        <f t="shared" si="328"/>
        <v>0</v>
      </c>
      <c r="AC595" s="135">
        <f t="shared" si="328"/>
        <v>0</v>
      </c>
      <c r="AD595" s="135">
        <f t="shared" si="328"/>
        <v>0</v>
      </c>
      <c r="AE595" s="135">
        <f t="shared" si="328"/>
        <v>0</v>
      </c>
      <c r="AF595" s="135">
        <f t="shared" si="328"/>
        <v>0</v>
      </c>
      <c r="AG595" s="135">
        <f t="shared" si="328"/>
        <v>0</v>
      </c>
      <c r="AH595" s="135">
        <f t="shared" si="328"/>
        <v>0</v>
      </c>
      <c r="AI595" s="135">
        <f t="shared" si="328"/>
        <v>0</v>
      </c>
      <c r="AJ595" s="135">
        <f t="shared" si="328"/>
        <v>0</v>
      </c>
      <c r="AK595" s="135">
        <f t="shared" si="328"/>
        <v>0</v>
      </c>
      <c r="AL595" s="135">
        <f t="shared" si="328"/>
        <v>0</v>
      </c>
      <c r="AM595" s="135">
        <f t="shared" si="328"/>
        <v>0</v>
      </c>
      <c r="AN595" s="135">
        <f t="shared" si="328"/>
        <v>0</v>
      </c>
      <c r="AO595" s="135">
        <f t="shared" si="328"/>
        <v>0</v>
      </c>
      <c r="AP595" s="135">
        <f t="shared" si="328"/>
        <v>0</v>
      </c>
    </row>
    <row r="596" spans="1:42" x14ac:dyDescent="0.2">
      <c r="B596" s="135"/>
      <c r="C596" s="135"/>
      <c r="D596" s="135"/>
      <c r="E596" s="135"/>
      <c r="F596" s="135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</row>
    <row r="597" spans="1:42" x14ac:dyDescent="0.2">
      <c r="A597" s="165" t="str">
        <f>'Inputs &amp; Results'!A180</f>
        <v>Working Capital Reserve</v>
      </c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135"/>
      <c r="AH597" s="135"/>
      <c r="AI597" s="135"/>
      <c r="AJ597" s="135"/>
      <c r="AK597" s="135"/>
      <c r="AL597" s="135"/>
      <c r="AM597" s="135"/>
      <c r="AN597" s="135"/>
      <c r="AO597" s="135"/>
      <c r="AP597" s="135"/>
    </row>
    <row r="598" spans="1:42" x14ac:dyDescent="0.2">
      <c r="A598" s="20" t="s">
        <v>96</v>
      </c>
      <c r="B598" s="135">
        <v>0</v>
      </c>
      <c r="C598" s="135">
        <f>B601</f>
        <v>387206.93687500001</v>
      </c>
      <c r="D598" s="135">
        <f t="shared" ref="D598:AP598" si="329">C601</f>
        <v>384431.16756824998</v>
      </c>
      <c r="E598" s="135">
        <f t="shared" si="329"/>
        <v>381739.62918197032</v>
      </c>
      <c r="F598" s="135">
        <f t="shared" si="329"/>
        <v>379134.01992367639</v>
      </c>
      <c r="G598" s="135">
        <f t="shared" si="329"/>
        <v>376616.07351194887</v>
      </c>
      <c r="H598" s="135">
        <f t="shared" si="329"/>
        <v>374187.55993867398</v>
      </c>
      <c r="I598" s="135">
        <f t="shared" si="329"/>
        <v>371850.28624794976</v>
      </c>
      <c r="J598" s="135">
        <f t="shared" si="329"/>
        <v>369606.09733202669</v>
      </c>
      <c r="K598" s="135">
        <f t="shared" si="329"/>
        <v>367456.87674465985</v>
      </c>
      <c r="L598" s="135">
        <f t="shared" si="329"/>
        <v>365404.54753225867</v>
      </c>
      <c r="M598" s="135">
        <f t="shared" si="329"/>
        <v>363451.07308322965</v>
      </c>
      <c r="N598" s="135">
        <f t="shared" si="329"/>
        <v>361598.45799591293</v>
      </c>
      <c r="O598" s="135">
        <f t="shared" si="329"/>
        <v>359848.74896552722</v>
      </c>
      <c r="P598" s="135">
        <f t="shared" si="329"/>
        <v>358204.03569054336</v>
      </c>
      <c r="Q598" s="135">
        <f t="shared" si="329"/>
        <v>356666.45179891773</v>
      </c>
      <c r="R598" s="135">
        <f t="shared" si="329"/>
        <v>355238.17579462606</v>
      </c>
      <c r="S598" s="135">
        <f t="shared" si="329"/>
        <v>353921.4320249476</v>
      </c>
      <c r="T598" s="135">
        <f t="shared" si="329"/>
        <v>352718.49166896072</v>
      </c>
      <c r="U598" s="135">
        <f t="shared" si="329"/>
        <v>351631.67374772049</v>
      </c>
      <c r="V598" s="135">
        <f t="shared" si="329"/>
        <v>350663.34615659888</v>
      </c>
      <c r="W598" s="135">
        <f t="shared" si="329"/>
        <v>349815.9267202809</v>
      </c>
      <c r="X598" s="135">
        <f t="shared" si="329"/>
        <v>356257.34536466864</v>
      </c>
      <c r="Y598" s="135">
        <f t="shared" si="329"/>
        <v>362824.6619374578</v>
      </c>
      <c r="Z598" s="135">
        <f t="shared" si="329"/>
        <v>369520.45061541384</v>
      </c>
      <c r="AA598" s="135">
        <f t="shared" si="329"/>
        <v>376347.33996138244</v>
      </c>
      <c r="AB598" s="135">
        <f t="shared" si="329"/>
        <v>383308.01410033775</v>
      </c>
      <c r="AC598" s="135">
        <f t="shared" si="329"/>
        <v>390405.21392127697</v>
      </c>
      <c r="AD598" s="135">
        <f t="shared" si="329"/>
        <v>397641.73830553866</v>
      </c>
      <c r="AE598" s="135">
        <f t="shared" si="329"/>
        <v>405020.44538212963</v>
      </c>
      <c r="AF598" s="135">
        <f t="shared" si="329"/>
        <v>412544.253810664</v>
      </c>
      <c r="AG598" s="135">
        <f t="shared" si="329"/>
        <v>420216.14409252495</v>
      </c>
      <c r="AH598" s="135">
        <f t="shared" si="329"/>
        <v>428039.15991088084</v>
      </c>
      <c r="AI598" s="135">
        <f t="shared" si="329"/>
        <v>436016.40950019471</v>
      </c>
      <c r="AJ598" s="135">
        <f t="shared" si="329"/>
        <v>444151.06704588479</v>
      </c>
      <c r="AK598" s="135">
        <f t="shared" si="329"/>
        <v>452446.37411480671</v>
      </c>
      <c r="AL598" s="135">
        <f t="shared" si="329"/>
        <v>460905.64111724397</v>
      </c>
      <c r="AM598" s="135">
        <f t="shared" si="329"/>
        <v>469532.24880110752</v>
      </c>
      <c r="AN598" s="135">
        <f t="shared" si="329"/>
        <v>478329.64977906219</v>
      </c>
      <c r="AO598" s="135">
        <f t="shared" si="329"/>
        <v>487301.37008931278</v>
      </c>
      <c r="AP598" s="135">
        <f t="shared" si="329"/>
        <v>496451.01079080044</v>
      </c>
    </row>
    <row r="599" spans="1:42" x14ac:dyDescent="0.2">
      <c r="A599" s="20" t="s">
        <v>97</v>
      </c>
      <c r="B599" s="135">
        <f t="shared" ref="B599:AP599" si="330">IF(B$2&lt;AnalysisPeriod,B601-B598,0)</f>
        <v>387206.93687500001</v>
      </c>
      <c r="C599" s="135">
        <f t="shared" si="330"/>
        <v>-2775.7693067500368</v>
      </c>
      <c r="D599" s="135">
        <f t="shared" si="330"/>
        <v>-2691.5383862796589</v>
      </c>
      <c r="E599" s="135">
        <f t="shared" si="330"/>
        <v>-2605.6092582939309</v>
      </c>
      <c r="F599" s="135">
        <f t="shared" si="330"/>
        <v>-2517.9464117275202</v>
      </c>
      <c r="G599" s="135">
        <f t="shared" si="330"/>
        <v>-2428.5135732748895</v>
      </c>
      <c r="H599" s="135">
        <f t="shared" si="330"/>
        <v>-2337.2736907242215</v>
      </c>
      <c r="I599" s="135">
        <f t="shared" si="330"/>
        <v>-2244.1889159230632</v>
      </c>
      <c r="J599" s="135">
        <f t="shared" si="330"/>
        <v>-2149.2205873668427</v>
      </c>
      <c r="K599" s="135">
        <f t="shared" si="330"/>
        <v>-2052.3292124011787</v>
      </c>
      <c r="L599" s="135">
        <f t="shared" si="330"/>
        <v>-1953.4744490290177</v>
      </c>
      <c r="M599" s="135">
        <f t="shared" si="330"/>
        <v>-1852.6150873167207</v>
      </c>
      <c r="N599" s="135">
        <f t="shared" si="330"/>
        <v>-1749.7090303857112</v>
      </c>
      <c r="O599" s="135">
        <f t="shared" si="330"/>
        <v>-1644.7132749838638</v>
      </c>
      <c r="P599" s="135">
        <f t="shared" si="330"/>
        <v>-1537.5838916256325</v>
      </c>
      <c r="Q599" s="135">
        <f t="shared" si="330"/>
        <v>-1428.2760042916634</v>
      </c>
      <c r="R599" s="135">
        <f t="shared" si="330"/>
        <v>-1316.7437696784618</v>
      </c>
      <c r="S599" s="135">
        <f t="shared" si="330"/>
        <v>-1202.9403559868806</v>
      </c>
      <c r="T599" s="135">
        <f t="shared" si="330"/>
        <v>-1086.817921240232</v>
      </c>
      <c r="U599" s="135">
        <f t="shared" si="330"/>
        <v>-968.3275911216042</v>
      </c>
      <c r="V599" s="135">
        <f t="shared" si="330"/>
        <v>-847.41943631798495</v>
      </c>
      <c r="W599" s="135">
        <f t="shared" si="330"/>
        <v>6441.4186443877406</v>
      </c>
      <c r="X599" s="135">
        <f t="shared" si="330"/>
        <v>6567.316572789161</v>
      </c>
      <c r="Y599" s="135">
        <f t="shared" si="330"/>
        <v>6695.7886779560358</v>
      </c>
      <c r="Z599" s="135">
        <f t="shared" si="330"/>
        <v>6826.8893459686078</v>
      </c>
      <c r="AA599" s="135">
        <f t="shared" si="330"/>
        <v>6960.6741389553063</v>
      </c>
      <c r="AB599" s="135">
        <f t="shared" si="330"/>
        <v>7097.1998209392186</v>
      </c>
      <c r="AC599" s="135">
        <f t="shared" si="330"/>
        <v>7236.524384261691</v>
      </c>
      <c r="AD599" s="135">
        <f t="shared" si="330"/>
        <v>7378.7070765909739</v>
      </c>
      <c r="AE599" s="135">
        <f t="shared" si="330"/>
        <v>7523.8084285343648</v>
      </c>
      <c r="AF599" s="135">
        <f t="shared" si="330"/>
        <v>7671.8902818609495</v>
      </c>
      <c r="AG599" s="135">
        <f t="shared" si="330"/>
        <v>7823.015818355896</v>
      </c>
      <c r="AH599" s="135">
        <f t="shared" si="330"/>
        <v>7977.2495893138694</v>
      </c>
      <c r="AI599" s="135">
        <f t="shared" si="330"/>
        <v>8134.6575456900755</v>
      </c>
      <c r="AJ599" s="135">
        <f t="shared" si="330"/>
        <v>8295.3070689219167</v>
      </c>
      <c r="AK599" s="135">
        <f t="shared" si="330"/>
        <v>8459.2670024372637</v>
      </c>
      <c r="AL599" s="135">
        <f t="shared" si="330"/>
        <v>8626.607683863549</v>
      </c>
      <c r="AM599" s="135">
        <f t="shared" si="330"/>
        <v>8797.4009779546759</v>
      </c>
      <c r="AN599" s="135">
        <f t="shared" si="330"/>
        <v>8971.7203102505882</v>
      </c>
      <c r="AO599" s="135">
        <f t="shared" si="330"/>
        <v>9149.6407014876604</v>
      </c>
      <c r="AP599" s="135">
        <f t="shared" si="330"/>
        <v>0</v>
      </c>
    </row>
    <row r="600" spans="1:42" x14ac:dyDescent="0.2">
      <c r="A600" s="20" t="s">
        <v>103</v>
      </c>
      <c r="B600" s="170">
        <v>0</v>
      </c>
      <c r="C600" s="170">
        <f t="shared" ref="C600:AP600" si="331">IF(C$2=AnalysisPeriod,-C598,0)</f>
        <v>0</v>
      </c>
      <c r="D600" s="170">
        <f t="shared" si="331"/>
        <v>0</v>
      </c>
      <c r="E600" s="170">
        <f t="shared" si="331"/>
        <v>0</v>
      </c>
      <c r="F600" s="170">
        <f t="shared" si="331"/>
        <v>0</v>
      </c>
      <c r="G600" s="170">
        <f t="shared" si="331"/>
        <v>0</v>
      </c>
      <c r="H600" s="170">
        <f t="shared" si="331"/>
        <v>0</v>
      </c>
      <c r="I600" s="170">
        <f t="shared" si="331"/>
        <v>0</v>
      </c>
      <c r="J600" s="170">
        <f t="shared" si="331"/>
        <v>0</v>
      </c>
      <c r="K600" s="170">
        <f t="shared" si="331"/>
        <v>0</v>
      </c>
      <c r="L600" s="170">
        <f t="shared" si="331"/>
        <v>0</v>
      </c>
      <c r="M600" s="170">
        <f t="shared" si="331"/>
        <v>0</v>
      </c>
      <c r="N600" s="170">
        <f t="shared" si="331"/>
        <v>0</v>
      </c>
      <c r="O600" s="170">
        <f t="shared" si="331"/>
        <v>0</v>
      </c>
      <c r="P600" s="170">
        <f t="shared" si="331"/>
        <v>0</v>
      </c>
      <c r="Q600" s="170">
        <f t="shared" si="331"/>
        <v>0</v>
      </c>
      <c r="R600" s="170">
        <f t="shared" si="331"/>
        <v>0</v>
      </c>
      <c r="S600" s="170">
        <f t="shared" si="331"/>
        <v>0</v>
      </c>
      <c r="T600" s="170">
        <f t="shared" si="331"/>
        <v>0</v>
      </c>
      <c r="U600" s="170">
        <f t="shared" si="331"/>
        <v>0</v>
      </c>
      <c r="V600" s="170">
        <f t="shared" si="331"/>
        <v>0</v>
      </c>
      <c r="W600" s="170">
        <f t="shared" si="331"/>
        <v>0</v>
      </c>
      <c r="X600" s="170">
        <f t="shared" si="331"/>
        <v>0</v>
      </c>
      <c r="Y600" s="170">
        <f t="shared" si="331"/>
        <v>0</v>
      </c>
      <c r="Z600" s="170">
        <f t="shared" si="331"/>
        <v>0</v>
      </c>
      <c r="AA600" s="170">
        <f t="shared" si="331"/>
        <v>0</v>
      </c>
      <c r="AB600" s="170">
        <f t="shared" si="331"/>
        <v>0</v>
      </c>
      <c r="AC600" s="170">
        <f t="shared" si="331"/>
        <v>0</v>
      </c>
      <c r="AD600" s="170">
        <f t="shared" si="331"/>
        <v>0</v>
      </c>
      <c r="AE600" s="170">
        <f t="shared" si="331"/>
        <v>0</v>
      </c>
      <c r="AF600" s="170">
        <f t="shared" si="331"/>
        <v>0</v>
      </c>
      <c r="AG600" s="170">
        <f t="shared" si="331"/>
        <v>0</v>
      </c>
      <c r="AH600" s="170">
        <f t="shared" si="331"/>
        <v>0</v>
      </c>
      <c r="AI600" s="170">
        <f t="shared" si="331"/>
        <v>0</v>
      </c>
      <c r="AJ600" s="170">
        <f t="shared" si="331"/>
        <v>0</v>
      </c>
      <c r="AK600" s="170">
        <f t="shared" si="331"/>
        <v>0</v>
      </c>
      <c r="AL600" s="170">
        <f t="shared" si="331"/>
        <v>0</v>
      </c>
      <c r="AM600" s="170">
        <f t="shared" si="331"/>
        <v>0</v>
      </c>
      <c r="AN600" s="170">
        <f t="shared" si="331"/>
        <v>0</v>
      </c>
      <c r="AO600" s="170">
        <f t="shared" si="331"/>
        <v>0</v>
      </c>
      <c r="AP600" s="170">
        <f t="shared" si="331"/>
        <v>-496451.01079080044</v>
      </c>
    </row>
    <row r="601" spans="1:42" s="101" customFormat="1" x14ac:dyDescent="0.2">
      <c r="A601" s="101" t="s">
        <v>99</v>
      </c>
      <c r="B601" s="181">
        <f t="shared" ref="B601:AP601" si="332">C$41*(SOWC/12)</f>
        <v>387206.93687500001</v>
      </c>
      <c r="C601" s="181">
        <f t="shared" si="332"/>
        <v>384431.16756824998</v>
      </c>
      <c r="D601" s="181">
        <f t="shared" si="332"/>
        <v>381739.62918197032</v>
      </c>
      <c r="E601" s="181">
        <f t="shared" si="332"/>
        <v>379134.01992367639</v>
      </c>
      <c r="F601" s="181">
        <f t="shared" si="332"/>
        <v>376616.07351194887</v>
      </c>
      <c r="G601" s="181">
        <f t="shared" si="332"/>
        <v>374187.55993867398</v>
      </c>
      <c r="H601" s="181">
        <f t="shared" si="332"/>
        <v>371850.28624794976</v>
      </c>
      <c r="I601" s="181">
        <f t="shared" si="332"/>
        <v>369606.09733202669</v>
      </c>
      <c r="J601" s="181">
        <f t="shared" si="332"/>
        <v>367456.87674465985</v>
      </c>
      <c r="K601" s="181">
        <f t="shared" si="332"/>
        <v>365404.54753225867</v>
      </c>
      <c r="L601" s="181">
        <f t="shared" si="332"/>
        <v>363451.07308322965</v>
      </c>
      <c r="M601" s="181">
        <f t="shared" si="332"/>
        <v>361598.45799591293</v>
      </c>
      <c r="N601" s="181">
        <f t="shared" si="332"/>
        <v>359848.74896552722</v>
      </c>
      <c r="O601" s="181">
        <f t="shared" si="332"/>
        <v>358204.03569054336</v>
      </c>
      <c r="P601" s="181">
        <f t="shared" si="332"/>
        <v>356666.45179891773</v>
      </c>
      <c r="Q601" s="181">
        <f t="shared" si="332"/>
        <v>355238.17579462606</v>
      </c>
      <c r="R601" s="181">
        <f t="shared" si="332"/>
        <v>353921.4320249476</v>
      </c>
      <c r="S601" s="181">
        <f t="shared" si="332"/>
        <v>352718.49166896072</v>
      </c>
      <c r="T601" s="181">
        <f t="shared" si="332"/>
        <v>351631.67374772049</v>
      </c>
      <c r="U601" s="181">
        <f t="shared" si="332"/>
        <v>350663.34615659888</v>
      </c>
      <c r="V601" s="181">
        <f t="shared" si="332"/>
        <v>349815.9267202809</v>
      </c>
      <c r="W601" s="181">
        <f t="shared" si="332"/>
        <v>356257.34536466864</v>
      </c>
      <c r="X601" s="181">
        <f t="shared" si="332"/>
        <v>362824.6619374578</v>
      </c>
      <c r="Y601" s="181">
        <f t="shared" si="332"/>
        <v>369520.45061541384</v>
      </c>
      <c r="Z601" s="181">
        <f t="shared" si="332"/>
        <v>376347.33996138244</v>
      </c>
      <c r="AA601" s="181">
        <f t="shared" si="332"/>
        <v>383308.01410033775</v>
      </c>
      <c r="AB601" s="181">
        <f t="shared" si="332"/>
        <v>390405.21392127697</v>
      </c>
      <c r="AC601" s="181">
        <f t="shared" si="332"/>
        <v>397641.73830553866</v>
      </c>
      <c r="AD601" s="181">
        <f t="shared" si="332"/>
        <v>405020.44538212963</v>
      </c>
      <c r="AE601" s="181">
        <f t="shared" si="332"/>
        <v>412544.253810664</v>
      </c>
      <c r="AF601" s="181">
        <f t="shared" si="332"/>
        <v>420216.14409252495</v>
      </c>
      <c r="AG601" s="181">
        <f t="shared" si="332"/>
        <v>428039.15991088084</v>
      </c>
      <c r="AH601" s="181">
        <f t="shared" si="332"/>
        <v>436016.40950019471</v>
      </c>
      <c r="AI601" s="181">
        <f t="shared" si="332"/>
        <v>444151.06704588479</v>
      </c>
      <c r="AJ601" s="181">
        <f t="shared" si="332"/>
        <v>452446.37411480671</v>
      </c>
      <c r="AK601" s="181">
        <f t="shared" si="332"/>
        <v>460905.64111724397</v>
      </c>
      <c r="AL601" s="181">
        <f t="shared" si="332"/>
        <v>469532.24880110752</v>
      </c>
      <c r="AM601" s="181">
        <f t="shared" si="332"/>
        <v>478329.64977906219</v>
      </c>
      <c r="AN601" s="181">
        <f t="shared" si="332"/>
        <v>487301.37008931278</v>
      </c>
      <c r="AO601" s="181">
        <f t="shared" si="332"/>
        <v>496451.01079080044</v>
      </c>
      <c r="AP601" s="181">
        <f t="shared" si="332"/>
        <v>0</v>
      </c>
    </row>
    <row r="602" spans="1:42" x14ac:dyDescent="0.2">
      <c r="B602" s="135"/>
      <c r="C602" s="135"/>
      <c r="D602" s="135"/>
      <c r="E602" s="135"/>
      <c r="F602" s="135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</row>
    <row r="603" spans="1:42" x14ac:dyDescent="0.2">
      <c r="A603" s="165" t="s">
        <v>296</v>
      </c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/>
      <c r="AH603" s="135"/>
      <c r="AI603" s="135"/>
      <c r="AJ603" s="135"/>
      <c r="AK603" s="135"/>
      <c r="AL603" s="135"/>
      <c r="AM603" s="135"/>
      <c r="AN603" s="135"/>
      <c r="AO603" s="135"/>
      <c r="AP603" s="135"/>
    </row>
    <row r="604" spans="1:42" x14ac:dyDescent="0.2">
      <c r="A604" s="20" t="s">
        <v>96</v>
      </c>
      <c r="B604" s="135">
        <v>0</v>
      </c>
      <c r="C604" s="135">
        <f>B607</f>
        <v>0</v>
      </c>
      <c r="D604" s="135">
        <f t="shared" ref="D604:AP604" si="333">C607</f>
        <v>245406.02862510949</v>
      </c>
      <c r="E604" s="135">
        <f t="shared" si="333"/>
        <v>490812.05725021899</v>
      </c>
      <c r="F604" s="135">
        <f t="shared" si="333"/>
        <v>736218.08587532851</v>
      </c>
      <c r="G604" s="135">
        <f t="shared" si="333"/>
        <v>981624.11450043798</v>
      </c>
      <c r="H604" s="135">
        <f t="shared" si="333"/>
        <v>1227030.1431255476</v>
      </c>
      <c r="I604" s="135">
        <f t="shared" si="333"/>
        <v>1472436.171750657</v>
      </c>
      <c r="J604" s="135">
        <f t="shared" si="333"/>
        <v>1717842.2003757665</v>
      </c>
      <c r="K604" s="135">
        <f t="shared" si="333"/>
        <v>1963248.229000876</v>
      </c>
      <c r="L604" s="135">
        <f t="shared" si="333"/>
        <v>2208654.2576259854</v>
      </c>
      <c r="M604" s="135">
        <f t="shared" si="333"/>
        <v>2454060.2862510951</v>
      </c>
      <c r="N604" s="135">
        <f t="shared" si="333"/>
        <v>2699466.3148762048</v>
      </c>
      <c r="O604" s="135">
        <f t="shared" si="333"/>
        <v>0</v>
      </c>
      <c r="P604" s="135">
        <f t="shared" si="333"/>
        <v>293411.90721039008</v>
      </c>
      <c r="Q604" s="135">
        <f t="shared" si="333"/>
        <v>586823.81442078017</v>
      </c>
      <c r="R604" s="135">
        <f t="shared" si="333"/>
        <v>880235.72163117025</v>
      </c>
      <c r="S604" s="135">
        <f t="shared" si="333"/>
        <v>1173647.6288415603</v>
      </c>
      <c r="T604" s="135">
        <f t="shared" si="333"/>
        <v>1467059.5360519504</v>
      </c>
      <c r="U604" s="135">
        <f t="shared" si="333"/>
        <v>1760471.4432623405</v>
      </c>
      <c r="V604" s="135">
        <f t="shared" si="333"/>
        <v>2053883.3504727306</v>
      </c>
      <c r="W604" s="135">
        <f t="shared" si="333"/>
        <v>2347295.2576831207</v>
      </c>
      <c r="X604" s="135">
        <f t="shared" si="333"/>
        <v>2640707.1648935108</v>
      </c>
      <c r="Y604" s="135">
        <f t="shared" si="333"/>
        <v>2934119.0721039008</v>
      </c>
      <c r="Z604" s="135">
        <f t="shared" si="333"/>
        <v>3227530.9793142909</v>
      </c>
      <c r="AA604" s="135">
        <f t="shared" si="333"/>
        <v>0</v>
      </c>
      <c r="AB604" s="135">
        <f t="shared" si="333"/>
        <v>350808.60798392771</v>
      </c>
      <c r="AC604" s="135">
        <f t="shared" si="333"/>
        <v>701617.21596785542</v>
      </c>
      <c r="AD604" s="135">
        <f t="shared" si="333"/>
        <v>1052425.8239517831</v>
      </c>
      <c r="AE604" s="135">
        <f t="shared" si="333"/>
        <v>1403234.4319357108</v>
      </c>
      <c r="AF604" s="135">
        <f t="shared" si="333"/>
        <v>1754043.0399196385</v>
      </c>
      <c r="AG604" s="135">
        <f t="shared" si="333"/>
        <v>2104851.6479035662</v>
      </c>
      <c r="AH604" s="135">
        <f t="shared" si="333"/>
        <v>2455660.255887494</v>
      </c>
      <c r="AI604" s="135">
        <f t="shared" si="333"/>
        <v>2806468.8638714217</v>
      </c>
      <c r="AJ604" s="135">
        <f t="shared" si="333"/>
        <v>3157277.4718553494</v>
      </c>
      <c r="AK604" s="135">
        <f t="shared" si="333"/>
        <v>3508086.0798392771</v>
      </c>
      <c r="AL604" s="135">
        <f t="shared" si="333"/>
        <v>3858894.6878232048</v>
      </c>
      <c r="AM604" s="135">
        <f t="shared" si="333"/>
        <v>0</v>
      </c>
      <c r="AN604" s="135">
        <f t="shared" si="333"/>
        <v>0</v>
      </c>
      <c r="AO604" s="135">
        <f t="shared" si="333"/>
        <v>0</v>
      </c>
      <c r="AP604" s="135">
        <f t="shared" si="333"/>
        <v>0</v>
      </c>
    </row>
    <row r="605" spans="1:42" x14ac:dyDescent="0.2">
      <c r="A605" s="20" t="s">
        <v>183</v>
      </c>
      <c r="B605" s="135">
        <v>0</v>
      </c>
      <c r="C605" s="135">
        <f>C633</f>
        <v>245406.02862510949</v>
      </c>
      <c r="D605" s="135">
        <f t="shared" ref="D605:AP605" si="334">D633</f>
        <v>245406.02862510949</v>
      </c>
      <c r="E605" s="135">
        <f t="shared" si="334"/>
        <v>245406.02862510949</v>
      </c>
      <c r="F605" s="135">
        <f t="shared" si="334"/>
        <v>245406.02862510949</v>
      </c>
      <c r="G605" s="135">
        <f t="shared" si="334"/>
        <v>245406.02862510949</v>
      </c>
      <c r="H605" s="135">
        <f t="shared" si="334"/>
        <v>245406.02862510949</v>
      </c>
      <c r="I605" s="135">
        <f t="shared" si="334"/>
        <v>245406.02862510949</v>
      </c>
      <c r="J605" s="135">
        <f t="shared" si="334"/>
        <v>245406.02862510949</v>
      </c>
      <c r="K605" s="135">
        <f t="shared" si="334"/>
        <v>245406.02862510949</v>
      </c>
      <c r="L605" s="135">
        <f t="shared" si="334"/>
        <v>245406.02862510949</v>
      </c>
      <c r="M605" s="135">
        <f t="shared" si="334"/>
        <v>245406.02862510949</v>
      </c>
      <c r="N605" s="135">
        <f t="shared" si="334"/>
        <v>245406.02862510949</v>
      </c>
      <c r="O605" s="135">
        <f t="shared" si="334"/>
        <v>293411.90721039008</v>
      </c>
      <c r="P605" s="135">
        <f t="shared" si="334"/>
        <v>293411.90721039008</v>
      </c>
      <c r="Q605" s="135">
        <f t="shared" si="334"/>
        <v>293411.90721039008</v>
      </c>
      <c r="R605" s="135">
        <f t="shared" si="334"/>
        <v>293411.90721039008</v>
      </c>
      <c r="S605" s="135">
        <f t="shared" si="334"/>
        <v>293411.90721039008</v>
      </c>
      <c r="T605" s="135">
        <f t="shared" si="334"/>
        <v>293411.90721039008</v>
      </c>
      <c r="U605" s="135">
        <f t="shared" si="334"/>
        <v>293411.90721039008</v>
      </c>
      <c r="V605" s="135">
        <f t="shared" si="334"/>
        <v>293411.90721039008</v>
      </c>
      <c r="W605" s="135">
        <f t="shared" si="334"/>
        <v>293411.90721039008</v>
      </c>
      <c r="X605" s="135">
        <f t="shared" si="334"/>
        <v>293411.90721039008</v>
      </c>
      <c r="Y605" s="135">
        <f t="shared" si="334"/>
        <v>293411.90721039008</v>
      </c>
      <c r="Z605" s="135">
        <f t="shared" si="334"/>
        <v>293411.90721039008</v>
      </c>
      <c r="AA605" s="135">
        <f t="shared" si="334"/>
        <v>350808.60798392771</v>
      </c>
      <c r="AB605" s="135">
        <f t="shared" si="334"/>
        <v>350808.60798392771</v>
      </c>
      <c r="AC605" s="135">
        <f t="shared" si="334"/>
        <v>350808.60798392771</v>
      </c>
      <c r="AD605" s="135">
        <f t="shared" si="334"/>
        <v>350808.60798392771</v>
      </c>
      <c r="AE605" s="135">
        <f t="shared" si="334"/>
        <v>350808.60798392771</v>
      </c>
      <c r="AF605" s="135">
        <f t="shared" si="334"/>
        <v>350808.60798392771</v>
      </c>
      <c r="AG605" s="135">
        <f t="shared" si="334"/>
        <v>350808.60798392771</v>
      </c>
      <c r="AH605" s="135">
        <f t="shared" si="334"/>
        <v>350808.60798392771</v>
      </c>
      <c r="AI605" s="135">
        <f t="shared" si="334"/>
        <v>350808.60798392771</v>
      </c>
      <c r="AJ605" s="135">
        <f t="shared" si="334"/>
        <v>350808.60798392771</v>
      </c>
      <c r="AK605" s="135">
        <f t="shared" si="334"/>
        <v>350808.60798392771</v>
      </c>
      <c r="AL605" s="135">
        <f t="shared" si="334"/>
        <v>350808.60798392771</v>
      </c>
      <c r="AM605" s="135">
        <f t="shared" si="334"/>
        <v>0</v>
      </c>
      <c r="AN605" s="135">
        <f t="shared" si="334"/>
        <v>0</v>
      </c>
      <c r="AO605" s="135">
        <f t="shared" si="334"/>
        <v>0</v>
      </c>
      <c r="AP605" s="135">
        <f t="shared" si="334"/>
        <v>0</v>
      </c>
    </row>
    <row r="606" spans="1:42" x14ac:dyDescent="0.2">
      <c r="A606" s="20" t="s">
        <v>103</v>
      </c>
      <c r="B606" s="170">
        <v>0</v>
      </c>
      <c r="C606" s="170">
        <f>-C621</f>
        <v>0</v>
      </c>
      <c r="D606" s="170">
        <f t="shared" ref="D606:AP606" si="335">-D621</f>
        <v>0</v>
      </c>
      <c r="E606" s="170">
        <f t="shared" si="335"/>
        <v>0</v>
      </c>
      <c r="F606" s="170">
        <f t="shared" si="335"/>
        <v>0</v>
      </c>
      <c r="G606" s="170">
        <f t="shared" si="335"/>
        <v>0</v>
      </c>
      <c r="H606" s="170">
        <f t="shared" si="335"/>
        <v>0</v>
      </c>
      <c r="I606" s="170">
        <f t="shared" si="335"/>
        <v>0</v>
      </c>
      <c r="J606" s="170">
        <f t="shared" si="335"/>
        <v>0</v>
      </c>
      <c r="K606" s="170">
        <f t="shared" si="335"/>
        <v>0</v>
      </c>
      <c r="L606" s="170">
        <f t="shared" si="335"/>
        <v>0</v>
      </c>
      <c r="M606" s="170">
        <f t="shared" si="335"/>
        <v>0</v>
      </c>
      <c r="N606" s="170">
        <f t="shared" si="335"/>
        <v>-2944872.3435013141</v>
      </c>
      <c r="O606" s="170">
        <f t="shared" si="335"/>
        <v>0</v>
      </c>
      <c r="P606" s="170">
        <f t="shared" si="335"/>
        <v>0</v>
      </c>
      <c r="Q606" s="170">
        <f t="shared" si="335"/>
        <v>0</v>
      </c>
      <c r="R606" s="170">
        <f t="shared" si="335"/>
        <v>0</v>
      </c>
      <c r="S606" s="170">
        <f t="shared" si="335"/>
        <v>0</v>
      </c>
      <c r="T606" s="170">
        <f t="shared" si="335"/>
        <v>0</v>
      </c>
      <c r="U606" s="170">
        <f t="shared" si="335"/>
        <v>0</v>
      </c>
      <c r="V606" s="170">
        <f t="shared" si="335"/>
        <v>0</v>
      </c>
      <c r="W606" s="170">
        <f t="shared" si="335"/>
        <v>0</v>
      </c>
      <c r="X606" s="170">
        <f t="shared" si="335"/>
        <v>0</v>
      </c>
      <c r="Y606" s="170">
        <f t="shared" si="335"/>
        <v>0</v>
      </c>
      <c r="Z606" s="170">
        <f t="shared" si="335"/>
        <v>-3520942.886524681</v>
      </c>
      <c r="AA606" s="170">
        <f t="shared" si="335"/>
        <v>0</v>
      </c>
      <c r="AB606" s="170">
        <f t="shared" si="335"/>
        <v>0</v>
      </c>
      <c r="AC606" s="170">
        <f t="shared" si="335"/>
        <v>0</v>
      </c>
      <c r="AD606" s="170">
        <f t="shared" si="335"/>
        <v>0</v>
      </c>
      <c r="AE606" s="170">
        <f t="shared" si="335"/>
        <v>0</v>
      </c>
      <c r="AF606" s="170">
        <f t="shared" si="335"/>
        <v>0</v>
      </c>
      <c r="AG606" s="170">
        <f t="shared" si="335"/>
        <v>0</v>
      </c>
      <c r="AH606" s="170">
        <f t="shared" si="335"/>
        <v>0</v>
      </c>
      <c r="AI606" s="170">
        <f t="shared" si="335"/>
        <v>0</v>
      </c>
      <c r="AJ606" s="170">
        <f t="shared" si="335"/>
        <v>0</v>
      </c>
      <c r="AK606" s="170">
        <f t="shared" si="335"/>
        <v>0</v>
      </c>
      <c r="AL606" s="170">
        <f t="shared" si="335"/>
        <v>-4209703.2958071325</v>
      </c>
      <c r="AM606" s="170">
        <f t="shared" si="335"/>
        <v>0</v>
      </c>
      <c r="AN606" s="170">
        <f t="shared" si="335"/>
        <v>0</v>
      </c>
      <c r="AO606" s="170">
        <f t="shared" si="335"/>
        <v>0</v>
      </c>
      <c r="AP606" s="170">
        <f t="shared" si="335"/>
        <v>0</v>
      </c>
    </row>
    <row r="607" spans="1:42" x14ac:dyDescent="0.2">
      <c r="A607" s="20" t="s">
        <v>99</v>
      </c>
      <c r="B607" s="135">
        <f>SUM(B604:B606)</f>
        <v>0</v>
      </c>
      <c r="C607" s="135">
        <f>SUM(C604:C606)</f>
        <v>245406.02862510949</v>
      </c>
      <c r="D607" s="135">
        <f t="shared" ref="D607:AP607" si="336">SUM(D604:D606)</f>
        <v>490812.05725021899</v>
      </c>
      <c r="E607" s="135">
        <f t="shared" si="336"/>
        <v>736218.08587532851</v>
      </c>
      <c r="F607" s="135">
        <f t="shared" si="336"/>
        <v>981624.11450043798</v>
      </c>
      <c r="G607" s="135">
        <f t="shared" si="336"/>
        <v>1227030.1431255476</v>
      </c>
      <c r="H607" s="135">
        <f t="shared" si="336"/>
        <v>1472436.171750657</v>
      </c>
      <c r="I607" s="135">
        <f t="shared" si="336"/>
        <v>1717842.2003757665</v>
      </c>
      <c r="J607" s="135">
        <f t="shared" si="336"/>
        <v>1963248.229000876</v>
      </c>
      <c r="K607" s="135">
        <f t="shared" si="336"/>
        <v>2208654.2576259854</v>
      </c>
      <c r="L607" s="135">
        <f t="shared" si="336"/>
        <v>2454060.2862510951</v>
      </c>
      <c r="M607" s="135">
        <f t="shared" si="336"/>
        <v>2699466.3148762048</v>
      </c>
      <c r="N607" s="135">
        <f t="shared" si="336"/>
        <v>0</v>
      </c>
      <c r="O607" s="135">
        <f t="shared" si="336"/>
        <v>293411.90721039008</v>
      </c>
      <c r="P607" s="135">
        <f t="shared" si="336"/>
        <v>586823.81442078017</v>
      </c>
      <c r="Q607" s="135">
        <f t="shared" si="336"/>
        <v>880235.72163117025</v>
      </c>
      <c r="R607" s="135">
        <f t="shared" si="336"/>
        <v>1173647.6288415603</v>
      </c>
      <c r="S607" s="135">
        <f t="shared" si="336"/>
        <v>1467059.5360519504</v>
      </c>
      <c r="T607" s="135">
        <f t="shared" si="336"/>
        <v>1760471.4432623405</v>
      </c>
      <c r="U607" s="135">
        <f t="shared" si="336"/>
        <v>2053883.3504727306</v>
      </c>
      <c r="V607" s="135">
        <f t="shared" si="336"/>
        <v>2347295.2576831207</v>
      </c>
      <c r="W607" s="135">
        <f t="shared" si="336"/>
        <v>2640707.1648935108</v>
      </c>
      <c r="X607" s="135">
        <f t="shared" si="336"/>
        <v>2934119.0721039008</v>
      </c>
      <c r="Y607" s="135">
        <f t="shared" si="336"/>
        <v>3227530.9793142909</v>
      </c>
      <c r="Z607" s="135">
        <f t="shared" si="336"/>
        <v>0</v>
      </c>
      <c r="AA607" s="135">
        <f t="shared" si="336"/>
        <v>350808.60798392771</v>
      </c>
      <c r="AB607" s="135">
        <f t="shared" si="336"/>
        <v>701617.21596785542</v>
      </c>
      <c r="AC607" s="135">
        <f t="shared" si="336"/>
        <v>1052425.8239517831</v>
      </c>
      <c r="AD607" s="135">
        <f t="shared" si="336"/>
        <v>1403234.4319357108</v>
      </c>
      <c r="AE607" s="135">
        <f t="shared" si="336"/>
        <v>1754043.0399196385</v>
      </c>
      <c r="AF607" s="135">
        <f t="shared" si="336"/>
        <v>2104851.6479035662</v>
      </c>
      <c r="AG607" s="135">
        <f t="shared" si="336"/>
        <v>2455660.255887494</v>
      </c>
      <c r="AH607" s="135">
        <f t="shared" si="336"/>
        <v>2806468.8638714217</v>
      </c>
      <c r="AI607" s="135">
        <f t="shared" si="336"/>
        <v>3157277.4718553494</v>
      </c>
      <c r="AJ607" s="135">
        <f t="shared" si="336"/>
        <v>3508086.0798392771</v>
      </c>
      <c r="AK607" s="135">
        <f t="shared" si="336"/>
        <v>3858894.6878232048</v>
      </c>
      <c r="AL607" s="135">
        <f t="shared" si="336"/>
        <v>0</v>
      </c>
      <c r="AM607" s="135">
        <f t="shared" si="336"/>
        <v>0</v>
      </c>
      <c r="AN607" s="135">
        <f t="shared" si="336"/>
        <v>0</v>
      </c>
      <c r="AO607" s="135">
        <f t="shared" si="336"/>
        <v>0</v>
      </c>
      <c r="AP607" s="135">
        <f t="shared" si="336"/>
        <v>0</v>
      </c>
    </row>
    <row r="608" spans="1:42" x14ac:dyDescent="0.2">
      <c r="B608" s="135"/>
      <c r="C608" s="135"/>
      <c r="D608" s="135"/>
      <c r="E608" s="135"/>
      <c r="F608" s="135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</row>
    <row r="609" spans="1:42" x14ac:dyDescent="0.2">
      <c r="A609" s="20" t="s">
        <v>181</v>
      </c>
      <c r="B609" s="135"/>
      <c r="C609" s="135"/>
      <c r="D609" s="135"/>
      <c r="E609" s="135"/>
      <c r="F609" s="135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</row>
    <row r="610" spans="1:42" x14ac:dyDescent="0.2">
      <c r="A610" s="20" t="s">
        <v>182</v>
      </c>
      <c r="B610" s="135"/>
      <c r="C610" s="135"/>
      <c r="D610" s="135"/>
      <c r="E610" s="135"/>
      <c r="F610" s="135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</row>
    <row r="611" spans="1:42" x14ac:dyDescent="0.2">
      <c r="A611" s="20">
        <v>1</v>
      </c>
      <c r="B611" s="179">
        <f t="shared" ref="B611:B620" si="337">SUM(C611:AP611)</f>
        <v>2944872.3435013141</v>
      </c>
      <c r="C611" s="169">
        <f t="shared" ref="C611:AP617" si="338">IF(C$2&gt;AnalysisPeriod,0,IF(C$2=MMFrequency*$A611,MMCost*CapacityDC*1000*(1+Inflation)^B$2,0))</f>
        <v>0</v>
      </c>
      <c r="D611" s="169">
        <f t="shared" si="338"/>
        <v>0</v>
      </c>
      <c r="E611" s="169">
        <f t="shared" si="338"/>
        <v>0</v>
      </c>
      <c r="F611" s="169">
        <f t="shared" si="338"/>
        <v>0</v>
      </c>
      <c r="G611" s="169">
        <f t="shared" si="338"/>
        <v>0</v>
      </c>
      <c r="H611" s="169">
        <f t="shared" si="338"/>
        <v>0</v>
      </c>
      <c r="I611" s="169">
        <f t="shared" si="338"/>
        <v>0</v>
      </c>
      <c r="J611" s="169">
        <f t="shared" si="338"/>
        <v>0</v>
      </c>
      <c r="K611" s="169">
        <f t="shared" si="338"/>
        <v>0</v>
      </c>
      <c r="L611" s="169">
        <f t="shared" si="338"/>
        <v>0</v>
      </c>
      <c r="M611" s="169">
        <f t="shared" si="338"/>
        <v>0</v>
      </c>
      <c r="N611" s="169">
        <f t="shared" si="338"/>
        <v>2944872.3435013141</v>
      </c>
      <c r="O611" s="169">
        <f t="shared" si="338"/>
        <v>0</v>
      </c>
      <c r="P611" s="169">
        <f t="shared" si="338"/>
        <v>0</v>
      </c>
      <c r="Q611" s="169">
        <f t="shared" si="338"/>
        <v>0</v>
      </c>
      <c r="R611" s="169">
        <f t="shared" si="338"/>
        <v>0</v>
      </c>
      <c r="S611" s="169">
        <f t="shared" si="338"/>
        <v>0</v>
      </c>
      <c r="T611" s="169">
        <f t="shared" si="338"/>
        <v>0</v>
      </c>
      <c r="U611" s="169">
        <f t="shared" si="338"/>
        <v>0</v>
      </c>
      <c r="V611" s="169">
        <f t="shared" si="338"/>
        <v>0</v>
      </c>
      <c r="W611" s="169">
        <f t="shared" si="338"/>
        <v>0</v>
      </c>
      <c r="X611" s="169">
        <f t="shared" si="338"/>
        <v>0</v>
      </c>
      <c r="Y611" s="169">
        <f t="shared" si="338"/>
        <v>0</v>
      </c>
      <c r="Z611" s="169">
        <f t="shared" si="338"/>
        <v>0</v>
      </c>
      <c r="AA611" s="169">
        <f t="shared" si="338"/>
        <v>0</v>
      </c>
      <c r="AB611" s="169">
        <f t="shared" si="338"/>
        <v>0</v>
      </c>
      <c r="AC611" s="169">
        <f t="shared" si="338"/>
        <v>0</v>
      </c>
      <c r="AD611" s="169">
        <f t="shared" si="338"/>
        <v>0</v>
      </c>
      <c r="AE611" s="169">
        <f t="shared" si="338"/>
        <v>0</v>
      </c>
      <c r="AF611" s="169">
        <f t="shared" si="338"/>
        <v>0</v>
      </c>
      <c r="AG611" s="169">
        <f t="shared" si="338"/>
        <v>0</v>
      </c>
      <c r="AH611" s="169">
        <f t="shared" si="338"/>
        <v>0</v>
      </c>
      <c r="AI611" s="169">
        <f t="shared" si="338"/>
        <v>0</v>
      </c>
      <c r="AJ611" s="169">
        <f t="shared" si="338"/>
        <v>0</v>
      </c>
      <c r="AK611" s="169">
        <f t="shared" si="338"/>
        <v>0</v>
      </c>
      <c r="AL611" s="169">
        <f t="shared" si="338"/>
        <v>0</v>
      </c>
      <c r="AM611" s="169">
        <f t="shared" si="338"/>
        <v>0</v>
      </c>
      <c r="AN611" s="169">
        <f t="shared" si="338"/>
        <v>0</v>
      </c>
      <c r="AO611" s="169">
        <f t="shared" si="338"/>
        <v>0</v>
      </c>
      <c r="AP611" s="169">
        <f t="shared" si="338"/>
        <v>0</v>
      </c>
    </row>
    <row r="612" spans="1:42" x14ac:dyDescent="0.2">
      <c r="A612" s="20">
        <f>A611+1</f>
        <v>2</v>
      </c>
      <c r="B612" s="179">
        <f t="shared" si="337"/>
        <v>3520942.886524681</v>
      </c>
      <c r="C612" s="169">
        <f t="shared" si="338"/>
        <v>0</v>
      </c>
      <c r="D612" s="169">
        <f t="shared" si="338"/>
        <v>0</v>
      </c>
      <c r="E612" s="169">
        <f t="shared" si="338"/>
        <v>0</v>
      </c>
      <c r="F612" s="169">
        <f t="shared" si="338"/>
        <v>0</v>
      </c>
      <c r="G612" s="169">
        <f t="shared" si="338"/>
        <v>0</v>
      </c>
      <c r="H612" s="169">
        <f t="shared" si="338"/>
        <v>0</v>
      </c>
      <c r="I612" s="169">
        <f t="shared" si="338"/>
        <v>0</v>
      </c>
      <c r="J612" s="169">
        <f t="shared" si="338"/>
        <v>0</v>
      </c>
      <c r="K612" s="169">
        <f t="shared" si="338"/>
        <v>0</v>
      </c>
      <c r="L612" s="169">
        <f t="shared" si="338"/>
        <v>0</v>
      </c>
      <c r="M612" s="169">
        <f t="shared" si="338"/>
        <v>0</v>
      </c>
      <c r="N612" s="169">
        <f t="shared" si="338"/>
        <v>0</v>
      </c>
      <c r="O612" s="169">
        <f t="shared" si="338"/>
        <v>0</v>
      </c>
      <c r="P612" s="169">
        <f t="shared" si="338"/>
        <v>0</v>
      </c>
      <c r="Q612" s="169">
        <f t="shared" si="338"/>
        <v>0</v>
      </c>
      <c r="R612" s="169">
        <f t="shared" si="338"/>
        <v>0</v>
      </c>
      <c r="S612" s="169">
        <f t="shared" si="338"/>
        <v>0</v>
      </c>
      <c r="T612" s="169">
        <f t="shared" si="338"/>
        <v>0</v>
      </c>
      <c r="U612" s="169">
        <f t="shared" si="338"/>
        <v>0</v>
      </c>
      <c r="V612" s="169">
        <f t="shared" si="338"/>
        <v>0</v>
      </c>
      <c r="W612" s="169">
        <f t="shared" si="338"/>
        <v>0</v>
      </c>
      <c r="X612" s="169">
        <f t="shared" si="338"/>
        <v>0</v>
      </c>
      <c r="Y612" s="169">
        <f t="shared" si="338"/>
        <v>0</v>
      </c>
      <c r="Z612" s="169">
        <f t="shared" si="338"/>
        <v>3520942.886524681</v>
      </c>
      <c r="AA612" s="169">
        <f t="shared" si="338"/>
        <v>0</v>
      </c>
      <c r="AB612" s="169">
        <f t="shared" si="338"/>
        <v>0</v>
      </c>
      <c r="AC612" s="169">
        <f t="shared" si="338"/>
        <v>0</v>
      </c>
      <c r="AD612" s="169">
        <f t="shared" si="338"/>
        <v>0</v>
      </c>
      <c r="AE612" s="169">
        <f t="shared" si="338"/>
        <v>0</v>
      </c>
      <c r="AF612" s="169">
        <f t="shared" si="338"/>
        <v>0</v>
      </c>
      <c r="AG612" s="169">
        <f t="shared" si="338"/>
        <v>0</v>
      </c>
      <c r="AH612" s="169">
        <f t="shared" si="338"/>
        <v>0</v>
      </c>
      <c r="AI612" s="169">
        <f t="shared" si="338"/>
        <v>0</v>
      </c>
      <c r="AJ612" s="169">
        <f t="shared" si="338"/>
        <v>0</v>
      </c>
      <c r="AK612" s="169">
        <f t="shared" si="338"/>
        <v>0</v>
      </c>
      <c r="AL612" s="169">
        <f t="shared" si="338"/>
        <v>0</v>
      </c>
      <c r="AM612" s="169">
        <f t="shared" si="338"/>
        <v>0</v>
      </c>
      <c r="AN612" s="169">
        <f t="shared" si="338"/>
        <v>0</v>
      </c>
      <c r="AO612" s="169">
        <f t="shared" si="338"/>
        <v>0</v>
      </c>
      <c r="AP612" s="169">
        <f t="shared" si="338"/>
        <v>0</v>
      </c>
    </row>
    <row r="613" spans="1:42" x14ac:dyDescent="0.2">
      <c r="A613" s="20">
        <f t="shared" ref="A613:A620" si="339">A612+1</f>
        <v>3</v>
      </c>
      <c r="B613" s="179">
        <f t="shared" si="337"/>
        <v>4209703.2958071325</v>
      </c>
      <c r="C613" s="169">
        <f t="shared" si="338"/>
        <v>0</v>
      </c>
      <c r="D613" s="169">
        <f t="shared" si="338"/>
        <v>0</v>
      </c>
      <c r="E613" s="169">
        <f t="shared" si="338"/>
        <v>0</v>
      </c>
      <c r="F613" s="169">
        <f t="shared" si="338"/>
        <v>0</v>
      </c>
      <c r="G613" s="169">
        <f t="shared" si="338"/>
        <v>0</v>
      </c>
      <c r="H613" s="169">
        <f t="shared" si="338"/>
        <v>0</v>
      </c>
      <c r="I613" s="169">
        <f t="shared" si="338"/>
        <v>0</v>
      </c>
      <c r="J613" s="169">
        <f t="shared" si="338"/>
        <v>0</v>
      </c>
      <c r="K613" s="169">
        <f t="shared" si="338"/>
        <v>0</v>
      </c>
      <c r="L613" s="169">
        <f t="shared" si="338"/>
        <v>0</v>
      </c>
      <c r="M613" s="169">
        <f t="shared" si="338"/>
        <v>0</v>
      </c>
      <c r="N613" s="169">
        <f t="shared" si="338"/>
        <v>0</v>
      </c>
      <c r="O613" s="169">
        <f t="shared" si="338"/>
        <v>0</v>
      </c>
      <c r="P613" s="169">
        <f t="shared" si="338"/>
        <v>0</v>
      </c>
      <c r="Q613" s="169">
        <f t="shared" si="338"/>
        <v>0</v>
      </c>
      <c r="R613" s="169">
        <f t="shared" si="338"/>
        <v>0</v>
      </c>
      <c r="S613" s="169">
        <f t="shared" si="338"/>
        <v>0</v>
      </c>
      <c r="T613" s="169">
        <f t="shared" si="338"/>
        <v>0</v>
      </c>
      <c r="U613" s="169">
        <f t="shared" si="338"/>
        <v>0</v>
      </c>
      <c r="V613" s="169">
        <f t="shared" si="338"/>
        <v>0</v>
      </c>
      <c r="W613" s="169">
        <f t="shared" si="338"/>
        <v>0</v>
      </c>
      <c r="X613" s="169">
        <f t="shared" si="338"/>
        <v>0</v>
      </c>
      <c r="Y613" s="169">
        <f t="shared" si="338"/>
        <v>0</v>
      </c>
      <c r="Z613" s="169">
        <f t="shared" si="338"/>
        <v>0</v>
      </c>
      <c r="AA613" s="169">
        <f t="shared" si="338"/>
        <v>0</v>
      </c>
      <c r="AB613" s="169">
        <f t="shared" si="338"/>
        <v>0</v>
      </c>
      <c r="AC613" s="169">
        <f t="shared" si="338"/>
        <v>0</v>
      </c>
      <c r="AD613" s="169">
        <f t="shared" si="338"/>
        <v>0</v>
      </c>
      <c r="AE613" s="169">
        <f t="shared" si="338"/>
        <v>0</v>
      </c>
      <c r="AF613" s="169">
        <f t="shared" si="338"/>
        <v>0</v>
      </c>
      <c r="AG613" s="169">
        <f t="shared" si="338"/>
        <v>0</v>
      </c>
      <c r="AH613" s="169">
        <f t="shared" si="338"/>
        <v>0</v>
      </c>
      <c r="AI613" s="169">
        <f t="shared" si="338"/>
        <v>0</v>
      </c>
      <c r="AJ613" s="169">
        <f t="shared" si="338"/>
        <v>0</v>
      </c>
      <c r="AK613" s="169">
        <f t="shared" si="338"/>
        <v>0</v>
      </c>
      <c r="AL613" s="169">
        <f t="shared" si="338"/>
        <v>4209703.2958071325</v>
      </c>
      <c r="AM613" s="169">
        <f t="shared" si="338"/>
        <v>0</v>
      </c>
      <c r="AN613" s="169">
        <f t="shared" si="338"/>
        <v>0</v>
      </c>
      <c r="AO613" s="169">
        <f t="shared" si="338"/>
        <v>0</v>
      </c>
      <c r="AP613" s="169">
        <f t="shared" si="338"/>
        <v>0</v>
      </c>
    </row>
    <row r="614" spans="1:42" x14ac:dyDescent="0.2">
      <c r="A614" s="20">
        <f t="shared" si="339"/>
        <v>4</v>
      </c>
      <c r="B614" s="179">
        <f t="shared" si="337"/>
        <v>0</v>
      </c>
      <c r="C614" s="169">
        <f t="shared" si="338"/>
        <v>0</v>
      </c>
      <c r="D614" s="169">
        <f t="shared" si="338"/>
        <v>0</v>
      </c>
      <c r="E614" s="169">
        <f t="shared" si="338"/>
        <v>0</v>
      </c>
      <c r="F614" s="169">
        <f t="shared" si="338"/>
        <v>0</v>
      </c>
      <c r="G614" s="169">
        <f t="shared" si="338"/>
        <v>0</v>
      </c>
      <c r="H614" s="169">
        <f t="shared" si="338"/>
        <v>0</v>
      </c>
      <c r="I614" s="169">
        <f t="shared" si="338"/>
        <v>0</v>
      </c>
      <c r="J614" s="169">
        <f t="shared" si="338"/>
        <v>0</v>
      </c>
      <c r="K614" s="169">
        <f t="shared" si="338"/>
        <v>0</v>
      </c>
      <c r="L614" s="169">
        <f t="shared" si="338"/>
        <v>0</v>
      </c>
      <c r="M614" s="169">
        <f t="shared" si="338"/>
        <v>0</v>
      </c>
      <c r="N614" s="169">
        <f t="shared" si="338"/>
        <v>0</v>
      </c>
      <c r="O614" s="169">
        <f t="shared" si="338"/>
        <v>0</v>
      </c>
      <c r="P614" s="169">
        <f t="shared" si="338"/>
        <v>0</v>
      </c>
      <c r="Q614" s="169">
        <f t="shared" si="338"/>
        <v>0</v>
      </c>
      <c r="R614" s="169">
        <f t="shared" si="338"/>
        <v>0</v>
      </c>
      <c r="S614" s="169">
        <f t="shared" si="338"/>
        <v>0</v>
      </c>
      <c r="T614" s="169">
        <f t="shared" si="338"/>
        <v>0</v>
      </c>
      <c r="U614" s="169">
        <f t="shared" si="338"/>
        <v>0</v>
      </c>
      <c r="V614" s="169">
        <f t="shared" si="338"/>
        <v>0</v>
      </c>
      <c r="W614" s="169">
        <f t="shared" si="338"/>
        <v>0</v>
      </c>
      <c r="X614" s="169">
        <f t="shared" si="338"/>
        <v>0</v>
      </c>
      <c r="Y614" s="169">
        <f t="shared" si="338"/>
        <v>0</v>
      </c>
      <c r="Z614" s="169">
        <f t="shared" si="338"/>
        <v>0</v>
      </c>
      <c r="AA614" s="169">
        <f t="shared" si="338"/>
        <v>0</v>
      </c>
      <c r="AB614" s="169">
        <f t="shared" si="338"/>
        <v>0</v>
      </c>
      <c r="AC614" s="169">
        <f t="shared" si="338"/>
        <v>0</v>
      </c>
      <c r="AD614" s="169">
        <f t="shared" si="338"/>
        <v>0</v>
      </c>
      <c r="AE614" s="169">
        <f t="shared" si="338"/>
        <v>0</v>
      </c>
      <c r="AF614" s="169">
        <f t="shared" si="338"/>
        <v>0</v>
      </c>
      <c r="AG614" s="169">
        <f t="shared" si="338"/>
        <v>0</v>
      </c>
      <c r="AH614" s="169">
        <f t="shared" si="338"/>
        <v>0</v>
      </c>
      <c r="AI614" s="169">
        <f t="shared" si="338"/>
        <v>0</v>
      </c>
      <c r="AJ614" s="169">
        <f t="shared" si="338"/>
        <v>0</v>
      </c>
      <c r="AK614" s="169">
        <f t="shared" si="338"/>
        <v>0</v>
      </c>
      <c r="AL614" s="169">
        <f t="shared" si="338"/>
        <v>0</v>
      </c>
      <c r="AM614" s="169">
        <f t="shared" si="338"/>
        <v>0</v>
      </c>
      <c r="AN614" s="169">
        <f t="shared" si="338"/>
        <v>0</v>
      </c>
      <c r="AO614" s="169">
        <f t="shared" si="338"/>
        <v>0</v>
      </c>
      <c r="AP614" s="169">
        <f t="shared" si="338"/>
        <v>0</v>
      </c>
    </row>
    <row r="615" spans="1:42" x14ac:dyDescent="0.2">
      <c r="A615" s="20">
        <f t="shared" si="339"/>
        <v>5</v>
      </c>
      <c r="B615" s="179">
        <f t="shared" si="337"/>
        <v>0</v>
      </c>
      <c r="C615" s="169">
        <f t="shared" si="338"/>
        <v>0</v>
      </c>
      <c r="D615" s="169">
        <f t="shared" si="338"/>
        <v>0</v>
      </c>
      <c r="E615" s="169">
        <f t="shared" si="338"/>
        <v>0</v>
      </c>
      <c r="F615" s="169">
        <f t="shared" si="338"/>
        <v>0</v>
      </c>
      <c r="G615" s="169">
        <f t="shared" si="338"/>
        <v>0</v>
      </c>
      <c r="H615" s="169">
        <f t="shared" si="338"/>
        <v>0</v>
      </c>
      <c r="I615" s="169">
        <f t="shared" si="338"/>
        <v>0</v>
      </c>
      <c r="J615" s="169">
        <f t="shared" si="338"/>
        <v>0</v>
      </c>
      <c r="K615" s="169">
        <f t="shared" si="338"/>
        <v>0</v>
      </c>
      <c r="L615" s="169">
        <f t="shared" si="338"/>
        <v>0</v>
      </c>
      <c r="M615" s="169">
        <f t="shared" si="338"/>
        <v>0</v>
      </c>
      <c r="N615" s="169">
        <f t="shared" si="338"/>
        <v>0</v>
      </c>
      <c r="O615" s="169">
        <f t="shared" si="338"/>
        <v>0</v>
      </c>
      <c r="P615" s="169">
        <f t="shared" si="338"/>
        <v>0</v>
      </c>
      <c r="Q615" s="169">
        <f t="shared" si="338"/>
        <v>0</v>
      </c>
      <c r="R615" s="169">
        <f t="shared" si="338"/>
        <v>0</v>
      </c>
      <c r="S615" s="169">
        <f t="shared" si="338"/>
        <v>0</v>
      </c>
      <c r="T615" s="169">
        <f t="shared" si="338"/>
        <v>0</v>
      </c>
      <c r="U615" s="169">
        <f t="shared" si="338"/>
        <v>0</v>
      </c>
      <c r="V615" s="169">
        <f t="shared" si="338"/>
        <v>0</v>
      </c>
      <c r="W615" s="169">
        <f t="shared" si="338"/>
        <v>0</v>
      </c>
      <c r="X615" s="169">
        <f t="shared" si="338"/>
        <v>0</v>
      </c>
      <c r="Y615" s="169">
        <f t="shared" si="338"/>
        <v>0</v>
      </c>
      <c r="Z615" s="169">
        <f t="shared" si="338"/>
        <v>0</v>
      </c>
      <c r="AA615" s="169">
        <f t="shared" si="338"/>
        <v>0</v>
      </c>
      <c r="AB615" s="169">
        <f t="shared" si="338"/>
        <v>0</v>
      </c>
      <c r="AC615" s="169">
        <f t="shared" si="338"/>
        <v>0</v>
      </c>
      <c r="AD615" s="169">
        <f t="shared" si="338"/>
        <v>0</v>
      </c>
      <c r="AE615" s="169">
        <f t="shared" si="338"/>
        <v>0</v>
      </c>
      <c r="AF615" s="169">
        <f t="shared" si="338"/>
        <v>0</v>
      </c>
      <c r="AG615" s="169">
        <f t="shared" si="338"/>
        <v>0</v>
      </c>
      <c r="AH615" s="169">
        <f t="shared" si="338"/>
        <v>0</v>
      </c>
      <c r="AI615" s="169">
        <f t="shared" si="338"/>
        <v>0</v>
      </c>
      <c r="AJ615" s="169">
        <f t="shared" si="338"/>
        <v>0</v>
      </c>
      <c r="AK615" s="169">
        <f t="shared" si="338"/>
        <v>0</v>
      </c>
      <c r="AL615" s="169">
        <f t="shared" si="338"/>
        <v>0</v>
      </c>
      <c r="AM615" s="169">
        <f t="shared" si="338"/>
        <v>0</v>
      </c>
      <c r="AN615" s="169">
        <f t="shared" si="338"/>
        <v>0</v>
      </c>
      <c r="AO615" s="169">
        <f t="shared" si="338"/>
        <v>0</v>
      </c>
      <c r="AP615" s="169">
        <f t="shared" si="338"/>
        <v>0</v>
      </c>
    </row>
    <row r="616" spans="1:42" x14ac:dyDescent="0.2">
      <c r="A616" s="20">
        <f t="shared" si="339"/>
        <v>6</v>
      </c>
      <c r="B616" s="179">
        <f t="shared" si="337"/>
        <v>0</v>
      </c>
      <c r="C616" s="169">
        <f t="shared" si="338"/>
        <v>0</v>
      </c>
      <c r="D616" s="169">
        <f t="shared" si="338"/>
        <v>0</v>
      </c>
      <c r="E616" s="169">
        <f t="shared" si="338"/>
        <v>0</v>
      </c>
      <c r="F616" s="169">
        <f t="shared" si="338"/>
        <v>0</v>
      </c>
      <c r="G616" s="169">
        <f t="shared" si="338"/>
        <v>0</v>
      </c>
      <c r="H616" s="169">
        <f t="shared" si="338"/>
        <v>0</v>
      </c>
      <c r="I616" s="169">
        <f t="shared" si="338"/>
        <v>0</v>
      </c>
      <c r="J616" s="169">
        <f t="shared" si="338"/>
        <v>0</v>
      </c>
      <c r="K616" s="169">
        <f t="shared" si="338"/>
        <v>0</v>
      </c>
      <c r="L616" s="169">
        <f t="shared" si="338"/>
        <v>0</v>
      </c>
      <c r="M616" s="169">
        <f t="shared" si="338"/>
        <v>0</v>
      </c>
      <c r="N616" s="169">
        <f t="shared" si="338"/>
        <v>0</v>
      </c>
      <c r="O616" s="169">
        <f t="shared" si="338"/>
        <v>0</v>
      </c>
      <c r="P616" s="169">
        <f t="shared" si="338"/>
        <v>0</v>
      </c>
      <c r="Q616" s="169">
        <f t="shared" si="338"/>
        <v>0</v>
      </c>
      <c r="R616" s="169">
        <f t="shared" si="338"/>
        <v>0</v>
      </c>
      <c r="S616" s="169">
        <f t="shared" si="338"/>
        <v>0</v>
      </c>
      <c r="T616" s="169">
        <f t="shared" si="338"/>
        <v>0</v>
      </c>
      <c r="U616" s="169">
        <f t="shared" si="338"/>
        <v>0</v>
      </c>
      <c r="V616" s="169">
        <f t="shared" si="338"/>
        <v>0</v>
      </c>
      <c r="W616" s="169">
        <f t="shared" si="338"/>
        <v>0</v>
      </c>
      <c r="X616" s="169">
        <f t="shared" si="338"/>
        <v>0</v>
      </c>
      <c r="Y616" s="169">
        <f t="shared" si="338"/>
        <v>0</v>
      </c>
      <c r="Z616" s="169">
        <f t="shared" si="338"/>
        <v>0</v>
      </c>
      <c r="AA616" s="169">
        <f t="shared" si="338"/>
        <v>0</v>
      </c>
      <c r="AB616" s="169">
        <f t="shared" si="338"/>
        <v>0</v>
      </c>
      <c r="AC616" s="169">
        <f t="shared" si="338"/>
        <v>0</v>
      </c>
      <c r="AD616" s="169">
        <f t="shared" si="338"/>
        <v>0</v>
      </c>
      <c r="AE616" s="169">
        <f t="shared" si="338"/>
        <v>0</v>
      </c>
      <c r="AF616" s="169">
        <f t="shared" si="338"/>
        <v>0</v>
      </c>
      <c r="AG616" s="169">
        <f t="shared" si="338"/>
        <v>0</v>
      </c>
      <c r="AH616" s="169">
        <f t="shared" si="338"/>
        <v>0</v>
      </c>
      <c r="AI616" s="169">
        <f t="shared" si="338"/>
        <v>0</v>
      </c>
      <c r="AJ616" s="169">
        <f t="shared" si="338"/>
        <v>0</v>
      </c>
      <c r="AK616" s="169">
        <f t="shared" si="338"/>
        <v>0</v>
      </c>
      <c r="AL616" s="169">
        <f t="shared" si="338"/>
        <v>0</v>
      </c>
      <c r="AM616" s="169">
        <f t="shared" si="338"/>
        <v>0</v>
      </c>
      <c r="AN616" s="169">
        <f t="shared" si="338"/>
        <v>0</v>
      </c>
      <c r="AO616" s="169">
        <f t="shared" si="338"/>
        <v>0</v>
      </c>
      <c r="AP616" s="169">
        <f t="shared" si="338"/>
        <v>0</v>
      </c>
    </row>
    <row r="617" spans="1:42" x14ac:dyDescent="0.2">
      <c r="A617" s="20">
        <f t="shared" si="339"/>
        <v>7</v>
      </c>
      <c r="B617" s="179">
        <f t="shared" si="337"/>
        <v>0</v>
      </c>
      <c r="C617" s="169">
        <f t="shared" si="338"/>
        <v>0</v>
      </c>
      <c r="D617" s="169">
        <f t="shared" si="338"/>
        <v>0</v>
      </c>
      <c r="E617" s="169">
        <f t="shared" si="338"/>
        <v>0</v>
      </c>
      <c r="F617" s="169">
        <f t="shared" si="338"/>
        <v>0</v>
      </c>
      <c r="G617" s="169">
        <f t="shared" si="338"/>
        <v>0</v>
      </c>
      <c r="H617" s="169">
        <f t="shared" si="338"/>
        <v>0</v>
      </c>
      <c r="I617" s="169">
        <f t="shared" si="338"/>
        <v>0</v>
      </c>
      <c r="J617" s="169">
        <f t="shared" si="338"/>
        <v>0</v>
      </c>
      <c r="K617" s="169">
        <f t="shared" si="338"/>
        <v>0</v>
      </c>
      <c r="L617" s="169">
        <f t="shared" si="338"/>
        <v>0</v>
      </c>
      <c r="M617" s="169">
        <f t="shared" si="338"/>
        <v>0</v>
      </c>
      <c r="N617" s="169">
        <f t="shared" si="338"/>
        <v>0</v>
      </c>
      <c r="O617" s="169">
        <f t="shared" si="338"/>
        <v>0</v>
      </c>
      <c r="P617" s="169">
        <f t="shared" si="338"/>
        <v>0</v>
      </c>
      <c r="Q617" s="169">
        <f t="shared" si="338"/>
        <v>0</v>
      </c>
      <c r="R617" s="169">
        <f t="shared" ref="R617:AP617" si="340">IF(R$2&gt;AnalysisPeriod,0,IF(R$2=MMFrequency*$A617,MMCost*CapacityDC*1000*(1+Inflation)^Q$2,0))</f>
        <v>0</v>
      </c>
      <c r="S617" s="169">
        <f t="shared" si="340"/>
        <v>0</v>
      </c>
      <c r="T617" s="169">
        <f t="shared" si="340"/>
        <v>0</v>
      </c>
      <c r="U617" s="169">
        <f t="shared" si="340"/>
        <v>0</v>
      </c>
      <c r="V617" s="169">
        <f t="shared" si="340"/>
        <v>0</v>
      </c>
      <c r="W617" s="169">
        <f t="shared" si="340"/>
        <v>0</v>
      </c>
      <c r="X617" s="169">
        <f t="shared" si="340"/>
        <v>0</v>
      </c>
      <c r="Y617" s="169">
        <f t="shared" si="340"/>
        <v>0</v>
      </c>
      <c r="Z617" s="169">
        <f t="shared" si="340"/>
        <v>0</v>
      </c>
      <c r="AA617" s="169">
        <f t="shared" si="340"/>
        <v>0</v>
      </c>
      <c r="AB617" s="169">
        <f t="shared" si="340"/>
        <v>0</v>
      </c>
      <c r="AC617" s="169">
        <f t="shared" si="340"/>
        <v>0</v>
      </c>
      <c r="AD617" s="169">
        <f t="shared" si="340"/>
        <v>0</v>
      </c>
      <c r="AE617" s="169">
        <f t="shared" si="340"/>
        <v>0</v>
      </c>
      <c r="AF617" s="169">
        <f t="shared" si="340"/>
        <v>0</v>
      </c>
      <c r="AG617" s="169">
        <f t="shared" si="340"/>
        <v>0</v>
      </c>
      <c r="AH617" s="169">
        <f t="shared" si="340"/>
        <v>0</v>
      </c>
      <c r="AI617" s="169">
        <f t="shared" si="340"/>
        <v>0</v>
      </c>
      <c r="AJ617" s="169">
        <f t="shared" si="340"/>
        <v>0</v>
      </c>
      <c r="AK617" s="169">
        <f t="shared" si="340"/>
        <v>0</v>
      </c>
      <c r="AL617" s="169">
        <f t="shared" si="340"/>
        <v>0</v>
      </c>
      <c r="AM617" s="169">
        <f t="shared" si="340"/>
        <v>0</v>
      </c>
      <c r="AN617" s="169">
        <f t="shared" si="340"/>
        <v>0</v>
      </c>
      <c r="AO617" s="169">
        <f t="shared" si="340"/>
        <v>0</v>
      </c>
      <c r="AP617" s="169">
        <f t="shared" si="340"/>
        <v>0</v>
      </c>
    </row>
    <row r="618" spans="1:42" x14ac:dyDescent="0.2">
      <c r="A618" s="20">
        <f t="shared" si="339"/>
        <v>8</v>
      </c>
      <c r="B618" s="179">
        <f t="shared" si="337"/>
        <v>0</v>
      </c>
      <c r="C618" s="169">
        <f t="shared" ref="C618:AP620" si="341">IF(C$2&gt;AnalysisPeriod,0,IF(C$2=MMFrequency*$A618,MMCost*CapacityDC*1000*(1+Inflation)^B$2,0))</f>
        <v>0</v>
      </c>
      <c r="D618" s="169">
        <f t="shared" si="341"/>
        <v>0</v>
      </c>
      <c r="E618" s="169">
        <f t="shared" si="341"/>
        <v>0</v>
      </c>
      <c r="F618" s="169">
        <f t="shared" si="341"/>
        <v>0</v>
      </c>
      <c r="G618" s="169">
        <f t="shared" si="341"/>
        <v>0</v>
      </c>
      <c r="H618" s="169">
        <f t="shared" si="341"/>
        <v>0</v>
      </c>
      <c r="I618" s="169">
        <f t="shared" si="341"/>
        <v>0</v>
      </c>
      <c r="J618" s="169">
        <f t="shared" si="341"/>
        <v>0</v>
      </c>
      <c r="K618" s="169">
        <f t="shared" si="341"/>
        <v>0</v>
      </c>
      <c r="L618" s="169">
        <f t="shared" si="341"/>
        <v>0</v>
      </c>
      <c r="M618" s="169">
        <f t="shared" si="341"/>
        <v>0</v>
      </c>
      <c r="N618" s="169">
        <f t="shared" si="341"/>
        <v>0</v>
      </c>
      <c r="O618" s="169">
        <f t="shared" si="341"/>
        <v>0</v>
      </c>
      <c r="P618" s="169">
        <f t="shared" si="341"/>
        <v>0</v>
      </c>
      <c r="Q618" s="169">
        <f t="shared" si="341"/>
        <v>0</v>
      </c>
      <c r="R618" s="169">
        <f t="shared" si="341"/>
        <v>0</v>
      </c>
      <c r="S618" s="169">
        <f t="shared" si="341"/>
        <v>0</v>
      </c>
      <c r="T618" s="169">
        <f t="shared" si="341"/>
        <v>0</v>
      </c>
      <c r="U618" s="169">
        <f t="shared" si="341"/>
        <v>0</v>
      </c>
      <c r="V618" s="169">
        <f t="shared" si="341"/>
        <v>0</v>
      </c>
      <c r="W618" s="169">
        <f t="shared" si="341"/>
        <v>0</v>
      </c>
      <c r="X618" s="169">
        <f t="shared" si="341"/>
        <v>0</v>
      </c>
      <c r="Y618" s="169">
        <f t="shared" si="341"/>
        <v>0</v>
      </c>
      <c r="Z618" s="169">
        <f t="shared" si="341"/>
        <v>0</v>
      </c>
      <c r="AA618" s="169">
        <f t="shared" si="341"/>
        <v>0</v>
      </c>
      <c r="AB618" s="169">
        <f t="shared" si="341"/>
        <v>0</v>
      </c>
      <c r="AC618" s="169">
        <f t="shared" si="341"/>
        <v>0</v>
      </c>
      <c r="AD618" s="169">
        <f t="shared" si="341"/>
        <v>0</v>
      </c>
      <c r="AE618" s="169">
        <f t="shared" si="341"/>
        <v>0</v>
      </c>
      <c r="AF618" s="169">
        <f t="shared" si="341"/>
        <v>0</v>
      </c>
      <c r="AG618" s="169">
        <f t="shared" si="341"/>
        <v>0</v>
      </c>
      <c r="AH618" s="169">
        <f t="shared" si="341"/>
        <v>0</v>
      </c>
      <c r="AI618" s="169">
        <f t="shared" si="341"/>
        <v>0</v>
      </c>
      <c r="AJ618" s="169">
        <f t="shared" si="341"/>
        <v>0</v>
      </c>
      <c r="AK618" s="169">
        <f t="shared" si="341"/>
        <v>0</v>
      </c>
      <c r="AL618" s="169">
        <f t="shared" si="341"/>
        <v>0</v>
      </c>
      <c r="AM618" s="169">
        <f t="shared" si="341"/>
        <v>0</v>
      </c>
      <c r="AN618" s="169">
        <f t="shared" si="341"/>
        <v>0</v>
      </c>
      <c r="AO618" s="169">
        <f t="shared" si="341"/>
        <v>0</v>
      </c>
      <c r="AP618" s="169">
        <f t="shared" si="341"/>
        <v>0</v>
      </c>
    </row>
    <row r="619" spans="1:42" x14ac:dyDescent="0.2">
      <c r="A619" s="20">
        <f>A618+1</f>
        <v>9</v>
      </c>
      <c r="B619" s="179">
        <f t="shared" si="337"/>
        <v>0</v>
      </c>
      <c r="C619" s="169">
        <f t="shared" si="341"/>
        <v>0</v>
      </c>
      <c r="D619" s="169">
        <f t="shared" si="341"/>
        <v>0</v>
      </c>
      <c r="E619" s="169">
        <f t="shared" si="341"/>
        <v>0</v>
      </c>
      <c r="F619" s="169">
        <f t="shared" si="341"/>
        <v>0</v>
      </c>
      <c r="G619" s="169">
        <f t="shared" si="341"/>
        <v>0</v>
      </c>
      <c r="H619" s="169">
        <f t="shared" si="341"/>
        <v>0</v>
      </c>
      <c r="I619" s="169">
        <f t="shared" si="341"/>
        <v>0</v>
      </c>
      <c r="J619" s="169">
        <f t="shared" si="341"/>
        <v>0</v>
      </c>
      <c r="K619" s="169">
        <f t="shared" si="341"/>
        <v>0</v>
      </c>
      <c r="L619" s="169">
        <f t="shared" si="341"/>
        <v>0</v>
      </c>
      <c r="M619" s="169">
        <f t="shared" si="341"/>
        <v>0</v>
      </c>
      <c r="N619" s="169">
        <f t="shared" si="341"/>
        <v>0</v>
      </c>
      <c r="O619" s="169">
        <f t="shared" si="341"/>
        <v>0</v>
      </c>
      <c r="P619" s="169">
        <f t="shared" si="341"/>
        <v>0</v>
      </c>
      <c r="Q619" s="169">
        <f t="shared" si="341"/>
        <v>0</v>
      </c>
      <c r="R619" s="169">
        <f t="shared" si="341"/>
        <v>0</v>
      </c>
      <c r="S619" s="169">
        <f t="shared" si="341"/>
        <v>0</v>
      </c>
      <c r="T619" s="169">
        <f t="shared" si="341"/>
        <v>0</v>
      </c>
      <c r="U619" s="169">
        <f t="shared" si="341"/>
        <v>0</v>
      </c>
      <c r="V619" s="169">
        <f t="shared" si="341"/>
        <v>0</v>
      </c>
      <c r="W619" s="169">
        <f t="shared" si="341"/>
        <v>0</v>
      </c>
      <c r="X619" s="169">
        <f t="shared" si="341"/>
        <v>0</v>
      </c>
      <c r="Y619" s="169">
        <f t="shared" si="341"/>
        <v>0</v>
      </c>
      <c r="Z619" s="169">
        <f t="shared" si="341"/>
        <v>0</v>
      </c>
      <c r="AA619" s="169">
        <f t="shared" si="341"/>
        <v>0</v>
      </c>
      <c r="AB619" s="169">
        <f t="shared" si="341"/>
        <v>0</v>
      </c>
      <c r="AC619" s="169">
        <f t="shared" si="341"/>
        <v>0</v>
      </c>
      <c r="AD619" s="169">
        <f t="shared" si="341"/>
        <v>0</v>
      </c>
      <c r="AE619" s="169">
        <f t="shared" si="341"/>
        <v>0</v>
      </c>
      <c r="AF619" s="169">
        <f t="shared" si="341"/>
        <v>0</v>
      </c>
      <c r="AG619" s="169">
        <f t="shared" si="341"/>
        <v>0</v>
      </c>
      <c r="AH619" s="169">
        <f t="shared" si="341"/>
        <v>0</v>
      </c>
      <c r="AI619" s="169">
        <f t="shared" si="341"/>
        <v>0</v>
      </c>
      <c r="AJ619" s="169">
        <f t="shared" si="341"/>
        <v>0</v>
      </c>
      <c r="AK619" s="169">
        <f t="shared" si="341"/>
        <v>0</v>
      </c>
      <c r="AL619" s="169">
        <f t="shared" si="341"/>
        <v>0</v>
      </c>
      <c r="AM619" s="169">
        <f t="shared" si="341"/>
        <v>0</v>
      </c>
      <c r="AN619" s="169">
        <f t="shared" si="341"/>
        <v>0</v>
      </c>
      <c r="AO619" s="169">
        <f t="shared" si="341"/>
        <v>0</v>
      </c>
      <c r="AP619" s="169">
        <f t="shared" si="341"/>
        <v>0</v>
      </c>
    </row>
    <row r="620" spans="1:42" x14ac:dyDescent="0.2">
      <c r="A620" s="20">
        <f t="shared" si="339"/>
        <v>10</v>
      </c>
      <c r="B620" s="179">
        <f t="shared" si="337"/>
        <v>0</v>
      </c>
      <c r="C620" s="170">
        <f t="shared" si="341"/>
        <v>0</v>
      </c>
      <c r="D620" s="170">
        <f t="shared" si="341"/>
        <v>0</v>
      </c>
      <c r="E620" s="170">
        <f t="shared" si="341"/>
        <v>0</v>
      </c>
      <c r="F620" s="170">
        <f t="shared" si="341"/>
        <v>0</v>
      </c>
      <c r="G620" s="170">
        <f t="shared" si="341"/>
        <v>0</v>
      </c>
      <c r="H620" s="170">
        <f t="shared" si="341"/>
        <v>0</v>
      </c>
      <c r="I620" s="170">
        <f t="shared" si="341"/>
        <v>0</v>
      </c>
      <c r="J620" s="170">
        <f t="shared" si="341"/>
        <v>0</v>
      </c>
      <c r="K620" s="170">
        <f t="shared" si="341"/>
        <v>0</v>
      </c>
      <c r="L620" s="170">
        <f t="shared" si="341"/>
        <v>0</v>
      </c>
      <c r="M620" s="170">
        <f t="shared" si="341"/>
        <v>0</v>
      </c>
      <c r="N620" s="170">
        <f t="shared" si="341"/>
        <v>0</v>
      </c>
      <c r="O620" s="170">
        <f t="shared" si="341"/>
        <v>0</v>
      </c>
      <c r="P620" s="170">
        <f t="shared" si="341"/>
        <v>0</v>
      </c>
      <c r="Q620" s="170">
        <f t="shared" si="341"/>
        <v>0</v>
      </c>
      <c r="R620" s="170">
        <f t="shared" si="341"/>
        <v>0</v>
      </c>
      <c r="S620" s="170">
        <f t="shared" si="341"/>
        <v>0</v>
      </c>
      <c r="T620" s="170">
        <f t="shared" si="341"/>
        <v>0</v>
      </c>
      <c r="U620" s="170">
        <f t="shared" si="341"/>
        <v>0</v>
      </c>
      <c r="V620" s="170">
        <f t="shared" si="341"/>
        <v>0</v>
      </c>
      <c r="W620" s="170">
        <f t="shared" si="341"/>
        <v>0</v>
      </c>
      <c r="X620" s="170">
        <f t="shared" si="341"/>
        <v>0</v>
      </c>
      <c r="Y620" s="170">
        <f t="shared" si="341"/>
        <v>0</v>
      </c>
      <c r="Z620" s="170">
        <f t="shared" si="341"/>
        <v>0</v>
      </c>
      <c r="AA620" s="170">
        <f t="shared" si="341"/>
        <v>0</v>
      </c>
      <c r="AB620" s="170">
        <f t="shared" si="341"/>
        <v>0</v>
      </c>
      <c r="AC620" s="170">
        <f t="shared" si="341"/>
        <v>0</v>
      </c>
      <c r="AD620" s="170">
        <f t="shared" si="341"/>
        <v>0</v>
      </c>
      <c r="AE620" s="170">
        <f t="shared" si="341"/>
        <v>0</v>
      </c>
      <c r="AF620" s="170">
        <f t="shared" si="341"/>
        <v>0</v>
      </c>
      <c r="AG620" s="170">
        <f t="shared" si="341"/>
        <v>0</v>
      </c>
      <c r="AH620" s="170">
        <f t="shared" si="341"/>
        <v>0</v>
      </c>
      <c r="AI620" s="170">
        <f t="shared" si="341"/>
        <v>0</v>
      </c>
      <c r="AJ620" s="170">
        <f t="shared" si="341"/>
        <v>0</v>
      </c>
      <c r="AK620" s="170">
        <f t="shared" si="341"/>
        <v>0</v>
      </c>
      <c r="AL620" s="170">
        <f t="shared" si="341"/>
        <v>0</v>
      </c>
      <c r="AM620" s="170">
        <f t="shared" si="341"/>
        <v>0</v>
      </c>
      <c r="AN620" s="170">
        <f t="shared" si="341"/>
        <v>0</v>
      </c>
      <c r="AO620" s="170">
        <f t="shared" si="341"/>
        <v>0</v>
      </c>
      <c r="AP620" s="170">
        <f t="shared" si="341"/>
        <v>0</v>
      </c>
    </row>
    <row r="621" spans="1:42" x14ac:dyDescent="0.2">
      <c r="A621" s="202" t="s">
        <v>53</v>
      </c>
      <c r="B621" s="169"/>
      <c r="C621" s="135">
        <f>SUM(C611:C620)</f>
        <v>0</v>
      </c>
      <c r="D621" s="135">
        <f t="shared" ref="D621:AD621" si="342">SUM(D611:D620)</f>
        <v>0</v>
      </c>
      <c r="E621" s="135">
        <f t="shared" si="342"/>
        <v>0</v>
      </c>
      <c r="F621" s="135">
        <f t="shared" si="342"/>
        <v>0</v>
      </c>
      <c r="G621" s="135">
        <f t="shared" si="342"/>
        <v>0</v>
      </c>
      <c r="H621" s="135">
        <f t="shared" si="342"/>
        <v>0</v>
      </c>
      <c r="I621" s="135">
        <f t="shared" si="342"/>
        <v>0</v>
      </c>
      <c r="J621" s="135">
        <f t="shared" si="342"/>
        <v>0</v>
      </c>
      <c r="K621" s="135">
        <f t="shared" si="342"/>
        <v>0</v>
      </c>
      <c r="L621" s="135">
        <f t="shared" si="342"/>
        <v>0</v>
      </c>
      <c r="M621" s="135">
        <f t="shared" si="342"/>
        <v>0</v>
      </c>
      <c r="N621" s="135">
        <f t="shared" si="342"/>
        <v>2944872.3435013141</v>
      </c>
      <c r="O621" s="135">
        <f t="shared" si="342"/>
        <v>0</v>
      </c>
      <c r="P621" s="135">
        <f t="shared" si="342"/>
        <v>0</v>
      </c>
      <c r="Q621" s="135">
        <f t="shared" si="342"/>
        <v>0</v>
      </c>
      <c r="R621" s="135">
        <f t="shared" si="342"/>
        <v>0</v>
      </c>
      <c r="S621" s="135">
        <f t="shared" si="342"/>
        <v>0</v>
      </c>
      <c r="T621" s="135">
        <f t="shared" si="342"/>
        <v>0</v>
      </c>
      <c r="U621" s="135">
        <f t="shared" si="342"/>
        <v>0</v>
      </c>
      <c r="V621" s="135">
        <f t="shared" si="342"/>
        <v>0</v>
      </c>
      <c r="W621" s="135">
        <f t="shared" si="342"/>
        <v>0</v>
      </c>
      <c r="X621" s="135">
        <f t="shared" si="342"/>
        <v>0</v>
      </c>
      <c r="Y621" s="135">
        <f t="shared" si="342"/>
        <v>0</v>
      </c>
      <c r="Z621" s="135">
        <f t="shared" si="342"/>
        <v>3520942.886524681</v>
      </c>
      <c r="AA621" s="135">
        <f t="shared" si="342"/>
        <v>0</v>
      </c>
      <c r="AB621" s="135">
        <f t="shared" si="342"/>
        <v>0</v>
      </c>
      <c r="AC621" s="135">
        <f t="shared" si="342"/>
        <v>0</v>
      </c>
      <c r="AD621" s="135">
        <f t="shared" si="342"/>
        <v>0</v>
      </c>
      <c r="AE621" s="135">
        <f t="shared" ref="AE621" si="343">SUM(AE611:AE620)</f>
        <v>0</v>
      </c>
      <c r="AF621" s="135">
        <f t="shared" ref="AF621:AP621" si="344">SUM(AF611:AF620)</f>
        <v>0</v>
      </c>
      <c r="AG621" s="135">
        <f t="shared" si="344"/>
        <v>0</v>
      </c>
      <c r="AH621" s="135">
        <f t="shared" si="344"/>
        <v>0</v>
      </c>
      <c r="AI621" s="135">
        <f t="shared" si="344"/>
        <v>0</v>
      </c>
      <c r="AJ621" s="135">
        <f t="shared" si="344"/>
        <v>0</v>
      </c>
      <c r="AK621" s="135">
        <f t="shared" si="344"/>
        <v>0</v>
      </c>
      <c r="AL621" s="135">
        <f t="shared" si="344"/>
        <v>4209703.2958071325</v>
      </c>
      <c r="AM621" s="135">
        <f t="shared" si="344"/>
        <v>0</v>
      </c>
      <c r="AN621" s="135">
        <f t="shared" si="344"/>
        <v>0</v>
      </c>
      <c r="AO621" s="135">
        <f t="shared" si="344"/>
        <v>0</v>
      </c>
      <c r="AP621" s="135">
        <f t="shared" si="344"/>
        <v>0</v>
      </c>
    </row>
    <row r="622" spans="1:42" x14ac:dyDescent="0.2">
      <c r="A622" s="20" t="s">
        <v>184</v>
      </c>
      <c r="B622" s="135"/>
      <c r="C622" s="135"/>
      <c r="D622" s="135"/>
      <c r="E622" s="135"/>
      <c r="F622" s="135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</row>
    <row r="623" spans="1:42" x14ac:dyDescent="0.2">
      <c r="A623" s="20">
        <v>1</v>
      </c>
      <c r="B623" s="179">
        <f t="shared" ref="B623:B632" si="345">SUM(C623:AP623)</f>
        <v>2944872.3435013145</v>
      </c>
      <c r="C623" s="135">
        <f t="shared" ref="C623:AP623" si="346">IF(C$2&lt;=MMFrequency*$A$611,$B$611/(MMFrequency),0)</f>
        <v>245406.02862510949</v>
      </c>
      <c r="D623" s="135">
        <f t="shared" si="346"/>
        <v>245406.02862510949</v>
      </c>
      <c r="E623" s="135">
        <f t="shared" si="346"/>
        <v>245406.02862510949</v>
      </c>
      <c r="F623" s="135">
        <f t="shared" si="346"/>
        <v>245406.02862510949</v>
      </c>
      <c r="G623" s="135">
        <f t="shared" si="346"/>
        <v>245406.02862510949</v>
      </c>
      <c r="H623" s="135">
        <f t="shared" si="346"/>
        <v>245406.02862510949</v>
      </c>
      <c r="I623" s="135">
        <f t="shared" si="346"/>
        <v>245406.02862510949</v>
      </c>
      <c r="J623" s="135">
        <f t="shared" si="346"/>
        <v>245406.02862510949</v>
      </c>
      <c r="K623" s="135">
        <f t="shared" si="346"/>
        <v>245406.02862510949</v>
      </c>
      <c r="L623" s="135">
        <f t="shared" si="346"/>
        <v>245406.02862510949</v>
      </c>
      <c r="M623" s="135">
        <f t="shared" si="346"/>
        <v>245406.02862510949</v>
      </c>
      <c r="N623" s="135">
        <f t="shared" si="346"/>
        <v>245406.02862510949</v>
      </c>
      <c r="O623" s="135">
        <f t="shared" si="346"/>
        <v>0</v>
      </c>
      <c r="P623" s="135">
        <f t="shared" si="346"/>
        <v>0</v>
      </c>
      <c r="Q623" s="135">
        <f t="shared" si="346"/>
        <v>0</v>
      </c>
      <c r="R623" s="135">
        <f t="shared" si="346"/>
        <v>0</v>
      </c>
      <c r="S623" s="135">
        <f t="shared" si="346"/>
        <v>0</v>
      </c>
      <c r="T623" s="135">
        <f t="shared" si="346"/>
        <v>0</v>
      </c>
      <c r="U623" s="135">
        <f t="shared" si="346"/>
        <v>0</v>
      </c>
      <c r="V623" s="135">
        <f t="shared" si="346"/>
        <v>0</v>
      </c>
      <c r="W623" s="135">
        <f t="shared" si="346"/>
        <v>0</v>
      </c>
      <c r="X623" s="135">
        <f t="shared" si="346"/>
        <v>0</v>
      </c>
      <c r="Y623" s="135">
        <f t="shared" si="346"/>
        <v>0</v>
      </c>
      <c r="Z623" s="135">
        <f t="shared" si="346"/>
        <v>0</v>
      </c>
      <c r="AA623" s="135">
        <f t="shared" si="346"/>
        <v>0</v>
      </c>
      <c r="AB623" s="135">
        <f t="shared" si="346"/>
        <v>0</v>
      </c>
      <c r="AC623" s="135">
        <f t="shared" si="346"/>
        <v>0</v>
      </c>
      <c r="AD623" s="135">
        <f t="shared" si="346"/>
        <v>0</v>
      </c>
      <c r="AE623" s="135">
        <f t="shared" si="346"/>
        <v>0</v>
      </c>
      <c r="AF623" s="135">
        <f t="shared" si="346"/>
        <v>0</v>
      </c>
      <c r="AG623" s="135">
        <f t="shared" si="346"/>
        <v>0</v>
      </c>
      <c r="AH623" s="135">
        <f t="shared" si="346"/>
        <v>0</v>
      </c>
      <c r="AI623" s="135">
        <f t="shared" si="346"/>
        <v>0</v>
      </c>
      <c r="AJ623" s="135">
        <f t="shared" si="346"/>
        <v>0</v>
      </c>
      <c r="AK623" s="135">
        <f t="shared" si="346"/>
        <v>0</v>
      </c>
      <c r="AL623" s="135">
        <f t="shared" si="346"/>
        <v>0</v>
      </c>
      <c r="AM623" s="135">
        <f t="shared" si="346"/>
        <v>0</v>
      </c>
      <c r="AN623" s="135">
        <f t="shared" si="346"/>
        <v>0</v>
      </c>
      <c r="AO623" s="135">
        <f t="shared" si="346"/>
        <v>0</v>
      </c>
      <c r="AP623" s="135">
        <f t="shared" si="346"/>
        <v>0</v>
      </c>
    </row>
    <row r="624" spans="1:42" x14ac:dyDescent="0.2">
      <c r="A624" s="20">
        <f>A623+1</f>
        <v>2</v>
      </c>
      <c r="B624" s="179">
        <f t="shared" si="345"/>
        <v>3520942.886524681</v>
      </c>
      <c r="C624" s="208">
        <f t="shared" ref="C624:AP630" si="347">IF(AND(C$2&gt;MMFrequency*$A611,C$2&lt;=MMFrequency*$A612),$B612/(MMFrequency),0)</f>
        <v>0</v>
      </c>
      <c r="D624" s="169">
        <f t="shared" si="347"/>
        <v>0</v>
      </c>
      <c r="E624" s="169">
        <f t="shared" si="347"/>
        <v>0</v>
      </c>
      <c r="F624" s="169">
        <f t="shared" si="347"/>
        <v>0</v>
      </c>
      <c r="G624" s="169">
        <f t="shared" si="347"/>
        <v>0</v>
      </c>
      <c r="H624" s="169">
        <f t="shared" si="347"/>
        <v>0</v>
      </c>
      <c r="I624" s="169">
        <f t="shared" si="347"/>
        <v>0</v>
      </c>
      <c r="J624" s="169">
        <f t="shared" si="347"/>
        <v>0</v>
      </c>
      <c r="K624" s="169">
        <f t="shared" si="347"/>
        <v>0</v>
      </c>
      <c r="L624" s="169">
        <f t="shared" si="347"/>
        <v>0</v>
      </c>
      <c r="M624" s="169">
        <f t="shared" si="347"/>
        <v>0</v>
      </c>
      <c r="N624" s="169">
        <f t="shared" si="347"/>
        <v>0</v>
      </c>
      <c r="O624" s="169">
        <f t="shared" si="347"/>
        <v>293411.90721039008</v>
      </c>
      <c r="P624" s="169">
        <f t="shared" si="347"/>
        <v>293411.90721039008</v>
      </c>
      <c r="Q624" s="169">
        <f t="shared" si="347"/>
        <v>293411.90721039008</v>
      </c>
      <c r="R624" s="169">
        <f t="shared" si="347"/>
        <v>293411.90721039008</v>
      </c>
      <c r="S624" s="169">
        <f t="shared" si="347"/>
        <v>293411.90721039008</v>
      </c>
      <c r="T624" s="169">
        <f t="shared" si="347"/>
        <v>293411.90721039008</v>
      </c>
      <c r="U624" s="169">
        <f t="shared" si="347"/>
        <v>293411.90721039008</v>
      </c>
      <c r="V624" s="169">
        <f t="shared" si="347"/>
        <v>293411.90721039008</v>
      </c>
      <c r="W624" s="169">
        <f t="shared" si="347"/>
        <v>293411.90721039008</v>
      </c>
      <c r="X624" s="169">
        <f t="shared" si="347"/>
        <v>293411.90721039008</v>
      </c>
      <c r="Y624" s="169">
        <f t="shared" si="347"/>
        <v>293411.90721039008</v>
      </c>
      <c r="Z624" s="169">
        <f t="shared" si="347"/>
        <v>293411.90721039008</v>
      </c>
      <c r="AA624" s="169">
        <f t="shared" si="347"/>
        <v>0</v>
      </c>
      <c r="AB624" s="169">
        <f t="shared" si="347"/>
        <v>0</v>
      </c>
      <c r="AC624" s="169">
        <f t="shared" si="347"/>
        <v>0</v>
      </c>
      <c r="AD624" s="169">
        <f t="shared" si="347"/>
        <v>0</v>
      </c>
      <c r="AE624" s="169">
        <f t="shared" si="347"/>
        <v>0</v>
      </c>
      <c r="AF624" s="169">
        <f t="shared" si="347"/>
        <v>0</v>
      </c>
      <c r="AG624" s="169">
        <f t="shared" si="347"/>
        <v>0</v>
      </c>
      <c r="AH624" s="169">
        <f t="shared" si="347"/>
        <v>0</v>
      </c>
      <c r="AI624" s="169">
        <f t="shared" si="347"/>
        <v>0</v>
      </c>
      <c r="AJ624" s="169">
        <f t="shared" si="347"/>
        <v>0</v>
      </c>
      <c r="AK624" s="169">
        <f t="shared" si="347"/>
        <v>0</v>
      </c>
      <c r="AL624" s="169">
        <f t="shared" si="347"/>
        <v>0</v>
      </c>
      <c r="AM624" s="169">
        <f t="shared" si="347"/>
        <v>0</v>
      </c>
      <c r="AN624" s="169">
        <f t="shared" si="347"/>
        <v>0</v>
      </c>
      <c r="AO624" s="169">
        <f t="shared" si="347"/>
        <v>0</v>
      </c>
      <c r="AP624" s="169">
        <f t="shared" si="347"/>
        <v>0</v>
      </c>
    </row>
    <row r="625" spans="1:42" x14ac:dyDescent="0.2">
      <c r="A625" s="20">
        <f t="shared" ref="A625:A630" si="348">A624+1</f>
        <v>3</v>
      </c>
      <c r="B625" s="179">
        <f t="shared" si="345"/>
        <v>4209703.2958071325</v>
      </c>
      <c r="C625" s="208">
        <f t="shared" si="347"/>
        <v>0</v>
      </c>
      <c r="D625" s="169">
        <f t="shared" si="347"/>
        <v>0</v>
      </c>
      <c r="E625" s="169">
        <f t="shared" si="347"/>
        <v>0</v>
      </c>
      <c r="F625" s="169">
        <f t="shared" si="347"/>
        <v>0</v>
      </c>
      <c r="G625" s="169">
        <f t="shared" si="347"/>
        <v>0</v>
      </c>
      <c r="H625" s="169">
        <f t="shared" si="347"/>
        <v>0</v>
      </c>
      <c r="I625" s="169">
        <f t="shared" si="347"/>
        <v>0</v>
      </c>
      <c r="J625" s="169">
        <f t="shared" si="347"/>
        <v>0</v>
      </c>
      <c r="K625" s="169">
        <f t="shared" si="347"/>
        <v>0</v>
      </c>
      <c r="L625" s="169">
        <f t="shared" si="347"/>
        <v>0</v>
      </c>
      <c r="M625" s="169">
        <f t="shared" si="347"/>
        <v>0</v>
      </c>
      <c r="N625" s="169">
        <f t="shared" si="347"/>
        <v>0</v>
      </c>
      <c r="O625" s="169">
        <f t="shared" si="347"/>
        <v>0</v>
      </c>
      <c r="P625" s="169">
        <f t="shared" si="347"/>
        <v>0</v>
      </c>
      <c r="Q625" s="169">
        <f t="shared" si="347"/>
        <v>0</v>
      </c>
      <c r="R625" s="169">
        <f t="shared" si="347"/>
        <v>0</v>
      </c>
      <c r="S625" s="169">
        <f t="shared" si="347"/>
        <v>0</v>
      </c>
      <c r="T625" s="169">
        <f t="shared" si="347"/>
        <v>0</v>
      </c>
      <c r="U625" s="169">
        <f t="shared" si="347"/>
        <v>0</v>
      </c>
      <c r="V625" s="169">
        <f t="shared" si="347"/>
        <v>0</v>
      </c>
      <c r="W625" s="169">
        <f t="shared" si="347"/>
        <v>0</v>
      </c>
      <c r="X625" s="169">
        <f t="shared" si="347"/>
        <v>0</v>
      </c>
      <c r="Y625" s="169">
        <f t="shared" si="347"/>
        <v>0</v>
      </c>
      <c r="Z625" s="169">
        <f t="shared" si="347"/>
        <v>0</v>
      </c>
      <c r="AA625" s="169">
        <f t="shared" si="347"/>
        <v>350808.60798392771</v>
      </c>
      <c r="AB625" s="169">
        <f t="shared" si="347"/>
        <v>350808.60798392771</v>
      </c>
      <c r="AC625" s="169">
        <f t="shared" si="347"/>
        <v>350808.60798392771</v>
      </c>
      <c r="AD625" s="169">
        <f t="shared" si="347"/>
        <v>350808.60798392771</v>
      </c>
      <c r="AE625" s="169">
        <f t="shared" si="347"/>
        <v>350808.60798392771</v>
      </c>
      <c r="AF625" s="169">
        <f t="shared" si="347"/>
        <v>350808.60798392771</v>
      </c>
      <c r="AG625" s="169">
        <f t="shared" si="347"/>
        <v>350808.60798392771</v>
      </c>
      <c r="AH625" s="169">
        <f t="shared" si="347"/>
        <v>350808.60798392771</v>
      </c>
      <c r="AI625" s="169">
        <f t="shared" si="347"/>
        <v>350808.60798392771</v>
      </c>
      <c r="AJ625" s="169">
        <f t="shared" si="347"/>
        <v>350808.60798392771</v>
      </c>
      <c r="AK625" s="169">
        <f t="shared" si="347"/>
        <v>350808.60798392771</v>
      </c>
      <c r="AL625" s="169">
        <f t="shared" si="347"/>
        <v>350808.60798392771</v>
      </c>
      <c r="AM625" s="169">
        <f t="shared" si="347"/>
        <v>0</v>
      </c>
      <c r="AN625" s="169">
        <f t="shared" si="347"/>
        <v>0</v>
      </c>
      <c r="AO625" s="169">
        <f t="shared" si="347"/>
        <v>0</v>
      </c>
      <c r="AP625" s="169">
        <f t="shared" si="347"/>
        <v>0</v>
      </c>
    </row>
    <row r="626" spans="1:42" x14ac:dyDescent="0.2">
      <c r="A626" s="20">
        <f t="shared" si="348"/>
        <v>4</v>
      </c>
      <c r="B626" s="179">
        <f t="shared" si="345"/>
        <v>0</v>
      </c>
      <c r="C626" s="208">
        <f t="shared" si="347"/>
        <v>0</v>
      </c>
      <c r="D626" s="169">
        <f t="shared" si="347"/>
        <v>0</v>
      </c>
      <c r="E626" s="169">
        <f t="shared" si="347"/>
        <v>0</v>
      </c>
      <c r="F626" s="169">
        <f t="shared" si="347"/>
        <v>0</v>
      </c>
      <c r="G626" s="169">
        <f t="shared" si="347"/>
        <v>0</v>
      </c>
      <c r="H626" s="169">
        <f t="shared" si="347"/>
        <v>0</v>
      </c>
      <c r="I626" s="169">
        <f t="shared" si="347"/>
        <v>0</v>
      </c>
      <c r="J626" s="169">
        <f t="shared" si="347"/>
        <v>0</v>
      </c>
      <c r="K626" s="169">
        <f t="shared" si="347"/>
        <v>0</v>
      </c>
      <c r="L626" s="169">
        <f t="shared" si="347"/>
        <v>0</v>
      </c>
      <c r="M626" s="169">
        <f t="shared" si="347"/>
        <v>0</v>
      </c>
      <c r="N626" s="169">
        <f t="shared" si="347"/>
        <v>0</v>
      </c>
      <c r="O626" s="169">
        <f t="shared" si="347"/>
        <v>0</v>
      </c>
      <c r="P626" s="169">
        <f t="shared" si="347"/>
        <v>0</v>
      </c>
      <c r="Q626" s="169">
        <f t="shared" si="347"/>
        <v>0</v>
      </c>
      <c r="R626" s="169">
        <f t="shared" si="347"/>
        <v>0</v>
      </c>
      <c r="S626" s="169">
        <f t="shared" si="347"/>
        <v>0</v>
      </c>
      <c r="T626" s="169">
        <f t="shared" si="347"/>
        <v>0</v>
      </c>
      <c r="U626" s="169">
        <f t="shared" si="347"/>
        <v>0</v>
      </c>
      <c r="V626" s="169">
        <f t="shared" si="347"/>
        <v>0</v>
      </c>
      <c r="W626" s="169">
        <f t="shared" si="347"/>
        <v>0</v>
      </c>
      <c r="X626" s="169">
        <f t="shared" si="347"/>
        <v>0</v>
      </c>
      <c r="Y626" s="169">
        <f t="shared" si="347"/>
        <v>0</v>
      </c>
      <c r="Z626" s="169">
        <f t="shared" si="347"/>
        <v>0</v>
      </c>
      <c r="AA626" s="169">
        <f t="shared" si="347"/>
        <v>0</v>
      </c>
      <c r="AB626" s="169">
        <f t="shared" si="347"/>
        <v>0</v>
      </c>
      <c r="AC626" s="169">
        <f t="shared" si="347"/>
        <v>0</v>
      </c>
      <c r="AD626" s="169">
        <f t="shared" si="347"/>
        <v>0</v>
      </c>
      <c r="AE626" s="169">
        <f t="shared" si="347"/>
        <v>0</v>
      </c>
      <c r="AF626" s="169">
        <f t="shared" si="347"/>
        <v>0</v>
      </c>
      <c r="AG626" s="169">
        <f t="shared" si="347"/>
        <v>0</v>
      </c>
      <c r="AH626" s="169">
        <f t="shared" si="347"/>
        <v>0</v>
      </c>
      <c r="AI626" s="169">
        <f t="shared" si="347"/>
        <v>0</v>
      </c>
      <c r="AJ626" s="169">
        <f t="shared" si="347"/>
        <v>0</v>
      </c>
      <c r="AK626" s="169">
        <f t="shared" si="347"/>
        <v>0</v>
      </c>
      <c r="AL626" s="169">
        <f t="shared" si="347"/>
        <v>0</v>
      </c>
      <c r="AM626" s="169">
        <f t="shared" si="347"/>
        <v>0</v>
      </c>
      <c r="AN626" s="169">
        <f t="shared" si="347"/>
        <v>0</v>
      </c>
      <c r="AO626" s="169">
        <f t="shared" si="347"/>
        <v>0</v>
      </c>
      <c r="AP626" s="169">
        <f t="shared" si="347"/>
        <v>0</v>
      </c>
    </row>
    <row r="627" spans="1:42" x14ac:dyDescent="0.2">
      <c r="A627" s="20">
        <f t="shared" si="348"/>
        <v>5</v>
      </c>
      <c r="B627" s="179">
        <f t="shared" si="345"/>
        <v>0</v>
      </c>
      <c r="C627" s="208">
        <f t="shared" si="347"/>
        <v>0</v>
      </c>
      <c r="D627" s="169">
        <f t="shared" si="347"/>
        <v>0</v>
      </c>
      <c r="E627" s="169">
        <f t="shared" si="347"/>
        <v>0</v>
      </c>
      <c r="F627" s="169">
        <f t="shared" si="347"/>
        <v>0</v>
      </c>
      <c r="G627" s="169">
        <f t="shared" si="347"/>
        <v>0</v>
      </c>
      <c r="H627" s="169">
        <f t="shared" si="347"/>
        <v>0</v>
      </c>
      <c r="I627" s="169">
        <f t="shared" si="347"/>
        <v>0</v>
      </c>
      <c r="J627" s="169">
        <f t="shared" si="347"/>
        <v>0</v>
      </c>
      <c r="K627" s="169">
        <f t="shared" si="347"/>
        <v>0</v>
      </c>
      <c r="L627" s="169">
        <f t="shared" si="347"/>
        <v>0</v>
      </c>
      <c r="M627" s="169">
        <f t="shared" si="347"/>
        <v>0</v>
      </c>
      <c r="N627" s="169">
        <f t="shared" si="347"/>
        <v>0</v>
      </c>
      <c r="O627" s="169">
        <f t="shared" si="347"/>
        <v>0</v>
      </c>
      <c r="P627" s="169">
        <f t="shared" si="347"/>
        <v>0</v>
      </c>
      <c r="Q627" s="169">
        <f t="shared" si="347"/>
        <v>0</v>
      </c>
      <c r="R627" s="169">
        <f t="shared" si="347"/>
        <v>0</v>
      </c>
      <c r="S627" s="169">
        <f t="shared" si="347"/>
        <v>0</v>
      </c>
      <c r="T627" s="169">
        <f t="shared" si="347"/>
        <v>0</v>
      </c>
      <c r="U627" s="169">
        <f t="shared" si="347"/>
        <v>0</v>
      </c>
      <c r="V627" s="169">
        <f t="shared" si="347"/>
        <v>0</v>
      </c>
      <c r="W627" s="169">
        <f t="shared" si="347"/>
        <v>0</v>
      </c>
      <c r="X627" s="169">
        <f t="shared" si="347"/>
        <v>0</v>
      </c>
      <c r="Y627" s="169">
        <f t="shared" si="347"/>
        <v>0</v>
      </c>
      <c r="Z627" s="169">
        <f t="shared" si="347"/>
        <v>0</v>
      </c>
      <c r="AA627" s="169">
        <f t="shared" si="347"/>
        <v>0</v>
      </c>
      <c r="AB627" s="169">
        <f t="shared" si="347"/>
        <v>0</v>
      </c>
      <c r="AC627" s="169">
        <f t="shared" si="347"/>
        <v>0</v>
      </c>
      <c r="AD627" s="169">
        <f t="shared" si="347"/>
        <v>0</v>
      </c>
      <c r="AE627" s="169">
        <f t="shared" si="347"/>
        <v>0</v>
      </c>
      <c r="AF627" s="169">
        <f t="shared" si="347"/>
        <v>0</v>
      </c>
      <c r="AG627" s="169">
        <f t="shared" si="347"/>
        <v>0</v>
      </c>
      <c r="AH627" s="169">
        <f t="shared" si="347"/>
        <v>0</v>
      </c>
      <c r="AI627" s="169">
        <f t="shared" si="347"/>
        <v>0</v>
      </c>
      <c r="AJ627" s="169">
        <f t="shared" si="347"/>
        <v>0</v>
      </c>
      <c r="AK627" s="169">
        <f t="shared" si="347"/>
        <v>0</v>
      </c>
      <c r="AL627" s="169">
        <f t="shared" si="347"/>
        <v>0</v>
      </c>
      <c r="AM627" s="169">
        <f t="shared" si="347"/>
        <v>0</v>
      </c>
      <c r="AN627" s="169">
        <f t="shared" si="347"/>
        <v>0</v>
      </c>
      <c r="AO627" s="169">
        <f t="shared" si="347"/>
        <v>0</v>
      </c>
      <c r="AP627" s="169">
        <f t="shared" si="347"/>
        <v>0</v>
      </c>
    </row>
    <row r="628" spans="1:42" x14ac:dyDescent="0.2">
      <c r="A628" s="20">
        <f t="shared" si="348"/>
        <v>6</v>
      </c>
      <c r="B628" s="179">
        <f t="shared" si="345"/>
        <v>0</v>
      </c>
      <c r="C628" s="208">
        <f t="shared" si="347"/>
        <v>0</v>
      </c>
      <c r="D628" s="169">
        <f t="shared" si="347"/>
        <v>0</v>
      </c>
      <c r="E628" s="169">
        <f t="shared" si="347"/>
        <v>0</v>
      </c>
      <c r="F628" s="169">
        <f t="shared" si="347"/>
        <v>0</v>
      </c>
      <c r="G628" s="169">
        <f t="shared" si="347"/>
        <v>0</v>
      </c>
      <c r="H628" s="169">
        <f t="shared" si="347"/>
        <v>0</v>
      </c>
      <c r="I628" s="169">
        <f t="shared" si="347"/>
        <v>0</v>
      </c>
      <c r="J628" s="169">
        <f t="shared" si="347"/>
        <v>0</v>
      </c>
      <c r="K628" s="169">
        <f t="shared" si="347"/>
        <v>0</v>
      </c>
      <c r="L628" s="169">
        <f t="shared" si="347"/>
        <v>0</v>
      </c>
      <c r="M628" s="169">
        <f t="shared" si="347"/>
        <v>0</v>
      </c>
      <c r="N628" s="169">
        <f t="shared" si="347"/>
        <v>0</v>
      </c>
      <c r="O628" s="169">
        <f t="shared" si="347"/>
        <v>0</v>
      </c>
      <c r="P628" s="169">
        <f t="shared" si="347"/>
        <v>0</v>
      </c>
      <c r="Q628" s="169">
        <f t="shared" si="347"/>
        <v>0</v>
      </c>
      <c r="R628" s="169">
        <f t="shared" si="347"/>
        <v>0</v>
      </c>
      <c r="S628" s="169">
        <f t="shared" si="347"/>
        <v>0</v>
      </c>
      <c r="T628" s="169">
        <f t="shared" si="347"/>
        <v>0</v>
      </c>
      <c r="U628" s="169">
        <f t="shared" si="347"/>
        <v>0</v>
      </c>
      <c r="V628" s="169">
        <f t="shared" si="347"/>
        <v>0</v>
      </c>
      <c r="W628" s="169">
        <f t="shared" si="347"/>
        <v>0</v>
      </c>
      <c r="X628" s="169">
        <f t="shared" si="347"/>
        <v>0</v>
      </c>
      <c r="Y628" s="169">
        <f t="shared" si="347"/>
        <v>0</v>
      </c>
      <c r="Z628" s="169">
        <f t="shared" si="347"/>
        <v>0</v>
      </c>
      <c r="AA628" s="169">
        <f t="shared" si="347"/>
        <v>0</v>
      </c>
      <c r="AB628" s="169">
        <f t="shared" si="347"/>
        <v>0</v>
      </c>
      <c r="AC628" s="169">
        <f t="shared" si="347"/>
        <v>0</v>
      </c>
      <c r="AD628" s="169">
        <f t="shared" si="347"/>
        <v>0</v>
      </c>
      <c r="AE628" s="169">
        <f t="shared" si="347"/>
        <v>0</v>
      </c>
      <c r="AF628" s="169">
        <f t="shared" si="347"/>
        <v>0</v>
      </c>
      <c r="AG628" s="169">
        <f t="shared" si="347"/>
        <v>0</v>
      </c>
      <c r="AH628" s="169">
        <f t="shared" si="347"/>
        <v>0</v>
      </c>
      <c r="AI628" s="169">
        <f t="shared" si="347"/>
        <v>0</v>
      </c>
      <c r="AJ628" s="169">
        <f t="shared" si="347"/>
        <v>0</v>
      </c>
      <c r="AK628" s="169">
        <f t="shared" si="347"/>
        <v>0</v>
      </c>
      <c r="AL628" s="169">
        <f t="shared" si="347"/>
        <v>0</v>
      </c>
      <c r="AM628" s="169">
        <f t="shared" si="347"/>
        <v>0</v>
      </c>
      <c r="AN628" s="169">
        <f t="shared" si="347"/>
        <v>0</v>
      </c>
      <c r="AO628" s="169">
        <f t="shared" si="347"/>
        <v>0</v>
      </c>
      <c r="AP628" s="169">
        <f t="shared" si="347"/>
        <v>0</v>
      </c>
    </row>
    <row r="629" spans="1:42" x14ac:dyDescent="0.2">
      <c r="A629" s="20">
        <f t="shared" si="348"/>
        <v>7</v>
      </c>
      <c r="B629" s="179">
        <f t="shared" si="345"/>
        <v>0</v>
      </c>
      <c r="C629" s="208">
        <f t="shared" si="347"/>
        <v>0</v>
      </c>
      <c r="D629" s="169">
        <f t="shared" si="347"/>
        <v>0</v>
      </c>
      <c r="E629" s="169">
        <f t="shared" si="347"/>
        <v>0</v>
      </c>
      <c r="F629" s="169">
        <f t="shared" si="347"/>
        <v>0</v>
      </c>
      <c r="G629" s="169">
        <f t="shared" si="347"/>
        <v>0</v>
      </c>
      <c r="H629" s="169">
        <f t="shared" si="347"/>
        <v>0</v>
      </c>
      <c r="I629" s="169">
        <f t="shared" si="347"/>
        <v>0</v>
      </c>
      <c r="J629" s="169">
        <f t="shared" si="347"/>
        <v>0</v>
      </c>
      <c r="K629" s="169">
        <f t="shared" si="347"/>
        <v>0</v>
      </c>
      <c r="L629" s="169">
        <f t="shared" si="347"/>
        <v>0</v>
      </c>
      <c r="M629" s="169">
        <f t="shared" si="347"/>
        <v>0</v>
      </c>
      <c r="N629" s="169">
        <f t="shared" si="347"/>
        <v>0</v>
      </c>
      <c r="O629" s="169">
        <f t="shared" si="347"/>
        <v>0</v>
      </c>
      <c r="P629" s="169">
        <f t="shared" si="347"/>
        <v>0</v>
      </c>
      <c r="Q629" s="169">
        <f t="shared" si="347"/>
        <v>0</v>
      </c>
      <c r="R629" s="169">
        <f t="shared" si="347"/>
        <v>0</v>
      </c>
      <c r="S629" s="169">
        <f t="shared" si="347"/>
        <v>0</v>
      </c>
      <c r="T629" s="169">
        <f t="shared" si="347"/>
        <v>0</v>
      </c>
      <c r="U629" s="169">
        <f t="shared" si="347"/>
        <v>0</v>
      </c>
      <c r="V629" s="169">
        <f t="shared" si="347"/>
        <v>0</v>
      </c>
      <c r="W629" s="169">
        <f t="shared" si="347"/>
        <v>0</v>
      </c>
      <c r="X629" s="169">
        <f t="shared" si="347"/>
        <v>0</v>
      </c>
      <c r="Y629" s="169">
        <f t="shared" si="347"/>
        <v>0</v>
      </c>
      <c r="Z629" s="169">
        <f t="shared" si="347"/>
        <v>0</v>
      </c>
      <c r="AA629" s="169">
        <f t="shared" si="347"/>
        <v>0</v>
      </c>
      <c r="AB629" s="169">
        <f t="shared" si="347"/>
        <v>0</v>
      </c>
      <c r="AC629" s="169">
        <f t="shared" si="347"/>
        <v>0</v>
      </c>
      <c r="AD629" s="169">
        <f t="shared" si="347"/>
        <v>0</v>
      </c>
      <c r="AE629" s="169">
        <f t="shared" si="347"/>
        <v>0</v>
      </c>
      <c r="AF629" s="169">
        <f t="shared" si="347"/>
        <v>0</v>
      </c>
      <c r="AG629" s="169">
        <f t="shared" si="347"/>
        <v>0</v>
      </c>
      <c r="AH629" s="169">
        <f t="shared" si="347"/>
        <v>0</v>
      </c>
      <c r="AI629" s="169">
        <f t="shared" si="347"/>
        <v>0</v>
      </c>
      <c r="AJ629" s="169">
        <f t="shared" si="347"/>
        <v>0</v>
      </c>
      <c r="AK629" s="169">
        <f t="shared" si="347"/>
        <v>0</v>
      </c>
      <c r="AL629" s="169">
        <f t="shared" si="347"/>
        <v>0</v>
      </c>
      <c r="AM629" s="169">
        <f t="shared" si="347"/>
        <v>0</v>
      </c>
      <c r="AN629" s="169">
        <f t="shared" si="347"/>
        <v>0</v>
      </c>
      <c r="AO629" s="169">
        <f t="shared" si="347"/>
        <v>0</v>
      </c>
      <c r="AP629" s="169">
        <f t="shared" si="347"/>
        <v>0</v>
      </c>
    </row>
    <row r="630" spans="1:42" x14ac:dyDescent="0.2">
      <c r="A630" s="20">
        <f t="shared" si="348"/>
        <v>8</v>
      </c>
      <c r="B630" s="179">
        <f t="shared" si="345"/>
        <v>0</v>
      </c>
      <c r="C630" s="208">
        <f t="shared" si="347"/>
        <v>0</v>
      </c>
      <c r="D630" s="169">
        <f t="shared" si="347"/>
        <v>0</v>
      </c>
      <c r="E630" s="169">
        <f t="shared" si="347"/>
        <v>0</v>
      </c>
      <c r="F630" s="169">
        <f t="shared" si="347"/>
        <v>0</v>
      </c>
      <c r="G630" s="169">
        <f t="shared" si="347"/>
        <v>0</v>
      </c>
      <c r="H630" s="169">
        <f t="shared" si="347"/>
        <v>0</v>
      </c>
      <c r="I630" s="169">
        <f t="shared" si="347"/>
        <v>0</v>
      </c>
      <c r="J630" s="169">
        <f t="shared" si="347"/>
        <v>0</v>
      </c>
      <c r="K630" s="169">
        <f t="shared" si="347"/>
        <v>0</v>
      </c>
      <c r="L630" s="169">
        <f t="shared" si="347"/>
        <v>0</v>
      </c>
      <c r="M630" s="169">
        <f t="shared" si="347"/>
        <v>0</v>
      </c>
      <c r="N630" s="169">
        <f t="shared" si="347"/>
        <v>0</v>
      </c>
      <c r="O630" s="169">
        <f t="shared" si="347"/>
        <v>0</v>
      </c>
      <c r="P630" s="169">
        <f t="shared" si="347"/>
        <v>0</v>
      </c>
      <c r="Q630" s="169">
        <f t="shared" si="347"/>
        <v>0</v>
      </c>
      <c r="R630" s="169">
        <f t="shared" ref="R630:AP630" si="349">IF(AND(R$2&gt;MMFrequency*$A617,R$2&lt;=MMFrequency*$A618),$B618/(MMFrequency),0)</f>
        <v>0</v>
      </c>
      <c r="S630" s="169">
        <f t="shared" si="349"/>
        <v>0</v>
      </c>
      <c r="T630" s="169">
        <f t="shared" si="349"/>
        <v>0</v>
      </c>
      <c r="U630" s="169">
        <f t="shared" si="349"/>
        <v>0</v>
      </c>
      <c r="V630" s="169">
        <f t="shared" si="349"/>
        <v>0</v>
      </c>
      <c r="W630" s="169">
        <f t="shared" si="349"/>
        <v>0</v>
      </c>
      <c r="X630" s="169">
        <f t="shared" si="349"/>
        <v>0</v>
      </c>
      <c r="Y630" s="169">
        <f t="shared" si="349"/>
        <v>0</v>
      </c>
      <c r="Z630" s="169">
        <f t="shared" si="349"/>
        <v>0</v>
      </c>
      <c r="AA630" s="169">
        <f t="shared" si="349"/>
        <v>0</v>
      </c>
      <c r="AB630" s="169">
        <f t="shared" si="349"/>
        <v>0</v>
      </c>
      <c r="AC630" s="169">
        <f t="shared" si="349"/>
        <v>0</v>
      </c>
      <c r="AD630" s="169">
        <f t="shared" si="349"/>
        <v>0</v>
      </c>
      <c r="AE630" s="169">
        <f t="shared" si="349"/>
        <v>0</v>
      </c>
      <c r="AF630" s="169">
        <f t="shared" si="349"/>
        <v>0</v>
      </c>
      <c r="AG630" s="169">
        <f t="shared" si="349"/>
        <v>0</v>
      </c>
      <c r="AH630" s="169">
        <f t="shared" si="349"/>
        <v>0</v>
      </c>
      <c r="AI630" s="169">
        <f t="shared" si="349"/>
        <v>0</v>
      </c>
      <c r="AJ630" s="169">
        <f t="shared" si="349"/>
        <v>0</v>
      </c>
      <c r="AK630" s="169">
        <f t="shared" si="349"/>
        <v>0</v>
      </c>
      <c r="AL630" s="169">
        <f t="shared" si="349"/>
        <v>0</v>
      </c>
      <c r="AM630" s="169">
        <f t="shared" si="349"/>
        <v>0</v>
      </c>
      <c r="AN630" s="169">
        <f t="shared" si="349"/>
        <v>0</v>
      </c>
      <c r="AO630" s="169">
        <f t="shared" si="349"/>
        <v>0</v>
      </c>
      <c r="AP630" s="169">
        <f t="shared" si="349"/>
        <v>0</v>
      </c>
    </row>
    <row r="631" spans="1:42" x14ac:dyDescent="0.2">
      <c r="A631" s="20">
        <f>A630+1</f>
        <v>9</v>
      </c>
      <c r="B631" s="179">
        <f t="shared" si="345"/>
        <v>0</v>
      </c>
      <c r="C631" s="208">
        <f t="shared" ref="C631:AP632" si="350">IF(AND(C$2&gt;MMFrequency*$A618,C$2&lt;=MMFrequency*$A619),$B619/(MMFrequency),0)</f>
        <v>0</v>
      </c>
      <c r="D631" s="169">
        <f t="shared" si="350"/>
        <v>0</v>
      </c>
      <c r="E631" s="169">
        <f t="shared" si="350"/>
        <v>0</v>
      </c>
      <c r="F631" s="169">
        <f t="shared" si="350"/>
        <v>0</v>
      </c>
      <c r="G631" s="169">
        <f t="shared" si="350"/>
        <v>0</v>
      </c>
      <c r="H631" s="169">
        <f t="shared" si="350"/>
        <v>0</v>
      </c>
      <c r="I631" s="169">
        <f t="shared" si="350"/>
        <v>0</v>
      </c>
      <c r="J631" s="169">
        <f t="shared" si="350"/>
        <v>0</v>
      </c>
      <c r="K631" s="169">
        <f t="shared" si="350"/>
        <v>0</v>
      </c>
      <c r="L631" s="169">
        <f t="shared" si="350"/>
        <v>0</v>
      </c>
      <c r="M631" s="169">
        <f t="shared" si="350"/>
        <v>0</v>
      </c>
      <c r="N631" s="169">
        <f t="shared" si="350"/>
        <v>0</v>
      </c>
      <c r="O631" s="169">
        <f t="shared" si="350"/>
        <v>0</v>
      </c>
      <c r="P631" s="169">
        <f t="shared" si="350"/>
        <v>0</v>
      </c>
      <c r="Q631" s="169">
        <f t="shared" si="350"/>
        <v>0</v>
      </c>
      <c r="R631" s="169">
        <f t="shared" si="350"/>
        <v>0</v>
      </c>
      <c r="S631" s="169">
        <f t="shared" si="350"/>
        <v>0</v>
      </c>
      <c r="T631" s="169">
        <f t="shared" si="350"/>
        <v>0</v>
      </c>
      <c r="U631" s="169">
        <f t="shared" si="350"/>
        <v>0</v>
      </c>
      <c r="V631" s="169">
        <f t="shared" si="350"/>
        <v>0</v>
      </c>
      <c r="W631" s="169">
        <f t="shared" si="350"/>
        <v>0</v>
      </c>
      <c r="X631" s="169">
        <f t="shared" si="350"/>
        <v>0</v>
      </c>
      <c r="Y631" s="169">
        <f t="shared" si="350"/>
        <v>0</v>
      </c>
      <c r="Z631" s="169">
        <f t="shared" si="350"/>
        <v>0</v>
      </c>
      <c r="AA631" s="169">
        <f t="shared" si="350"/>
        <v>0</v>
      </c>
      <c r="AB631" s="169">
        <f t="shared" si="350"/>
        <v>0</v>
      </c>
      <c r="AC631" s="169">
        <f t="shared" si="350"/>
        <v>0</v>
      </c>
      <c r="AD631" s="169">
        <f t="shared" si="350"/>
        <v>0</v>
      </c>
      <c r="AE631" s="169">
        <f t="shared" si="350"/>
        <v>0</v>
      </c>
      <c r="AF631" s="169">
        <f t="shared" si="350"/>
        <v>0</v>
      </c>
      <c r="AG631" s="169">
        <f t="shared" si="350"/>
        <v>0</v>
      </c>
      <c r="AH631" s="169">
        <f t="shared" si="350"/>
        <v>0</v>
      </c>
      <c r="AI631" s="169">
        <f t="shared" si="350"/>
        <v>0</v>
      </c>
      <c r="AJ631" s="169">
        <f t="shared" si="350"/>
        <v>0</v>
      </c>
      <c r="AK631" s="169">
        <f t="shared" si="350"/>
        <v>0</v>
      </c>
      <c r="AL631" s="169">
        <f t="shared" si="350"/>
        <v>0</v>
      </c>
      <c r="AM631" s="169">
        <f t="shared" si="350"/>
        <v>0</v>
      </c>
      <c r="AN631" s="169">
        <f t="shared" si="350"/>
        <v>0</v>
      </c>
      <c r="AO631" s="169">
        <f t="shared" si="350"/>
        <v>0</v>
      </c>
      <c r="AP631" s="169">
        <f t="shared" si="350"/>
        <v>0</v>
      </c>
    </row>
    <row r="632" spans="1:42" x14ac:dyDescent="0.2">
      <c r="A632" s="20">
        <f t="shared" ref="A632" si="351">A631+1</f>
        <v>10</v>
      </c>
      <c r="B632" s="179">
        <f t="shared" si="345"/>
        <v>0</v>
      </c>
      <c r="C632" s="204">
        <f t="shared" si="350"/>
        <v>0</v>
      </c>
      <c r="D632" s="170">
        <f t="shared" si="350"/>
        <v>0</v>
      </c>
      <c r="E632" s="170">
        <f t="shared" si="350"/>
        <v>0</v>
      </c>
      <c r="F632" s="170">
        <f t="shared" si="350"/>
        <v>0</v>
      </c>
      <c r="G632" s="170">
        <f t="shared" si="350"/>
        <v>0</v>
      </c>
      <c r="H632" s="170">
        <f t="shared" si="350"/>
        <v>0</v>
      </c>
      <c r="I632" s="170">
        <f t="shared" si="350"/>
        <v>0</v>
      </c>
      <c r="J632" s="170">
        <f t="shared" si="350"/>
        <v>0</v>
      </c>
      <c r="K632" s="170">
        <f t="shared" si="350"/>
        <v>0</v>
      </c>
      <c r="L632" s="170">
        <f t="shared" si="350"/>
        <v>0</v>
      </c>
      <c r="M632" s="170">
        <f t="shared" si="350"/>
        <v>0</v>
      </c>
      <c r="N632" s="170">
        <f t="shared" si="350"/>
        <v>0</v>
      </c>
      <c r="O632" s="170">
        <f t="shared" si="350"/>
        <v>0</v>
      </c>
      <c r="P632" s="170">
        <f t="shared" si="350"/>
        <v>0</v>
      </c>
      <c r="Q632" s="170">
        <f t="shared" si="350"/>
        <v>0</v>
      </c>
      <c r="R632" s="170">
        <f t="shared" si="350"/>
        <v>0</v>
      </c>
      <c r="S632" s="170">
        <f t="shared" si="350"/>
        <v>0</v>
      </c>
      <c r="T632" s="170">
        <f t="shared" si="350"/>
        <v>0</v>
      </c>
      <c r="U632" s="170">
        <f t="shared" si="350"/>
        <v>0</v>
      </c>
      <c r="V632" s="170">
        <f t="shared" si="350"/>
        <v>0</v>
      </c>
      <c r="W632" s="170">
        <f t="shared" si="350"/>
        <v>0</v>
      </c>
      <c r="X632" s="170">
        <f t="shared" si="350"/>
        <v>0</v>
      </c>
      <c r="Y632" s="170">
        <f t="shared" si="350"/>
        <v>0</v>
      </c>
      <c r="Z632" s="170">
        <f t="shared" si="350"/>
        <v>0</v>
      </c>
      <c r="AA632" s="170">
        <f t="shared" si="350"/>
        <v>0</v>
      </c>
      <c r="AB632" s="170">
        <f t="shared" si="350"/>
        <v>0</v>
      </c>
      <c r="AC632" s="170">
        <f t="shared" si="350"/>
        <v>0</v>
      </c>
      <c r="AD632" s="170">
        <f t="shared" si="350"/>
        <v>0</v>
      </c>
      <c r="AE632" s="170">
        <f t="shared" si="350"/>
        <v>0</v>
      </c>
      <c r="AF632" s="170">
        <f t="shared" si="350"/>
        <v>0</v>
      </c>
      <c r="AG632" s="170">
        <f t="shared" si="350"/>
        <v>0</v>
      </c>
      <c r="AH632" s="170">
        <f t="shared" si="350"/>
        <v>0</v>
      </c>
      <c r="AI632" s="170">
        <f t="shared" si="350"/>
        <v>0</v>
      </c>
      <c r="AJ632" s="170">
        <f t="shared" si="350"/>
        <v>0</v>
      </c>
      <c r="AK632" s="170">
        <f t="shared" si="350"/>
        <v>0</v>
      </c>
      <c r="AL632" s="170">
        <f t="shared" si="350"/>
        <v>0</v>
      </c>
      <c r="AM632" s="170">
        <f t="shared" si="350"/>
        <v>0</v>
      </c>
      <c r="AN632" s="170">
        <f t="shared" si="350"/>
        <v>0</v>
      </c>
      <c r="AO632" s="170">
        <f t="shared" si="350"/>
        <v>0</v>
      </c>
      <c r="AP632" s="170">
        <f t="shared" si="350"/>
        <v>0</v>
      </c>
    </row>
    <row r="633" spans="1:42" x14ac:dyDescent="0.2">
      <c r="A633" s="202" t="s">
        <v>53</v>
      </c>
      <c r="B633" s="169"/>
      <c r="C633" s="135">
        <f>SUM(C623:C632)</f>
        <v>245406.02862510949</v>
      </c>
      <c r="D633" s="135">
        <f t="shared" ref="D633:AP633" si="352">SUM(D623:D632)</f>
        <v>245406.02862510949</v>
      </c>
      <c r="E633" s="135">
        <f t="shared" si="352"/>
        <v>245406.02862510949</v>
      </c>
      <c r="F633" s="135">
        <f t="shared" si="352"/>
        <v>245406.02862510949</v>
      </c>
      <c r="G633" s="135">
        <f t="shared" si="352"/>
        <v>245406.02862510949</v>
      </c>
      <c r="H633" s="135">
        <f t="shared" si="352"/>
        <v>245406.02862510949</v>
      </c>
      <c r="I633" s="135">
        <f t="shared" si="352"/>
        <v>245406.02862510949</v>
      </c>
      <c r="J633" s="135">
        <f t="shared" si="352"/>
        <v>245406.02862510949</v>
      </c>
      <c r="K633" s="135">
        <f t="shared" si="352"/>
        <v>245406.02862510949</v>
      </c>
      <c r="L633" s="135">
        <f t="shared" si="352"/>
        <v>245406.02862510949</v>
      </c>
      <c r="M633" s="135">
        <f t="shared" si="352"/>
        <v>245406.02862510949</v>
      </c>
      <c r="N633" s="135">
        <f t="shared" si="352"/>
        <v>245406.02862510949</v>
      </c>
      <c r="O633" s="135">
        <f t="shared" si="352"/>
        <v>293411.90721039008</v>
      </c>
      <c r="P633" s="135">
        <f t="shared" si="352"/>
        <v>293411.90721039008</v>
      </c>
      <c r="Q633" s="135">
        <f t="shared" si="352"/>
        <v>293411.90721039008</v>
      </c>
      <c r="R633" s="135">
        <f t="shared" si="352"/>
        <v>293411.90721039008</v>
      </c>
      <c r="S633" s="135">
        <f t="shared" si="352"/>
        <v>293411.90721039008</v>
      </c>
      <c r="T633" s="135">
        <f t="shared" si="352"/>
        <v>293411.90721039008</v>
      </c>
      <c r="U633" s="135">
        <f t="shared" si="352"/>
        <v>293411.90721039008</v>
      </c>
      <c r="V633" s="135">
        <f t="shared" si="352"/>
        <v>293411.90721039008</v>
      </c>
      <c r="W633" s="135">
        <f t="shared" si="352"/>
        <v>293411.90721039008</v>
      </c>
      <c r="X633" s="135">
        <f t="shared" si="352"/>
        <v>293411.90721039008</v>
      </c>
      <c r="Y633" s="135">
        <f t="shared" si="352"/>
        <v>293411.90721039008</v>
      </c>
      <c r="Z633" s="135">
        <f t="shared" si="352"/>
        <v>293411.90721039008</v>
      </c>
      <c r="AA633" s="135">
        <f t="shared" si="352"/>
        <v>350808.60798392771</v>
      </c>
      <c r="AB633" s="135">
        <f t="shared" si="352"/>
        <v>350808.60798392771</v>
      </c>
      <c r="AC633" s="135">
        <f t="shared" si="352"/>
        <v>350808.60798392771</v>
      </c>
      <c r="AD633" s="135">
        <f t="shared" si="352"/>
        <v>350808.60798392771</v>
      </c>
      <c r="AE633" s="135">
        <f t="shared" si="352"/>
        <v>350808.60798392771</v>
      </c>
      <c r="AF633" s="135">
        <f t="shared" si="352"/>
        <v>350808.60798392771</v>
      </c>
      <c r="AG633" s="135">
        <f t="shared" si="352"/>
        <v>350808.60798392771</v>
      </c>
      <c r="AH633" s="135">
        <f t="shared" si="352"/>
        <v>350808.60798392771</v>
      </c>
      <c r="AI633" s="135">
        <f t="shared" si="352"/>
        <v>350808.60798392771</v>
      </c>
      <c r="AJ633" s="135">
        <f t="shared" si="352"/>
        <v>350808.60798392771</v>
      </c>
      <c r="AK633" s="135">
        <f t="shared" si="352"/>
        <v>350808.60798392771</v>
      </c>
      <c r="AL633" s="135">
        <f t="shared" si="352"/>
        <v>350808.60798392771</v>
      </c>
      <c r="AM633" s="135">
        <f t="shared" si="352"/>
        <v>0</v>
      </c>
      <c r="AN633" s="135">
        <f t="shared" si="352"/>
        <v>0</v>
      </c>
      <c r="AO633" s="135">
        <f t="shared" si="352"/>
        <v>0</v>
      </c>
      <c r="AP633" s="135">
        <f t="shared" si="352"/>
        <v>0</v>
      </c>
    </row>
    <row r="634" spans="1:42" x14ac:dyDescent="0.2">
      <c r="B634" s="169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</row>
    <row r="635" spans="1:42" x14ac:dyDescent="0.2">
      <c r="A635" s="165" t="s">
        <v>297</v>
      </c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</row>
    <row r="636" spans="1:42" x14ac:dyDescent="0.2">
      <c r="A636" s="20" t="s">
        <v>96</v>
      </c>
      <c r="B636" s="135">
        <v>0</v>
      </c>
      <c r="C636" s="135">
        <f>B639</f>
        <v>0</v>
      </c>
      <c r="D636" s="135">
        <f t="shared" ref="D636:AP636" si="353">C639</f>
        <v>0</v>
      </c>
      <c r="E636" s="135">
        <f t="shared" si="353"/>
        <v>0</v>
      </c>
      <c r="F636" s="135">
        <f t="shared" si="353"/>
        <v>0</v>
      </c>
      <c r="G636" s="135">
        <f t="shared" si="353"/>
        <v>0</v>
      </c>
      <c r="H636" s="135">
        <f t="shared" si="353"/>
        <v>0</v>
      </c>
      <c r="I636" s="135">
        <f t="shared" si="353"/>
        <v>0</v>
      </c>
      <c r="J636" s="135">
        <f t="shared" si="353"/>
        <v>0</v>
      </c>
      <c r="K636" s="135">
        <f t="shared" si="353"/>
        <v>0</v>
      </c>
      <c r="L636" s="135">
        <f t="shared" si="353"/>
        <v>0</v>
      </c>
      <c r="M636" s="135">
        <f t="shared" si="353"/>
        <v>0</v>
      </c>
      <c r="N636" s="135">
        <f t="shared" si="353"/>
        <v>0</v>
      </c>
      <c r="O636" s="135">
        <f t="shared" si="353"/>
        <v>0</v>
      </c>
      <c r="P636" s="135">
        <f t="shared" si="353"/>
        <v>0</v>
      </c>
      <c r="Q636" s="135">
        <f t="shared" si="353"/>
        <v>0</v>
      </c>
      <c r="R636" s="135">
        <f t="shared" si="353"/>
        <v>0</v>
      </c>
      <c r="S636" s="135">
        <f t="shared" si="353"/>
        <v>0</v>
      </c>
      <c r="T636" s="135">
        <f t="shared" si="353"/>
        <v>0</v>
      </c>
      <c r="U636" s="135">
        <f t="shared" si="353"/>
        <v>0</v>
      </c>
      <c r="V636" s="135">
        <f t="shared" si="353"/>
        <v>0</v>
      </c>
      <c r="W636" s="135">
        <f t="shared" si="353"/>
        <v>0</v>
      </c>
      <c r="X636" s="135">
        <f t="shared" si="353"/>
        <v>0</v>
      </c>
      <c r="Y636" s="135">
        <f t="shared" si="353"/>
        <v>0</v>
      </c>
      <c r="Z636" s="135">
        <f t="shared" si="353"/>
        <v>0</v>
      </c>
      <c r="AA636" s="135">
        <f t="shared" si="353"/>
        <v>0</v>
      </c>
      <c r="AB636" s="135">
        <f t="shared" si="353"/>
        <v>0</v>
      </c>
      <c r="AC636" s="135">
        <f t="shared" si="353"/>
        <v>0</v>
      </c>
      <c r="AD636" s="135">
        <f t="shared" si="353"/>
        <v>0</v>
      </c>
      <c r="AE636" s="135">
        <f t="shared" si="353"/>
        <v>0</v>
      </c>
      <c r="AF636" s="135">
        <f t="shared" si="353"/>
        <v>0</v>
      </c>
      <c r="AG636" s="135">
        <f t="shared" si="353"/>
        <v>0</v>
      </c>
      <c r="AH636" s="135">
        <f t="shared" si="353"/>
        <v>0</v>
      </c>
      <c r="AI636" s="135">
        <f t="shared" si="353"/>
        <v>0</v>
      </c>
      <c r="AJ636" s="135">
        <f t="shared" si="353"/>
        <v>0</v>
      </c>
      <c r="AK636" s="135">
        <f t="shared" si="353"/>
        <v>0</v>
      </c>
      <c r="AL636" s="135">
        <f t="shared" si="353"/>
        <v>0</v>
      </c>
      <c r="AM636" s="135">
        <f t="shared" si="353"/>
        <v>0</v>
      </c>
      <c r="AN636" s="135">
        <f t="shared" si="353"/>
        <v>0</v>
      </c>
      <c r="AO636" s="135">
        <f t="shared" si="353"/>
        <v>0</v>
      </c>
      <c r="AP636" s="135">
        <f t="shared" si="353"/>
        <v>0</v>
      </c>
    </row>
    <row r="637" spans="1:42" x14ac:dyDescent="0.2">
      <c r="A637" s="20" t="s">
        <v>183</v>
      </c>
      <c r="B637" s="135">
        <v>0</v>
      </c>
      <c r="C637" s="135">
        <f>C665</f>
        <v>0</v>
      </c>
      <c r="D637" s="135">
        <f t="shared" ref="D637:AP637" si="354">D665</f>
        <v>0</v>
      </c>
      <c r="E637" s="135">
        <f t="shared" si="354"/>
        <v>0</v>
      </c>
      <c r="F637" s="135">
        <f t="shared" si="354"/>
        <v>0</v>
      </c>
      <c r="G637" s="135">
        <f t="shared" si="354"/>
        <v>0</v>
      </c>
      <c r="H637" s="135">
        <f t="shared" si="354"/>
        <v>0</v>
      </c>
      <c r="I637" s="135">
        <f t="shared" si="354"/>
        <v>0</v>
      </c>
      <c r="J637" s="135">
        <f t="shared" si="354"/>
        <v>0</v>
      </c>
      <c r="K637" s="135">
        <f t="shared" si="354"/>
        <v>0</v>
      </c>
      <c r="L637" s="135">
        <f t="shared" si="354"/>
        <v>0</v>
      </c>
      <c r="M637" s="135">
        <f t="shared" si="354"/>
        <v>0</v>
      </c>
      <c r="N637" s="135">
        <f t="shared" si="354"/>
        <v>0</v>
      </c>
      <c r="O637" s="135">
        <f t="shared" si="354"/>
        <v>0</v>
      </c>
      <c r="P637" s="135">
        <f t="shared" si="354"/>
        <v>0</v>
      </c>
      <c r="Q637" s="135">
        <f t="shared" si="354"/>
        <v>0</v>
      </c>
      <c r="R637" s="135">
        <f t="shared" si="354"/>
        <v>0</v>
      </c>
      <c r="S637" s="135">
        <f t="shared" si="354"/>
        <v>0</v>
      </c>
      <c r="T637" s="135">
        <f t="shared" si="354"/>
        <v>0</v>
      </c>
      <c r="U637" s="135">
        <f t="shared" si="354"/>
        <v>0</v>
      </c>
      <c r="V637" s="135">
        <f t="shared" si="354"/>
        <v>0</v>
      </c>
      <c r="W637" s="135">
        <f t="shared" si="354"/>
        <v>0</v>
      </c>
      <c r="X637" s="135">
        <f t="shared" si="354"/>
        <v>0</v>
      </c>
      <c r="Y637" s="135">
        <f t="shared" si="354"/>
        <v>0</v>
      </c>
      <c r="Z637" s="135">
        <f t="shared" si="354"/>
        <v>0</v>
      </c>
      <c r="AA637" s="135">
        <f t="shared" si="354"/>
        <v>0</v>
      </c>
      <c r="AB637" s="135">
        <f t="shared" si="354"/>
        <v>0</v>
      </c>
      <c r="AC637" s="135">
        <f t="shared" si="354"/>
        <v>0</v>
      </c>
      <c r="AD637" s="135">
        <f t="shared" si="354"/>
        <v>0</v>
      </c>
      <c r="AE637" s="135">
        <f t="shared" si="354"/>
        <v>0</v>
      </c>
      <c r="AF637" s="135">
        <f t="shared" si="354"/>
        <v>0</v>
      </c>
      <c r="AG637" s="135">
        <f t="shared" si="354"/>
        <v>0</v>
      </c>
      <c r="AH637" s="135">
        <f t="shared" si="354"/>
        <v>0</v>
      </c>
      <c r="AI637" s="135">
        <f t="shared" si="354"/>
        <v>0</v>
      </c>
      <c r="AJ637" s="135">
        <f t="shared" si="354"/>
        <v>0</v>
      </c>
      <c r="AK637" s="135">
        <f t="shared" si="354"/>
        <v>0</v>
      </c>
      <c r="AL637" s="135">
        <f t="shared" si="354"/>
        <v>0</v>
      </c>
      <c r="AM637" s="135">
        <f t="shared" si="354"/>
        <v>0</v>
      </c>
      <c r="AN637" s="135">
        <f t="shared" si="354"/>
        <v>0</v>
      </c>
      <c r="AO637" s="135">
        <f t="shared" si="354"/>
        <v>0</v>
      </c>
      <c r="AP637" s="135">
        <f t="shared" si="354"/>
        <v>0</v>
      </c>
    </row>
    <row r="638" spans="1:42" x14ac:dyDescent="0.2">
      <c r="A638" s="20" t="s">
        <v>103</v>
      </c>
      <c r="B638" s="170">
        <v>0</v>
      </c>
      <c r="C638" s="170">
        <f>-C653</f>
        <v>0</v>
      </c>
      <c r="D638" s="170">
        <f t="shared" ref="D638:AP638" si="355">-D653</f>
        <v>0</v>
      </c>
      <c r="E638" s="170">
        <f t="shared" si="355"/>
        <v>0</v>
      </c>
      <c r="F638" s="170">
        <f t="shared" si="355"/>
        <v>0</v>
      </c>
      <c r="G638" s="170">
        <f t="shared" si="355"/>
        <v>0</v>
      </c>
      <c r="H638" s="170">
        <f t="shared" si="355"/>
        <v>0</v>
      </c>
      <c r="I638" s="170">
        <f t="shared" si="355"/>
        <v>0</v>
      </c>
      <c r="J638" s="170">
        <f t="shared" si="355"/>
        <v>0</v>
      </c>
      <c r="K638" s="170">
        <f t="shared" si="355"/>
        <v>0</v>
      </c>
      <c r="L638" s="170">
        <f t="shared" si="355"/>
        <v>0</v>
      </c>
      <c r="M638" s="170">
        <f t="shared" si="355"/>
        <v>0</v>
      </c>
      <c r="N638" s="170">
        <f t="shared" si="355"/>
        <v>0</v>
      </c>
      <c r="O638" s="170">
        <f t="shared" si="355"/>
        <v>0</v>
      </c>
      <c r="P638" s="170">
        <f t="shared" si="355"/>
        <v>0</v>
      </c>
      <c r="Q638" s="170">
        <f t="shared" si="355"/>
        <v>0</v>
      </c>
      <c r="R638" s="170">
        <f t="shared" si="355"/>
        <v>0</v>
      </c>
      <c r="S638" s="170">
        <f t="shared" si="355"/>
        <v>0</v>
      </c>
      <c r="T638" s="170">
        <f t="shared" si="355"/>
        <v>0</v>
      </c>
      <c r="U638" s="170">
        <f t="shared" si="355"/>
        <v>0</v>
      </c>
      <c r="V638" s="170">
        <f t="shared" si="355"/>
        <v>0</v>
      </c>
      <c r="W638" s="170">
        <f t="shared" si="355"/>
        <v>0</v>
      </c>
      <c r="X638" s="170">
        <f t="shared" si="355"/>
        <v>0</v>
      </c>
      <c r="Y638" s="170">
        <f t="shared" si="355"/>
        <v>0</v>
      </c>
      <c r="Z638" s="170">
        <f t="shared" si="355"/>
        <v>0</v>
      </c>
      <c r="AA638" s="170">
        <f t="shared" si="355"/>
        <v>0</v>
      </c>
      <c r="AB638" s="170">
        <f t="shared" si="355"/>
        <v>0</v>
      </c>
      <c r="AC638" s="170">
        <f t="shared" si="355"/>
        <v>0</v>
      </c>
      <c r="AD638" s="170">
        <f t="shared" si="355"/>
        <v>0</v>
      </c>
      <c r="AE638" s="170">
        <f t="shared" si="355"/>
        <v>0</v>
      </c>
      <c r="AF638" s="170">
        <f t="shared" si="355"/>
        <v>0</v>
      </c>
      <c r="AG638" s="170">
        <f t="shared" si="355"/>
        <v>0</v>
      </c>
      <c r="AH638" s="170">
        <f t="shared" si="355"/>
        <v>0</v>
      </c>
      <c r="AI638" s="170">
        <f t="shared" si="355"/>
        <v>0</v>
      </c>
      <c r="AJ638" s="170">
        <f t="shared" si="355"/>
        <v>0</v>
      </c>
      <c r="AK638" s="170">
        <f t="shared" si="355"/>
        <v>0</v>
      </c>
      <c r="AL638" s="170">
        <f t="shared" si="355"/>
        <v>0</v>
      </c>
      <c r="AM638" s="170">
        <f t="shared" si="355"/>
        <v>0</v>
      </c>
      <c r="AN638" s="170">
        <f t="shared" si="355"/>
        <v>0</v>
      </c>
      <c r="AO638" s="170">
        <f t="shared" si="355"/>
        <v>0</v>
      </c>
      <c r="AP638" s="170">
        <f t="shared" si="355"/>
        <v>0</v>
      </c>
    </row>
    <row r="639" spans="1:42" x14ac:dyDescent="0.2">
      <c r="A639" s="20" t="s">
        <v>99</v>
      </c>
      <c r="B639" s="135">
        <f>SUM(B636:B638)</f>
        <v>0</v>
      </c>
      <c r="C639" s="135">
        <f>SUM(C636:C638)</f>
        <v>0</v>
      </c>
      <c r="D639" s="135">
        <f t="shared" ref="D639:AP639" si="356">SUM(D636:D638)</f>
        <v>0</v>
      </c>
      <c r="E639" s="135">
        <f t="shared" si="356"/>
        <v>0</v>
      </c>
      <c r="F639" s="135">
        <f t="shared" si="356"/>
        <v>0</v>
      </c>
      <c r="G639" s="135">
        <f t="shared" si="356"/>
        <v>0</v>
      </c>
      <c r="H639" s="135">
        <f t="shared" si="356"/>
        <v>0</v>
      </c>
      <c r="I639" s="135">
        <f t="shared" si="356"/>
        <v>0</v>
      </c>
      <c r="J639" s="135">
        <f t="shared" si="356"/>
        <v>0</v>
      </c>
      <c r="K639" s="135">
        <f t="shared" si="356"/>
        <v>0</v>
      </c>
      <c r="L639" s="135">
        <f t="shared" si="356"/>
        <v>0</v>
      </c>
      <c r="M639" s="135">
        <f t="shared" si="356"/>
        <v>0</v>
      </c>
      <c r="N639" s="135">
        <f t="shared" si="356"/>
        <v>0</v>
      </c>
      <c r="O639" s="135">
        <f t="shared" si="356"/>
        <v>0</v>
      </c>
      <c r="P639" s="135">
        <f t="shared" si="356"/>
        <v>0</v>
      </c>
      <c r="Q639" s="135">
        <f t="shared" si="356"/>
        <v>0</v>
      </c>
      <c r="R639" s="135">
        <f t="shared" si="356"/>
        <v>0</v>
      </c>
      <c r="S639" s="135">
        <f t="shared" si="356"/>
        <v>0</v>
      </c>
      <c r="T639" s="135">
        <f t="shared" si="356"/>
        <v>0</v>
      </c>
      <c r="U639" s="135">
        <f t="shared" si="356"/>
        <v>0</v>
      </c>
      <c r="V639" s="135">
        <f t="shared" si="356"/>
        <v>0</v>
      </c>
      <c r="W639" s="135">
        <f t="shared" si="356"/>
        <v>0</v>
      </c>
      <c r="X639" s="135">
        <f t="shared" si="356"/>
        <v>0</v>
      </c>
      <c r="Y639" s="135">
        <f t="shared" si="356"/>
        <v>0</v>
      </c>
      <c r="Z639" s="135">
        <f t="shared" si="356"/>
        <v>0</v>
      </c>
      <c r="AA639" s="135">
        <f t="shared" si="356"/>
        <v>0</v>
      </c>
      <c r="AB639" s="135">
        <f t="shared" si="356"/>
        <v>0</v>
      </c>
      <c r="AC639" s="135">
        <f t="shared" si="356"/>
        <v>0</v>
      </c>
      <c r="AD639" s="135">
        <f t="shared" si="356"/>
        <v>0</v>
      </c>
      <c r="AE639" s="135">
        <f t="shared" si="356"/>
        <v>0</v>
      </c>
      <c r="AF639" s="135">
        <f t="shared" si="356"/>
        <v>0</v>
      </c>
      <c r="AG639" s="135">
        <f t="shared" si="356"/>
        <v>0</v>
      </c>
      <c r="AH639" s="135">
        <f t="shared" si="356"/>
        <v>0</v>
      </c>
      <c r="AI639" s="135">
        <f t="shared" si="356"/>
        <v>0</v>
      </c>
      <c r="AJ639" s="135">
        <f t="shared" si="356"/>
        <v>0</v>
      </c>
      <c r="AK639" s="135">
        <f t="shared" si="356"/>
        <v>0</v>
      </c>
      <c r="AL639" s="135">
        <f t="shared" si="356"/>
        <v>0</v>
      </c>
      <c r="AM639" s="135">
        <f t="shared" si="356"/>
        <v>0</v>
      </c>
      <c r="AN639" s="135">
        <f t="shared" si="356"/>
        <v>0</v>
      </c>
      <c r="AO639" s="135">
        <f t="shared" si="356"/>
        <v>0</v>
      </c>
      <c r="AP639" s="135">
        <f t="shared" si="356"/>
        <v>0</v>
      </c>
    </row>
    <row r="640" spans="1:42" x14ac:dyDescent="0.2">
      <c r="B640" s="135"/>
      <c r="C640" s="135"/>
      <c r="D640" s="135"/>
      <c r="E640" s="135"/>
      <c r="F640" s="135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</row>
    <row r="641" spans="1:42" x14ac:dyDescent="0.2">
      <c r="A641" s="20" t="s">
        <v>181</v>
      </c>
      <c r="B641" s="135"/>
      <c r="C641" s="135"/>
      <c r="D641" s="135"/>
      <c r="E641" s="135"/>
      <c r="F641" s="135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</row>
    <row r="642" spans="1:42" x14ac:dyDescent="0.2">
      <c r="A642" s="20" t="s">
        <v>182</v>
      </c>
      <c r="B642" s="135"/>
      <c r="C642" s="135"/>
      <c r="D642" s="135"/>
      <c r="E642" s="135"/>
      <c r="F642" s="135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</row>
    <row r="643" spans="1:42" x14ac:dyDescent="0.2">
      <c r="A643" s="20">
        <v>1</v>
      </c>
      <c r="B643" s="179">
        <f t="shared" ref="B643:B652" si="357">SUM(C643:AP643)</f>
        <v>0</v>
      </c>
      <c r="C643" s="169">
        <f t="shared" ref="C643:AP649" si="358">IF(C$2&gt;AnalysisPeriod,0,IF(C$2=MMFrequency2*$A643,MMCost2*CapacityDC*1000*(1+Inflation)^B$2,0))</f>
        <v>0</v>
      </c>
      <c r="D643" s="169">
        <f t="shared" si="358"/>
        <v>0</v>
      </c>
      <c r="E643" s="169">
        <f t="shared" si="358"/>
        <v>0</v>
      </c>
      <c r="F643" s="169">
        <f t="shared" si="358"/>
        <v>0</v>
      </c>
      <c r="G643" s="169">
        <f t="shared" si="358"/>
        <v>0</v>
      </c>
      <c r="H643" s="169">
        <f t="shared" si="358"/>
        <v>0</v>
      </c>
      <c r="I643" s="169">
        <f t="shared" si="358"/>
        <v>0</v>
      </c>
      <c r="J643" s="169">
        <f t="shared" si="358"/>
        <v>0</v>
      </c>
      <c r="K643" s="169">
        <f t="shared" si="358"/>
        <v>0</v>
      </c>
      <c r="L643" s="169">
        <f t="shared" si="358"/>
        <v>0</v>
      </c>
      <c r="M643" s="169">
        <f t="shared" si="358"/>
        <v>0</v>
      </c>
      <c r="N643" s="169">
        <f t="shared" si="358"/>
        <v>0</v>
      </c>
      <c r="O643" s="169">
        <f t="shared" si="358"/>
        <v>0</v>
      </c>
      <c r="P643" s="169">
        <f t="shared" si="358"/>
        <v>0</v>
      </c>
      <c r="Q643" s="169">
        <f t="shared" si="358"/>
        <v>0</v>
      </c>
      <c r="R643" s="169">
        <f t="shared" si="358"/>
        <v>0</v>
      </c>
      <c r="S643" s="169">
        <f t="shared" si="358"/>
        <v>0</v>
      </c>
      <c r="T643" s="169">
        <f t="shared" si="358"/>
        <v>0</v>
      </c>
      <c r="U643" s="169">
        <f t="shared" si="358"/>
        <v>0</v>
      </c>
      <c r="V643" s="169">
        <f t="shared" si="358"/>
        <v>0</v>
      </c>
      <c r="W643" s="169">
        <f t="shared" si="358"/>
        <v>0</v>
      </c>
      <c r="X643" s="169">
        <f t="shared" si="358"/>
        <v>0</v>
      </c>
      <c r="Y643" s="169">
        <f t="shared" si="358"/>
        <v>0</v>
      </c>
      <c r="Z643" s="169">
        <f t="shared" si="358"/>
        <v>0</v>
      </c>
      <c r="AA643" s="169">
        <f t="shared" si="358"/>
        <v>0</v>
      </c>
      <c r="AB643" s="169">
        <f t="shared" si="358"/>
        <v>0</v>
      </c>
      <c r="AC643" s="169">
        <f t="shared" si="358"/>
        <v>0</v>
      </c>
      <c r="AD643" s="169">
        <f t="shared" si="358"/>
        <v>0</v>
      </c>
      <c r="AE643" s="169">
        <f t="shared" si="358"/>
        <v>0</v>
      </c>
      <c r="AF643" s="169">
        <f t="shared" si="358"/>
        <v>0</v>
      </c>
      <c r="AG643" s="169">
        <f t="shared" si="358"/>
        <v>0</v>
      </c>
      <c r="AH643" s="169">
        <f t="shared" si="358"/>
        <v>0</v>
      </c>
      <c r="AI643" s="169">
        <f t="shared" si="358"/>
        <v>0</v>
      </c>
      <c r="AJ643" s="169">
        <f t="shared" si="358"/>
        <v>0</v>
      </c>
      <c r="AK643" s="169">
        <f t="shared" si="358"/>
        <v>0</v>
      </c>
      <c r="AL643" s="169">
        <f t="shared" si="358"/>
        <v>0</v>
      </c>
      <c r="AM643" s="169">
        <f t="shared" si="358"/>
        <v>0</v>
      </c>
      <c r="AN643" s="169">
        <f t="shared" si="358"/>
        <v>0</v>
      </c>
      <c r="AO643" s="169">
        <f t="shared" si="358"/>
        <v>0</v>
      </c>
      <c r="AP643" s="169">
        <f t="shared" si="358"/>
        <v>0</v>
      </c>
    </row>
    <row r="644" spans="1:42" x14ac:dyDescent="0.2">
      <c r="A644" s="20">
        <f>A643+1</f>
        <v>2</v>
      </c>
      <c r="B644" s="179">
        <f t="shared" si="357"/>
        <v>0</v>
      </c>
      <c r="C644" s="169">
        <f t="shared" si="358"/>
        <v>0</v>
      </c>
      <c r="D644" s="169">
        <f t="shared" si="358"/>
        <v>0</v>
      </c>
      <c r="E644" s="169">
        <f t="shared" si="358"/>
        <v>0</v>
      </c>
      <c r="F644" s="169">
        <f t="shared" si="358"/>
        <v>0</v>
      </c>
      <c r="G644" s="169">
        <f t="shared" si="358"/>
        <v>0</v>
      </c>
      <c r="H644" s="169">
        <f t="shared" si="358"/>
        <v>0</v>
      </c>
      <c r="I644" s="169">
        <f t="shared" si="358"/>
        <v>0</v>
      </c>
      <c r="J644" s="169">
        <f t="shared" si="358"/>
        <v>0</v>
      </c>
      <c r="K644" s="169">
        <f t="shared" si="358"/>
        <v>0</v>
      </c>
      <c r="L644" s="169">
        <f t="shared" si="358"/>
        <v>0</v>
      </c>
      <c r="M644" s="169">
        <f t="shared" si="358"/>
        <v>0</v>
      </c>
      <c r="N644" s="169">
        <f t="shared" si="358"/>
        <v>0</v>
      </c>
      <c r="O644" s="169">
        <f t="shared" si="358"/>
        <v>0</v>
      </c>
      <c r="P644" s="169">
        <f t="shared" si="358"/>
        <v>0</v>
      </c>
      <c r="Q644" s="169">
        <f t="shared" si="358"/>
        <v>0</v>
      </c>
      <c r="R644" s="169">
        <f t="shared" si="358"/>
        <v>0</v>
      </c>
      <c r="S644" s="169">
        <f t="shared" si="358"/>
        <v>0</v>
      </c>
      <c r="T644" s="169">
        <f t="shared" si="358"/>
        <v>0</v>
      </c>
      <c r="U644" s="169">
        <f t="shared" si="358"/>
        <v>0</v>
      </c>
      <c r="V644" s="169">
        <f t="shared" si="358"/>
        <v>0</v>
      </c>
      <c r="W644" s="169">
        <f t="shared" si="358"/>
        <v>0</v>
      </c>
      <c r="X644" s="169">
        <f t="shared" si="358"/>
        <v>0</v>
      </c>
      <c r="Y644" s="169">
        <f t="shared" si="358"/>
        <v>0</v>
      </c>
      <c r="Z644" s="169">
        <f t="shared" si="358"/>
        <v>0</v>
      </c>
      <c r="AA644" s="169">
        <f t="shared" si="358"/>
        <v>0</v>
      </c>
      <c r="AB644" s="169">
        <f t="shared" si="358"/>
        <v>0</v>
      </c>
      <c r="AC644" s="169">
        <f t="shared" si="358"/>
        <v>0</v>
      </c>
      <c r="AD644" s="169">
        <f t="shared" si="358"/>
        <v>0</v>
      </c>
      <c r="AE644" s="169">
        <f t="shared" si="358"/>
        <v>0</v>
      </c>
      <c r="AF644" s="169">
        <f t="shared" si="358"/>
        <v>0</v>
      </c>
      <c r="AG644" s="169">
        <f t="shared" si="358"/>
        <v>0</v>
      </c>
      <c r="AH644" s="169">
        <f t="shared" si="358"/>
        <v>0</v>
      </c>
      <c r="AI644" s="169">
        <f t="shared" si="358"/>
        <v>0</v>
      </c>
      <c r="AJ644" s="169">
        <f t="shared" si="358"/>
        <v>0</v>
      </c>
      <c r="AK644" s="169">
        <f t="shared" si="358"/>
        <v>0</v>
      </c>
      <c r="AL644" s="169">
        <f t="shared" si="358"/>
        <v>0</v>
      </c>
      <c r="AM644" s="169">
        <f t="shared" si="358"/>
        <v>0</v>
      </c>
      <c r="AN644" s="169">
        <f t="shared" si="358"/>
        <v>0</v>
      </c>
      <c r="AO644" s="169">
        <f t="shared" si="358"/>
        <v>0</v>
      </c>
      <c r="AP644" s="169">
        <f t="shared" si="358"/>
        <v>0</v>
      </c>
    </row>
    <row r="645" spans="1:42" x14ac:dyDescent="0.2">
      <c r="A645" s="20">
        <f t="shared" ref="A645:A652" si="359">A644+1</f>
        <v>3</v>
      </c>
      <c r="B645" s="179">
        <f t="shared" si="357"/>
        <v>0</v>
      </c>
      <c r="C645" s="169">
        <f t="shared" si="358"/>
        <v>0</v>
      </c>
      <c r="D645" s="169">
        <f t="shared" si="358"/>
        <v>0</v>
      </c>
      <c r="E645" s="169">
        <f t="shared" si="358"/>
        <v>0</v>
      </c>
      <c r="F645" s="169">
        <f t="shared" si="358"/>
        <v>0</v>
      </c>
      <c r="G645" s="169">
        <f t="shared" si="358"/>
        <v>0</v>
      </c>
      <c r="H645" s="169">
        <f t="shared" si="358"/>
        <v>0</v>
      </c>
      <c r="I645" s="169">
        <f t="shared" si="358"/>
        <v>0</v>
      </c>
      <c r="J645" s="169">
        <f t="shared" si="358"/>
        <v>0</v>
      </c>
      <c r="K645" s="169">
        <f t="shared" si="358"/>
        <v>0</v>
      </c>
      <c r="L645" s="169">
        <f t="shared" si="358"/>
        <v>0</v>
      </c>
      <c r="M645" s="169">
        <f t="shared" si="358"/>
        <v>0</v>
      </c>
      <c r="N645" s="169">
        <f t="shared" si="358"/>
        <v>0</v>
      </c>
      <c r="O645" s="169">
        <f t="shared" si="358"/>
        <v>0</v>
      </c>
      <c r="P645" s="169">
        <f t="shared" si="358"/>
        <v>0</v>
      </c>
      <c r="Q645" s="169">
        <f t="shared" si="358"/>
        <v>0</v>
      </c>
      <c r="R645" s="169">
        <f t="shared" si="358"/>
        <v>0</v>
      </c>
      <c r="S645" s="169">
        <f t="shared" si="358"/>
        <v>0</v>
      </c>
      <c r="T645" s="169">
        <f t="shared" si="358"/>
        <v>0</v>
      </c>
      <c r="U645" s="169">
        <f t="shared" si="358"/>
        <v>0</v>
      </c>
      <c r="V645" s="169">
        <f t="shared" si="358"/>
        <v>0</v>
      </c>
      <c r="W645" s="169">
        <f t="shared" si="358"/>
        <v>0</v>
      </c>
      <c r="X645" s="169">
        <f t="shared" si="358"/>
        <v>0</v>
      </c>
      <c r="Y645" s="169">
        <f t="shared" si="358"/>
        <v>0</v>
      </c>
      <c r="Z645" s="169">
        <f t="shared" si="358"/>
        <v>0</v>
      </c>
      <c r="AA645" s="169">
        <f t="shared" si="358"/>
        <v>0</v>
      </c>
      <c r="AB645" s="169">
        <f t="shared" si="358"/>
        <v>0</v>
      </c>
      <c r="AC645" s="169">
        <f t="shared" si="358"/>
        <v>0</v>
      </c>
      <c r="AD645" s="169">
        <f t="shared" si="358"/>
        <v>0</v>
      </c>
      <c r="AE645" s="169">
        <f t="shared" si="358"/>
        <v>0</v>
      </c>
      <c r="AF645" s="169">
        <f t="shared" si="358"/>
        <v>0</v>
      </c>
      <c r="AG645" s="169">
        <f t="shared" si="358"/>
        <v>0</v>
      </c>
      <c r="AH645" s="169">
        <f t="shared" si="358"/>
        <v>0</v>
      </c>
      <c r="AI645" s="169">
        <f t="shared" si="358"/>
        <v>0</v>
      </c>
      <c r="AJ645" s="169">
        <f t="shared" si="358"/>
        <v>0</v>
      </c>
      <c r="AK645" s="169">
        <f t="shared" si="358"/>
        <v>0</v>
      </c>
      <c r="AL645" s="169">
        <f t="shared" si="358"/>
        <v>0</v>
      </c>
      <c r="AM645" s="169">
        <f t="shared" si="358"/>
        <v>0</v>
      </c>
      <c r="AN645" s="169">
        <f t="shared" si="358"/>
        <v>0</v>
      </c>
      <c r="AO645" s="169">
        <f t="shared" si="358"/>
        <v>0</v>
      </c>
      <c r="AP645" s="169">
        <f t="shared" si="358"/>
        <v>0</v>
      </c>
    </row>
    <row r="646" spans="1:42" x14ac:dyDescent="0.2">
      <c r="A646" s="20">
        <f t="shared" si="359"/>
        <v>4</v>
      </c>
      <c r="B646" s="179">
        <f t="shared" si="357"/>
        <v>0</v>
      </c>
      <c r="C646" s="169">
        <f t="shared" si="358"/>
        <v>0</v>
      </c>
      <c r="D646" s="169">
        <f t="shared" si="358"/>
        <v>0</v>
      </c>
      <c r="E646" s="169">
        <f t="shared" si="358"/>
        <v>0</v>
      </c>
      <c r="F646" s="169">
        <f t="shared" si="358"/>
        <v>0</v>
      </c>
      <c r="G646" s="169">
        <f t="shared" si="358"/>
        <v>0</v>
      </c>
      <c r="H646" s="169">
        <f t="shared" si="358"/>
        <v>0</v>
      </c>
      <c r="I646" s="169">
        <f t="shared" si="358"/>
        <v>0</v>
      </c>
      <c r="J646" s="169">
        <f t="shared" si="358"/>
        <v>0</v>
      </c>
      <c r="K646" s="169">
        <f t="shared" si="358"/>
        <v>0</v>
      </c>
      <c r="L646" s="169">
        <f t="shared" si="358"/>
        <v>0</v>
      </c>
      <c r="M646" s="169">
        <f t="shared" si="358"/>
        <v>0</v>
      </c>
      <c r="N646" s="169">
        <f t="shared" si="358"/>
        <v>0</v>
      </c>
      <c r="O646" s="169">
        <f t="shared" si="358"/>
        <v>0</v>
      </c>
      <c r="P646" s="169">
        <f t="shared" si="358"/>
        <v>0</v>
      </c>
      <c r="Q646" s="169">
        <f t="shared" si="358"/>
        <v>0</v>
      </c>
      <c r="R646" s="169">
        <f t="shared" si="358"/>
        <v>0</v>
      </c>
      <c r="S646" s="169">
        <f t="shared" si="358"/>
        <v>0</v>
      </c>
      <c r="T646" s="169">
        <f t="shared" si="358"/>
        <v>0</v>
      </c>
      <c r="U646" s="169">
        <f t="shared" si="358"/>
        <v>0</v>
      </c>
      <c r="V646" s="169">
        <f t="shared" si="358"/>
        <v>0</v>
      </c>
      <c r="W646" s="169">
        <f t="shared" si="358"/>
        <v>0</v>
      </c>
      <c r="X646" s="169">
        <f t="shared" si="358"/>
        <v>0</v>
      </c>
      <c r="Y646" s="169">
        <f t="shared" si="358"/>
        <v>0</v>
      </c>
      <c r="Z646" s="169">
        <f t="shared" si="358"/>
        <v>0</v>
      </c>
      <c r="AA646" s="169">
        <f t="shared" si="358"/>
        <v>0</v>
      </c>
      <c r="AB646" s="169">
        <f t="shared" si="358"/>
        <v>0</v>
      </c>
      <c r="AC646" s="169">
        <f t="shared" si="358"/>
        <v>0</v>
      </c>
      <c r="AD646" s="169">
        <f t="shared" si="358"/>
        <v>0</v>
      </c>
      <c r="AE646" s="169">
        <f t="shared" si="358"/>
        <v>0</v>
      </c>
      <c r="AF646" s="169">
        <f t="shared" si="358"/>
        <v>0</v>
      </c>
      <c r="AG646" s="169">
        <f t="shared" si="358"/>
        <v>0</v>
      </c>
      <c r="AH646" s="169">
        <f t="shared" si="358"/>
        <v>0</v>
      </c>
      <c r="AI646" s="169">
        <f t="shared" si="358"/>
        <v>0</v>
      </c>
      <c r="AJ646" s="169">
        <f t="shared" si="358"/>
        <v>0</v>
      </c>
      <c r="AK646" s="169">
        <f t="shared" si="358"/>
        <v>0</v>
      </c>
      <c r="AL646" s="169">
        <f t="shared" si="358"/>
        <v>0</v>
      </c>
      <c r="AM646" s="169">
        <f t="shared" si="358"/>
        <v>0</v>
      </c>
      <c r="AN646" s="169">
        <f t="shared" si="358"/>
        <v>0</v>
      </c>
      <c r="AO646" s="169">
        <f t="shared" si="358"/>
        <v>0</v>
      </c>
      <c r="AP646" s="169">
        <f t="shared" si="358"/>
        <v>0</v>
      </c>
    </row>
    <row r="647" spans="1:42" x14ac:dyDescent="0.2">
      <c r="A647" s="20">
        <f t="shared" si="359"/>
        <v>5</v>
      </c>
      <c r="B647" s="179">
        <f t="shared" si="357"/>
        <v>0</v>
      </c>
      <c r="C647" s="169">
        <f t="shared" si="358"/>
        <v>0</v>
      </c>
      <c r="D647" s="169">
        <f t="shared" si="358"/>
        <v>0</v>
      </c>
      <c r="E647" s="169">
        <f t="shared" si="358"/>
        <v>0</v>
      </c>
      <c r="F647" s="169">
        <f t="shared" si="358"/>
        <v>0</v>
      </c>
      <c r="G647" s="169">
        <f t="shared" si="358"/>
        <v>0</v>
      </c>
      <c r="H647" s="169">
        <f t="shared" si="358"/>
        <v>0</v>
      </c>
      <c r="I647" s="169">
        <f t="shared" si="358"/>
        <v>0</v>
      </c>
      <c r="J647" s="169">
        <f t="shared" si="358"/>
        <v>0</v>
      </c>
      <c r="K647" s="169">
        <f t="shared" si="358"/>
        <v>0</v>
      </c>
      <c r="L647" s="169">
        <f t="shared" si="358"/>
        <v>0</v>
      </c>
      <c r="M647" s="169">
        <f t="shared" si="358"/>
        <v>0</v>
      </c>
      <c r="N647" s="169">
        <f t="shared" si="358"/>
        <v>0</v>
      </c>
      <c r="O647" s="169">
        <f t="shared" si="358"/>
        <v>0</v>
      </c>
      <c r="P647" s="169">
        <f t="shared" si="358"/>
        <v>0</v>
      </c>
      <c r="Q647" s="169">
        <f t="shared" si="358"/>
        <v>0</v>
      </c>
      <c r="R647" s="169">
        <f t="shared" si="358"/>
        <v>0</v>
      </c>
      <c r="S647" s="169">
        <f t="shared" si="358"/>
        <v>0</v>
      </c>
      <c r="T647" s="169">
        <f t="shared" si="358"/>
        <v>0</v>
      </c>
      <c r="U647" s="169">
        <f t="shared" si="358"/>
        <v>0</v>
      </c>
      <c r="V647" s="169">
        <f t="shared" si="358"/>
        <v>0</v>
      </c>
      <c r="W647" s="169">
        <f t="shared" si="358"/>
        <v>0</v>
      </c>
      <c r="X647" s="169">
        <f t="shared" si="358"/>
        <v>0</v>
      </c>
      <c r="Y647" s="169">
        <f t="shared" si="358"/>
        <v>0</v>
      </c>
      <c r="Z647" s="169">
        <f t="shared" si="358"/>
        <v>0</v>
      </c>
      <c r="AA647" s="169">
        <f t="shared" si="358"/>
        <v>0</v>
      </c>
      <c r="AB647" s="169">
        <f t="shared" si="358"/>
        <v>0</v>
      </c>
      <c r="AC647" s="169">
        <f t="shared" si="358"/>
        <v>0</v>
      </c>
      <c r="AD647" s="169">
        <f t="shared" si="358"/>
        <v>0</v>
      </c>
      <c r="AE647" s="169">
        <f t="shared" si="358"/>
        <v>0</v>
      </c>
      <c r="AF647" s="169">
        <f t="shared" si="358"/>
        <v>0</v>
      </c>
      <c r="AG647" s="169">
        <f t="shared" si="358"/>
        <v>0</v>
      </c>
      <c r="AH647" s="169">
        <f t="shared" si="358"/>
        <v>0</v>
      </c>
      <c r="AI647" s="169">
        <f t="shared" si="358"/>
        <v>0</v>
      </c>
      <c r="AJ647" s="169">
        <f t="shared" si="358"/>
        <v>0</v>
      </c>
      <c r="AK647" s="169">
        <f t="shared" si="358"/>
        <v>0</v>
      </c>
      <c r="AL647" s="169">
        <f t="shared" si="358"/>
        <v>0</v>
      </c>
      <c r="AM647" s="169">
        <f t="shared" si="358"/>
        <v>0</v>
      </c>
      <c r="AN647" s="169">
        <f t="shared" si="358"/>
        <v>0</v>
      </c>
      <c r="AO647" s="169">
        <f t="shared" si="358"/>
        <v>0</v>
      </c>
      <c r="AP647" s="169">
        <f t="shared" si="358"/>
        <v>0</v>
      </c>
    </row>
    <row r="648" spans="1:42" x14ac:dyDescent="0.2">
      <c r="A648" s="20">
        <f t="shared" si="359"/>
        <v>6</v>
      </c>
      <c r="B648" s="179">
        <f t="shared" si="357"/>
        <v>0</v>
      </c>
      <c r="C648" s="169">
        <f t="shared" si="358"/>
        <v>0</v>
      </c>
      <c r="D648" s="169">
        <f t="shared" si="358"/>
        <v>0</v>
      </c>
      <c r="E648" s="169">
        <f t="shared" si="358"/>
        <v>0</v>
      </c>
      <c r="F648" s="169">
        <f t="shared" si="358"/>
        <v>0</v>
      </c>
      <c r="G648" s="169">
        <f t="shared" si="358"/>
        <v>0</v>
      </c>
      <c r="H648" s="169">
        <f t="shared" si="358"/>
        <v>0</v>
      </c>
      <c r="I648" s="169">
        <f t="shared" si="358"/>
        <v>0</v>
      </c>
      <c r="J648" s="169">
        <f t="shared" si="358"/>
        <v>0</v>
      </c>
      <c r="K648" s="169">
        <f t="shared" si="358"/>
        <v>0</v>
      </c>
      <c r="L648" s="169">
        <f t="shared" si="358"/>
        <v>0</v>
      </c>
      <c r="M648" s="169">
        <f t="shared" si="358"/>
        <v>0</v>
      </c>
      <c r="N648" s="169">
        <f t="shared" si="358"/>
        <v>0</v>
      </c>
      <c r="O648" s="169">
        <f t="shared" si="358"/>
        <v>0</v>
      </c>
      <c r="P648" s="169">
        <f t="shared" si="358"/>
        <v>0</v>
      </c>
      <c r="Q648" s="169">
        <f t="shared" si="358"/>
        <v>0</v>
      </c>
      <c r="R648" s="169">
        <f t="shared" si="358"/>
        <v>0</v>
      </c>
      <c r="S648" s="169">
        <f t="shared" si="358"/>
        <v>0</v>
      </c>
      <c r="T648" s="169">
        <f t="shared" si="358"/>
        <v>0</v>
      </c>
      <c r="U648" s="169">
        <f t="shared" si="358"/>
        <v>0</v>
      </c>
      <c r="V648" s="169">
        <f t="shared" si="358"/>
        <v>0</v>
      </c>
      <c r="W648" s="169">
        <f t="shared" si="358"/>
        <v>0</v>
      </c>
      <c r="X648" s="169">
        <f t="shared" si="358"/>
        <v>0</v>
      </c>
      <c r="Y648" s="169">
        <f t="shared" si="358"/>
        <v>0</v>
      </c>
      <c r="Z648" s="169">
        <f t="shared" si="358"/>
        <v>0</v>
      </c>
      <c r="AA648" s="169">
        <f t="shared" si="358"/>
        <v>0</v>
      </c>
      <c r="AB648" s="169">
        <f t="shared" si="358"/>
        <v>0</v>
      </c>
      <c r="AC648" s="169">
        <f t="shared" si="358"/>
        <v>0</v>
      </c>
      <c r="AD648" s="169">
        <f t="shared" si="358"/>
        <v>0</v>
      </c>
      <c r="AE648" s="169">
        <f t="shared" si="358"/>
        <v>0</v>
      </c>
      <c r="AF648" s="169">
        <f t="shared" si="358"/>
        <v>0</v>
      </c>
      <c r="AG648" s="169">
        <f t="shared" si="358"/>
        <v>0</v>
      </c>
      <c r="AH648" s="169">
        <f t="shared" si="358"/>
        <v>0</v>
      </c>
      <c r="AI648" s="169">
        <f t="shared" si="358"/>
        <v>0</v>
      </c>
      <c r="AJ648" s="169">
        <f t="shared" si="358"/>
        <v>0</v>
      </c>
      <c r="AK648" s="169">
        <f t="shared" si="358"/>
        <v>0</v>
      </c>
      <c r="AL648" s="169">
        <f t="shared" si="358"/>
        <v>0</v>
      </c>
      <c r="AM648" s="169">
        <f t="shared" si="358"/>
        <v>0</v>
      </c>
      <c r="AN648" s="169">
        <f t="shared" si="358"/>
        <v>0</v>
      </c>
      <c r="AO648" s="169">
        <f t="shared" si="358"/>
        <v>0</v>
      </c>
      <c r="AP648" s="169">
        <f t="shared" si="358"/>
        <v>0</v>
      </c>
    </row>
    <row r="649" spans="1:42" x14ac:dyDescent="0.2">
      <c r="A649" s="20">
        <f t="shared" si="359"/>
        <v>7</v>
      </c>
      <c r="B649" s="179">
        <f t="shared" si="357"/>
        <v>0</v>
      </c>
      <c r="C649" s="169">
        <f t="shared" si="358"/>
        <v>0</v>
      </c>
      <c r="D649" s="169">
        <f t="shared" si="358"/>
        <v>0</v>
      </c>
      <c r="E649" s="169">
        <f t="shared" si="358"/>
        <v>0</v>
      </c>
      <c r="F649" s="169">
        <f t="shared" si="358"/>
        <v>0</v>
      </c>
      <c r="G649" s="169">
        <f t="shared" si="358"/>
        <v>0</v>
      </c>
      <c r="H649" s="169">
        <f t="shared" si="358"/>
        <v>0</v>
      </c>
      <c r="I649" s="169">
        <f t="shared" si="358"/>
        <v>0</v>
      </c>
      <c r="J649" s="169">
        <f t="shared" si="358"/>
        <v>0</v>
      </c>
      <c r="K649" s="169">
        <f t="shared" si="358"/>
        <v>0</v>
      </c>
      <c r="L649" s="169">
        <f t="shared" si="358"/>
        <v>0</v>
      </c>
      <c r="M649" s="169">
        <f t="shared" si="358"/>
        <v>0</v>
      </c>
      <c r="N649" s="169">
        <f t="shared" si="358"/>
        <v>0</v>
      </c>
      <c r="O649" s="169">
        <f t="shared" si="358"/>
        <v>0</v>
      </c>
      <c r="P649" s="169">
        <f t="shared" si="358"/>
        <v>0</v>
      </c>
      <c r="Q649" s="169">
        <f t="shared" si="358"/>
        <v>0</v>
      </c>
      <c r="R649" s="169">
        <f t="shared" ref="R649:AP649" si="360">IF(R$2&gt;AnalysisPeriod,0,IF(R$2=MMFrequency2*$A649,MMCost2*CapacityDC*1000*(1+Inflation)^Q$2,0))</f>
        <v>0</v>
      </c>
      <c r="S649" s="169">
        <f t="shared" si="360"/>
        <v>0</v>
      </c>
      <c r="T649" s="169">
        <f t="shared" si="360"/>
        <v>0</v>
      </c>
      <c r="U649" s="169">
        <f t="shared" si="360"/>
        <v>0</v>
      </c>
      <c r="V649" s="169">
        <f t="shared" si="360"/>
        <v>0</v>
      </c>
      <c r="W649" s="169">
        <f t="shared" si="360"/>
        <v>0</v>
      </c>
      <c r="X649" s="169">
        <f t="shared" si="360"/>
        <v>0</v>
      </c>
      <c r="Y649" s="169">
        <f t="shared" si="360"/>
        <v>0</v>
      </c>
      <c r="Z649" s="169">
        <f t="shared" si="360"/>
        <v>0</v>
      </c>
      <c r="AA649" s="169">
        <f t="shared" si="360"/>
        <v>0</v>
      </c>
      <c r="AB649" s="169">
        <f t="shared" si="360"/>
        <v>0</v>
      </c>
      <c r="AC649" s="169">
        <f t="shared" si="360"/>
        <v>0</v>
      </c>
      <c r="AD649" s="169">
        <f t="shared" si="360"/>
        <v>0</v>
      </c>
      <c r="AE649" s="169">
        <f t="shared" si="360"/>
        <v>0</v>
      </c>
      <c r="AF649" s="169">
        <f t="shared" si="360"/>
        <v>0</v>
      </c>
      <c r="AG649" s="169">
        <f t="shared" si="360"/>
        <v>0</v>
      </c>
      <c r="AH649" s="169">
        <f t="shared" si="360"/>
        <v>0</v>
      </c>
      <c r="AI649" s="169">
        <f t="shared" si="360"/>
        <v>0</v>
      </c>
      <c r="AJ649" s="169">
        <f t="shared" si="360"/>
        <v>0</v>
      </c>
      <c r="AK649" s="169">
        <f t="shared" si="360"/>
        <v>0</v>
      </c>
      <c r="AL649" s="169">
        <f t="shared" si="360"/>
        <v>0</v>
      </c>
      <c r="AM649" s="169">
        <f t="shared" si="360"/>
        <v>0</v>
      </c>
      <c r="AN649" s="169">
        <f t="shared" si="360"/>
        <v>0</v>
      </c>
      <c r="AO649" s="169">
        <f t="shared" si="360"/>
        <v>0</v>
      </c>
      <c r="AP649" s="169">
        <f t="shared" si="360"/>
        <v>0</v>
      </c>
    </row>
    <row r="650" spans="1:42" x14ac:dyDescent="0.2">
      <c r="A650" s="20">
        <f t="shared" si="359"/>
        <v>8</v>
      </c>
      <c r="B650" s="179">
        <f t="shared" si="357"/>
        <v>0</v>
      </c>
      <c r="C650" s="169">
        <f t="shared" ref="C650:AP652" si="361">IF(C$2&gt;AnalysisPeriod,0,IF(C$2=MMFrequency2*$A650,MMCost2*CapacityDC*1000*(1+Inflation)^B$2,0))</f>
        <v>0</v>
      </c>
      <c r="D650" s="169">
        <f t="shared" si="361"/>
        <v>0</v>
      </c>
      <c r="E650" s="169">
        <f t="shared" si="361"/>
        <v>0</v>
      </c>
      <c r="F650" s="169">
        <f t="shared" si="361"/>
        <v>0</v>
      </c>
      <c r="G650" s="169">
        <f t="shared" si="361"/>
        <v>0</v>
      </c>
      <c r="H650" s="169">
        <f t="shared" si="361"/>
        <v>0</v>
      </c>
      <c r="I650" s="169">
        <f t="shared" si="361"/>
        <v>0</v>
      </c>
      <c r="J650" s="169">
        <f t="shared" si="361"/>
        <v>0</v>
      </c>
      <c r="K650" s="169">
        <f t="shared" si="361"/>
        <v>0</v>
      </c>
      <c r="L650" s="169">
        <f t="shared" si="361"/>
        <v>0</v>
      </c>
      <c r="M650" s="169">
        <f t="shared" si="361"/>
        <v>0</v>
      </c>
      <c r="N650" s="169">
        <f t="shared" si="361"/>
        <v>0</v>
      </c>
      <c r="O650" s="169">
        <f t="shared" si="361"/>
        <v>0</v>
      </c>
      <c r="P650" s="169">
        <f t="shared" si="361"/>
        <v>0</v>
      </c>
      <c r="Q650" s="169">
        <f t="shared" si="361"/>
        <v>0</v>
      </c>
      <c r="R650" s="169">
        <f t="shared" si="361"/>
        <v>0</v>
      </c>
      <c r="S650" s="169">
        <f t="shared" si="361"/>
        <v>0</v>
      </c>
      <c r="T650" s="169">
        <f t="shared" si="361"/>
        <v>0</v>
      </c>
      <c r="U650" s="169">
        <f t="shared" si="361"/>
        <v>0</v>
      </c>
      <c r="V650" s="169">
        <f t="shared" si="361"/>
        <v>0</v>
      </c>
      <c r="W650" s="169">
        <f t="shared" si="361"/>
        <v>0</v>
      </c>
      <c r="X650" s="169">
        <f t="shared" si="361"/>
        <v>0</v>
      </c>
      <c r="Y650" s="169">
        <f t="shared" si="361"/>
        <v>0</v>
      </c>
      <c r="Z650" s="169">
        <f t="shared" si="361"/>
        <v>0</v>
      </c>
      <c r="AA650" s="169">
        <f t="shared" si="361"/>
        <v>0</v>
      </c>
      <c r="AB650" s="169">
        <f t="shared" si="361"/>
        <v>0</v>
      </c>
      <c r="AC650" s="169">
        <f t="shared" si="361"/>
        <v>0</v>
      </c>
      <c r="AD650" s="169">
        <f t="shared" si="361"/>
        <v>0</v>
      </c>
      <c r="AE650" s="169">
        <f t="shared" si="361"/>
        <v>0</v>
      </c>
      <c r="AF650" s="169">
        <f t="shared" si="361"/>
        <v>0</v>
      </c>
      <c r="AG650" s="169">
        <f t="shared" si="361"/>
        <v>0</v>
      </c>
      <c r="AH650" s="169">
        <f t="shared" si="361"/>
        <v>0</v>
      </c>
      <c r="AI650" s="169">
        <f t="shared" si="361"/>
        <v>0</v>
      </c>
      <c r="AJ650" s="169">
        <f t="shared" si="361"/>
        <v>0</v>
      </c>
      <c r="AK650" s="169">
        <f t="shared" si="361"/>
        <v>0</v>
      </c>
      <c r="AL650" s="169">
        <f t="shared" si="361"/>
        <v>0</v>
      </c>
      <c r="AM650" s="169">
        <f t="shared" si="361"/>
        <v>0</v>
      </c>
      <c r="AN650" s="169">
        <f t="shared" si="361"/>
        <v>0</v>
      </c>
      <c r="AO650" s="169">
        <f t="shared" si="361"/>
        <v>0</v>
      </c>
      <c r="AP650" s="169">
        <f t="shared" si="361"/>
        <v>0</v>
      </c>
    </row>
    <row r="651" spans="1:42" x14ac:dyDescent="0.2">
      <c r="A651" s="20">
        <f>A650+1</f>
        <v>9</v>
      </c>
      <c r="B651" s="179">
        <f t="shared" si="357"/>
        <v>0</v>
      </c>
      <c r="C651" s="169">
        <f t="shared" si="361"/>
        <v>0</v>
      </c>
      <c r="D651" s="169">
        <f t="shared" si="361"/>
        <v>0</v>
      </c>
      <c r="E651" s="169">
        <f t="shared" si="361"/>
        <v>0</v>
      </c>
      <c r="F651" s="169">
        <f t="shared" si="361"/>
        <v>0</v>
      </c>
      <c r="G651" s="169">
        <f t="shared" si="361"/>
        <v>0</v>
      </c>
      <c r="H651" s="169">
        <f t="shared" si="361"/>
        <v>0</v>
      </c>
      <c r="I651" s="169">
        <f t="shared" si="361"/>
        <v>0</v>
      </c>
      <c r="J651" s="169">
        <f t="shared" si="361"/>
        <v>0</v>
      </c>
      <c r="K651" s="169">
        <f t="shared" si="361"/>
        <v>0</v>
      </c>
      <c r="L651" s="169">
        <f t="shared" si="361"/>
        <v>0</v>
      </c>
      <c r="M651" s="169">
        <f t="shared" si="361"/>
        <v>0</v>
      </c>
      <c r="N651" s="169">
        <f t="shared" si="361"/>
        <v>0</v>
      </c>
      <c r="O651" s="169">
        <f t="shared" si="361"/>
        <v>0</v>
      </c>
      <c r="P651" s="169">
        <f t="shared" si="361"/>
        <v>0</v>
      </c>
      <c r="Q651" s="169">
        <f t="shared" si="361"/>
        <v>0</v>
      </c>
      <c r="R651" s="169">
        <f t="shared" si="361"/>
        <v>0</v>
      </c>
      <c r="S651" s="169">
        <f t="shared" si="361"/>
        <v>0</v>
      </c>
      <c r="T651" s="169">
        <f t="shared" si="361"/>
        <v>0</v>
      </c>
      <c r="U651" s="169">
        <f t="shared" si="361"/>
        <v>0</v>
      </c>
      <c r="V651" s="169">
        <f t="shared" si="361"/>
        <v>0</v>
      </c>
      <c r="W651" s="169">
        <f t="shared" si="361"/>
        <v>0</v>
      </c>
      <c r="X651" s="169">
        <f t="shared" si="361"/>
        <v>0</v>
      </c>
      <c r="Y651" s="169">
        <f t="shared" si="361"/>
        <v>0</v>
      </c>
      <c r="Z651" s="169">
        <f t="shared" si="361"/>
        <v>0</v>
      </c>
      <c r="AA651" s="169">
        <f t="shared" si="361"/>
        <v>0</v>
      </c>
      <c r="AB651" s="169">
        <f t="shared" si="361"/>
        <v>0</v>
      </c>
      <c r="AC651" s="169">
        <f t="shared" si="361"/>
        <v>0</v>
      </c>
      <c r="AD651" s="169">
        <f t="shared" si="361"/>
        <v>0</v>
      </c>
      <c r="AE651" s="169">
        <f t="shared" si="361"/>
        <v>0</v>
      </c>
      <c r="AF651" s="169">
        <f t="shared" si="361"/>
        <v>0</v>
      </c>
      <c r="AG651" s="169">
        <f t="shared" si="361"/>
        <v>0</v>
      </c>
      <c r="AH651" s="169">
        <f t="shared" si="361"/>
        <v>0</v>
      </c>
      <c r="AI651" s="169">
        <f t="shared" si="361"/>
        <v>0</v>
      </c>
      <c r="AJ651" s="169">
        <f t="shared" si="361"/>
        <v>0</v>
      </c>
      <c r="AK651" s="169">
        <f t="shared" si="361"/>
        <v>0</v>
      </c>
      <c r="AL651" s="169">
        <f t="shared" si="361"/>
        <v>0</v>
      </c>
      <c r="AM651" s="169">
        <f t="shared" si="361"/>
        <v>0</v>
      </c>
      <c r="AN651" s="169">
        <f t="shared" si="361"/>
        <v>0</v>
      </c>
      <c r="AO651" s="169">
        <f t="shared" si="361"/>
        <v>0</v>
      </c>
      <c r="AP651" s="169">
        <f t="shared" si="361"/>
        <v>0</v>
      </c>
    </row>
    <row r="652" spans="1:42" x14ac:dyDescent="0.2">
      <c r="A652" s="20">
        <f t="shared" si="359"/>
        <v>10</v>
      </c>
      <c r="B652" s="179">
        <f t="shared" si="357"/>
        <v>0</v>
      </c>
      <c r="C652" s="170">
        <f t="shared" si="361"/>
        <v>0</v>
      </c>
      <c r="D652" s="170">
        <f t="shared" si="361"/>
        <v>0</v>
      </c>
      <c r="E652" s="170">
        <f t="shared" si="361"/>
        <v>0</v>
      </c>
      <c r="F652" s="170">
        <f t="shared" si="361"/>
        <v>0</v>
      </c>
      <c r="G652" s="170">
        <f t="shared" si="361"/>
        <v>0</v>
      </c>
      <c r="H652" s="170">
        <f t="shared" si="361"/>
        <v>0</v>
      </c>
      <c r="I652" s="170">
        <f t="shared" si="361"/>
        <v>0</v>
      </c>
      <c r="J652" s="170">
        <f t="shared" si="361"/>
        <v>0</v>
      </c>
      <c r="K652" s="170">
        <f t="shared" si="361"/>
        <v>0</v>
      </c>
      <c r="L652" s="170">
        <f t="shared" si="361"/>
        <v>0</v>
      </c>
      <c r="M652" s="170">
        <f t="shared" si="361"/>
        <v>0</v>
      </c>
      <c r="N652" s="170">
        <f t="shared" si="361"/>
        <v>0</v>
      </c>
      <c r="O652" s="170">
        <f t="shared" si="361"/>
        <v>0</v>
      </c>
      <c r="P652" s="170">
        <f t="shared" si="361"/>
        <v>0</v>
      </c>
      <c r="Q652" s="170">
        <f t="shared" si="361"/>
        <v>0</v>
      </c>
      <c r="R652" s="170">
        <f t="shared" si="361"/>
        <v>0</v>
      </c>
      <c r="S652" s="170">
        <f t="shared" si="361"/>
        <v>0</v>
      </c>
      <c r="T652" s="170">
        <f t="shared" si="361"/>
        <v>0</v>
      </c>
      <c r="U652" s="170">
        <f t="shared" si="361"/>
        <v>0</v>
      </c>
      <c r="V652" s="170">
        <f t="shared" si="361"/>
        <v>0</v>
      </c>
      <c r="W652" s="170">
        <f t="shared" si="361"/>
        <v>0</v>
      </c>
      <c r="X652" s="170">
        <f t="shared" si="361"/>
        <v>0</v>
      </c>
      <c r="Y652" s="170">
        <f t="shared" si="361"/>
        <v>0</v>
      </c>
      <c r="Z652" s="170">
        <f t="shared" si="361"/>
        <v>0</v>
      </c>
      <c r="AA652" s="170">
        <f t="shared" si="361"/>
        <v>0</v>
      </c>
      <c r="AB652" s="170">
        <f t="shared" si="361"/>
        <v>0</v>
      </c>
      <c r="AC652" s="170">
        <f t="shared" si="361"/>
        <v>0</v>
      </c>
      <c r="AD652" s="170">
        <f t="shared" si="361"/>
        <v>0</v>
      </c>
      <c r="AE652" s="170">
        <f t="shared" si="361"/>
        <v>0</v>
      </c>
      <c r="AF652" s="170">
        <f t="shared" si="361"/>
        <v>0</v>
      </c>
      <c r="AG652" s="170">
        <f t="shared" si="361"/>
        <v>0</v>
      </c>
      <c r="AH652" s="170">
        <f t="shared" si="361"/>
        <v>0</v>
      </c>
      <c r="AI652" s="170">
        <f t="shared" si="361"/>
        <v>0</v>
      </c>
      <c r="AJ652" s="170">
        <f t="shared" si="361"/>
        <v>0</v>
      </c>
      <c r="AK652" s="170">
        <f t="shared" si="361"/>
        <v>0</v>
      </c>
      <c r="AL652" s="170">
        <f t="shared" si="361"/>
        <v>0</v>
      </c>
      <c r="AM652" s="170">
        <f t="shared" si="361"/>
        <v>0</v>
      </c>
      <c r="AN652" s="170">
        <f t="shared" si="361"/>
        <v>0</v>
      </c>
      <c r="AO652" s="170">
        <f t="shared" si="361"/>
        <v>0</v>
      </c>
      <c r="AP652" s="170">
        <f t="shared" si="361"/>
        <v>0</v>
      </c>
    </row>
    <row r="653" spans="1:42" x14ac:dyDescent="0.2">
      <c r="A653" s="202" t="s">
        <v>53</v>
      </c>
      <c r="B653" s="169"/>
      <c r="C653" s="135">
        <f>SUM(C643:C652)</f>
        <v>0</v>
      </c>
      <c r="D653" s="135">
        <f t="shared" ref="D653:AP653" si="362">SUM(D643:D652)</f>
        <v>0</v>
      </c>
      <c r="E653" s="135">
        <f t="shared" si="362"/>
        <v>0</v>
      </c>
      <c r="F653" s="135">
        <f t="shared" si="362"/>
        <v>0</v>
      </c>
      <c r="G653" s="135">
        <f t="shared" si="362"/>
        <v>0</v>
      </c>
      <c r="H653" s="135">
        <f t="shared" si="362"/>
        <v>0</v>
      </c>
      <c r="I653" s="135">
        <f t="shared" si="362"/>
        <v>0</v>
      </c>
      <c r="J653" s="135">
        <f t="shared" si="362"/>
        <v>0</v>
      </c>
      <c r="K653" s="135">
        <f t="shared" si="362"/>
        <v>0</v>
      </c>
      <c r="L653" s="135">
        <f t="shared" si="362"/>
        <v>0</v>
      </c>
      <c r="M653" s="135">
        <f t="shared" si="362"/>
        <v>0</v>
      </c>
      <c r="N653" s="135">
        <f t="shared" si="362"/>
        <v>0</v>
      </c>
      <c r="O653" s="135">
        <f t="shared" si="362"/>
        <v>0</v>
      </c>
      <c r="P653" s="135">
        <f t="shared" si="362"/>
        <v>0</v>
      </c>
      <c r="Q653" s="135">
        <f t="shared" si="362"/>
        <v>0</v>
      </c>
      <c r="R653" s="135">
        <f t="shared" si="362"/>
        <v>0</v>
      </c>
      <c r="S653" s="135">
        <f t="shared" si="362"/>
        <v>0</v>
      </c>
      <c r="T653" s="135">
        <f t="shared" si="362"/>
        <v>0</v>
      </c>
      <c r="U653" s="135">
        <f t="shared" si="362"/>
        <v>0</v>
      </c>
      <c r="V653" s="135">
        <f t="shared" si="362"/>
        <v>0</v>
      </c>
      <c r="W653" s="135">
        <f t="shared" si="362"/>
        <v>0</v>
      </c>
      <c r="X653" s="135">
        <f t="shared" si="362"/>
        <v>0</v>
      </c>
      <c r="Y653" s="135">
        <f t="shared" si="362"/>
        <v>0</v>
      </c>
      <c r="Z653" s="135">
        <f t="shared" si="362"/>
        <v>0</v>
      </c>
      <c r="AA653" s="135">
        <f t="shared" si="362"/>
        <v>0</v>
      </c>
      <c r="AB653" s="135">
        <f t="shared" si="362"/>
        <v>0</v>
      </c>
      <c r="AC653" s="135">
        <f t="shared" si="362"/>
        <v>0</v>
      </c>
      <c r="AD653" s="135">
        <f t="shared" si="362"/>
        <v>0</v>
      </c>
      <c r="AE653" s="135">
        <f t="shared" si="362"/>
        <v>0</v>
      </c>
      <c r="AF653" s="135">
        <f t="shared" si="362"/>
        <v>0</v>
      </c>
      <c r="AG653" s="135">
        <f t="shared" si="362"/>
        <v>0</v>
      </c>
      <c r="AH653" s="135">
        <f t="shared" si="362"/>
        <v>0</v>
      </c>
      <c r="AI653" s="135">
        <f t="shared" si="362"/>
        <v>0</v>
      </c>
      <c r="AJ653" s="135">
        <f t="shared" si="362"/>
        <v>0</v>
      </c>
      <c r="AK653" s="135">
        <f t="shared" si="362"/>
        <v>0</v>
      </c>
      <c r="AL653" s="135">
        <f t="shared" si="362"/>
        <v>0</v>
      </c>
      <c r="AM653" s="135">
        <f t="shared" si="362"/>
        <v>0</v>
      </c>
      <c r="AN653" s="135">
        <f t="shared" si="362"/>
        <v>0</v>
      </c>
      <c r="AO653" s="135">
        <f t="shared" si="362"/>
        <v>0</v>
      </c>
      <c r="AP653" s="135">
        <f t="shared" si="362"/>
        <v>0</v>
      </c>
    </row>
    <row r="654" spans="1:42" x14ac:dyDescent="0.2">
      <c r="A654" s="20" t="s">
        <v>184</v>
      </c>
      <c r="B654" s="135"/>
      <c r="C654" s="135"/>
      <c r="D654" s="135"/>
      <c r="E654" s="135"/>
      <c r="F654" s="135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</row>
    <row r="655" spans="1:42" x14ac:dyDescent="0.2">
      <c r="A655" s="20">
        <v>1</v>
      </c>
      <c r="B655" s="233">
        <f t="shared" ref="B655:B664" si="363">SUM(C655:AP655)</f>
        <v>0</v>
      </c>
      <c r="C655" s="169">
        <f t="shared" ref="C655:AP655" si="364">IF(C$2&lt;=MMFrequency2*$A$643,$B$643/(MMFrequency2),0)</f>
        <v>0</v>
      </c>
      <c r="D655" s="169">
        <f t="shared" si="364"/>
        <v>0</v>
      </c>
      <c r="E655" s="169">
        <f t="shared" si="364"/>
        <v>0</v>
      </c>
      <c r="F655" s="169">
        <f t="shared" si="364"/>
        <v>0</v>
      </c>
      <c r="G655" s="169">
        <f t="shared" si="364"/>
        <v>0</v>
      </c>
      <c r="H655" s="169">
        <f t="shared" si="364"/>
        <v>0</v>
      </c>
      <c r="I655" s="169">
        <f t="shared" si="364"/>
        <v>0</v>
      </c>
      <c r="J655" s="169">
        <f t="shared" si="364"/>
        <v>0</v>
      </c>
      <c r="K655" s="169">
        <f t="shared" si="364"/>
        <v>0</v>
      </c>
      <c r="L655" s="169">
        <f t="shared" si="364"/>
        <v>0</v>
      </c>
      <c r="M655" s="169">
        <f t="shared" si="364"/>
        <v>0</v>
      </c>
      <c r="N655" s="169">
        <f t="shared" si="364"/>
        <v>0</v>
      </c>
      <c r="O655" s="169">
        <f t="shared" si="364"/>
        <v>0</v>
      </c>
      <c r="P655" s="169">
        <f t="shared" si="364"/>
        <v>0</v>
      </c>
      <c r="Q655" s="169">
        <f t="shared" si="364"/>
        <v>0</v>
      </c>
      <c r="R655" s="169">
        <f t="shared" si="364"/>
        <v>0</v>
      </c>
      <c r="S655" s="169">
        <f t="shared" si="364"/>
        <v>0</v>
      </c>
      <c r="T655" s="169">
        <f t="shared" si="364"/>
        <v>0</v>
      </c>
      <c r="U655" s="169">
        <f t="shared" si="364"/>
        <v>0</v>
      </c>
      <c r="V655" s="169">
        <f t="shared" si="364"/>
        <v>0</v>
      </c>
      <c r="W655" s="169">
        <f t="shared" si="364"/>
        <v>0</v>
      </c>
      <c r="X655" s="169">
        <f t="shared" si="364"/>
        <v>0</v>
      </c>
      <c r="Y655" s="169">
        <f t="shared" si="364"/>
        <v>0</v>
      </c>
      <c r="Z655" s="169">
        <f t="shared" si="364"/>
        <v>0</v>
      </c>
      <c r="AA655" s="169">
        <f t="shared" si="364"/>
        <v>0</v>
      </c>
      <c r="AB655" s="169">
        <f t="shared" si="364"/>
        <v>0</v>
      </c>
      <c r="AC655" s="169">
        <f t="shared" si="364"/>
        <v>0</v>
      </c>
      <c r="AD655" s="169">
        <f t="shared" si="364"/>
        <v>0</v>
      </c>
      <c r="AE655" s="169">
        <f t="shared" si="364"/>
        <v>0</v>
      </c>
      <c r="AF655" s="169">
        <f t="shared" si="364"/>
        <v>0</v>
      </c>
      <c r="AG655" s="169">
        <f t="shared" si="364"/>
        <v>0</v>
      </c>
      <c r="AH655" s="169">
        <f t="shared" si="364"/>
        <v>0</v>
      </c>
      <c r="AI655" s="169">
        <f t="shared" si="364"/>
        <v>0</v>
      </c>
      <c r="AJ655" s="169">
        <f t="shared" si="364"/>
        <v>0</v>
      </c>
      <c r="AK655" s="169">
        <f t="shared" si="364"/>
        <v>0</v>
      </c>
      <c r="AL655" s="169">
        <f t="shared" si="364"/>
        <v>0</v>
      </c>
      <c r="AM655" s="169">
        <f t="shared" si="364"/>
        <v>0</v>
      </c>
      <c r="AN655" s="169">
        <f t="shared" si="364"/>
        <v>0</v>
      </c>
      <c r="AO655" s="169">
        <f t="shared" si="364"/>
        <v>0</v>
      </c>
      <c r="AP655" s="169">
        <f t="shared" si="364"/>
        <v>0</v>
      </c>
    </row>
    <row r="656" spans="1:42" x14ac:dyDescent="0.2">
      <c r="A656" s="20">
        <f>A655+1</f>
        <v>2</v>
      </c>
      <c r="B656" s="233">
        <f t="shared" si="363"/>
        <v>0</v>
      </c>
      <c r="C656" s="169">
        <f t="shared" ref="C656:AP662" si="365">IF(AND(C$2&gt;MMFrequency2*$A643,C$2&lt;=MMFrequency2*$A644),$B644/(MMFrequency2),0)</f>
        <v>0</v>
      </c>
      <c r="D656" s="169">
        <f t="shared" si="365"/>
        <v>0</v>
      </c>
      <c r="E656" s="169">
        <f t="shared" si="365"/>
        <v>0</v>
      </c>
      <c r="F656" s="169">
        <f t="shared" si="365"/>
        <v>0</v>
      </c>
      <c r="G656" s="169">
        <f t="shared" si="365"/>
        <v>0</v>
      </c>
      <c r="H656" s="169">
        <f t="shared" si="365"/>
        <v>0</v>
      </c>
      <c r="I656" s="169">
        <f t="shared" si="365"/>
        <v>0</v>
      </c>
      <c r="J656" s="169">
        <f t="shared" si="365"/>
        <v>0</v>
      </c>
      <c r="K656" s="169">
        <f t="shared" si="365"/>
        <v>0</v>
      </c>
      <c r="L656" s="169">
        <f t="shared" si="365"/>
        <v>0</v>
      </c>
      <c r="M656" s="169">
        <f t="shared" si="365"/>
        <v>0</v>
      </c>
      <c r="N656" s="169">
        <f t="shared" si="365"/>
        <v>0</v>
      </c>
      <c r="O656" s="169">
        <f t="shared" si="365"/>
        <v>0</v>
      </c>
      <c r="P656" s="169">
        <f t="shared" si="365"/>
        <v>0</v>
      </c>
      <c r="Q656" s="169">
        <f t="shared" si="365"/>
        <v>0</v>
      </c>
      <c r="R656" s="169">
        <f t="shared" si="365"/>
        <v>0</v>
      </c>
      <c r="S656" s="169">
        <f t="shared" si="365"/>
        <v>0</v>
      </c>
      <c r="T656" s="169">
        <f t="shared" si="365"/>
        <v>0</v>
      </c>
      <c r="U656" s="169">
        <f t="shared" si="365"/>
        <v>0</v>
      </c>
      <c r="V656" s="169">
        <f t="shared" si="365"/>
        <v>0</v>
      </c>
      <c r="W656" s="169">
        <f t="shared" si="365"/>
        <v>0</v>
      </c>
      <c r="X656" s="169">
        <f t="shared" si="365"/>
        <v>0</v>
      </c>
      <c r="Y656" s="169">
        <f t="shared" si="365"/>
        <v>0</v>
      </c>
      <c r="Z656" s="169">
        <f t="shared" si="365"/>
        <v>0</v>
      </c>
      <c r="AA656" s="169">
        <f t="shared" si="365"/>
        <v>0</v>
      </c>
      <c r="AB656" s="169">
        <f t="shared" si="365"/>
        <v>0</v>
      </c>
      <c r="AC656" s="169">
        <f t="shared" si="365"/>
        <v>0</v>
      </c>
      <c r="AD656" s="169">
        <f t="shared" si="365"/>
        <v>0</v>
      </c>
      <c r="AE656" s="169">
        <f t="shared" si="365"/>
        <v>0</v>
      </c>
      <c r="AF656" s="169">
        <f t="shared" si="365"/>
        <v>0</v>
      </c>
      <c r="AG656" s="169">
        <f t="shared" si="365"/>
        <v>0</v>
      </c>
      <c r="AH656" s="169">
        <f t="shared" si="365"/>
        <v>0</v>
      </c>
      <c r="AI656" s="169">
        <f t="shared" si="365"/>
        <v>0</v>
      </c>
      <c r="AJ656" s="169">
        <f t="shared" si="365"/>
        <v>0</v>
      </c>
      <c r="AK656" s="169">
        <f t="shared" si="365"/>
        <v>0</v>
      </c>
      <c r="AL656" s="169">
        <f t="shared" si="365"/>
        <v>0</v>
      </c>
      <c r="AM656" s="169">
        <f t="shared" si="365"/>
        <v>0</v>
      </c>
      <c r="AN656" s="169">
        <f t="shared" si="365"/>
        <v>0</v>
      </c>
      <c r="AO656" s="169">
        <f t="shared" si="365"/>
        <v>0</v>
      </c>
      <c r="AP656" s="169">
        <f t="shared" si="365"/>
        <v>0</v>
      </c>
    </row>
    <row r="657" spans="1:42" x14ac:dyDescent="0.2">
      <c r="A657" s="20">
        <f t="shared" ref="A657:A662" si="366">A656+1</f>
        <v>3</v>
      </c>
      <c r="B657" s="233">
        <f t="shared" si="363"/>
        <v>0</v>
      </c>
      <c r="C657" s="169">
        <f t="shared" si="365"/>
        <v>0</v>
      </c>
      <c r="D657" s="169">
        <f t="shared" si="365"/>
        <v>0</v>
      </c>
      <c r="E657" s="169">
        <f t="shared" si="365"/>
        <v>0</v>
      </c>
      <c r="F657" s="169">
        <f t="shared" si="365"/>
        <v>0</v>
      </c>
      <c r="G657" s="169">
        <f t="shared" si="365"/>
        <v>0</v>
      </c>
      <c r="H657" s="169">
        <f t="shared" si="365"/>
        <v>0</v>
      </c>
      <c r="I657" s="169">
        <f t="shared" si="365"/>
        <v>0</v>
      </c>
      <c r="J657" s="169">
        <f t="shared" si="365"/>
        <v>0</v>
      </c>
      <c r="K657" s="169">
        <f t="shared" si="365"/>
        <v>0</v>
      </c>
      <c r="L657" s="169">
        <f t="shared" si="365"/>
        <v>0</v>
      </c>
      <c r="M657" s="169">
        <f t="shared" si="365"/>
        <v>0</v>
      </c>
      <c r="N657" s="169">
        <f t="shared" si="365"/>
        <v>0</v>
      </c>
      <c r="O657" s="169">
        <f t="shared" si="365"/>
        <v>0</v>
      </c>
      <c r="P657" s="169">
        <f t="shared" si="365"/>
        <v>0</v>
      </c>
      <c r="Q657" s="169">
        <f t="shared" si="365"/>
        <v>0</v>
      </c>
      <c r="R657" s="169">
        <f t="shared" si="365"/>
        <v>0</v>
      </c>
      <c r="S657" s="169">
        <f t="shared" si="365"/>
        <v>0</v>
      </c>
      <c r="T657" s="169">
        <f t="shared" si="365"/>
        <v>0</v>
      </c>
      <c r="U657" s="169">
        <f t="shared" si="365"/>
        <v>0</v>
      </c>
      <c r="V657" s="169">
        <f t="shared" si="365"/>
        <v>0</v>
      </c>
      <c r="W657" s="169">
        <f t="shared" si="365"/>
        <v>0</v>
      </c>
      <c r="X657" s="169">
        <f t="shared" si="365"/>
        <v>0</v>
      </c>
      <c r="Y657" s="169">
        <f t="shared" si="365"/>
        <v>0</v>
      </c>
      <c r="Z657" s="169">
        <f t="shared" si="365"/>
        <v>0</v>
      </c>
      <c r="AA657" s="169">
        <f t="shared" si="365"/>
        <v>0</v>
      </c>
      <c r="AB657" s="169">
        <f t="shared" si="365"/>
        <v>0</v>
      </c>
      <c r="AC657" s="169">
        <f t="shared" si="365"/>
        <v>0</v>
      </c>
      <c r="AD657" s="169">
        <f t="shared" si="365"/>
        <v>0</v>
      </c>
      <c r="AE657" s="169">
        <f t="shared" si="365"/>
        <v>0</v>
      </c>
      <c r="AF657" s="169">
        <f t="shared" si="365"/>
        <v>0</v>
      </c>
      <c r="AG657" s="169">
        <f t="shared" si="365"/>
        <v>0</v>
      </c>
      <c r="AH657" s="169">
        <f t="shared" si="365"/>
        <v>0</v>
      </c>
      <c r="AI657" s="169">
        <f t="shared" si="365"/>
        <v>0</v>
      </c>
      <c r="AJ657" s="169">
        <f t="shared" si="365"/>
        <v>0</v>
      </c>
      <c r="AK657" s="169">
        <f t="shared" si="365"/>
        <v>0</v>
      </c>
      <c r="AL657" s="169">
        <f t="shared" si="365"/>
        <v>0</v>
      </c>
      <c r="AM657" s="169">
        <f t="shared" si="365"/>
        <v>0</v>
      </c>
      <c r="AN657" s="169">
        <f t="shared" si="365"/>
        <v>0</v>
      </c>
      <c r="AO657" s="169">
        <f t="shared" si="365"/>
        <v>0</v>
      </c>
      <c r="AP657" s="169">
        <f t="shared" si="365"/>
        <v>0</v>
      </c>
    </row>
    <row r="658" spans="1:42" x14ac:dyDescent="0.2">
      <c r="A658" s="20">
        <f t="shared" si="366"/>
        <v>4</v>
      </c>
      <c r="B658" s="233">
        <f t="shared" si="363"/>
        <v>0</v>
      </c>
      <c r="C658" s="169">
        <f t="shared" si="365"/>
        <v>0</v>
      </c>
      <c r="D658" s="169">
        <f t="shared" si="365"/>
        <v>0</v>
      </c>
      <c r="E658" s="169">
        <f t="shared" si="365"/>
        <v>0</v>
      </c>
      <c r="F658" s="169">
        <f t="shared" si="365"/>
        <v>0</v>
      </c>
      <c r="G658" s="169">
        <f t="shared" si="365"/>
        <v>0</v>
      </c>
      <c r="H658" s="169">
        <f t="shared" si="365"/>
        <v>0</v>
      </c>
      <c r="I658" s="169">
        <f t="shared" si="365"/>
        <v>0</v>
      </c>
      <c r="J658" s="169">
        <f t="shared" si="365"/>
        <v>0</v>
      </c>
      <c r="K658" s="169">
        <f t="shared" si="365"/>
        <v>0</v>
      </c>
      <c r="L658" s="169">
        <f t="shared" si="365"/>
        <v>0</v>
      </c>
      <c r="M658" s="169">
        <f t="shared" si="365"/>
        <v>0</v>
      </c>
      <c r="N658" s="169">
        <f t="shared" si="365"/>
        <v>0</v>
      </c>
      <c r="O658" s="169">
        <f t="shared" si="365"/>
        <v>0</v>
      </c>
      <c r="P658" s="169">
        <f t="shared" si="365"/>
        <v>0</v>
      </c>
      <c r="Q658" s="169">
        <f t="shared" si="365"/>
        <v>0</v>
      </c>
      <c r="R658" s="169">
        <f t="shared" si="365"/>
        <v>0</v>
      </c>
      <c r="S658" s="169">
        <f t="shared" si="365"/>
        <v>0</v>
      </c>
      <c r="T658" s="169">
        <f t="shared" si="365"/>
        <v>0</v>
      </c>
      <c r="U658" s="169">
        <f t="shared" si="365"/>
        <v>0</v>
      </c>
      <c r="V658" s="169">
        <f t="shared" si="365"/>
        <v>0</v>
      </c>
      <c r="W658" s="169">
        <f t="shared" si="365"/>
        <v>0</v>
      </c>
      <c r="X658" s="169">
        <f t="shared" si="365"/>
        <v>0</v>
      </c>
      <c r="Y658" s="169">
        <f t="shared" si="365"/>
        <v>0</v>
      </c>
      <c r="Z658" s="169">
        <f t="shared" si="365"/>
        <v>0</v>
      </c>
      <c r="AA658" s="169">
        <f t="shared" si="365"/>
        <v>0</v>
      </c>
      <c r="AB658" s="169">
        <f t="shared" si="365"/>
        <v>0</v>
      </c>
      <c r="AC658" s="169">
        <f t="shared" si="365"/>
        <v>0</v>
      </c>
      <c r="AD658" s="169">
        <f t="shared" si="365"/>
        <v>0</v>
      </c>
      <c r="AE658" s="169">
        <f t="shared" si="365"/>
        <v>0</v>
      </c>
      <c r="AF658" s="169">
        <f t="shared" si="365"/>
        <v>0</v>
      </c>
      <c r="AG658" s="169">
        <f t="shared" si="365"/>
        <v>0</v>
      </c>
      <c r="AH658" s="169">
        <f t="shared" si="365"/>
        <v>0</v>
      </c>
      <c r="AI658" s="169">
        <f t="shared" si="365"/>
        <v>0</v>
      </c>
      <c r="AJ658" s="169">
        <f t="shared" si="365"/>
        <v>0</v>
      </c>
      <c r="AK658" s="169">
        <f t="shared" si="365"/>
        <v>0</v>
      </c>
      <c r="AL658" s="169">
        <f t="shared" si="365"/>
        <v>0</v>
      </c>
      <c r="AM658" s="169">
        <f t="shared" si="365"/>
        <v>0</v>
      </c>
      <c r="AN658" s="169">
        <f t="shared" si="365"/>
        <v>0</v>
      </c>
      <c r="AO658" s="169">
        <f t="shared" si="365"/>
        <v>0</v>
      </c>
      <c r="AP658" s="169">
        <f t="shared" si="365"/>
        <v>0</v>
      </c>
    </row>
    <row r="659" spans="1:42" x14ac:dyDescent="0.2">
      <c r="A659" s="20">
        <f t="shared" si="366"/>
        <v>5</v>
      </c>
      <c r="B659" s="233">
        <f t="shared" si="363"/>
        <v>0</v>
      </c>
      <c r="C659" s="169">
        <f t="shared" si="365"/>
        <v>0</v>
      </c>
      <c r="D659" s="169">
        <f t="shared" si="365"/>
        <v>0</v>
      </c>
      <c r="E659" s="169">
        <f t="shared" si="365"/>
        <v>0</v>
      </c>
      <c r="F659" s="169">
        <f t="shared" si="365"/>
        <v>0</v>
      </c>
      <c r="G659" s="169">
        <f t="shared" si="365"/>
        <v>0</v>
      </c>
      <c r="H659" s="169">
        <f t="shared" si="365"/>
        <v>0</v>
      </c>
      <c r="I659" s="169">
        <f t="shared" si="365"/>
        <v>0</v>
      </c>
      <c r="J659" s="169">
        <f t="shared" si="365"/>
        <v>0</v>
      </c>
      <c r="K659" s="169">
        <f t="shared" si="365"/>
        <v>0</v>
      </c>
      <c r="L659" s="169">
        <f t="shared" si="365"/>
        <v>0</v>
      </c>
      <c r="M659" s="169">
        <f t="shared" si="365"/>
        <v>0</v>
      </c>
      <c r="N659" s="169">
        <f t="shared" si="365"/>
        <v>0</v>
      </c>
      <c r="O659" s="169">
        <f t="shared" si="365"/>
        <v>0</v>
      </c>
      <c r="P659" s="169">
        <f t="shared" si="365"/>
        <v>0</v>
      </c>
      <c r="Q659" s="169">
        <f t="shared" si="365"/>
        <v>0</v>
      </c>
      <c r="R659" s="169">
        <f t="shared" si="365"/>
        <v>0</v>
      </c>
      <c r="S659" s="169">
        <f t="shared" si="365"/>
        <v>0</v>
      </c>
      <c r="T659" s="169">
        <f t="shared" si="365"/>
        <v>0</v>
      </c>
      <c r="U659" s="169">
        <f t="shared" si="365"/>
        <v>0</v>
      </c>
      <c r="V659" s="169">
        <f t="shared" si="365"/>
        <v>0</v>
      </c>
      <c r="W659" s="169">
        <f t="shared" si="365"/>
        <v>0</v>
      </c>
      <c r="X659" s="169">
        <f t="shared" si="365"/>
        <v>0</v>
      </c>
      <c r="Y659" s="169">
        <f t="shared" si="365"/>
        <v>0</v>
      </c>
      <c r="Z659" s="169">
        <f t="shared" si="365"/>
        <v>0</v>
      </c>
      <c r="AA659" s="169">
        <f t="shared" si="365"/>
        <v>0</v>
      </c>
      <c r="AB659" s="169">
        <f t="shared" si="365"/>
        <v>0</v>
      </c>
      <c r="AC659" s="169">
        <f t="shared" si="365"/>
        <v>0</v>
      </c>
      <c r="AD659" s="169">
        <f t="shared" si="365"/>
        <v>0</v>
      </c>
      <c r="AE659" s="169">
        <f t="shared" si="365"/>
        <v>0</v>
      </c>
      <c r="AF659" s="169">
        <f t="shared" si="365"/>
        <v>0</v>
      </c>
      <c r="AG659" s="169">
        <f t="shared" si="365"/>
        <v>0</v>
      </c>
      <c r="AH659" s="169">
        <f t="shared" si="365"/>
        <v>0</v>
      </c>
      <c r="AI659" s="169">
        <f t="shared" si="365"/>
        <v>0</v>
      </c>
      <c r="AJ659" s="169">
        <f t="shared" si="365"/>
        <v>0</v>
      </c>
      <c r="AK659" s="169">
        <f t="shared" si="365"/>
        <v>0</v>
      </c>
      <c r="AL659" s="169">
        <f t="shared" si="365"/>
        <v>0</v>
      </c>
      <c r="AM659" s="169">
        <f t="shared" si="365"/>
        <v>0</v>
      </c>
      <c r="AN659" s="169">
        <f t="shared" si="365"/>
        <v>0</v>
      </c>
      <c r="AO659" s="169">
        <f t="shared" si="365"/>
        <v>0</v>
      </c>
      <c r="AP659" s="169">
        <f t="shared" si="365"/>
        <v>0</v>
      </c>
    </row>
    <row r="660" spans="1:42" x14ac:dyDescent="0.2">
      <c r="A660" s="20">
        <f t="shared" si="366"/>
        <v>6</v>
      </c>
      <c r="B660" s="233">
        <f t="shared" si="363"/>
        <v>0</v>
      </c>
      <c r="C660" s="169">
        <f t="shared" si="365"/>
        <v>0</v>
      </c>
      <c r="D660" s="169">
        <f t="shared" si="365"/>
        <v>0</v>
      </c>
      <c r="E660" s="169">
        <f t="shared" si="365"/>
        <v>0</v>
      </c>
      <c r="F660" s="169">
        <f t="shared" si="365"/>
        <v>0</v>
      </c>
      <c r="G660" s="169">
        <f t="shared" si="365"/>
        <v>0</v>
      </c>
      <c r="H660" s="169">
        <f t="shared" si="365"/>
        <v>0</v>
      </c>
      <c r="I660" s="169">
        <f t="shared" si="365"/>
        <v>0</v>
      </c>
      <c r="J660" s="169">
        <f t="shared" si="365"/>
        <v>0</v>
      </c>
      <c r="K660" s="169">
        <f t="shared" si="365"/>
        <v>0</v>
      </c>
      <c r="L660" s="169">
        <f t="shared" si="365"/>
        <v>0</v>
      </c>
      <c r="M660" s="169">
        <f t="shared" si="365"/>
        <v>0</v>
      </c>
      <c r="N660" s="169">
        <f t="shared" si="365"/>
        <v>0</v>
      </c>
      <c r="O660" s="169">
        <f t="shared" si="365"/>
        <v>0</v>
      </c>
      <c r="P660" s="169">
        <f t="shared" si="365"/>
        <v>0</v>
      </c>
      <c r="Q660" s="169">
        <f t="shared" si="365"/>
        <v>0</v>
      </c>
      <c r="R660" s="169">
        <f t="shared" si="365"/>
        <v>0</v>
      </c>
      <c r="S660" s="169">
        <f t="shared" si="365"/>
        <v>0</v>
      </c>
      <c r="T660" s="169">
        <f t="shared" si="365"/>
        <v>0</v>
      </c>
      <c r="U660" s="169">
        <f t="shared" si="365"/>
        <v>0</v>
      </c>
      <c r="V660" s="169">
        <f t="shared" si="365"/>
        <v>0</v>
      </c>
      <c r="W660" s="169">
        <f t="shared" si="365"/>
        <v>0</v>
      </c>
      <c r="X660" s="169">
        <f t="shared" si="365"/>
        <v>0</v>
      </c>
      <c r="Y660" s="169">
        <f t="shared" si="365"/>
        <v>0</v>
      </c>
      <c r="Z660" s="169">
        <f t="shared" si="365"/>
        <v>0</v>
      </c>
      <c r="AA660" s="169">
        <f t="shared" si="365"/>
        <v>0</v>
      </c>
      <c r="AB660" s="169">
        <f t="shared" si="365"/>
        <v>0</v>
      </c>
      <c r="AC660" s="169">
        <f t="shared" si="365"/>
        <v>0</v>
      </c>
      <c r="AD660" s="169">
        <f t="shared" si="365"/>
        <v>0</v>
      </c>
      <c r="AE660" s="169">
        <f t="shared" si="365"/>
        <v>0</v>
      </c>
      <c r="AF660" s="169">
        <f t="shared" si="365"/>
        <v>0</v>
      </c>
      <c r="AG660" s="169">
        <f t="shared" si="365"/>
        <v>0</v>
      </c>
      <c r="AH660" s="169">
        <f t="shared" si="365"/>
        <v>0</v>
      </c>
      <c r="AI660" s="169">
        <f t="shared" si="365"/>
        <v>0</v>
      </c>
      <c r="AJ660" s="169">
        <f t="shared" si="365"/>
        <v>0</v>
      </c>
      <c r="AK660" s="169">
        <f t="shared" si="365"/>
        <v>0</v>
      </c>
      <c r="AL660" s="169">
        <f t="shared" si="365"/>
        <v>0</v>
      </c>
      <c r="AM660" s="169">
        <f t="shared" si="365"/>
        <v>0</v>
      </c>
      <c r="AN660" s="169">
        <f t="shared" si="365"/>
        <v>0</v>
      </c>
      <c r="AO660" s="169">
        <f t="shared" si="365"/>
        <v>0</v>
      </c>
      <c r="AP660" s="169">
        <f t="shared" si="365"/>
        <v>0</v>
      </c>
    </row>
    <row r="661" spans="1:42" x14ac:dyDescent="0.2">
      <c r="A661" s="20">
        <f t="shared" si="366"/>
        <v>7</v>
      </c>
      <c r="B661" s="233">
        <f t="shared" si="363"/>
        <v>0</v>
      </c>
      <c r="C661" s="169">
        <f t="shared" si="365"/>
        <v>0</v>
      </c>
      <c r="D661" s="169">
        <f t="shared" si="365"/>
        <v>0</v>
      </c>
      <c r="E661" s="169">
        <f t="shared" si="365"/>
        <v>0</v>
      </c>
      <c r="F661" s="169">
        <f t="shared" si="365"/>
        <v>0</v>
      </c>
      <c r="G661" s="169">
        <f t="shared" si="365"/>
        <v>0</v>
      </c>
      <c r="H661" s="169">
        <f t="shared" si="365"/>
        <v>0</v>
      </c>
      <c r="I661" s="169">
        <f t="shared" si="365"/>
        <v>0</v>
      </c>
      <c r="J661" s="169">
        <f t="shared" si="365"/>
        <v>0</v>
      </c>
      <c r="K661" s="169">
        <f t="shared" si="365"/>
        <v>0</v>
      </c>
      <c r="L661" s="169">
        <f t="shared" si="365"/>
        <v>0</v>
      </c>
      <c r="M661" s="169">
        <f t="shared" si="365"/>
        <v>0</v>
      </c>
      <c r="N661" s="169">
        <f t="shared" si="365"/>
        <v>0</v>
      </c>
      <c r="O661" s="169">
        <f t="shared" si="365"/>
        <v>0</v>
      </c>
      <c r="P661" s="169">
        <f t="shared" si="365"/>
        <v>0</v>
      </c>
      <c r="Q661" s="169">
        <f t="shared" si="365"/>
        <v>0</v>
      </c>
      <c r="R661" s="169">
        <f t="shared" si="365"/>
        <v>0</v>
      </c>
      <c r="S661" s="169">
        <f t="shared" si="365"/>
        <v>0</v>
      </c>
      <c r="T661" s="169">
        <f t="shared" si="365"/>
        <v>0</v>
      </c>
      <c r="U661" s="169">
        <f t="shared" si="365"/>
        <v>0</v>
      </c>
      <c r="V661" s="169">
        <f t="shared" si="365"/>
        <v>0</v>
      </c>
      <c r="W661" s="169">
        <f t="shared" si="365"/>
        <v>0</v>
      </c>
      <c r="X661" s="169">
        <f t="shared" si="365"/>
        <v>0</v>
      </c>
      <c r="Y661" s="169">
        <f t="shared" si="365"/>
        <v>0</v>
      </c>
      <c r="Z661" s="169">
        <f t="shared" si="365"/>
        <v>0</v>
      </c>
      <c r="AA661" s="169">
        <f t="shared" si="365"/>
        <v>0</v>
      </c>
      <c r="AB661" s="169">
        <f t="shared" si="365"/>
        <v>0</v>
      </c>
      <c r="AC661" s="169">
        <f t="shared" si="365"/>
        <v>0</v>
      </c>
      <c r="AD661" s="169">
        <f t="shared" si="365"/>
        <v>0</v>
      </c>
      <c r="AE661" s="169">
        <f t="shared" si="365"/>
        <v>0</v>
      </c>
      <c r="AF661" s="169">
        <f t="shared" si="365"/>
        <v>0</v>
      </c>
      <c r="AG661" s="169">
        <f t="shared" si="365"/>
        <v>0</v>
      </c>
      <c r="AH661" s="169">
        <f t="shared" si="365"/>
        <v>0</v>
      </c>
      <c r="AI661" s="169">
        <f t="shared" si="365"/>
        <v>0</v>
      </c>
      <c r="AJ661" s="169">
        <f t="shared" si="365"/>
        <v>0</v>
      </c>
      <c r="AK661" s="169">
        <f t="shared" si="365"/>
        <v>0</v>
      </c>
      <c r="AL661" s="169">
        <f t="shared" si="365"/>
        <v>0</v>
      </c>
      <c r="AM661" s="169">
        <f t="shared" si="365"/>
        <v>0</v>
      </c>
      <c r="AN661" s="169">
        <f t="shared" si="365"/>
        <v>0</v>
      </c>
      <c r="AO661" s="169">
        <f t="shared" si="365"/>
        <v>0</v>
      </c>
      <c r="AP661" s="169">
        <f t="shared" si="365"/>
        <v>0</v>
      </c>
    </row>
    <row r="662" spans="1:42" x14ac:dyDescent="0.2">
      <c r="A662" s="20">
        <f t="shared" si="366"/>
        <v>8</v>
      </c>
      <c r="B662" s="233">
        <f t="shared" si="363"/>
        <v>0</v>
      </c>
      <c r="C662" s="169">
        <f t="shared" si="365"/>
        <v>0</v>
      </c>
      <c r="D662" s="169">
        <f t="shared" si="365"/>
        <v>0</v>
      </c>
      <c r="E662" s="169">
        <f t="shared" si="365"/>
        <v>0</v>
      </c>
      <c r="F662" s="169">
        <f t="shared" si="365"/>
        <v>0</v>
      </c>
      <c r="G662" s="169">
        <f t="shared" si="365"/>
        <v>0</v>
      </c>
      <c r="H662" s="169">
        <f t="shared" si="365"/>
        <v>0</v>
      </c>
      <c r="I662" s="169">
        <f t="shared" si="365"/>
        <v>0</v>
      </c>
      <c r="J662" s="169">
        <f t="shared" si="365"/>
        <v>0</v>
      </c>
      <c r="K662" s="169">
        <f t="shared" si="365"/>
        <v>0</v>
      </c>
      <c r="L662" s="169">
        <f t="shared" si="365"/>
        <v>0</v>
      </c>
      <c r="M662" s="169">
        <f t="shared" si="365"/>
        <v>0</v>
      </c>
      <c r="N662" s="169">
        <f t="shared" si="365"/>
        <v>0</v>
      </c>
      <c r="O662" s="169">
        <f t="shared" si="365"/>
        <v>0</v>
      </c>
      <c r="P662" s="169">
        <f t="shared" si="365"/>
        <v>0</v>
      </c>
      <c r="Q662" s="169">
        <f t="shared" si="365"/>
        <v>0</v>
      </c>
      <c r="R662" s="169">
        <f t="shared" ref="R662:AP662" si="367">IF(AND(R$2&gt;MMFrequency2*$A649,R$2&lt;=MMFrequency2*$A650),$B650/(MMFrequency2),0)</f>
        <v>0</v>
      </c>
      <c r="S662" s="169">
        <f t="shared" si="367"/>
        <v>0</v>
      </c>
      <c r="T662" s="169">
        <f t="shared" si="367"/>
        <v>0</v>
      </c>
      <c r="U662" s="169">
        <f t="shared" si="367"/>
        <v>0</v>
      </c>
      <c r="V662" s="169">
        <f t="shared" si="367"/>
        <v>0</v>
      </c>
      <c r="W662" s="169">
        <f t="shared" si="367"/>
        <v>0</v>
      </c>
      <c r="X662" s="169">
        <f t="shared" si="367"/>
        <v>0</v>
      </c>
      <c r="Y662" s="169">
        <f t="shared" si="367"/>
        <v>0</v>
      </c>
      <c r="Z662" s="169">
        <f t="shared" si="367"/>
        <v>0</v>
      </c>
      <c r="AA662" s="169">
        <f t="shared" si="367"/>
        <v>0</v>
      </c>
      <c r="AB662" s="169">
        <f t="shared" si="367"/>
        <v>0</v>
      </c>
      <c r="AC662" s="169">
        <f t="shared" si="367"/>
        <v>0</v>
      </c>
      <c r="AD662" s="169">
        <f t="shared" si="367"/>
        <v>0</v>
      </c>
      <c r="AE662" s="169">
        <f t="shared" si="367"/>
        <v>0</v>
      </c>
      <c r="AF662" s="169">
        <f t="shared" si="367"/>
        <v>0</v>
      </c>
      <c r="AG662" s="169">
        <f t="shared" si="367"/>
        <v>0</v>
      </c>
      <c r="AH662" s="169">
        <f t="shared" si="367"/>
        <v>0</v>
      </c>
      <c r="AI662" s="169">
        <f t="shared" si="367"/>
        <v>0</v>
      </c>
      <c r="AJ662" s="169">
        <f t="shared" si="367"/>
        <v>0</v>
      </c>
      <c r="AK662" s="169">
        <f t="shared" si="367"/>
        <v>0</v>
      </c>
      <c r="AL662" s="169">
        <f t="shared" si="367"/>
        <v>0</v>
      </c>
      <c r="AM662" s="169">
        <f t="shared" si="367"/>
        <v>0</v>
      </c>
      <c r="AN662" s="169">
        <f t="shared" si="367"/>
        <v>0</v>
      </c>
      <c r="AO662" s="169">
        <f t="shared" si="367"/>
        <v>0</v>
      </c>
      <c r="AP662" s="169">
        <f t="shared" si="367"/>
        <v>0</v>
      </c>
    </row>
    <row r="663" spans="1:42" x14ac:dyDescent="0.2">
      <c r="A663" s="20">
        <f>A662+1</f>
        <v>9</v>
      </c>
      <c r="B663" s="233">
        <f t="shared" si="363"/>
        <v>0</v>
      </c>
      <c r="C663" s="169">
        <f t="shared" ref="C663:AP664" si="368">IF(AND(C$2&gt;MMFrequency2*$A650,C$2&lt;=MMFrequency2*$A651),$B651/(MMFrequency2),0)</f>
        <v>0</v>
      </c>
      <c r="D663" s="169">
        <f t="shared" si="368"/>
        <v>0</v>
      </c>
      <c r="E663" s="169">
        <f t="shared" si="368"/>
        <v>0</v>
      </c>
      <c r="F663" s="169">
        <f t="shared" si="368"/>
        <v>0</v>
      </c>
      <c r="G663" s="169">
        <f t="shared" si="368"/>
        <v>0</v>
      </c>
      <c r="H663" s="169">
        <f t="shared" si="368"/>
        <v>0</v>
      </c>
      <c r="I663" s="169">
        <f t="shared" si="368"/>
        <v>0</v>
      </c>
      <c r="J663" s="169">
        <f t="shared" si="368"/>
        <v>0</v>
      </c>
      <c r="K663" s="169">
        <f t="shared" si="368"/>
        <v>0</v>
      </c>
      <c r="L663" s="169">
        <f t="shared" si="368"/>
        <v>0</v>
      </c>
      <c r="M663" s="169">
        <f t="shared" si="368"/>
        <v>0</v>
      </c>
      <c r="N663" s="169">
        <f t="shared" si="368"/>
        <v>0</v>
      </c>
      <c r="O663" s="169">
        <f t="shared" si="368"/>
        <v>0</v>
      </c>
      <c r="P663" s="169">
        <f t="shared" si="368"/>
        <v>0</v>
      </c>
      <c r="Q663" s="169">
        <f t="shared" si="368"/>
        <v>0</v>
      </c>
      <c r="R663" s="169">
        <f t="shared" si="368"/>
        <v>0</v>
      </c>
      <c r="S663" s="169">
        <f t="shared" si="368"/>
        <v>0</v>
      </c>
      <c r="T663" s="169">
        <f t="shared" si="368"/>
        <v>0</v>
      </c>
      <c r="U663" s="169">
        <f t="shared" si="368"/>
        <v>0</v>
      </c>
      <c r="V663" s="169">
        <f t="shared" si="368"/>
        <v>0</v>
      </c>
      <c r="W663" s="169">
        <f t="shared" si="368"/>
        <v>0</v>
      </c>
      <c r="X663" s="169">
        <f t="shared" si="368"/>
        <v>0</v>
      </c>
      <c r="Y663" s="169">
        <f t="shared" si="368"/>
        <v>0</v>
      </c>
      <c r="Z663" s="169">
        <f t="shared" si="368"/>
        <v>0</v>
      </c>
      <c r="AA663" s="169">
        <f t="shared" si="368"/>
        <v>0</v>
      </c>
      <c r="AB663" s="169">
        <f t="shared" si="368"/>
        <v>0</v>
      </c>
      <c r="AC663" s="169">
        <f t="shared" si="368"/>
        <v>0</v>
      </c>
      <c r="AD663" s="169">
        <f t="shared" si="368"/>
        <v>0</v>
      </c>
      <c r="AE663" s="169">
        <f t="shared" si="368"/>
        <v>0</v>
      </c>
      <c r="AF663" s="169">
        <f t="shared" si="368"/>
        <v>0</v>
      </c>
      <c r="AG663" s="169">
        <f t="shared" si="368"/>
        <v>0</v>
      </c>
      <c r="AH663" s="169">
        <f t="shared" si="368"/>
        <v>0</v>
      </c>
      <c r="AI663" s="169">
        <f t="shared" si="368"/>
        <v>0</v>
      </c>
      <c r="AJ663" s="169">
        <f t="shared" si="368"/>
        <v>0</v>
      </c>
      <c r="AK663" s="169">
        <f t="shared" si="368"/>
        <v>0</v>
      </c>
      <c r="AL663" s="169">
        <f t="shared" si="368"/>
        <v>0</v>
      </c>
      <c r="AM663" s="169">
        <f t="shared" si="368"/>
        <v>0</v>
      </c>
      <c r="AN663" s="169">
        <f t="shared" si="368"/>
        <v>0</v>
      </c>
      <c r="AO663" s="169">
        <f t="shared" si="368"/>
        <v>0</v>
      </c>
      <c r="AP663" s="169">
        <f t="shared" si="368"/>
        <v>0</v>
      </c>
    </row>
    <row r="664" spans="1:42" x14ac:dyDescent="0.2">
      <c r="A664" s="20">
        <f t="shared" ref="A664" si="369">A663+1</f>
        <v>10</v>
      </c>
      <c r="B664" s="233">
        <f t="shared" si="363"/>
        <v>0</v>
      </c>
      <c r="C664" s="170">
        <f t="shared" si="368"/>
        <v>0</v>
      </c>
      <c r="D664" s="170">
        <f t="shared" si="368"/>
        <v>0</v>
      </c>
      <c r="E664" s="170">
        <f t="shared" si="368"/>
        <v>0</v>
      </c>
      <c r="F664" s="170">
        <f t="shared" si="368"/>
        <v>0</v>
      </c>
      <c r="G664" s="170">
        <f t="shared" si="368"/>
        <v>0</v>
      </c>
      <c r="H664" s="170">
        <f t="shared" si="368"/>
        <v>0</v>
      </c>
      <c r="I664" s="170">
        <f t="shared" si="368"/>
        <v>0</v>
      </c>
      <c r="J664" s="170">
        <f t="shared" si="368"/>
        <v>0</v>
      </c>
      <c r="K664" s="170">
        <f t="shared" si="368"/>
        <v>0</v>
      </c>
      <c r="L664" s="170">
        <f t="shared" si="368"/>
        <v>0</v>
      </c>
      <c r="M664" s="170">
        <f t="shared" si="368"/>
        <v>0</v>
      </c>
      <c r="N664" s="170">
        <f t="shared" si="368"/>
        <v>0</v>
      </c>
      <c r="O664" s="170">
        <f t="shared" si="368"/>
        <v>0</v>
      </c>
      <c r="P664" s="170">
        <f t="shared" si="368"/>
        <v>0</v>
      </c>
      <c r="Q664" s="170">
        <f t="shared" si="368"/>
        <v>0</v>
      </c>
      <c r="R664" s="170">
        <f t="shared" si="368"/>
        <v>0</v>
      </c>
      <c r="S664" s="170">
        <f t="shared" si="368"/>
        <v>0</v>
      </c>
      <c r="T664" s="170">
        <f t="shared" si="368"/>
        <v>0</v>
      </c>
      <c r="U664" s="170">
        <f t="shared" si="368"/>
        <v>0</v>
      </c>
      <c r="V664" s="170">
        <f t="shared" si="368"/>
        <v>0</v>
      </c>
      <c r="W664" s="170">
        <f t="shared" si="368"/>
        <v>0</v>
      </c>
      <c r="X664" s="170">
        <f t="shared" si="368"/>
        <v>0</v>
      </c>
      <c r="Y664" s="170">
        <f t="shared" si="368"/>
        <v>0</v>
      </c>
      <c r="Z664" s="170">
        <f t="shared" si="368"/>
        <v>0</v>
      </c>
      <c r="AA664" s="170">
        <f t="shared" si="368"/>
        <v>0</v>
      </c>
      <c r="AB664" s="170">
        <f t="shared" si="368"/>
        <v>0</v>
      </c>
      <c r="AC664" s="170">
        <f t="shared" si="368"/>
        <v>0</v>
      </c>
      <c r="AD664" s="170">
        <f t="shared" si="368"/>
        <v>0</v>
      </c>
      <c r="AE664" s="170">
        <f t="shared" si="368"/>
        <v>0</v>
      </c>
      <c r="AF664" s="170">
        <f t="shared" si="368"/>
        <v>0</v>
      </c>
      <c r="AG664" s="170">
        <f t="shared" si="368"/>
        <v>0</v>
      </c>
      <c r="AH664" s="170">
        <f t="shared" si="368"/>
        <v>0</v>
      </c>
      <c r="AI664" s="170">
        <f t="shared" si="368"/>
        <v>0</v>
      </c>
      <c r="AJ664" s="170">
        <f t="shared" si="368"/>
        <v>0</v>
      </c>
      <c r="AK664" s="170">
        <f t="shared" si="368"/>
        <v>0</v>
      </c>
      <c r="AL664" s="170">
        <f t="shared" si="368"/>
        <v>0</v>
      </c>
      <c r="AM664" s="170">
        <f t="shared" si="368"/>
        <v>0</v>
      </c>
      <c r="AN664" s="170">
        <f t="shared" si="368"/>
        <v>0</v>
      </c>
      <c r="AO664" s="170">
        <f t="shared" si="368"/>
        <v>0</v>
      </c>
      <c r="AP664" s="170">
        <f t="shared" si="368"/>
        <v>0</v>
      </c>
    </row>
    <row r="665" spans="1:42" x14ac:dyDescent="0.2">
      <c r="A665" s="202" t="s">
        <v>53</v>
      </c>
      <c r="B665" s="169"/>
      <c r="C665" s="135">
        <f>SUM(C655:C664)</f>
        <v>0</v>
      </c>
      <c r="D665" s="135">
        <f t="shared" ref="D665:AP665" si="370">SUM(D655:D664)</f>
        <v>0</v>
      </c>
      <c r="E665" s="135">
        <f t="shared" si="370"/>
        <v>0</v>
      </c>
      <c r="F665" s="135">
        <f t="shared" si="370"/>
        <v>0</v>
      </c>
      <c r="G665" s="135">
        <f t="shared" si="370"/>
        <v>0</v>
      </c>
      <c r="H665" s="135">
        <f t="shared" si="370"/>
        <v>0</v>
      </c>
      <c r="I665" s="135">
        <f t="shared" si="370"/>
        <v>0</v>
      </c>
      <c r="J665" s="135">
        <f t="shared" si="370"/>
        <v>0</v>
      </c>
      <c r="K665" s="135">
        <f t="shared" si="370"/>
        <v>0</v>
      </c>
      <c r="L665" s="135">
        <f t="shared" si="370"/>
        <v>0</v>
      </c>
      <c r="M665" s="135">
        <f t="shared" si="370"/>
        <v>0</v>
      </c>
      <c r="N665" s="135">
        <f t="shared" si="370"/>
        <v>0</v>
      </c>
      <c r="O665" s="135">
        <f t="shared" si="370"/>
        <v>0</v>
      </c>
      <c r="P665" s="135">
        <f t="shared" si="370"/>
        <v>0</v>
      </c>
      <c r="Q665" s="135">
        <f t="shared" si="370"/>
        <v>0</v>
      </c>
      <c r="R665" s="135">
        <f t="shared" si="370"/>
        <v>0</v>
      </c>
      <c r="S665" s="135">
        <f t="shared" si="370"/>
        <v>0</v>
      </c>
      <c r="T665" s="135">
        <f t="shared" si="370"/>
        <v>0</v>
      </c>
      <c r="U665" s="135">
        <f t="shared" si="370"/>
        <v>0</v>
      </c>
      <c r="V665" s="135">
        <f t="shared" si="370"/>
        <v>0</v>
      </c>
      <c r="W665" s="135">
        <f t="shared" si="370"/>
        <v>0</v>
      </c>
      <c r="X665" s="135">
        <f t="shared" si="370"/>
        <v>0</v>
      </c>
      <c r="Y665" s="135">
        <f t="shared" si="370"/>
        <v>0</v>
      </c>
      <c r="Z665" s="135">
        <f t="shared" si="370"/>
        <v>0</v>
      </c>
      <c r="AA665" s="135">
        <f t="shared" si="370"/>
        <v>0</v>
      </c>
      <c r="AB665" s="135">
        <f t="shared" si="370"/>
        <v>0</v>
      </c>
      <c r="AC665" s="135">
        <f t="shared" si="370"/>
        <v>0</v>
      </c>
      <c r="AD665" s="135">
        <f t="shared" si="370"/>
        <v>0</v>
      </c>
      <c r="AE665" s="135">
        <f t="shared" si="370"/>
        <v>0</v>
      </c>
      <c r="AF665" s="135">
        <f t="shared" si="370"/>
        <v>0</v>
      </c>
      <c r="AG665" s="135">
        <f t="shared" si="370"/>
        <v>0</v>
      </c>
      <c r="AH665" s="135">
        <f t="shared" si="370"/>
        <v>0</v>
      </c>
      <c r="AI665" s="135">
        <f t="shared" si="370"/>
        <v>0</v>
      </c>
      <c r="AJ665" s="135">
        <f t="shared" si="370"/>
        <v>0</v>
      </c>
      <c r="AK665" s="135">
        <f t="shared" si="370"/>
        <v>0</v>
      </c>
      <c r="AL665" s="135">
        <f t="shared" si="370"/>
        <v>0</v>
      </c>
      <c r="AM665" s="135">
        <f t="shared" si="370"/>
        <v>0</v>
      </c>
      <c r="AN665" s="135">
        <f t="shared" si="370"/>
        <v>0</v>
      </c>
      <c r="AO665" s="135">
        <f t="shared" si="370"/>
        <v>0</v>
      </c>
      <c r="AP665" s="135">
        <f t="shared" si="370"/>
        <v>0</v>
      </c>
    </row>
    <row r="666" spans="1:42" x14ac:dyDescent="0.2">
      <c r="B666" s="169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</row>
    <row r="667" spans="1:42" x14ac:dyDescent="0.2">
      <c r="A667" s="165" t="s">
        <v>299</v>
      </c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</row>
    <row r="668" spans="1:42" x14ac:dyDescent="0.2">
      <c r="A668" s="20" t="s">
        <v>96</v>
      </c>
      <c r="B668" s="135">
        <v>0</v>
      </c>
      <c r="C668" s="135">
        <f>B671</f>
        <v>0</v>
      </c>
      <c r="D668" s="135">
        <f t="shared" ref="D668:AP668" si="371">C671</f>
        <v>0</v>
      </c>
      <c r="E668" s="135">
        <f t="shared" si="371"/>
        <v>0</v>
      </c>
      <c r="F668" s="135">
        <f t="shared" si="371"/>
        <v>0</v>
      </c>
      <c r="G668" s="135">
        <f t="shared" si="371"/>
        <v>0</v>
      </c>
      <c r="H668" s="135">
        <f t="shared" si="371"/>
        <v>0</v>
      </c>
      <c r="I668" s="135">
        <f t="shared" si="371"/>
        <v>0</v>
      </c>
      <c r="J668" s="135">
        <f t="shared" si="371"/>
        <v>0</v>
      </c>
      <c r="K668" s="135">
        <f t="shared" si="371"/>
        <v>0</v>
      </c>
      <c r="L668" s="135">
        <f t="shared" si="371"/>
        <v>0</v>
      </c>
      <c r="M668" s="135">
        <f t="shared" si="371"/>
        <v>0</v>
      </c>
      <c r="N668" s="135">
        <f t="shared" si="371"/>
        <v>0</v>
      </c>
      <c r="O668" s="135">
        <f t="shared" si="371"/>
        <v>0</v>
      </c>
      <c r="P668" s="135">
        <f t="shared" si="371"/>
        <v>0</v>
      </c>
      <c r="Q668" s="135">
        <f t="shared" si="371"/>
        <v>0</v>
      </c>
      <c r="R668" s="135">
        <f t="shared" si="371"/>
        <v>0</v>
      </c>
      <c r="S668" s="135">
        <f t="shared" si="371"/>
        <v>0</v>
      </c>
      <c r="T668" s="135">
        <f t="shared" si="371"/>
        <v>0</v>
      </c>
      <c r="U668" s="135">
        <f t="shared" si="371"/>
        <v>0</v>
      </c>
      <c r="V668" s="135">
        <f t="shared" si="371"/>
        <v>0</v>
      </c>
      <c r="W668" s="135">
        <f t="shared" si="371"/>
        <v>0</v>
      </c>
      <c r="X668" s="135">
        <f t="shared" si="371"/>
        <v>0</v>
      </c>
      <c r="Y668" s="135">
        <f t="shared" si="371"/>
        <v>0</v>
      </c>
      <c r="Z668" s="135">
        <f t="shared" si="371"/>
        <v>0</v>
      </c>
      <c r="AA668" s="135">
        <f t="shared" si="371"/>
        <v>0</v>
      </c>
      <c r="AB668" s="135">
        <f t="shared" si="371"/>
        <v>0</v>
      </c>
      <c r="AC668" s="135">
        <f t="shared" si="371"/>
        <v>0</v>
      </c>
      <c r="AD668" s="135">
        <f t="shared" si="371"/>
        <v>0</v>
      </c>
      <c r="AE668" s="135">
        <f t="shared" si="371"/>
        <v>0</v>
      </c>
      <c r="AF668" s="135">
        <f t="shared" si="371"/>
        <v>0</v>
      </c>
      <c r="AG668" s="135">
        <f t="shared" si="371"/>
        <v>0</v>
      </c>
      <c r="AH668" s="135">
        <f t="shared" si="371"/>
        <v>0</v>
      </c>
      <c r="AI668" s="135">
        <f t="shared" si="371"/>
        <v>0</v>
      </c>
      <c r="AJ668" s="135">
        <f t="shared" si="371"/>
        <v>0</v>
      </c>
      <c r="AK668" s="135">
        <f t="shared" si="371"/>
        <v>0</v>
      </c>
      <c r="AL668" s="135">
        <f t="shared" si="371"/>
        <v>0</v>
      </c>
      <c r="AM668" s="135">
        <f t="shared" si="371"/>
        <v>0</v>
      </c>
      <c r="AN668" s="135">
        <f t="shared" si="371"/>
        <v>0</v>
      </c>
      <c r="AO668" s="135">
        <f t="shared" si="371"/>
        <v>0</v>
      </c>
      <c r="AP668" s="135">
        <f t="shared" si="371"/>
        <v>0</v>
      </c>
    </row>
    <row r="669" spans="1:42" x14ac:dyDescent="0.2">
      <c r="A669" s="20" t="s">
        <v>183</v>
      </c>
      <c r="B669" s="135">
        <v>0</v>
      </c>
      <c r="C669" s="135">
        <f>C697</f>
        <v>0</v>
      </c>
      <c r="D669" s="135">
        <f t="shared" ref="D669:AP669" si="372">D697</f>
        <v>0</v>
      </c>
      <c r="E669" s="135">
        <f t="shared" si="372"/>
        <v>0</v>
      </c>
      <c r="F669" s="135">
        <f t="shared" si="372"/>
        <v>0</v>
      </c>
      <c r="G669" s="135">
        <f t="shared" si="372"/>
        <v>0</v>
      </c>
      <c r="H669" s="135">
        <f t="shared" si="372"/>
        <v>0</v>
      </c>
      <c r="I669" s="135">
        <f t="shared" si="372"/>
        <v>0</v>
      </c>
      <c r="J669" s="135">
        <f t="shared" si="372"/>
        <v>0</v>
      </c>
      <c r="K669" s="135">
        <f t="shared" si="372"/>
        <v>0</v>
      </c>
      <c r="L669" s="135">
        <f t="shared" si="372"/>
        <v>0</v>
      </c>
      <c r="M669" s="135">
        <f t="shared" si="372"/>
        <v>0</v>
      </c>
      <c r="N669" s="135">
        <f t="shared" si="372"/>
        <v>0</v>
      </c>
      <c r="O669" s="135">
        <f t="shared" si="372"/>
        <v>0</v>
      </c>
      <c r="P669" s="135">
        <f t="shared" si="372"/>
        <v>0</v>
      </c>
      <c r="Q669" s="135">
        <f t="shared" si="372"/>
        <v>0</v>
      </c>
      <c r="R669" s="135">
        <f t="shared" si="372"/>
        <v>0</v>
      </c>
      <c r="S669" s="135">
        <f t="shared" si="372"/>
        <v>0</v>
      </c>
      <c r="T669" s="135">
        <f t="shared" si="372"/>
        <v>0</v>
      </c>
      <c r="U669" s="135">
        <f t="shared" si="372"/>
        <v>0</v>
      </c>
      <c r="V669" s="135">
        <f t="shared" si="372"/>
        <v>0</v>
      </c>
      <c r="W669" s="135">
        <f t="shared" si="372"/>
        <v>0</v>
      </c>
      <c r="X669" s="135">
        <f t="shared" si="372"/>
        <v>0</v>
      </c>
      <c r="Y669" s="135">
        <f t="shared" si="372"/>
        <v>0</v>
      </c>
      <c r="Z669" s="135">
        <f t="shared" si="372"/>
        <v>0</v>
      </c>
      <c r="AA669" s="135">
        <f t="shared" si="372"/>
        <v>0</v>
      </c>
      <c r="AB669" s="135">
        <f t="shared" si="372"/>
        <v>0</v>
      </c>
      <c r="AC669" s="135">
        <f t="shared" si="372"/>
        <v>0</v>
      </c>
      <c r="AD669" s="135">
        <f t="shared" si="372"/>
        <v>0</v>
      </c>
      <c r="AE669" s="135">
        <f t="shared" si="372"/>
        <v>0</v>
      </c>
      <c r="AF669" s="135">
        <f t="shared" si="372"/>
        <v>0</v>
      </c>
      <c r="AG669" s="135">
        <f t="shared" si="372"/>
        <v>0</v>
      </c>
      <c r="AH669" s="135">
        <f t="shared" si="372"/>
        <v>0</v>
      </c>
      <c r="AI669" s="135">
        <f t="shared" si="372"/>
        <v>0</v>
      </c>
      <c r="AJ669" s="135">
        <f t="shared" si="372"/>
        <v>0</v>
      </c>
      <c r="AK669" s="135">
        <f t="shared" si="372"/>
        <v>0</v>
      </c>
      <c r="AL669" s="135">
        <f t="shared" si="372"/>
        <v>0</v>
      </c>
      <c r="AM669" s="135">
        <f t="shared" si="372"/>
        <v>0</v>
      </c>
      <c r="AN669" s="135">
        <f t="shared" si="372"/>
        <v>0</v>
      </c>
      <c r="AO669" s="135">
        <f t="shared" si="372"/>
        <v>0</v>
      </c>
      <c r="AP669" s="135">
        <f t="shared" si="372"/>
        <v>0</v>
      </c>
    </row>
    <row r="670" spans="1:42" x14ac:dyDescent="0.2">
      <c r="A670" s="20" t="s">
        <v>103</v>
      </c>
      <c r="B670" s="170">
        <v>0</v>
      </c>
      <c r="C670" s="170">
        <f>-C685</f>
        <v>0</v>
      </c>
      <c r="D670" s="170">
        <f t="shared" ref="D670:AP670" si="373">-D685</f>
        <v>0</v>
      </c>
      <c r="E670" s="170">
        <f t="shared" si="373"/>
        <v>0</v>
      </c>
      <c r="F670" s="170">
        <f t="shared" si="373"/>
        <v>0</v>
      </c>
      <c r="G670" s="170">
        <f t="shared" si="373"/>
        <v>0</v>
      </c>
      <c r="H670" s="170">
        <f t="shared" si="373"/>
        <v>0</v>
      </c>
      <c r="I670" s="170">
        <f t="shared" si="373"/>
        <v>0</v>
      </c>
      <c r="J670" s="170">
        <f t="shared" si="373"/>
        <v>0</v>
      </c>
      <c r="K670" s="170">
        <f t="shared" si="373"/>
        <v>0</v>
      </c>
      <c r="L670" s="170">
        <f t="shared" si="373"/>
        <v>0</v>
      </c>
      <c r="M670" s="170">
        <f t="shared" si="373"/>
        <v>0</v>
      </c>
      <c r="N670" s="170">
        <f t="shared" si="373"/>
        <v>0</v>
      </c>
      <c r="O670" s="170">
        <f t="shared" si="373"/>
        <v>0</v>
      </c>
      <c r="P670" s="170">
        <f t="shared" si="373"/>
        <v>0</v>
      </c>
      <c r="Q670" s="170">
        <f t="shared" si="373"/>
        <v>0</v>
      </c>
      <c r="R670" s="170">
        <f t="shared" si="373"/>
        <v>0</v>
      </c>
      <c r="S670" s="170">
        <f t="shared" si="373"/>
        <v>0</v>
      </c>
      <c r="T670" s="170">
        <f t="shared" si="373"/>
        <v>0</v>
      </c>
      <c r="U670" s="170">
        <f t="shared" si="373"/>
        <v>0</v>
      </c>
      <c r="V670" s="170">
        <f t="shared" si="373"/>
        <v>0</v>
      </c>
      <c r="W670" s="170">
        <f t="shared" si="373"/>
        <v>0</v>
      </c>
      <c r="X670" s="170">
        <f t="shared" si="373"/>
        <v>0</v>
      </c>
      <c r="Y670" s="170">
        <f t="shared" si="373"/>
        <v>0</v>
      </c>
      <c r="Z670" s="170">
        <f t="shared" si="373"/>
        <v>0</v>
      </c>
      <c r="AA670" s="170">
        <f t="shared" si="373"/>
        <v>0</v>
      </c>
      <c r="AB670" s="170">
        <f t="shared" si="373"/>
        <v>0</v>
      </c>
      <c r="AC670" s="170">
        <f t="shared" si="373"/>
        <v>0</v>
      </c>
      <c r="AD670" s="170">
        <f t="shared" si="373"/>
        <v>0</v>
      </c>
      <c r="AE670" s="170">
        <f t="shared" si="373"/>
        <v>0</v>
      </c>
      <c r="AF670" s="170">
        <f t="shared" si="373"/>
        <v>0</v>
      </c>
      <c r="AG670" s="170">
        <f t="shared" si="373"/>
        <v>0</v>
      </c>
      <c r="AH670" s="170">
        <f t="shared" si="373"/>
        <v>0</v>
      </c>
      <c r="AI670" s="170">
        <f t="shared" si="373"/>
        <v>0</v>
      </c>
      <c r="AJ670" s="170">
        <f t="shared" si="373"/>
        <v>0</v>
      </c>
      <c r="AK670" s="170">
        <f t="shared" si="373"/>
        <v>0</v>
      </c>
      <c r="AL670" s="170">
        <f t="shared" si="373"/>
        <v>0</v>
      </c>
      <c r="AM670" s="170">
        <f t="shared" si="373"/>
        <v>0</v>
      </c>
      <c r="AN670" s="170">
        <f t="shared" si="373"/>
        <v>0</v>
      </c>
      <c r="AO670" s="170">
        <f t="shared" si="373"/>
        <v>0</v>
      </c>
      <c r="AP670" s="170">
        <f t="shared" si="373"/>
        <v>0</v>
      </c>
    </row>
    <row r="671" spans="1:42" x14ac:dyDescent="0.2">
      <c r="A671" s="20" t="s">
        <v>99</v>
      </c>
      <c r="B671" s="135">
        <f>SUM(B668:B670)</f>
        <v>0</v>
      </c>
      <c r="C671" s="135">
        <f>SUM(C668:C670)</f>
        <v>0</v>
      </c>
      <c r="D671" s="135">
        <f t="shared" ref="D671:AP671" si="374">SUM(D668:D670)</f>
        <v>0</v>
      </c>
      <c r="E671" s="135">
        <f t="shared" si="374"/>
        <v>0</v>
      </c>
      <c r="F671" s="135">
        <f t="shared" si="374"/>
        <v>0</v>
      </c>
      <c r="G671" s="135">
        <f t="shared" si="374"/>
        <v>0</v>
      </c>
      <c r="H671" s="135">
        <f t="shared" si="374"/>
        <v>0</v>
      </c>
      <c r="I671" s="135">
        <f t="shared" si="374"/>
        <v>0</v>
      </c>
      <c r="J671" s="135">
        <f t="shared" si="374"/>
        <v>0</v>
      </c>
      <c r="K671" s="135">
        <f t="shared" si="374"/>
        <v>0</v>
      </c>
      <c r="L671" s="135">
        <f t="shared" si="374"/>
        <v>0</v>
      </c>
      <c r="M671" s="135">
        <f t="shared" si="374"/>
        <v>0</v>
      </c>
      <c r="N671" s="135">
        <f t="shared" si="374"/>
        <v>0</v>
      </c>
      <c r="O671" s="135">
        <f t="shared" si="374"/>
        <v>0</v>
      </c>
      <c r="P671" s="135">
        <f t="shared" si="374"/>
        <v>0</v>
      </c>
      <c r="Q671" s="135">
        <f t="shared" si="374"/>
        <v>0</v>
      </c>
      <c r="R671" s="135">
        <f t="shared" si="374"/>
        <v>0</v>
      </c>
      <c r="S671" s="135">
        <f t="shared" si="374"/>
        <v>0</v>
      </c>
      <c r="T671" s="135">
        <f t="shared" si="374"/>
        <v>0</v>
      </c>
      <c r="U671" s="135">
        <f t="shared" si="374"/>
        <v>0</v>
      </c>
      <c r="V671" s="135">
        <f t="shared" si="374"/>
        <v>0</v>
      </c>
      <c r="W671" s="135">
        <f t="shared" si="374"/>
        <v>0</v>
      </c>
      <c r="X671" s="135">
        <f t="shared" si="374"/>
        <v>0</v>
      </c>
      <c r="Y671" s="135">
        <f t="shared" si="374"/>
        <v>0</v>
      </c>
      <c r="Z671" s="135">
        <f t="shared" si="374"/>
        <v>0</v>
      </c>
      <c r="AA671" s="135">
        <f t="shared" si="374"/>
        <v>0</v>
      </c>
      <c r="AB671" s="135">
        <f t="shared" si="374"/>
        <v>0</v>
      </c>
      <c r="AC671" s="135">
        <f t="shared" si="374"/>
        <v>0</v>
      </c>
      <c r="AD671" s="135">
        <f t="shared" si="374"/>
        <v>0</v>
      </c>
      <c r="AE671" s="135">
        <f t="shared" si="374"/>
        <v>0</v>
      </c>
      <c r="AF671" s="135">
        <f t="shared" si="374"/>
        <v>0</v>
      </c>
      <c r="AG671" s="135">
        <f t="shared" si="374"/>
        <v>0</v>
      </c>
      <c r="AH671" s="135">
        <f t="shared" si="374"/>
        <v>0</v>
      </c>
      <c r="AI671" s="135">
        <f t="shared" si="374"/>
        <v>0</v>
      </c>
      <c r="AJ671" s="135">
        <f t="shared" si="374"/>
        <v>0</v>
      </c>
      <c r="AK671" s="135">
        <f t="shared" si="374"/>
        <v>0</v>
      </c>
      <c r="AL671" s="135">
        <f t="shared" si="374"/>
        <v>0</v>
      </c>
      <c r="AM671" s="135">
        <f t="shared" si="374"/>
        <v>0</v>
      </c>
      <c r="AN671" s="135">
        <f t="shared" si="374"/>
        <v>0</v>
      </c>
      <c r="AO671" s="135">
        <f t="shared" si="374"/>
        <v>0</v>
      </c>
      <c r="AP671" s="135">
        <f t="shared" si="374"/>
        <v>0</v>
      </c>
    </row>
    <row r="672" spans="1:42" x14ac:dyDescent="0.2">
      <c r="B672" s="135"/>
      <c r="C672" s="135"/>
      <c r="D672" s="135"/>
      <c r="E672" s="135"/>
      <c r="F672" s="135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</row>
    <row r="673" spans="1:42" x14ac:dyDescent="0.2">
      <c r="A673" s="20" t="s">
        <v>181</v>
      </c>
      <c r="B673" s="135"/>
      <c r="C673" s="135"/>
      <c r="D673" s="135"/>
      <c r="E673" s="135"/>
      <c r="F673" s="135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</row>
    <row r="674" spans="1:42" x14ac:dyDescent="0.2">
      <c r="A674" s="20" t="s">
        <v>182</v>
      </c>
      <c r="B674" s="135"/>
      <c r="C674" s="135"/>
      <c r="D674" s="135"/>
      <c r="E674" s="135"/>
      <c r="F674" s="135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</row>
    <row r="675" spans="1:42" x14ac:dyDescent="0.2">
      <c r="A675" s="20">
        <v>1</v>
      </c>
      <c r="B675" s="233">
        <f t="shared" ref="B675:B684" si="375">SUM(C675:AP675)</f>
        <v>0</v>
      </c>
      <c r="C675" s="169">
        <f t="shared" ref="C675:AP681" si="376">IF(C$2&gt;AnalysisPeriod,0,IF(C$2=MMFrequency3*$A675,MMCost3*CapacityDC*1000*(1+Inflation)^B$2,0))</f>
        <v>0</v>
      </c>
      <c r="D675" s="169">
        <f t="shared" si="376"/>
        <v>0</v>
      </c>
      <c r="E675" s="169">
        <f t="shared" si="376"/>
        <v>0</v>
      </c>
      <c r="F675" s="169">
        <f t="shared" si="376"/>
        <v>0</v>
      </c>
      <c r="G675" s="169">
        <f t="shared" si="376"/>
        <v>0</v>
      </c>
      <c r="H675" s="169">
        <f t="shared" si="376"/>
        <v>0</v>
      </c>
      <c r="I675" s="169">
        <f t="shared" si="376"/>
        <v>0</v>
      </c>
      <c r="J675" s="169">
        <f t="shared" si="376"/>
        <v>0</v>
      </c>
      <c r="K675" s="169">
        <f t="shared" si="376"/>
        <v>0</v>
      </c>
      <c r="L675" s="169">
        <f t="shared" si="376"/>
        <v>0</v>
      </c>
      <c r="M675" s="169">
        <f t="shared" si="376"/>
        <v>0</v>
      </c>
      <c r="N675" s="169">
        <f t="shared" si="376"/>
        <v>0</v>
      </c>
      <c r="O675" s="169">
        <f t="shared" si="376"/>
        <v>0</v>
      </c>
      <c r="P675" s="169">
        <f t="shared" si="376"/>
        <v>0</v>
      </c>
      <c r="Q675" s="169">
        <f t="shared" si="376"/>
        <v>0</v>
      </c>
      <c r="R675" s="169">
        <f t="shared" si="376"/>
        <v>0</v>
      </c>
      <c r="S675" s="169">
        <f t="shared" si="376"/>
        <v>0</v>
      </c>
      <c r="T675" s="169">
        <f t="shared" si="376"/>
        <v>0</v>
      </c>
      <c r="U675" s="169">
        <f t="shared" si="376"/>
        <v>0</v>
      </c>
      <c r="V675" s="169">
        <f t="shared" si="376"/>
        <v>0</v>
      </c>
      <c r="W675" s="169">
        <f t="shared" si="376"/>
        <v>0</v>
      </c>
      <c r="X675" s="169">
        <f t="shared" si="376"/>
        <v>0</v>
      </c>
      <c r="Y675" s="169">
        <f t="shared" si="376"/>
        <v>0</v>
      </c>
      <c r="Z675" s="169">
        <f t="shared" si="376"/>
        <v>0</v>
      </c>
      <c r="AA675" s="169">
        <f t="shared" si="376"/>
        <v>0</v>
      </c>
      <c r="AB675" s="169">
        <f t="shared" si="376"/>
        <v>0</v>
      </c>
      <c r="AC675" s="169">
        <f t="shared" si="376"/>
        <v>0</v>
      </c>
      <c r="AD675" s="169">
        <f t="shared" si="376"/>
        <v>0</v>
      </c>
      <c r="AE675" s="169">
        <f t="shared" si="376"/>
        <v>0</v>
      </c>
      <c r="AF675" s="169">
        <f t="shared" si="376"/>
        <v>0</v>
      </c>
      <c r="AG675" s="169">
        <f t="shared" si="376"/>
        <v>0</v>
      </c>
      <c r="AH675" s="169">
        <f t="shared" si="376"/>
        <v>0</v>
      </c>
      <c r="AI675" s="169">
        <f t="shared" si="376"/>
        <v>0</v>
      </c>
      <c r="AJ675" s="169">
        <f t="shared" si="376"/>
        <v>0</v>
      </c>
      <c r="AK675" s="169">
        <f t="shared" si="376"/>
        <v>0</v>
      </c>
      <c r="AL675" s="169">
        <f t="shared" si="376"/>
        <v>0</v>
      </c>
      <c r="AM675" s="169">
        <f t="shared" si="376"/>
        <v>0</v>
      </c>
      <c r="AN675" s="169">
        <f t="shared" si="376"/>
        <v>0</v>
      </c>
      <c r="AO675" s="169">
        <f t="shared" si="376"/>
        <v>0</v>
      </c>
      <c r="AP675" s="169">
        <f t="shared" si="376"/>
        <v>0</v>
      </c>
    </row>
    <row r="676" spans="1:42" x14ac:dyDescent="0.2">
      <c r="A676" s="20">
        <f>A675+1</f>
        <v>2</v>
      </c>
      <c r="B676" s="233">
        <f t="shared" si="375"/>
        <v>0</v>
      </c>
      <c r="C676" s="169">
        <f t="shared" si="376"/>
        <v>0</v>
      </c>
      <c r="D676" s="169">
        <f t="shared" si="376"/>
        <v>0</v>
      </c>
      <c r="E676" s="169">
        <f t="shared" si="376"/>
        <v>0</v>
      </c>
      <c r="F676" s="169">
        <f t="shared" si="376"/>
        <v>0</v>
      </c>
      <c r="G676" s="169">
        <f t="shared" si="376"/>
        <v>0</v>
      </c>
      <c r="H676" s="169">
        <f t="shared" si="376"/>
        <v>0</v>
      </c>
      <c r="I676" s="169">
        <f t="shared" si="376"/>
        <v>0</v>
      </c>
      <c r="J676" s="169">
        <f t="shared" si="376"/>
        <v>0</v>
      </c>
      <c r="K676" s="169">
        <f t="shared" si="376"/>
        <v>0</v>
      </c>
      <c r="L676" s="169">
        <f t="shared" si="376"/>
        <v>0</v>
      </c>
      <c r="M676" s="169">
        <f t="shared" si="376"/>
        <v>0</v>
      </c>
      <c r="N676" s="169">
        <f t="shared" si="376"/>
        <v>0</v>
      </c>
      <c r="O676" s="169">
        <f t="shared" si="376"/>
        <v>0</v>
      </c>
      <c r="P676" s="169">
        <f t="shared" si="376"/>
        <v>0</v>
      </c>
      <c r="Q676" s="169">
        <f t="shared" si="376"/>
        <v>0</v>
      </c>
      <c r="R676" s="169">
        <f t="shared" si="376"/>
        <v>0</v>
      </c>
      <c r="S676" s="169">
        <f t="shared" si="376"/>
        <v>0</v>
      </c>
      <c r="T676" s="169">
        <f t="shared" si="376"/>
        <v>0</v>
      </c>
      <c r="U676" s="169">
        <f t="shared" si="376"/>
        <v>0</v>
      </c>
      <c r="V676" s="169">
        <f t="shared" si="376"/>
        <v>0</v>
      </c>
      <c r="W676" s="169">
        <f t="shared" si="376"/>
        <v>0</v>
      </c>
      <c r="X676" s="169">
        <f t="shared" si="376"/>
        <v>0</v>
      </c>
      <c r="Y676" s="169">
        <f t="shared" si="376"/>
        <v>0</v>
      </c>
      <c r="Z676" s="169">
        <f t="shared" si="376"/>
        <v>0</v>
      </c>
      <c r="AA676" s="169">
        <f t="shared" si="376"/>
        <v>0</v>
      </c>
      <c r="AB676" s="169">
        <f t="shared" si="376"/>
        <v>0</v>
      </c>
      <c r="AC676" s="169">
        <f t="shared" si="376"/>
        <v>0</v>
      </c>
      <c r="AD676" s="169">
        <f t="shared" si="376"/>
        <v>0</v>
      </c>
      <c r="AE676" s="169">
        <f t="shared" si="376"/>
        <v>0</v>
      </c>
      <c r="AF676" s="169">
        <f t="shared" si="376"/>
        <v>0</v>
      </c>
      <c r="AG676" s="169">
        <f t="shared" si="376"/>
        <v>0</v>
      </c>
      <c r="AH676" s="169">
        <f t="shared" si="376"/>
        <v>0</v>
      </c>
      <c r="AI676" s="169">
        <f t="shared" si="376"/>
        <v>0</v>
      </c>
      <c r="AJ676" s="169">
        <f t="shared" si="376"/>
        <v>0</v>
      </c>
      <c r="AK676" s="169">
        <f t="shared" si="376"/>
        <v>0</v>
      </c>
      <c r="AL676" s="169">
        <f t="shared" si="376"/>
        <v>0</v>
      </c>
      <c r="AM676" s="169">
        <f t="shared" si="376"/>
        <v>0</v>
      </c>
      <c r="AN676" s="169">
        <f t="shared" si="376"/>
        <v>0</v>
      </c>
      <c r="AO676" s="169">
        <f t="shared" si="376"/>
        <v>0</v>
      </c>
      <c r="AP676" s="169">
        <f t="shared" si="376"/>
        <v>0</v>
      </c>
    </row>
    <row r="677" spans="1:42" x14ac:dyDescent="0.2">
      <c r="A677" s="20">
        <f t="shared" ref="A677:A684" si="377">A676+1</f>
        <v>3</v>
      </c>
      <c r="B677" s="233">
        <f t="shared" si="375"/>
        <v>0</v>
      </c>
      <c r="C677" s="169">
        <f t="shared" si="376"/>
        <v>0</v>
      </c>
      <c r="D677" s="169">
        <f t="shared" si="376"/>
        <v>0</v>
      </c>
      <c r="E677" s="169">
        <f t="shared" si="376"/>
        <v>0</v>
      </c>
      <c r="F677" s="169">
        <f t="shared" si="376"/>
        <v>0</v>
      </c>
      <c r="G677" s="169">
        <f t="shared" si="376"/>
        <v>0</v>
      </c>
      <c r="H677" s="169">
        <f t="shared" si="376"/>
        <v>0</v>
      </c>
      <c r="I677" s="169">
        <f t="shared" si="376"/>
        <v>0</v>
      </c>
      <c r="J677" s="169">
        <f t="shared" si="376"/>
        <v>0</v>
      </c>
      <c r="K677" s="169">
        <f t="shared" si="376"/>
        <v>0</v>
      </c>
      <c r="L677" s="169">
        <f t="shared" si="376"/>
        <v>0</v>
      </c>
      <c r="M677" s="169">
        <f t="shared" si="376"/>
        <v>0</v>
      </c>
      <c r="N677" s="169">
        <f t="shared" si="376"/>
        <v>0</v>
      </c>
      <c r="O677" s="169">
        <f t="shared" si="376"/>
        <v>0</v>
      </c>
      <c r="P677" s="169">
        <f t="shared" si="376"/>
        <v>0</v>
      </c>
      <c r="Q677" s="169">
        <f t="shared" si="376"/>
        <v>0</v>
      </c>
      <c r="R677" s="169">
        <f t="shared" si="376"/>
        <v>0</v>
      </c>
      <c r="S677" s="169">
        <f t="shared" si="376"/>
        <v>0</v>
      </c>
      <c r="T677" s="169">
        <f t="shared" si="376"/>
        <v>0</v>
      </c>
      <c r="U677" s="169">
        <f t="shared" si="376"/>
        <v>0</v>
      </c>
      <c r="V677" s="169">
        <f t="shared" si="376"/>
        <v>0</v>
      </c>
      <c r="W677" s="169">
        <f t="shared" si="376"/>
        <v>0</v>
      </c>
      <c r="X677" s="169">
        <f t="shared" si="376"/>
        <v>0</v>
      </c>
      <c r="Y677" s="169">
        <f t="shared" si="376"/>
        <v>0</v>
      </c>
      <c r="Z677" s="169">
        <f t="shared" si="376"/>
        <v>0</v>
      </c>
      <c r="AA677" s="169">
        <f t="shared" si="376"/>
        <v>0</v>
      </c>
      <c r="AB677" s="169">
        <f t="shared" si="376"/>
        <v>0</v>
      </c>
      <c r="AC677" s="169">
        <f t="shared" si="376"/>
        <v>0</v>
      </c>
      <c r="AD677" s="169">
        <f t="shared" si="376"/>
        <v>0</v>
      </c>
      <c r="AE677" s="169">
        <f t="shared" si="376"/>
        <v>0</v>
      </c>
      <c r="AF677" s="169">
        <f t="shared" si="376"/>
        <v>0</v>
      </c>
      <c r="AG677" s="169">
        <f t="shared" si="376"/>
        <v>0</v>
      </c>
      <c r="AH677" s="169">
        <f t="shared" si="376"/>
        <v>0</v>
      </c>
      <c r="AI677" s="169">
        <f t="shared" si="376"/>
        <v>0</v>
      </c>
      <c r="AJ677" s="169">
        <f t="shared" si="376"/>
        <v>0</v>
      </c>
      <c r="AK677" s="169">
        <f t="shared" si="376"/>
        <v>0</v>
      </c>
      <c r="AL677" s="169">
        <f t="shared" si="376"/>
        <v>0</v>
      </c>
      <c r="AM677" s="169">
        <f t="shared" si="376"/>
        <v>0</v>
      </c>
      <c r="AN677" s="169">
        <f t="shared" si="376"/>
        <v>0</v>
      </c>
      <c r="AO677" s="169">
        <f t="shared" si="376"/>
        <v>0</v>
      </c>
      <c r="AP677" s="169">
        <f t="shared" si="376"/>
        <v>0</v>
      </c>
    </row>
    <row r="678" spans="1:42" x14ac:dyDescent="0.2">
      <c r="A678" s="20">
        <f t="shared" si="377"/>
        <v>4</v>
      </c>
      <c r="B678" s="233">
        <f t="shared" si="375"/>
        <v>0</v>
      </c>
      <c r="C678" s="169">
        <f t="shared" si="376"/>
        <v>0</v>
      </c>
      <c r="D678" s="169">
        <f t="shared" si="376"/>
        <v>0</v>
      </c>
      <c r="E678" s="169">
        <f t="shared" si="376"/>
        <v>0</v>
      </c>
      <c r="F678" s="169">
        <f t="shared" si="376"/>
        <v>0</v>
      </c>
      <c r="G678" s="169">
        <f t="shared" si="376"/>
        <v>0</v>
      </c>
      <c r="H678" s="169">
        <f t="shared" si="376"/>
        <v>0</v>
      </c>
      <c r="I678" s="169">
        <f t="shared" si="376"/>
        <v>0</v>
      </c>
      <c r="J678" s="169">
        <f t="shared" si="376"/>
        <v>0</v>
      </c>
      <c r="K678" s="169">
        <f t="shared" si="376"/>
        <v>0</v>
      </c>
      <c r="L678" s="169">
        <f t="shared" si="376"/>
        <v>0</v>
      </c>
      <c r="M678" s="169">
        <f t="shared" si="376"/>
        <v>0</v>
      </c>
      <c r="N678" s="169">
        <f t="shared" si="376"/>
        <v>0</v>
      </c>
      <c r="O678" s="169">
        <f t="shared" si="376"/>
        <v>0</v>
      </c>
      <c r="P678" s="169">
        <f t="shared" si="376"/>
        <v>0</v>
      </c>
      <c r="Q678" s="169">
        <f t="shared" si="376"/>
        <v>0</v>
      </c>
      <c r="R678" s="169">
        <f t="shared" si="376"/>
        <v>0</v>
      </c>
      <c r="S678" s="169">
        <f t="shared" si="376"/>
        <v>0</v>
      </c>
      <c r="T678" s="169">
        <f t="shared" si="376"/>
        <v>0</v>
      </c>
      <c r="U678" s="169">
        <f t="shared" si="376"/>
        <v>0</v>
      </c>
      <c r="V678" s="169">
        <f t="shared" si="376"/>
        <v>0</v>
      </c>
      <c r="W678" s="169">
        <f t="shared" si="376"/>
        <v>0</v>
      </c>
      <c r="X678" s="169">
        <f t="shared" si="376"/>
        <v>0</v>
      </c>
      <c r="Y678" s="169">
        <f t="shared" si="376"/>
        <v>0</v>
      </c>
      <c r="Z678" s="169">
        <f t="shared" si="376"/>
        <v>0</v>
      </c>
      <c r="AA678" s="169">
        <f t="shared" si="376"/>
        <v>0</v>
      </c>
      <c r="AB678" s="169">
        <f t="shared" si="376"/>
        <v>0</v>
      </c>
      <c r="AC678" s="169">
        <f t="shared" si="376"/>
        <v>0</v>
      </c>
      <c r="AD678" s="169">
        <f t="shared" si="376"/>
        <v>0</v>
      </c>
      <c r="AE678" s="169">
        <f t="shared" si="376"/>
        <v>0</v>
      </c>
      <c r="AF678" s="169">
        <f t="shared" si="376"/>
        <v>0</v>
      </c>
      <c r="AG678" s="169">
        <f t="shared" si="376"/>
        <v>0</v>
      </c>
      <c r="AH678" s="169">
        <f t="shared" si="376"/>
        <v>0</v>
      </c>
      <c r="AI678" s="169">
        <f t="shared" si="376"/>
        <v>0</v>
      </c>
      <c r="AJ678" s="169">
        <f t="shared" si="376"/>
        <v>0</v>
      </c>
      <c r="AK678" s="169">
        <f t="shared" si="376"/>
        <v>0</v>
      </c>
      <c r="AL678" s="169">
        <f t="shared" si="376"/>
        <v>0</v>
      </c>
      <c r="AM678" s="169">
        <f t="shared" si="376"/>
        <v>0</v>
      </c>
      <c r="AN678" s="169">
        <f t="shared" si="376"/>
        <v>0</v>
      </c>
      <c r="AO678" s="169">
        <f t="shared" si="376"/>
        <v>0</v>
      </c>
      <c r="AP678" s="169">
        <f t="shared" si="376"/>
        <v>0</v>
      </c>
    </row>
    <row r="679" spans="1:42" x14ac:dyDescent="0.2">
      <c r="A679" s="20">
        <f t="shared" si="377"/>
        <v>5</v>
      </c>
      <c r="B679" s="233">
        <f t="shared" si="375"/>
        <v>0</v>
      </c>
      <c r="C679" s="169">
        <f t="shared" si="376"/>
        <v>0</v>
      </c>
      <c r="D679" s="169">
        <f t="shared" si="376"/>
        <v>0</v>
      </c>
      <c r="E679" s="169">
        <f t="shared" si="376"/>
        <v>0</v>
      </c>
      <c r="F679" s="169">
        <f t="shared" si="376"/>
        <v>0</v>
      </c>
      <c r="G679" s="169">
        <f t="shared" si="376"/>
        <v>0</v>
      </c>
      <c r="H679" s="169">
        <f t="shared" si="376"/>
        <v>0</v>
      </c>
      <c r="I679" s="169">
        <f t="shared" si="376"/>
        <v>0</v>
      </c>
      <c r="J679" s="169">
        <f t="shared" si="376"/>
        <v>0</v>
      </c>
      <c r="K679" s="169">
        <f t="shared" si="376"/>
        <v>0</v>
      </c>
      <c r="L679" s="169">
        <f t="shared" si="376"/>
        <v>0</v>
      </c>
      <c r="M679" s="169">
        <f t="shared" si="376"/>
        <v>0</v>
      </c>
      <c r="N679" s="169">
        <f t="shared" si="376"/>
        <v>0</v>
      </c>
      <c r="O679" s="169">
        <f t="shared" si="376"/>
        <v>0</v>
      </c>
      <c r="P679" s="169">
        <f t="shared" si="376"/>
        <v>0</v>
      </c>
      <c r="Q679" s="169">
        <f t="shared" si="376"/>
        <v>0</v>
      </c>
      <c r="R679" s="169">
        <f t="shared" si="376"/>
        <v>0</v>
      </c>
      <c r="S679" s="169">
        <f t="shared" si="376"/>
        <v>0</v>
      </c>
      <c r="T679" s="169">
        <f t="shared" si="376"/>
        <v>0</v>
      </c>
      <c r="U679" s="169">
        <f t="shared" si="376"/>
        <v>0</v>
      </c>
      <c r="V679" s="169">
        <f t="shared" si="376"/>
        <v>0</v>
      </c>
      <c r="W679" s="169">
        <f t="shared" si="376"/>
        <v>0</v>
      </c>
      <c r="X679" s="169">
        <f t="shared" si="376"/>
        <v>0</v>
      </c>
      <c r="Y679" s="169">
        <f t="shared" si="376"/>
        <v>0</v>
      </c>
      <c r="Z679" s="169">
        <f t="shared" si="376"/>
        <v>0</v>
      </c>
      <c r="AA679" s="169">
        <f t="shared" si="376"/>
        <v>0</v>
      </c>
      <c r="AB679" s="169">
        <f t="shared" si="376"/>
        <v>0</v>
      </c>
      <c r="AC679" s="169">
        <f t="shared" si="376"/>
        <v>0</v>
      </c>
      <c r="AD679" s="169">
        <f t="shared" si="376"/>
        <v>0</v>
      </c>
      <c r="AE679" s="169">
        <f t="shared" si="376"/>
        <v>0</v>
      </c>
      <c r="AF679" s="169">
        <f t="shared" si="376"/>
        <v>0</v>
      </c>
      <c r="AG679" s="169">
        <f t="shared" si="376"/>
        <v>0</v>
      </c>
      <c r="AH679" s="169">
        <f t="shared" si="376"/>
        <v>0</v>
      </c>
      <c r="AI679" s="169">
        <f t="shared" si="376"/>
        <v>0</v>
      </c>
      <c r="AJ679" s="169">
        <f t="shared" si="376"/>
        <v>0</v>
      </c>
      <c r="AK679" s="169">
        <f t="shared" si="376"/>
        <v>0</v>
      </c>
      <c r="AL679" s="169">
        <f t="shared" si="376"/>
        <v>0</v>
      </c>
      <c r="AM679" s="169">
        <f t="shared" si="376"/>
        <v>0</v>
      </c>
      <c r="AN679" s="169">
        <f t="shared" si="376"/>
        <v>0</v>
      </c>
      <c r="AO679" s="169">
        <f t="shared" si="376"/>
        <v>0</v>
      </c>
      <c r="AP679" s="169">
        <f t="shared" si="376"/>
        <v>0</v>
      </c>
    </row>
    <row r="680" spans="1:42" x14ac:dyDescent="0.2">
      <c r="A680" s="20">
        <f t="shared" si="377"/>
        <v>6</v>
      </c>
      <c r="B680" s="233">
        <f t="shared" si="375"/>
        <v>0</v>
      </c>
      <c r="C680" s="169">
        <f t="shared" si="376"/>
        <v>0</v>
      </c>
      <c r="D680" s="169">
        <f t="shared" si="376"/>
        <v>0</v>
      </c>
      <c r="E680" s="169">
        <f t="shared" si="376"/>
        <v>0</v>
      </c>
      <c r="F680" s="169">
        <f t="shared" si="376"/>
        <v>0</v>
      </c>
      <c r="G680" s="169">
        <f t="shared" si="376"/>
        <v>0</v>
      </c>
      <c r="H680" s="169">
        <f t="shared" si="376"/>
        <v>0</v>
      </c>
      <c r="I680" s="169">
        <f t="shared" si="376"/>
        <v>0</v>
      </c>
      <c r="J680" s="169">
        <f t="shared" si="376"/>
        <v>0</v>
      </c>
      <c r="K680" s="169">
        <f t="shared" si="376"/>
        <v>0</v>
      </c>
      <c r="L680" s="169">
        <f t="shared" si="376"/>
        <v>0</v>
      </c>
      <c r="M680" s="169">
        <f t="shared" si="376"/>
        <v>0</v>
      </c>
      <c r="N680" s="169">
        <f t="shared" si="376"/>
        <v>0</v>
      </c>
      <c r="O680" s="169">
        <f t="shared" si="376"/>
        <v>0</v>
      </c>
      <c r="P680" s="169">
        <f t="shared" si="376"/>
        <v>0</v>
      </c>
      <c r="Q680" s="169">
        <f t="shared" si="376"/>
        <v>0</v>
      </c>
      <c r="R680" s="169">
        <f t="shared" si="376"/>
        <v>0</v>
      </c>
      <c r="S680" s="169">
        <f t="shared" si="376"/>
        <v>0</v>
      </c>
      <c r="T680" s="169">
        <f t="shared" si="376"/>
        <v>0</v>
      </c>
      <c r="U680" s="169">
        <f t="shared" si="376"/>
        <v>0</v>
      </c>
      <c r="V680" s="169">
        <f t="shared" si="376"/>
        <v>0</v>
      </c>
      <c r="W680" s="169">
        <f t="shared" si="376"/>
        <v>0</v>
      </c>
      <c r="X680" s="169">
        <f t="shared" si="376"/>
        <v>0</v>
      </c>
      <c r="Y680" s="169">
        <f t="shared" si="376"/>
        <v>0</v>
      </c>
      <c r="Z680" s="169">
        <f t="shared" si="376"/>
        <v>0</v>
      </c>
      <c r="AA680" s="169">
        <f t="shared" si="376"/>
        <v>0</v>
      </c>
      <c r="AB680" s="169">
        <f t="shared" si="376"/>
        <v>0</v>
      </c>
      <c r="AC680" s="169">
        <f t="shared" si="376"/>
        <v>0</v>
      </c>
      <c r="AD680" s="169">
        <f t="shared" si="376"/>
        <v>0</v>
      </c>
      <c r="AE680" s="169">
        <f t="shared" si="376"/>
        <v>0</v>
      </c>
      <c r="AF680" s="169">
        <f t="shared" si="376"/>
        <v>0</v>
      </c>
      <c r="AG680" s="169">
        <f t="shared" si="376"/>
        <v>0</v>
      </c>
      <c r="AH680" s="169">
        <f t="shared" si="376"/>
        <v>0</v>
      </c>
      <c r="AI680" s="169">
        <f t="shared" si="376"/>
        <v>0</v>
      </c>
      <c r="AJ680" s="169">
        <f t="shared" si="376"/>
        <v>0</v>
      </c>
      <c r="AK680" s="169">
        <f t="shared" si="376"/>
        <v>0</v>
      </c>
      <c r="AL680" s="169">
        <f t="shared" si="376"/>
        <v>0</v>
      </c>
      <c r="AM680" s="169">
        <f t="shared" si="376"/>
        <v>0</v>
      </c>
      <c r="AN680" s="169">
        <f t="shared" si="376"/>
        <v>0</v>
      </c>
      <c r="AO680" s="169">
        <f t="shared" si="376"/>
        <v>0</v>
      </c>
      <c r="AP680" s="169">
        <f t="shared" si="376"/>
        <v>0</v>
      </c>
    </row>
    <row r="681" spans="1:42" x14ac:dyDescent="0.2">
      <c r="A681" s="20">
        <f t="shared" si="377"/>
        <v>7</v>
      </c>
      <c r="B681" s="233">
        <f t="shared" si="375"/>
        <v>0</v>
      </c>
      <c r="C681" s="169">
        <f t="shared" si="376"/>
        <v>0</v>
      </c>
      <c r="D681" s="169">
        <f t="shared" si="376"/>
        <v>0</v>
      </c>
      <c r="E681" s="169">
        <f t="shared" si="376"/>
        <v>0</v>
      </c>
      <c r="F681" s="169">
        <f t="shared" si="376"/>
        <v>0</v>
      </c>
      <c r="G681" s="169">
        <f t="shared" si="376"/>
        <v>0</v>
      </c>
      <c r="H681" s="169">
        <f t="shared" si="376"/>
        <v>0</v>
      </c>
      <c r="I681" s="169">
        <f t="shared" si="376"/>
        <v>0</v>
      </c>
      <c r="J681" s="169">
        <f t="shared" si="376"/>
        <v>0</v>
      </c>
      <c r="K681" s="169">
        <f t="shared" si="376"/>
        <v>0</v>
      </c>
      <c r="L681" s="169">
        <f t="shared" si="376"/>
        <v>0</v>
      </c>
      <c r="M681" s="169">
        <f t="shared" si="376"/>
        <v>0</v>
      </c>
      <c r="N681" s="169">
        <f t="shared" si="376"/>
        <v>0</v>
      </c>
      <c r="O681" s="169">
        <f t="shared" si="376"/>
        <v>0</v>
      </c>
      <c r="P681" s="169">
        <f t="shared" si="376"/>
        <v>0</v>
      </c>
      <c r="Q681" s="169">
        <f t="shared" si="376"/>
        <v>0</v>
      </c>
      <c r="R681" s="169">
        <f t="shared" ref="R681:AP681" si="378">IF(R$2&gt;AnalysisPeriod,0,IF(R$2=MMFrequency3*$A681,MMCost3*CapacityDC*1000*(1+Inflation)^Q$2,0))</f>
        <v>0</v>
      </c>
      <c r="S681" s="169">
        <f t="shared" si="378"/>
        <v>0</v>
      </c>
      <c r="T681" s="169">
        <f t="shared" si="378"/>
        <v>0</v>
      </c>
      <c r="U681" s="169">
        <f t="shared" si="378"/>
        <v>0</v>
      </c>
      <c r="V681" s="169">
        <f t="shared" si="378"/>
        <v>0</v>
      </c>
      <c r="W681" s="169">
        <f t="shared" si="378"/>
        <v>0</v>
      </c>
      <c r="X681" s="169">
        <f t="shared" si="378"/>
        <v>0</v>
      </c>
      <c r="Y681" s="169">
        <f t="shared" si="378"/>
        <v>0</v>
      </c>
      <c r="Z681" s="169">
        <f t="shared" si="378"/>
        <v>0</v>
      </c>
      <c r="AA681" s="169">
        <f t="shared" si="378"/>
        <v>0</v>
      </c>
      <c r="AB681" s="169">
        <f t="shared" si="378"/>
        <v>0</v>
      </c>
      <c r="AC681" s="169">
        <f t="shared" si="378"/>
        <v>0</v>
      </c>
      <c r="AD681" s="169">
        <f t="shared" si="378"/>
        <v>0</v>
      </c>
      <c r="AE681" s="169">
        <f t="shared" si="378"/>
        <v>0</v>
      </c>
      <c r="AF681" s="169">
        <f t="shared" si="378"/>
        <v>0</v>
      </c>
      <c r="AG681" s="169">
        <f t="shared" si="378"/>
        <v>0</v>
      </c>
      <c r="AH681" s="169">
        <f t="shared" si="378"/>
        <v>0</v>
      </c>
      <c r="AI681" s="169">
        <f t="shared" si="378"/>
        <v>0</v>
      </c>
      <c r="AJ681" s="169">
        <f t="shared" si="378"/>
        <v>0</v>
      </c>
      <c r="AK681" s="169">
        <f t="shared" si="378"/>
        <v>0</v>
      </c>
      <c r="AL681" s="169">
        <f t="shared" si="378"/>
        <v>0</v>
      </c>
      <c r="AM681" s="169">
        <f t="shared" si="378"/>
        <v>0</v>
      </c>
      <c r="AN681" s="169">
        <f t="shared" si="378"/>
        <v>0</v>
      </c>
      <c r="AO681" s="169">
        <f t="shared" si="378"/>
        <v>0</v>
      </c>
      <c r="AP681" s="169">
        <f t="shared" si="378"/>
        <v>0</v>
      </c>
    </row>
    <row r="682" spans="1:42" x14ac:dyDescent="0.2">
      <c r="A682" s="20">
        <f t="shared" si="377"/>
        <v>8</v>
      </c>
      <c r="B682" s="233">
        <f t="shared" si="375"/>
        <v>0</v>
      </c>
      <c r="C682" s="169">
        <f t="shared" ref="C682:AP684" si="379">IF(C$2&gt;AnalysisPeriod,0,IF(C$2=MMFrequency3*$A682,MMCost3*CapacityDC*1000*(1+Inflation)^B$2,0))</f>
        <v>0</v>
      </c>
      <c r="D682" s="169">
        <f t="shared" si="379"/>
        <v>0</v>
      </c>
      <c r="E682" s="169">
        <f t="shared" si="379"/>
        <v>0</v>
      </c>
      <c r="F682" s="169">
        <f t="shared" si="379"/>
        <v>0</v>
      </c>
      <c r="G682" s="169">
        <f t="shared" si="379"/>
        <v>0</v>
      </c>
      <c r="H682" s="169">
        <f t="shared" si="379"/>
        <v>0</v>
      </c>
      <c r="I682" s="169">
        <f t="shared" si="379"/>
        <v>0</v>
      </c>
      <c r="J682" s="169">
        <f t="shared" si="379"/>
        <v>0</v>
      </c>
      <c r="K682" s="169">
        <f t="shared" si="379"/>
        <v>0</v>
      </c>
      <c r="L682" s="169">
        <f t="shared" si="379"/>
        <v>0</v>
      </c>
      <c r="M682" s="169">
        <f t="shared" si="379"/>
        <v>0</v>
      </c>
      <c r="N682" s="169">
        <f t="shared" si="379"/>
        <v>0</v>
      </c>
      <c r="O682" s="169">
        <f t="shared" si="379"/>
        <v>0</v>
      </c>
      <c r="P682" s="169">
        <f t="shared" si="379"/>
        <v>0</v>
      </c>
      <c r="Q682" s="169">
        <f t="shared" si="379"/>
        <v>0</v>
      </c>
      <c r="R682" s="169">
        <f t="shared" si="379"/>
        <v>0</v>
      </c>
      <c r="S682" s="169">
        <f t="shared" si="379"/>
        <v>0</v>
      </c>
      <c r="T682" s="169">
        <f t="shared" si="379"/>
        <v>0</v>
      </c>
      <c r="U682" s="169">
        <f t="shared" si="379"/>
        <v>0</v>
      </c>
      <c r="V682" s="169">
        <f t="shared" si="379"/>
        <v>0</v>
      </c>
      <c r="W682" s="169">
        <f t="shared" si="379"/>
        <v>0</v>
      </c>
      <c r="X682" s="169">
        <f t="shared" si="379"/>
        <v>0</v>
      </c>
      <c r="Y682" s="169">
        <f t="shared" si="379"/>
        <v>0</v>
      </c>
      <c r="Z682" s="169">
        <f t="shared" si="379"/>
        <v>0</v>
      </c>
      <c r="AA682" s="169">
        <f t="shared" si="379"/>
        <v>0</v>
      </c>
      <c r="AB682" s="169">
        <f t="shared" si="379"/>
        <v>0</v>
      </c>
      <c r="AC682" s="169">
        <f t="shared" si="379"/>
        <v>0</v>
      </c>
      <c r="AD682" s="169">
        <f t="shared" si="379"/>
        <v>0</v>
      </c>
      <c r="AE682" s="169">
        <f t="shared" si="379"/>
        <v>0</v>
      </c>
      <c r="AF682" s="169">
        <f t="shared" si="379"/>
        <v>0</v>
      </c>
      <c r="AG682" s="169">
        <f t="shared" si="379"/>
        <v>0</v>
      </c>
      <c r="AH682" s="169">
        <f t="shared" si="379"/>
        <v>0</v>
      </c>
      <c r="AI682" s="169">
        <f t="shared" si="379"/>
        <v>0</v>
      </c>
      <c r="AJ682" s="169">
        <f t="shared" si="379"/>
        <v>0</v>
      </c>
      <c r="AK682" s="169">
        <f t="shared" si="379"/>
        <v>0</v>
      </c>
      <c r="AL682" s="169">
        <f t="shared" si="379"/>
        <v>0</v>
      </c>
      <c r="AM682" s="169">
        <f t="shared" si="379"/>
        <v>0</v>
      </c>
      <c r="AN682" s="169">
        <f t="shared" si="379"/>
        <v>0</v>
      </c>
      <c r="AO682" s="169">
        <f t="shared" si="379"/>
        <v>0</v>
      </c>
      <c r="AP682" s="169">
        <f t="shared" si="379"/>
        <v>0</v>
      </c>
    </row>
    <row r="683" spans="1:42" x14ac:dyDescent="0.2">
      <c r="A683" s="20">
        <f>A682+1</f>
        <v>9</v>
      </c>
      <c r="B683" s="233">
        <f t="shared" si="375"/>
        <v>0</v>
      </c>
      <c r="C683" s="169">
        <f t="shared" si="379"/>
        <v>0</v>
      </c>
      <c r="D683" s="169">
        <f t="shared" si="379"/>
        <v>0</v>
      </c>
      <c r="E683" s="169">
        <f t="shared" si="379"/>
        <v>0</v>
      </c>
      <c r="F683" s="169">
        <f t="shared" si="379"/>
        <v>0</v>
      </c>
      <c r="G683" s="169">
        <f t="shared" si="379"/>
        <v>0</v>
      </c>
      <c r="H683" s="169">
        <f t="shared" si="379"/>
        <v>0</v>
      </c>
      <c r="I683" s="169">
        <f t="shared" si="379"/>
        <v>0</v>
      </c>
      <c r="J683" s="169">
        <f t="shared" si="379"/>
        <v>0</v>
      </c>
      <c r="K683" s="169">
        <f t="shared" si="379"/>
        <v>0</v>
      </c>
      <c r="L683" s="169">
        <f t="shared" si="379"/>
        <v>0</v>
      </c>
      <c r="M683" s="169">
        <f t="shared" si="379"/>
        <v>0</v>
      </c>
      <c r="N683" s="169">
        <f t="shared" si="379"/>
        <v>0</v>
      </c>
      <c r="O683" s="169">
        <f t="shared" si="379"/>
        <v>0</v>
      </c>
      <c r="P683" s="169">
        <f t="shared" si="379"/>
        <v>0</v>
      </c>
      <c r="Q683" s="169">
        <f t="shared" si="379"/>
        <v>0</v>
      </c>
      <c r="R683" s="169">
        <f t="shared" si="379"/>
        <v>0</v>
      </c>
      <c r="S683" s="169">
        <f t="shared" si="379"/>
        <v>0</v>
      </c>
      <c r="T683" s="169">
        <f t="shared" si="379"/>
        <v>0</v>
      </c>
      <c r="U683" s="169">
        <f t="shared" si="379"/>
        <v>0</v>
      </c>
      <c r="V683" s="169">
        <f t="shared" si="379"/>
        <v>0</v>
      </c>
      <c r="W683" s="169">
        <f t="shared" si="379"/>
        <v>0</v>
      </c>
      <c r="X683" s="169">
        <f t="shared" si="379"/>
        <v>0</v>
      </c>
      <c r="Y683" s="169">
        <f t="shared" si="379"/>
        <v>0</v>
      </c>
      <c r="Z683" s="169">
        <f t="shared" si="379"/>
        <v>0</v>
      </c>
      <c r="AA683" s="169">
        <f t="shared" si="379"/>
        <v>0</v>
      </c>
      <c r="AB683" s="169">
        <f t="shared" si="379"/>
        <v>0</v>
      </c>
      <c r="AC683" s="169">
        <f t="shared" si="379"/>
        <v>0</v>
      </c>
      <c r="AD683" s="169">
        <f t="shared" si="379"/>
        <v>0</v>
      </c>
      <c r="AE683" s="169">
        <f t="shared" si="379"/>
        <v>0</v>
      </c>
      <c r="AF683" s="169">
        <f t="shared" si="379"/>
        <v>0</v>
      </c>
      <c r="AG683" s="169">
        <f t="shared" si="379"/>
        <v>0</v>
      </c>
      <c r="AH683" s="169">
        <f t="shared" si="379"/>
        <v>0</v>
      </c>
      <c r="AI683" s="169">
        <f t="shared" si="379"/>
        <v>0</v>
      </c>
      <c r="AJ683" s="169">
        <f t="shared" si="379"/>
        <v>0</v>
      </c>
      <c r="AK683" s="169">
        <f t="shared" si="379"/>
        <v>0</v>
      </c>
      <c r="AL683" s="169">
        <f t="shared" si="379"/>
        <v>0</v>
      </c>
      <c r="AM683" s="169">
        <f t="shared" si="379"/>
        <v>0</v>
      </c>
      <c r="AN683" s="169">
        <f t="shared" si="379"/>
        <v>0</v>
      </c>
      <c r="AO683" s="169">
        <f t="shared" si="379"/>
        <v>0</v>
      </c>
      <c r="AP683" s="169">
        <f t="shared" si="379"/>
        <v>0</v>
      </c>
    </row>
    <row r="684" spans="1:42" x14ac:dyDescent="0.2">
      <c r="A684" s="20">
        <f t="shared" si="377"/>
        <v>10</v>
      </c>
      <c r="B684" s="233">
        <f t="shared" si="375"/>
        <v>0</v>
      </c>
      <c r="C684" s="170">
        <f t="shared" si="379"/>
        <v>0</v>
      </c>
      <c r="D684" s="170">
        <f t="shared" si="379"/>
        <v>0</v>
      </c>
      <c r="E684" s="170">
        <f t="shared" si="379"/>
        <v>0</v>
      </c>
      <c r="F684" s="170">
        <f t="shared" si="379"/>
        <v>0</v>
      </c>
      <c r="G684" s="170">
        <f t="shared" si="379"/>
        <v>0</v>
      </c>
      <c r="H684" s="170">
        <f t="shared" si="379"/>
        <v>0</v>
      </c>
      <c r="I684" s="170">
        <f t="shared" si="379"/>
        <v>0</v>
      </c>
      <c r="J684" s="170">
        <f t="shared" si="379"/>
        <v>0</v>
      </c>
      <c r="K684" s="170">
        <f t="shared" si="379"/>
        <v>0</v>
      </c>
      <c r="L684" s="170">
        <f t="shared" si="379"/>
        <v>0</v>
      </c>
      <c r="M684" s="170">
        <f t="shared" si="379"/>
        <v>0</v>
      </c>
      <c r="N684" s="170">
        <f t="shared" si="379"/>
        <v>0</v>
      </c>
      <c r="O684" s="170">
        <f t="shared" si="379"/>
        <v>0</v>
      </c>
      <c r="P684" s="170">
        <f t="shared" si="379"/>
        <v>0</v>
      </c>
      <c r="Q684" s="170">
        <f t="shared" si="379"/>
        <v>0</v>
      </c>
      <c r="R684" s="170">
        <f t="shared" si="379"/>
        <v>0</v>
      </c>
      <c r="S684" s="170">
        <f t="shared" si="379"/>
        <v>0</v>
      </c>
      <c r="T684" s="170">
        <f t="shared" si="379"/>
        <v>0</v>
      </c>
      <c r="U684" s="170">
        <f t="shared" si="379"/>
        <v>0</v>
      </c>
      <c r="V684" s="170">
        <f t="shared" si="379"/>
        <v>0</v>
      </c>
      <c r="W684" s="170">
        <f t="shared" si="379"/>
        <v>0</v>
      </c>
      <c r="X684" s="170">
        <f t="shared" si="379"/>
        <v>0</v>
      </c>
      <c r="Y684" s="170">
        <f t="shared" si="379"/>
        <v>0</v>
      </c>
      <c r="Z684" s="170">
        <f t="shared" si="379"/>
        <v>0</v>
      </c>
      <c r="AA684" s="170">
        <f t="shared" si="379"/>
        <v>0</v>
      </c>
      <c r="AB684" s="170">
        <f t="shared" si="379"/>
        <v>0</v>
      </c>
      <c r="AC684" s="170">
        <f t="shared" si="379"/>
        <v>0</v>
      </c>
      <c r="AD684" s="170">
        <f t="shared" si="379"/>
        <v>0</v>
      </c>
      <c r="AE684" s="170">
        <f t="shared" si="379"/>
        <v>0</v>
      </c>
      <c r="AF684" s="170">
        <f t="shared" si="379"/>
        <v>0</v>
      </c>
      <c r="AG684" s="170">
        <f t="shared" si="379"/>
        <v>0</v>
      </c>
      <c r="AH684" s="170">
        <f t="shared" si="379"/>
        <v>0</v>
      </c>
      <c r="AI684" s="170">
        <f t="shared" si="379"/>
        <v>0</v>
      </c>
      <c r="AJ684" s="170">
        <f t="shared" si="379"/>
        <v>0</v>
      </c>
      <c r="AK684" s="170">
        <f t="shared" si="379"/>
        <v>0</v>
      </c>
      <c r="AL684" s="170">
        <f t="shared" si="379"/>
        <v>0</v>
      </c>
      <c r="AM684" s="170">
        <f t="shared" si="379"/>
        <v>0</v>
      </c>
      <c r="AN684" s="170">
        <f t="shared" si="379"/>
        <v>0</v>
      </c>
      <c r="AO684" s="170">
        <f t="shared" si="379"/>
        <v>0</v>
      </c>
      <c r="AP684" s="170">
        <f t="shared" si="379"/>
        <v>0</v>
      </c>
    </row>
    <row r="685" spans="1:42" x14ac:dyDescent="0.2">
      <c r="A685" s="202" t="s">
        <v>53</v>
      </c>
      <c r="B685" s="169"/>
      <c r="C685" s="135">
        <f>SUM(C675:C684)</f>
        <v>0</v>
      </c>
      <c r="D685" s="135">
        <f t="shared" ref="D685:AP685" si="380">SUM(D675:D684)</f>
        <v>0</v>
      </c>
      <c r="E685" s="135">
        <f t="shared" si="380"/>
        <v>0</v>
      </c>
      <c r="F685" s="135">
        <f t="shared" si="380"/>
        <v>0</v>
      </c>
      <c r="G685" s="135">
        <f t="shared" si="380"/>
        <v>0</v>
      </c>
      <c r="H685" s="135">
        <f t="shared" si="380"/>
        <v>0</v>
      </c>
      <c r="I685" s="135">
        <f t="shared" si="380"/>
        <v>0</v>
      </c>
      <c r="J685" s="135">
        <f t="shared" si="380"/>
        <v>0</v>
      </c>
      <c r="K685" s="135">
        <f t="shared" si="380"/>
        <v>0</v>
      </c>
      <c r="L685" s="135">
        <f t="shared" si="380"/>
        <v>0</v>
      </c>
      <c r="M685" s="135">
        <f t="shared" si="380"/>
        <v>0</v>
      </c>
      <c r="N685" s="135">
        <f t="shared" si="380"/>
        <v>0</v>
      </c>
      <c r="O685" s="135">
        <f t="shared" si="380"/>
        <v>0</v>
      </c>
      <c r="P685" s="135">
        <f t="shared" si="380"/>
        <v>0</v>
      </c>
      <c r="Q685" s="135">
        <f t="shared" si="380"/>
        <v>0</v>
      </c>
      <c r="R685" s="135">
        <f t="shared" si="380"/>
        <v>0</v>
      </c>
      <c r="S685" s="135">
        <f t="shared" si="380"/>
        <v>0</v>
      </c>
      <c r="T685" s="135">
        <f t="shared" si="380"/>
        <v>0</v>
      </c>
      <c r="U685" s="135">
        <f t="shared" si="380"/>
        <v>0</v>
      </c>
      <c r="V685" s="135">
        <f t="shared" si="380"/>
        <v>0</v>
      </c>
      <c r="W685" s="135">
        <f t="shared" si="380"/>
        <v>0</v>
      </c>
      <c r="X685" s="135">
        <f t="shared" si="380"/>
        <v>0</v>
      </c>
      <c r="Y685" s="135">
        <f t="shared" si="380"/>
        <v>0</v>
      </c>
      <c r="Z685" s="135">
        <f t="shared" si="380"/>
        <v>0</v>
      </c>
      <c r="AA685" s="135">
        <f t="shared" si="380"/>
        <v>0</v>
      </c>
      <c r="AB685" s="135">
        <f t="shared" si="380"/>
        <v>0</v>
      </c>
      <c r="AC685" s="135">
        <f t="shared" si="380"/>
        <v>0</v>
      </c>
      <c r="AD685" s="135">
        <f t="shared" si="380"/>
        <v>0</v>
      </c>
      <c r="AE685" s="135">
        <f t="shared" si="380"/>
        <v>0</v>
      </c>
      <c r="AF685" s="135">
        <f t="shared" si="380"/>
        <v>0</v>
      </c>
      <c r="AG685" s="135">
        <f t="shared" si="380"/>
        <v>0</v>
      </c>
      <c r="AH685" s="135">
        <f t="shared" si="380"/>
        <v>0</v>
      </c>
      <c r="AI685" s="135">
        <f t="shared" si="380"/>
        <v>0</v>
      </c>
      <c r="AJ685" s="135">
        <f t="shared" si="380"/>
        <v>0</v>
      </c>
      <c r="AK685" s="135">
        <f t="shared" si="380"/>
        <v>0</v>
      </c>
      <c r="AL685" s="135">
        <f t="shared" si="380"/>
        <v>0</v>
      </c>
      <c r="AM685" s="135">
        <f t="shared" si="380"/>
        <v>0</v>
      </c>
      <c r="AN685" s="135">
        <f t="shared" si="380"/>
        <v>0</v>
      </c>
      <c r="AO685" s="135">
        <f t="shared" si="380"/>
        <v>0</v>
      </c>
      <c r="AP685" s="135">
        <f t="shared" si="380"/>
        <v>0</v>
      </c>
    </row>
    <row r="686" spans="1:42" x14ac:dyDescent="0.2">
      <c r="A686" s="20" t="s">
        <v>184</v>
      </c>
      <c r="B686" s="135"/>
      <c r="C686" s="135"/>
      <c r="D686" s="135"/>
      <c r="E686" s="135"/>
      <c r="F686" s="135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</row>
    <row r="687" spans="1:42" x14ac:dyDescent="0.2">
      <c r="A687" s="20">
        <v>1</v>
      </c>
      <c r="B687" s="233">
        <f t="shared" ref="B687:B696" si="381">SUM(C687:AP687)</f>
        <v>0</v>
      </c>
      <c r="C687" s="169">
        <f t="shared" ref="C687:AP687" si="382">IF(C$2&lt;=MMFrequency3*$A$675,$B$675/(MMFrequency3),0)</f>
        <v>0</v>
      </c>
      <c r="D687" s="169">
        <f t="shared" si="382"/>
        <v>0</v>
      </c>
      <c r="E687" s="169">
        <f t="shared" si="382"/>
        <v>0</v>
      </c>
      <c r="F687" s="169">
        <f t="shared" si="382"/>
        <v>0</v>
      </c>
      <c r="G687" s="169">
        <f t="shared" si="382"/>
        <v>0</v>
      </c>
      <c r="H687" s="169">
        <f t="shared" si="382"/>
        <v>0</v>
      </c>
      <c r="I687" s="169">
        <f t="shared" si="382"/>
        <v>0</v>
      </c>
      <c r="J687" s="169">
        <f t="shared" si="382"/>
        <v>0</v>
      </c>
      <c r="K687" s="169">
        <f t="shared" si="382"/>
        <v>0</v>
      </c>
      <c r="L687" s="169">
        <f t="shared" si="382"/>
        <v>0</v>
      </c>
      <c r="M687" s="169">
        <f t="shared" si="382"/>
        <v>0</v>
      </c>
      <c r="N687" s="169">
        <f t="shared" si="382"/>
        <v>0</v>
      </c>
      <c r="O687" s="169">
        <f t="shared" si="382"/>
        <v>0</v>
      </c>
      <c r="P687" s="169">
        <f t="shared" si="382"/>
        <v>0</v>
      </c>
      <c r="Q687" s="169">
        <f t="shared" si="382"/>
        <v>0</v>
      </c>
      <c r="R687" s="169">
        <f t="shared" si="382"/>
        <v>0</v>
      </c>
      <c r="S687" s="169">
        <f t="shared" si="382"/>
        <v>0</v>
      </c>
      <c r="T687" s="169">
        <f t="shared" si="382"/>
        <v>0</v>
      </c>
      <c r="U687" s="169">
        <f t="shared" si="382"/>
        <v>0</v>
      </c>
      <c r="V687" s="169">
        <f t="shared" si="382"/>
        <v>0</v>
      </c>
      <c r="W687" s="169">
        <f t="shared" si="382"/>
        <v>0</v>
      </c>
      <c r="X687" s="169">
        <f t="shared" si="382"/>
        <v>0</v>
      </c>
      <c r="Y687" s="169">
        <f t="shared" si="382"/>
        <v>0</v>
      </c>
      <c r="Z687" s="169">
        <f t="shared" si="382"/>
        <v>0</v>
      </c>
      <c r="AA687" s="169">
        <f t="shared" si="382"/>
        <v>0</v>
      </c>
      <c r="AB687" s="169">
        <f t="shared" si="382"/>
        <v>0</v>
      </c>
      <c r="AC687" s="169">
        <f t="shared" si="382"/>
        <v>0</v>
      </c>
      <c r="AD687" s="169">
        <f t="shared" si="382"/>
        <v>0</v>
      </c>
      <c r="AE687" s="169">
        <f t="shared" si="382"/>
        <v>0</v>
      </c>
      <c r="AF687" s="169">
        <f t="shared" si="382"/>
        <v>0</v>
      </c>
      <c r="AG687" s="169">
        <f t="shared" si="382"/>
        <v>0</v>
      </c>
      <c r="AH687" s="169">
        <f t="shared" si="382"/>
        <v>0</v>
      </c>
      <c r="AI687" s="169">
        <f t="shared" si="382"/>
        <v>0</v>
      </c>
      <c r="AJ687" s="169">
        <f t="shared" si="382"/>
        <v>0</v>
      </c>
      <c r="AK687" s="169">
        <f t="shared" si="382"/>
        <v>0</v>
      </c>
      <c r="AL687" s="169">
        <f t="shared" si="382"/>
        <v>0</v>
      </c>
      <c r="AM687" s="169">
        <f t="shared" si="382"/>
        <v>0</v>
      </c>
      <c r="AN687" s="169">
        <f t="shared" si="382"/>
        <v>0</v>
      </c>
      <c r="AO687" s="169">
        <f t="shared" si="382"/>
        <v>0</v>
      </c>
      <c r="AP687" s="169">
        <f t="shared" si="382"/>
        <v>0</v>
      </c>
    </row>
    <row r="688" spans="1:42" x14ac:dyDescent="0.2">
      <c r="A688" s="20">
        <f>A687+1</f>
        <v>2</v>
      </c>
      <c r="B688" s="233">
        <f t="shared" si="381"/>
        <v>0</v>
      </c>
      <c r="C688" s="169">
        <f t="shared" ref="C688:AP694" si="383">IF(AND(C$2&gt;MMFrequency3*$A675,C$2&lt;=MMFrequency3*$A676),$B676/(MMFrequency3),0)</f>
        <v>0</v>
      </c>
      <c r="D688" s="169">
        <f t="shared" si="383"/>
        <v>0</v>
      </c>
      <c r="E688" s="169">
        <f t="shared" si="383"/>
        <v>0</v>
      </c>
      <c r="F688" s="169">
        <f t="shared" si="383"/>
        <v>0</v>
      </c>
      <c r="G688" s="169">
        <f t="shared" si="383"/>
        <v>0</v>
      </c>
      <c r="H688" s="169">
        <f t="shared" si="383"/>
        <v>0</v>
      </c>
      <c r="I688" s="169">
        <f t="shared" si="383"/>
        <v>0</v>
      </c>
      <c r="J688" s="169">
        <f t="shared" si="383"/>
        <v>0</v>
      </c>
      <c r="K688" s="169">
        <f t="shared" si="383"/>
        <v>0</v>
      </c>
      <c r="L688" s="169">
        <f t="shared" si="383"/>
        <v>0</v>
      </c>
      <c r="M688" s="169">
        <f t="shared" si="383"/>
        <v>0</v>
      </c>
      <c r="N688" s="169">
        <f t="shared" si="383"/>
        <v>0</v>
      </c>
      <c r="O688" s="169">
        <f t="shared" si="383"/>
        <v>0</v>
      </c>
      <c r="P688" s="169">
        <f t="shared" si="383"/>
        <v>0</v>
      </c>
      <c r="Q688" s="169">
        <f t="shared" si="383"/>
        <v>0</v>
      </c>
      <c r="R688" s="169">
        <f t="shared" si="383"/>
        <v>0</v>
      </c>
      <c r="S688" s="169">
        <f t="shared" si="383"/>
        <v>0</v>
      </c>
      <c r="T688" s="169">
        <f t="shared" si="383"/>
        <v>0</v>
      </c>
      <c r="U688" s="169">
        <f t="shared" si="383"/>
        <v>0</v>
      </c>
      <c r="V688" s="169">
        <f t="shared" si="383"/>
        <v>0</v>
      </c>
      <c r="W688" s="169">
        <f t="shared" si="383"/>
        <v>0</v>
      </c>
      <c r="X688" s="169">
        <f t="shared" si="383"/>
        <v>0</v>
      </c>
      <c r="Y688" s="169">
        <f t="shared" si="383"/>
        <v>0</v>
      </c>
      <c r="Z688" s="169">
        <f t="shared" si="383"/>
        <v>0</v>
      </c>
      <c r="AA688" s="169">
        <f t="shared" si="383"/>
        <v>0</v>
      </c>
      <c r="AB688" s="169">
        <f t="shared" si="383"/>
        <v>0</v>
      </c>
      <c r="AC688" s="169">
        <f t="shared" si="383"/>
        <v>0</v>
      </c>
      <c r="AD688" s="169">
        <f t="shared" si="383"/>
        <v>0</v>
      </c>
      <c r="AE688" s="169">
        <f t="shared" si="383"/>
        <v>0</v>
      </c>
      <c r="AF688" s="169">
        <f t="shared" si="383"/>
        <v>0</v>
      </c>
      <c r="AG688" s="169">
        <f t="shared" si="383"/>
        <v>0</v>
      </c>
      <c r="AH688" s="169">
        <f t="shared" si="383"/>
        <v>0</v>
      </c>
      <c r="AI688" s="169">
        <f t="shared" si="383"/>
        <v>0</v>
      </c>
      <c r="AJ688" s="169">
        <f t="shared" si="383"/>
        <v>0</v>
      </c>
      <c r="AK688" s="169">
        <f t="shared" si="383"/>
        <v>0</v>
      </c>
      <c r="AL688" s="169">
        <f t="shared" si="383"/>
        <v>0</v>
      </c>
      <c r="AM688" s="169">
        <f t="shared" si="383"/>
        <v>0</v>
      </c>
      <c r="AN688" s="169">
        <f t="shared" si="383"/>
        <v>0</v>
      </c>
      <c r="AO688" s="169">
        <f t="shared" si="383"/>
        <v>0</v>
      </c>
      <c r="AP688" s="169">
        <f t="shared" si="383"/>
        <v>0</v>
      </c>
    </row>
    <row r="689" spans="1:42" x14ac:dyDescent="0.2">
      <c r="A689" s="20">
        <f t="shared" ref="A689:A694" si="384">A688+1</f>
        <v>3</v>
      </c>
      <c r="B689" s="233">
        <f t="shared" si="381"/>
        <v>0</v>
      </c>
      <c r="C689" s="169">
        <f t="shared" si="383"/>
        <v>0</v>
      </c>
      <c r="D689" s="169">
        <f t="shared" si="383"/>
        <v>0</v>
      </c>
      <c r="E689" s="169">
        <f t="shared" si="383"/>
        <v>0</v>
      </c>
      <c r="F689" s="169">
        <f t="shared" si="383"/>
        <v>0</v>
      </c>
      <c r="G689" s="169">
        <f t="shared" si="383"/>
        <v>0</v>
      </c>
      <c r="H689" s="169">
        <f t="shared" si="383"/>
        <v>0</v>
      </c>
      <c r="I689" s="169">
        <f t="shared" si="383"/>
        <v>0</v>
      </c>
      <c r="J689" s="169">
        <f t="shared" si="383"/>
        <v>0</v>
      </c>
      <c r="K689" s="169">
        <f t="shared" si="383"/>
        <v>0</v>
      </c>
      <c r="L689" s="169">
        <f t="shared" si="383"/>
        <v>0</v>
      </c>
      <c r="M689" s="169">
        <f t="shared" si="383"/>
        <v>0</v>
      </c>
      <c r="N689" s="169">
        <f t="shared" si="383"/>
        <v>0</v>
      </c>
      <c r="O689" s="169">
        <f t="shared" si="383"/>
        <v>0</v>
      </c>
      <c r="P689" s="169">
        <f t="shared" si="383"/>
        <v>0</v>
      </c>
      <c r="Q689" s="169">
        <f t="shared" si="383"/>
        <v>0</v>
      </c>
      <c r="R689" s="169">
        <f t="shared" si="383"/>
        <v>0</v>
      </c>
      <c r="S689" s="169">
        <f t="shared" si="383"/>
        <v>0</v>
      </c>
      <c r="T689" s="169">
        <f t="shared" si="383"/>
        <v>0</v>
      </c>
      <c r="U689" s="169">
        <f t="shared" si="383"/>
        <v>0</v>
      </c>
      <c r="V689" s="169">
        <f t="shared" si="383"/>
        <v>0</v>
      </c>
      <c r="W689" s="169">
        <f t="shared" si="383"/>
        <v>0</v>
      </c>
      <c r="X689" s="169">
        <f t="shared" si="383"/>
        <v>0</v>
      </c>
      <c r="Y689" s="169">
        <f t="shared" si="383"/>
        <v>0</v>
      </c>
      <c r="Z689" s="169">
        <f t="shared" si="383"/>
        <v>0</v>
      </c>
      <c r="AA689" s="169">
        <f t="shared" si="383"/>
        <v>0</v>
      </c>
      <c r="AB689" s="169">
        <f t="shared" si="383"/>
        <v>0</v>
      </c>
      <c r="AC689" s="169">
        <f t="shared" si="383"/>
        <v>0</v>
      </c>
      <c r="AD689" s="169">
        <f t="shared" si="383"/>
        <v>0</v>
      </c>
      <c r="AE689" s="169">
        <f t="shared" si="383"/>
        <v>0</v>
      </c>
      <c r="AF689" s="169">
        <f t="shared" si="383"/>
        <v>0</v>
      </c>
      <c r="AG689" s="169">
        <f t="shared" si="383"/>
        <v>0</v>
      </c>
      <c r="AH689" s="169">
        <f t="shared" si="383"/>
        <v>0</v>
      </c>
      <c r="AI689" s="169">
        <f t="shared" si="383"/>
        <v>0</v>
      </c>
      <c r="AJ689" s="169">
        <f t="shared" si="383"/>
        <v>0</v>
      </c>
      <c r="AK689" s="169">
        <f t="shared" si="383"/>
        <v>0</v>
      </c>
      <c r="AL689" s="169">
        <f t="shared" si="383"/>
        <v>0</v>
      </c>
      <c r="AM689" s="169">
        <f t="shared" si="383"/>
        <v>0</v>
      </c>
      <c r="AN689" s="169">
        <f t="shared" si="383"/>
        <v>0</v>
      </c>
      <c r="AO689" s="169">
        <f t="shared" si="383"/>
        <v>0</v>
      </c>
      <c r="AP689" s="169">
        <f t="shared" si="383"/>
        <v>0</v>
      </c>
    </row>
    <row r="690" spans="1:42" x14ac:dyDescent="0.2">
      <c r="A690" s="20">
        <f t="shared" si="384"/>
        <v>4</v>
      </c>
      <c r="B690" s="233">
        <f t="shared" si="381"/>
        <v>0</v>
      </c>
      <c r="C690" s="169">
        <f t="shared" si="383"/>
        <v>0</v>
      </c>
      <c r="D690" s="169">
        <f t="shared" si="383"/>
        <v>0</v>
      </c>
      <c r="E690" s="169">
        <f t="shared" si="383"/>
        <v>0</v>
      </c>
      <c r="F690" s="169">
        <f t="shared" si="383"/>
        <v>0</v>
      </c>
      <c r="G690" s="169">
        <f t="shared" si="383"/>
        <v>0</v>
      </c>
      <c r="H690" s="169">
        <f t="shared" si="383"/>
        <v>0</v>
      </c>
      <c r="I690" s="169">
        <f t="shared" si="383"/>
        <v>0</v>
      </c>
      <c r="J690" s="169">
        <f t="shared" si="383"/>
        <v>0</v>
      </c>
      <c r="K690" s="169">
        <f t="shared" si="383"/>
        <v>0</v>
      </c>
      <c r="L690" s="169">
        <f t="shared" si="383"/>
        <v>0</v>
      </c>
      <c r="M690" s="169">
        <f t="shared" si="383"/>
        <v>0</v>
      </c>
      <c r="N690" s="169">
        <f t="shared" si="383"/>
        <v>0</v>
      </c>
      <c r="O690" s="169">
        <f t="shared" si="383"/>
        <v>0</v>
      </c>
      <c r="P690" s="169">
        <f t="shared" si="383"/>
        <v>0</v>
      </c>
      <c r="Q690" s="169">
        <f t="shared" si="383"/>
        <v>0</v>
      </c>
      <c r="R690" s="169">
        <f t="shared" si="383"/>
        <v>0</v>
      </c>
      <c r="S690" s="169">
        <f t="shared" si="383"/>
        <v>0</v>
      </c>
      <c r="T690" s="169">
        <f t="shared" si="383"/>
        <v>0</v>
      </c>
      <c r="U690" s="169">
        <f t="shared" si="383"/>
        <v>0</v>
      </c>
      <c r="V690" s="169">
        <f t="shared" si="383"/>
        <v>0</v>
      </c>
      <c r="W690" s="169">
        <f t="shared" si="383"/>
        <v>0</v>
      </c>
      <c r="X690" s="169">
        <f t="shared" si="383"/>
        <v>0</v>
      </c>
      <c r="Y690" s="169">
        <f t="shared" si="383"/>
        <v>0</v>
      </c>
      <c r="Z690" s="169">
        <f t="shared" si="383"/>
        <v>0</v>
      </c>
      <c r="AA690" s="169">
        <f t="shared" si="383"/>
        <v>0</v>
      </c>
      <c r="AB690" s="169">
        <f t="shared" si="383"/>
        <v>0</v>
      </c>
      <c r="AC690" s="169">
        <f t="shared" si="383"/>
        <v>0</v>
      </c>
      <c r="AD690" s="169">
        <f t="shared" si="383"/>
        <v>0</v>
      </c>
      <c r="AE690" s="169">
        <f t="shared" si="383"/>
        <v>0</v>
      </c>
      <c r="AF690" s="169">
        <f t="shared" si="383"/>
        <v>0</v>
      </c>
      <c r="AG690" s="169">
        <f t="shared" si="383"/>
        <v>0</v>
      </c>
      <c r="AH690" s="169">
        <f t="shared" si="383"/>
        <v>0</v>
      </c>
      <c r="AI690" s="169">
        <f t="shared" si="383"/>
        <v>0</v>
      </c>
      <c r="AJ690" s="169">
        <f t="shared" si="383"/>
        <v>0</v>
      </c>
      <c r="AK690" s="169">
        <f t="shared" si="383"/>
        <v>0</v>
      </c>
      <c r="AL690" s="169">
        <f t="shared" si="383"/>
        <v>0</v>
      </c>
      <c r="AM690" s="169">
        <f t="shared" si="383"/>
        <v>0</v>
      </c>
      <c r="AN690" s="169">
        <f t="shared" si="383"/>
        <v>0</v>
      </c>
      <c r="AO690" s="169">
        <f t="shared" si="383"/>
        <v>0</v>
      </c>
      <c r="AP690" s="169">
        <f t="shared" si="383"/>
        <v>0</v>
      </c>
    </row>
    <row r="691" spans="1:42" x14ac:dyDescent="0.2">
      <c r="A691" s="20">
        <f t="shared" si="384"/>
        <v>5</v>
      </c>
      <c r="B691" s="233">
        <f t="shared" si="381"/>
        <v>0</v>
      </c>
      <c r="C691" s="169">
        <f t="shared" si="383"/>
        <v>0</v>
      </c>
      <c r="D691" s="169">
        <f t="shared" si="383"/>
        <v>0</v>
      </c>
      <c r="E691" s="169">
        <f t="shared" si="383"/>
        <v>0</v>
      </c>
      <c r="F691" s="169">
        <f t="shared" si="383"/>
        <v>0</v>
      </c>
      <c r="G691" s="169">
        <f t="shared" si="383"/>
        <v>0</v>
      </c>
      <c r="H691" s="169">
        <f t="shared" si="383"/>
        <v>0</v>
      </c>
      <c r="I691" s="169">
        <f t="shared" si="383"/>
        <v>0</v>
      </c>
      <c r="J691" s="169">
        <f t="shared" si="383"/>
        <v>0</v>
      </c>
      <c r="K691" s="169">
        <f t="shared" si="383"/>
        <v>0</v>
      </c>
      <c r="L691" s="169">
        <f t="shared" si="383"/>
        <v>0</v>
      </c>
      <c r="M691" s="169">
        <f t="shared" si="383"/>
        <v>0</v>
      </c>
      <c r="N691" s="169">
        <f t="shared" si="383"/>
        <v>0</v>
      </c>
      <c r="O691" s="169">
        <f t="shared" si="383"/>
        <v>0</v>
      </c>
      <c r="P691" s="169">
        <f t="shared" si="383"/>
        <v>0</v>
      </c>
      <c r="Q691" s="169">
        <f t="shared" si="383"/>
        <v>0</v>
      </c>
      <c r="R691" s="169">
        <f t="shared" si="383"/>
        <v>0</v>
      </c>
      <c r="S691" s="169">
        <f t="shared" si="383"/>
        <v>0</v>
      </c>
      <c r="T691" s="169">
        <f t="shared" si="383"/>
        <v>0</v>
      </c>
      <c r="U691" s="169">
        <f t="shared" si="383"/>
        <v>0</v>
      </c>
      <c r="V691" s="169">
        <f t="shared" si="383"/>
        <v>0</v>
      </c>
      <c r="W691" s="169">
        <f t="shared" si="383"/>
        <v>0</v>
      </c>
      <c r="X691" s="169">
        <f t="shared" si="383"/>
        <v>0</v>
      </c>
      <c r="Y691" s="169">
        <f t="shared" si="383"/>
        <v>0</v>
      </c>
      <c r="Z691" s="169">
        <f t="shared" si="383"/>
        <v>0</v>
      </c>
      <c r="AA691" s="169">
        <f t="shared" si="383"/>
        <v>0</v>
      </c>
      <c r="AB691" s="169">
        <f t="shared" si="383"/>
        <v>0</v>
      </c>
      <c r="AC691" s="169">
        <f t="shared" si="383"/>
        <v>0</v>
      </c>
      <c r="AD691" s="169">
        <f t="shared" si="383"/>
        <v>0</v>
      </c>
      <c r="AE691" s="169">
        <f t="shared" si="383"/>
        <v>0</v>
      </c>
      <c r="AF691" s="169">
        <f t="shared" si="383"/>
        <v>0</v>
      </c>
      <c r="AG691" s="169">
        <f t="shared" si="383"/>
        <v>0</v>
      </c>
      <c r="AH691" s="169">
        <f t="shared" si="383"/>
        <v>0</v>
      </c>
      <c r="AI691" s="169">
        <f t="shared" si="383"/>
        <v>0</v>
      </c>
      <c r="AJ691" s="169">
        <f t="shared" si="383"/>
        <v>0</v>
      </c>
      <c r="AK691" s="169">
        <f t="shared" si="383"/>
        <v>0</v>
      </c>
      <c r="AL691" s="169">
        <f t="shared" si="383"/>
        <v>0</v>
      </c>
      <c r="AM691" s="169">
        <f t="shared" si="383"/>
        <v>0</v>
      </c>
      <c r="AN691" s="169">
        <f t="shared" si="383"/>
        <v>0</v>
      </c>
      <c r="AO691" s="169">
        <f t="shared" si="383"/>
        <v>0</v>
      </c>
      <c r="AP691" s="169">
        <f t="shared" si="383"/>
        <v>0</v>
      </c>
    </row>
    <row r="692" spans="1:42" x14ac:dyDescent="0.2">
      <c r="A692" s="20">
        <f t="shared" si="384"/>
        <v>6</v>
      </c>
      <c r="B692" s="233">
        <f t="shared" si="381"/>
        <v>0</v>
      </c>
      <c r="C692" s="169">
        <f t="shared" si="383"/>
        <v>0</v>
      </c>
      <c r="D692" s="169">
        <f t="shared" si="383"/>
        <v>0</v>
      </c>
      <c r="E692" s="169">
        <f t="shared" si="383"/>
        <v>0</v>
      </c>
      <c r="F692" s="169">
        <f t="shared" si="383"/>
        <v>0</v>
      </c>
      <c r="G692" s="169">
        <f t="shared" si="383"/>
        <v>0</v>
      </c>
      <c r="H692" s="169">
        <f t="shared" si="383"/>
        <v>0</v>
      </c>
      <c r="I692" s="169">
        <f t="shared" si="383"/>
        <v>0</v>
      </c>
      <c r="J692" s="169">
        <f t="shared" si="383"/>
        <v>0</v>
      </c>
      <c r="K692" s="169">
        <f t="shared" si="383"/>
        <v>0</v>
      </c>
      <c r="L692" s="169">
        <f t="shared" si="383"/>
        <v>0</v>
      </c>
      <c r="M692" s="169">
        <f t="shared" si="383"/>
        <v>0</v>
      </c>
      <c r="N692" s="169">
        <f t="shared" si="383"/>
        <v>0</v>
      </c>
      <c r="O692" s="169">
        <f t="shared" si="383"/>
        <v>0</v>
      </c>
      <c r="P692" s="169">
        <f t="shared" si="383"/>
        <v>0</v>
      </c>
      <c r="Q692" s="169">
        <f t="shared" si="383"/>
        <v>0</v>
      </c>
      <c r="R692" s="169">
        <f t="shared" si="383"/>
        <v>0</v>
      </c>
      <c r="S692" s="169">
        <f t="shared" si="383"/>
        <v>0</v>
      </c>
      <c r="T692" s="169">
        <f t="shared" si="383"/>
        <v>0</v>
      </c>
      <c r="U692" s="169">
        <f t="shared" si="383"/>
        <v>0</v>
      </c>
      <c r="V692" s="169">
        <f t="shared" si="383"/>
        <v>0</v>
      </c>
      <c r="W692" s="169">
        <f t="shared" si="383"/>
        <v>0</v>
      </c>
      <c r="X692" s="169">
        <f t="shared" si="383"/>
        <v>0</v>
      </c>
      <c r="Y692" s="169">
        <f t="shared" si="383"/>
        <v>0</v>
      </c>
      <c r="Z692" s="169">
        <f t="shared" si="383"/>
        <v>0</v>
      </c>
      <c r="AA692" s="169">
        <f t="shared" si="383"/>
        <v>0</v>
      </c>
      <c r="AB692" s="169">
        <f t="shared" si="383"/>
        <v>0</v>
      </c>
      <c r="AC692" s="169">
        <f t="shared" si="383"/>
        <v>0</v>
      </c>
      <c r="AD692" s="169">
        <f t="shared" si="383"/>
        <v>0</v>
      </c>
      <c r="AE692" s="169">
        <f t="shared" si="383"/>
        <v>0</v>
      </c>
      <c r="AF692" s="169">
        <f t="shared" si="383"/>
        <v>0</v>
      </c>
      <c r="AG692" s="169">
        <f t="shared" si="383"/>
        <v>0</v>
      </c>
      <c r="AH692" s="169">
        <f t="shared" si="383"/>
        <v>0</v>
      </c>
      <c r="AI692" s="169">
        <f t="shared" si="383"/>
        <v>0</v>
      </c>
      <c r="AJ692" s="169">
        <f t="shared" si="383"/>
        <v>0</v>
      </c>
      <c r="AK692" s="169">
        <f t="shared" si="383"/>
        <v>0</v>
      </c>
      <c r="AL692" s="169">
        <f t="shared" si="383"/>
        <v>0</v>
      </c>
      <c r="AM692" s="169">
        <f t="shared" si="383"/>
        <v>0</v>
      </c>
      <c r="AN692" s="169">
        <f t="shared" si="383"/>
        <v>0</v>
      </c>
      <c r="AO692" s="169">
        <f t="shared" si="383"/>
        <v>0</v>
      </c>
      <c r="AP692" s="169">
        <f t="shared" si="383"/>
        <v>0</v>
      </c>
    </row>
    <row r="693" spans="1:42" x14ac:dyDescent="0.2">
      <c r="A693" s="20">
        <f t="shared" si="384"/>
        <v>7</v>
      </c>
      <c r="B693" s="233">
        <f t="shared" si="381"/>
        <v>0</v>
      </c>
      <c r="C693" s="169">
        <f t="shared" si="383"/>
        <v>0</v>
      </c>
      <c r="D693" s="169">
        <f t="shared" si="383"/>
        <v>0</v>
      </c>
      <c r="E693" s="169">
        <f t="shared" si="383"/>
        <v>0</v>
      </c>
      <c r="F693" s="169">
        <f t="shared" si="383"/>
        <v>0</v>
      </c>
      <c r="G693" s="169">
        <f t="shared" si="383"/>
        <v>0</v>
      </c>
      <c r="H693" s="169">
        <f t="shared" si="383"/>
        <v>0</v>
      </c>
      <c r="I693" s="169">
        <f t="shared" si="383"/>
        <v>0</v>
      </c>
      <c r="J693" s="169">
        <f t="shared" si="383"/>
        <v>0</v>
      </c>
      <c r="K693" s="169">
        <f t="shared" si="383"/>
        <v>0</v>
      </c>
      <c r="L693" s="169">
        <f t="shared" si="383"/>
        <v>0</v>
      </c>
      <c r="M693" s="169">
        <f t="shared" si="383"/>
        <v>0</v>
      </c>
      <c r="N693" s="169">
        <f t="shared" si="383"/>
        <v>0</v>
      </c>
      <c r="O693" s="169">
        <f t="shared" si="383"/>
        <v>0</v>
      </c>
      <c r="P693" s="169">
        <f t="shared" si="383"/>
        <v>0</v>
      </c>
      <c r="Q693" s="169">
        <f t="shared" si="383"/>
        <v>0</v>
      </c>
      <c r="R693" s="169">
        <f t="shared" si="383"/>
        <v>0</v>
      </c>
      <c r="S693" s="169">
        <f t="shared" si="383"/>
        <v>0</v>
      </c>
      <c r="T693" s="169">
        <f t="shared" si="383"/>
        <v>0</v>
      </c>
      <c r="U693" s="169">
        <f t="shared" si="383"/>
        <v>0</v>
      </c>
      <c r="V693" s="169">
        <f t="shared" si="383"/>
        <v>0</v>
      </c>
      <c r="W693" s="169">
        <f t="shared" si="383"/>
        <v>0</v>
      </c>
      <c r="X693" s="169">
        <f t="shared" si="383"/>
        <v>0</v>
      </c>
      <c r="Y693" s="169">
        <f t="shared" si="383"/>
        <v>0</v>
      </c>
      <c r="Z693" s="169">
        <f t="shared" si="383"/>
        <v>0</v>
      </c>
      <c r="AA693" s="169">
        <f t="shared" si="383"/>
        <v>0</v>
      </c>
      <c r="AB693" s="169">
        <f t="shared" si="383"/>
        <v>0</v>
      </c>
      <c r="AC693" s="169">
        <f t="shared" si="383"/>
        <v>0</v>
      </c>
      <c r="AD693" s="169">
        <f t="shared" si="383"/>
        <v>0</v>
      </c>
      <c r="AE693" s="169">
        <f t="shared" si="383"/>
        <v>0</v>
      </c>
      <c r="AF693" s="169">
        <f t="shared" si="383"/>
        <v>0</v>
      </c>
      <c r="AG693" s="169">
        <f t="shared" si="383"/>
        <v>0</v>
      </c>
      <c r="AH693" s="169">
        <f t="shared" si="383"/>
        <v>0</v>
      </c>
      <c r="AI693" s="169">
        <f t="shared" si="383"/>
        <v>0</v>
      </c>
      <c r="AJ693" s="169">
        <f t="shared" si="383"/>
        <v>0</v>
      </c>
      <c r="AK693" s="169">
        <f t="shared" si="383"/>
        <v>0</v>
      </c>
      <c r="AL693" s="169">
        <f t="shared" si="383"/>
        <v>0</v>
      </c>
      <c r="AM693" s="169">
        <f t="shared" si="383"/>
        <v>0</v>
      </c>
      <c r="AN693" s="169">
        <f t="shared" si="383"/>
        <v>0</v>
      </c>
      <c r="AO693" s="169">
        <f t="shared" si="383"/>
        <v>0</v>
      </c>
      <c r="AP693" s="169">
        <f t="shared" si="383"/>
        <v>0</v>
      </c>
    </row>
    <row r="694" spans="1:42" x14ac:dyDescent="0.2">
      <c r="A694" s="20">
        <f t="shared" si="384"/>
        <v>8</v>
      </c>
      <c r="B694" s="233">
        <f t="shared" si="381"/>
        <v>0</v>
      </c>
      <c r="C694" s="169">
        <f t="shared" si="383"/>
        <v>0</v>
      </c>
      <c r="D694" s="169">
        <f t="shared" si="383"/>
        <v>0</v>
      </c>
      <c r="E694" s="169">
        <f t="shared" si="383"/>
        <v>0</v>
      </c>
      <c r="F694" s="169">
        <f t="shared" si="383"/>
        <v>0</v>
      </c>
      <c r="G694" s="169">
        <f t="shared" si="383"/>
        <v>0</v>
      </c>
      <c r="H694" s="169">
        <f t="shared" si="383"/>
        <v>0</v>
      </c>
      <c r="I694" s="169">
        <f t="shared" si="383"/>
        <v>0</v>
      </c>
      <c r="J694" s="169">
        <f t="shared" si="383"/>
        <v>0</v>
      </c>
      <c r="K694" s="169">
        <f t="shared" si="383"/>
        <v>0</v>
      </c>
      <c r="L694" s="169">
        <f t="shared" si="383"/>
        <v>0</v>
      </c>
      <c r="M694" s="169">
        <f t="shared" si="383"/>
        <v>0</v>
      </c>
      <c r="N694" s="169">
        <f t="shared" si="383"/>
        <v>0</v>
      </c>
      <c r="O694" s="169">
        <f t="shared" si="383"/>
        <v>0</v>
      </c>
      <c r="P694" s="169">
        <f t="shared" si="383"/>
        <v>0</v>
      </c>
      <c r="Q694" s="169">
        <f t="shared" si="383"/>
        <v>0</v>
      </c>
      <c r="R694" s="169">
        <f t="shared" ref="R694:AP694" si="385">IF(AND(R$2&gt;MMFrequency3*$A681,R$2&lt;=MMFrequency3*$A682),$B682/(MMFrequency3),0)</f>
        <v>0</v>
      </c>
      <c r="S694" s="169">
        <f t="shared" si="385"/>
        <v>0</v>
      </c>
      <c r="T694" s="169">
        <f t="shared" si="385"/>
        <v>0</v>
      </c>
      <c r="U694" s="169">
        <f t="shared" si="385"/>
        <v>0</v>
      </c>
      <c r="V694" s="169">
        <f t="shared" si="385"/>
        <v>0</v>
      </c>
      <c r="W694" s="169">
        <f t="shared" si="385"/>
        <v>0</v>
      </c>
      <c r="X694" s="169">
        <f t="shared" si="385"/>
        <v>0</v>
      </c>
      <c r="Y694" s="169">
        <f t="shared" si="385"/>
        <v>0</v>
      </c>
      <c r="Z694" s="169">
        <f t="shared" si="385"/>
        <v>0</v>
      </c>
      <c r="AA694" s="169">
        <f t="shared" si="385"/>
        <v>0</v>
      </c>
      <c r="AB694" s="169">
        <f t="shared" si="385"/>
        <v>0</v>
      </c>
      <c r="AC694" s="169">
        <f t="shared" si="385"/>
        <v>0</v>
      </c>
      <c r="AD694" s="169">
        <f t="shared" si="385"/>
        <v>0</v>
      </c>
      <c r="AE694" s="169">
        <f t="shared" si="385"/>
        <v>0</v>
      </c>
      <c r="AF694" s="169">
        <f t="shared" si="385"/>
        <v>0</v>
      </c>
      <c r="AG694" s="169">
        <f t="shared" si="385"/>
        <v>0</v>
      </c>
      <c r="AH694" s="169">
        <f t="shared" si="385"/>
        <v>0</v>
      </c>
      <c r="AI694" s="169">
        <f t="shared" si="385"/>
        <v>0</v>
      </c>
      <c r="AJ694" s="169">
        <f t="shared" si="385"/>
        <v>0</v>
      </c>
      <c r="AK694" s="169">
        <f t="shared" si="385"/>
        <v>0</v>
      </c>
      <c r="AL694" s="169">
        <f t="shared" si="385"/>
        <v>0</v>
      </c>
      <c r="AM694" s="169">
        <f t="shared" si="385"/>
        <v>0</v>
      </c>
      <c r="AN694" s="169">
        <f t="shared" si="385"/>
        <v>0</v>
      </c>
      <c r="AO694" s="169">
        <f t="shared" si="385"/>
        <v>0</v>
      </c>
      <c r="AP694" s="169">
        <f t="shared" si="385"/>
        <v>0</v>
      </c>
    </row>
    <row r="695" spans="1:42" x14ac:dyDescent="0.2">
      <c r="A695" s="20">
        <f>A694+1</f>
        <v>9</v>
      </c>
      <c r="B695" s="233">
        <f t="shared" si="381"/>
        <v>0</v>
      </c>
      <c r="C695" s="169">
        <f t="shared" ref="C695:AP696" si="386">IF(AND(C$2&gt;MMFrequency3*$A682,C$2&lt;=MMFrequency3*$A683),$B683/(MMFrequency3),0)</f>
        <v>0</v>
      </c>
      <c r="D695" s="169">
        <f t="shared" si="386"/>
        <v>0</v>
      </c>
      <c r="E695" s="169">
        <f t="shared" si="386"/>
        <v>0</v>
      </c>
      <c r="F695" s="169">
        <f t="shared" si="386"/>
        <v>0</v>
      </c>
      <c r="G695" s="169">
        <f t="shared" si="386"/>
        <v>0</v>
      </c>
      <c r="H695" s="169">
        <f t="shared" si="386"/>
        <v>0</v>
      </c>
      <c r="I695" s="169">
        <f t="shared" si="386"/>
        <v>0</v>
      </c>
      <c r="J695" s="169">
        <f t="shared" si="386"/>
        <v>0</v>
      </c>
      <c r="K695" s="169">
        <f t="shared" si="386"/>
        <v>0</v>
      </c>
      <c r="L695" s="169">
        <f t="shared" si="386"/>
        <v>0</v>
      </c>
      <c r="M695" s="169">
        <f t="shared" si="386"/>
        <v>0</v>
      </c>
      <c r="N695" s="169">
        <f t="shared" si="386"/>
        <v>0</v>
      </c>
      <c r="O695" s="169">
        <f t="shared" si="386"/>
        <v>0</v>
      </c>
      <c r="P695" s="169">
        <f t="shared" si="386"/>
        <v>0</v>
      </c>
      <c r="Q695" s="169">
        <f t="shared" si="386"/>
        <v>0</v>
      </c>
      <c r="R695" s="169">
        <f t="shared" si="386"/>
        <v>0</v>
      </c>
      <c r="S695" s="169">
        <f t="shared" si="386"/>
        <v>0</v>
      </c>
      <c r="T695" s="169">
        <f t="shared" si="386"/>
        <v>0</v>
      </c>
      <c r="U695" s="169">
        <f t="shared" si="386"/>
        <v>0</v>
      </c>
      <c r="V695" s="169">
        <f t="shared" si="386"/>
        <v>0</v>
      </c>
      <c r="W695" s="169">
        <f t="shared" si="386"/>
        <v>0</v>
      </c>
      <c r="X695" s="169">
        <f t="shared" si="386"/>
        <v>0</v>
      </c>
      <c r="Y695" s="169">
        <f t="shared" si="386"/>
        <v>0</v>
      </c>
      <c r="Z695" s="169">
        <f t="shared" si="386"/>
        <v>0</v>
      </c>
      <c r="AA695" s="169">
        <f t="shared" si="386"/>
        <v>0</v>
      </c>
      <c r="AB695" s="169">
        <f t="shared" si="386"/>
        <v>0</v>
      </c>
      <c r="AC695" s="169">
        <f t="shared" si="386"/>
        <v>0</v>
      </c>
      <c r="AD695" s="169">
        <f t="shared" si="386"/>
        <v>0</v>
      </c>
      <c r="AE695" s="169">
        <f t="shared" si="386"/>
        <v>0</v>
      </c>
      <c r="AF695" s="169">
        <f t="shared" si="386"/>
        <v>0</v>
      </c>
      <c r="AG695" s="169">
        <f t="shared" si="386"/>
        <v>0</v>
      </c>
      <c r="AH695" s="169">
        <f t="shared" si="386"/>
        <v>0</v>
      </c>
      <c r="AI695" s="169">
        <f t="shared" si="386"/>
        <v>0</v>
      </c>
      <c r="AJ695" s="169">
        <f t="shared" si="386"/>
        <v>0</v>
      </c>
      <c r="AK695" s="169">
        <f t="shared" si="386"/>
        <v>0</v>
      </c>
      <c r="AL695" s="169">
        <f t="shared" si="386"/>
        <v>0</v>
      </c>
      <c r="AM695" s="169">
        <f t="shared" si="386"/>
        <v>0</v>
      </c>
      <c r="AN695" s="169">
        <f t="shared" si="386"/>
        <v>0</v>
      </c>
      <c r="AO695" s="169">
        <f t="shared" si="386"/>
        <v>0</v>
      </c>
      <c r="AP695" s="169">
        <f t="shared" si="386"/>
        <v>0</v>
      </c>
    </row>
    <row r="696" spans="1:42" x14ac:dyDescent="0.2">
      <c r="A696" s="20">
        <f t="shared" ref="A696" si="387">A695+1</f>
        <v>10</v>
      </c>
      <c r="B696" s="233">
        <f t="shared" si="381"/>
        <v>0</v>
      </c>
      <c r="C696" s="170">
        <f t="shared" si="386"/>
        <v>0</v>
      </c>
      <c r="D696" s="170">
        <f t="shared" si="386"/>
        <v>0</v>
      </c>
      <c r="E696" s="170">
        <f t="shared" si="386"/>
        <v>0</v>
      </c>
      <c r="F696" s="170">
        <f t="shared" si="386"/>
        <v>0</v>
      </c>
      <c r="G696" s="170">
        <f t="shared" si="386"/>
        <v>0</v>
      </c>
      <c r="H696" s="170">
        <f t="shared" si="386"/>
        <v>0</v>
      </c>
      <c r="I696" s="170">
        <f t="shared" si="386"/>
        <v>0</v>
      </c>
      <c r="J696" s="170">
        <f t="shared" si="386"/>
        <v>0</v>
      </c>
      <c r="K696" s="170">
        <f t="shared" si="386"/>
        <v>0</v>
      </c>
      <c r="L696" s="170">
        <f t="shared" si="386"/>
        <v>0</v>
      </c>
      <c r="M696" s="170">
        <f t="shared" si="386"/>
        <v>0</v>
      </c>
      <c r="N696" s="170">
        <f t="shared" si="386"/>
        <v>0</v>
      </c>
      <c r="O696" s="170">
        <f t="shared" si="386"/>
        <v>0</v>
      </c>
      <c r="P696" s="170">
        <f t="shared" si="386"/>
        <v>0</v>
      </c>
      <c r="Q696" s="170">
        <f t="shared" si="386"/>
        <v>0</v>
      </c>
      <c r="R696" s="170">
        <f t="shared" si="386"/>
        <v>0</v>
      </c>
      <c r="S696" s="170">
        <f t="shared" si="386"/>
        <v>0</v>
      </c>
      <c r="T696" s="170">
        <f t="shared" si="386"/>
        <v>0</v>
      </c>
      <c r="U696" s="170">
        <f t="shared" si="386"/>
        <v>0</v>
      </c>
      <c r="V696" s="170">
        <f t="shared" si="386"/>
        <v>0</v>
      </c>
      <c r="W696" s="170">
        <f t="shared" si="386"/>
        <v>0</v>
      </c>
      <c r="X696" s="170">
        <f t="shared" si="386"/>
        <v>0</v>
      </c>
      <c r="Y696" s="170">
        <f t="shared" si="386"/>
        <v>0</v>
      </c>
      <c r="Z696" s="170">
        <f t="shared" si="386"/>
        <v>0</v>
      </c>
      <c r="AA696" s="170">
        <f t="shared" si="386"/>
        <v>0</v>
      </c>
      <c r="AB696" s="170">
        <f t="shared" si="386"/>
        <v>0</v>
      </c>
      <c r="AC696" s="170">
        <f t="shared" si="386"/>
        <v>0</v>
      </c>
      <c r="AD696" s="170">
        <f t="shared" si="386"/>
        <v>0</v>
      </c>
      <c r="AE696" s="170">
        <f t="shared" si="386"/>
        <v>0</v>
      </c>
      <c r="AF696" s="170">
        <f t="shared" si="386"/>
        <v>0</v>
      </c>
      <c r="AG696" s="170">
        <f t="shared" si="386"/>
        <v>0</v>
      </c>
      <c r="AH696" s="170">
        <f t="shared" si="386"/>
        <v>0</v>
      </c>
      <c r="AI696" s="170">
        <f t="shared" si="386"/>
        <v>0</v>
      </c>
      <c r="AJ696" s="170">
        <f t="shared" si="386"/>
        <v>0</v>
      </c>
      <c r="AK696" s="170">
        <f t="shared" si="386"/>
        <v>0</v>
      </c>
      <c r="AL696" s="170">
        <f t="shared" si="386"/>
        <v>0</v>
      </c>
      <c r="AM696" s="170">
        <f t="shared" si="386"/>
        <v>0</v>
      </c>
      <c r="AN696" s="170">
        <f t="shared" si="386"/>
        <v>0</v>
      </c>
      <c r="AO696" s="170">
        <f t="shared" si="386"/>
        <v>0</v>
      </c>
      <c r="AP696" s="170">
        <f t="shared" si="386"/>
        <v>0</v>
      </c>
    </row>
    <row r="697" spans="1:42" x14ac:dyDescent="0.2">
      <c r="A697" s="202" t="s">
        <v>53</v>
      </c>
      <c r="B697" s="169"/>
      <c r="C697" s="135">
        <f>SUM(C687:C696)</f>
        <v>0</v>
      </c>
      <c r="D697" s="135">
        <f t="shared" ref="D697:AP697" si="388">SUM(D687:D696)</f>
        <v>0</v>
      </c>
      <c r="E697" s="135">
        <f t="shared" si="388"/>
        <v>0</v>
      </c>
      <c r="F697" s="135">
        <f t="shared" si="388"/>
        <v>0</v>
      </c>
      <c r="G697" s="135">
        <f t="shared" si="388"/>
        <v>0</v>
      </c>
      <c r="H697" s="135">
        <f t="shared" si="388"/>
        <v>0</v>
      </c>
      <c r="I697" s="135">
        <f t="shared" si="388"/>
        <v>0</v>
      </c>
      <c r="J697" s="135">
        <f t="shared" si="388"/>
        <v>0</v>
      </c>
      <c r="K697" s="135">
        <f t="shared" si="388"/>
        <v>0</v>
      </c>
      <c r="L697" s="135">
        <f t="shared" si="388"/>
        <v>0</v>
      </c>
      <c r="M697" s="135">
        <f t="shared" si="388"/>
        <v>0</v>
      </c>
      <c r="N697" s="135">
        <f t="shared" si="388"/>
        <v>0</v>
      </c>
      <c r="O697" s="135">
        <f t="shared" si="388"/>
        <v>0</v>
      </c>
      <c r="P697" s="135">
        <f t="shared" si="388"/>
        <v>0</v>
      </c>
      <c r="Q697" s="135">
        <f t="shared" si="388"/>
        <v>0</v>
      </c>
      <c r="R697" s="135">
        <f t="shared" si="388"/>
        <v>0</v>
      </c>
      <c r="S697" s="135">
        <f t="shared" si="388"/>
        <v>0</v>
      </c>
      <c r="T697" s="135">
        <f t="shared" si="388"/>
        <v>0</v>
      </c>
      <c r="U697" s="135">
        <f t="shared" si="388"/>
        <v>0</v>
      </c>
      <c r="V697" s="135">
        <f t="shared" si="388"/>
        <v>0</v>
      </c>
      <c r="W697" s="135">
        <f t="shared" si="388"/>
        <v>0</v>
      </c>
      <c r="X697" s="135">
        <f t="shared" si="388"/>
        <v>0</v>
      </c>
      <c r="Y697" s="135">
        <f t="shared" si="388"/>
        <v>0</v>
      </c>
      <c r="Z697" s="135">
        <f t="shared" si="388"/>
        <v>0</v>
      </c>
      <c r="AA697" s="135">
        <f t="shared" si="388"/>
        <v>0</v>
      </c>
      <c r="AB697" s="135">
        <f t="shared" si="388"/>
        <v>0</v>
      </c>
      <c r="AC697" s="135">
        <f t="shared" si="388"/>
        <v>0</v>
      </c>
      <c r="AD697" s="135">
        <f t="shared" si="388"/>
        <v>0</v>
      </c>
      <c r="AE697" s="135">
        <f t="shared" si="388"/>
        <v>0</v>
      </c>
      <c r="AF697" s="135">
        <f t="shared" si="388"/>
        <v>0</v>
      </c>
      <c r="AG697" s="135">
        <f t="shared" si="388"/>
        <v>0</v>
      </c>
      <c r="AH697" s="135">
        <f t="shared" si="388"/>
        <v>0</v>
      </c>
      <c r="AI697" s="135">
        <f t="shared" si="388"/>
        <v>0</v>
      </c>
      <c r="AJ697" s="135">
        <f t="shared" si="388"/>
        <v>0</v>
      </c>
      <c r="AK697" s="135">
        <f t="shared" si="388"/>
        <v>0</v>
      </c>
      <c r="AL697" s="135">
        <f t="shared" si="388"/>
        <v>0</v>
      </c>
      <c r="AM697" s="135">
        <f t="shared" si="388"/>
        <v>0</v>
      </c>
      <c r="AN697" s="135">
        <f t="shared" si="388"/>
        <v>0</v>
      </c>
      <c r="AO697" s="135">
        <f t="shared" si="388"/>
        <v>0</v>
      </c>
      <c r="AP697" s="135">
        <f t="shared" si="388"/>
        <v>0</v>
      </c>
    </row>
    <row r="698" spans="1:42" x14ac:dyDescent="0.2">
      <c r="B698" s="169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</row>
    <row r="699" spans="1:42" x14ac:dyDescent="0.2">
      <c r="A699" s="20" t="s">
        <v>185</v>
      </c>
      <c r="B699" s="169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</row>
    <row r="700" spans="1:42" x14ac:dyDescent="0.2">
      <c r="A700" s="167" t="s">
        <v>186</v>
      </c>
      <c r="B700" s="135">
        <f>B595+B601+B607+B639+B671</f>
        <v>1587731.7340153451</v>
      </c>
      <c r="C700" s="135">
        <f t="shared" ref="C700:AP700" si="389">C595+C601+C607+C639+C671</f>
        <v>1840230.3863129781</v>
      </c>
      <c r="D700" s="135">
        <f t="shared" si="389"/>
        <v>2092789.5469811147</v>
      </c>
      <c r="E700" s="135">
        <f t="shared" si="389"/>
        <v>2345409.8477158635</v>
      </c>
      <c r="F700" s="135">
        <f t="shared" si="389"/>
        <v>2598091.9303674353</v>
      </c>
      <c r="G700" s="135">
        <f t="shared" si="389"/>
        <v>2850836.4471424506</v>
      </c>
      <c r="H700" s="135">
        <f t="shared" si="389"/>
        <v>3103644.060810592</v>
      </c>
      <c r="I700" s="135">
        <f t="shared" si="389"/>
        <v>3356515.4449156951</v>
      </c>
      <c r="J700" s="135">
        <f t="shared" si="389"/>
        <v>3609451.2839913825</v>
      </c>
      <c r="K700" s="135">
        <f t="shared" si="389"/>
        <v>3862452.2737813219</v>
      </c>
      <c r="L700" s="135">
        <f t="shared" si="389"/>
        <v>4115519.1214642432</v>
      </c>
      <c r="M700" s="135">
        <f t="shared" si="389"/>
        <v>4368652.5458837831</v>
      </c>
      <c r="N700" s="135">
        <f t="shared" si="389"/>
        <v>1659200.9792503952</v>
      </c>
      <c r="O700" s="135">
        <f t="shared" si="389"/>
        <v>651615.94290093344</v>
      </c>
      <c r="P700" s="135">
        <f t="shared" si="389"/>
        <v>943490.26621969789</v>
      </c>
      <c r="Q700" s="135">
        <f t="shared" si="389"/>
        <v>1235473.8974257964</v>
      </c>
      <c r="R700" s="135">
        <f t="shared" si="389"/>
        <v>1527569.0608665079</v>
      </c>
      <c r="S700" s="135">
        <f t="shared" si="389"/>
        <v>1819778.0277209112</v>
      </c>
      <c r="T700" s="135">
        <f t="shared" si="389"/>
        <v>2112103.1170100612</v>
      </c>
      <c r="U700" s="135">
        <f t="shared" si="389"/>
        <v>2404546.6966293296</v>
      </c>
      <c r="V700" s="135">
        <f t="shared" si="389"/>
        <v>2697111.1844034018</v>
      </c>
      <c r="W700" s="135">
        <f t="shared" si="389"/>
        <v>2996964.5102581792</v>
      </c>
      <c r="X700" s="135">
        <f t="shared" si="389"/>
        <v>3296943.7340413588</v>
      </c>
      <c r="Y700" s="135">
        <f t="shared" si="389"/>
        <v>3597051.4299297049</v>
      </c>
      <c r="Z700" s="135">
        <f t="shared" si="389"/>
        <v>376347.33996138244</v>
      </c>
      <c r="AA700" s="135">
        <f t="shared" si="389"/>
        <v>734116.62208426546</v>
      </c>
      <c r="AB700" s="135">
        <f t="shared" si="389"/>
        <v>1092022.4298891323</v>
      </c>
      <c r="AC700" s="135">
        <f t="shared" si="389"/>
        <v>1450067.5622573218</v>
      </c>
      <c r="AD700" s="135">
        <f t="shared" si="389"/>
        <v>1808254.8773178405</v>
      </c>
      <c r="AE700" s="135">
        <f t="shared" si="389"/>
        <v>2166587.2937303027</v>
      </c>
      <c r="AF700" s="135">
        <f t="shared" si="389"/>
        <v>2525067.7919960911</v>
      </c>
      <c r="AG700" s="135">
        <f t="shared" si="389"/>
        <v>2883699.4157983749</v>
      </c>
      <c r="AH700" s="135">
        <f t="shared" si="389"/>
        <v>3242485.2733716164</v>
      </c>
      <c r="AI700" s="135">
        <f t="shared" si="389"/>
        <v>3601428.538901234</v>
      </c>
      <c r="AJ700" s="135">
        <f t="shared" si="389"/>
        <v>3960532.4539540838</v>
      </c>
      <c r="AK700" s="135">
        <f t="shared" si="389"/>
        <v>4319800.3289404484</v>
      </c>
      <c r="AL700" s="135">
        <f t="shared" si="389"/>
        <v>469532.24880110752</v>
      </c>
      <c r="AM700" s="135">
        <f t="shared" si="389"/>
        <v>478329.64977906219</v>
      </c>
      <c r="AN700" s="135">
        <f t="shared" si="389"/>
        <v>487301.37008931278</v>
      </c>
      <c r="AO700" s="135">
        <f t="shared" si="389"/>
        <v>496451.01079080044</v>
      </c>
      <c r="AP700" s="135">
        <f t="shared" si="389"/>
        <v>0</v>
      </c>
    </row>
    <row r="701" spans="1:42" x14ac:dyDescent="0.2">
      <c r="A701" s="167" t="s">
        <v>185</v>
      </c>
      <c r="B701" s="169"/>
      <c r="C701" s="135">
        <f t="shared" ref="C701:AP701" si="390">IF(C$2&lt;=AnalysisPeriod,B700*InterestOnReserves,0)</f>
        <v>27785.305345268542</v>
      </c>
      <c r="D701" s="135">
        <f t="shared" si="390"/>
        <v>32204.031760477119</v>
      </c>
      <c r="E701" s="135">
        <f t="shared" si="390"/>
        <v>36623.817072169513</v>
      </c>
      <c r="F701" s="135">
        <f t="shared" si="390"/>
        <v>41044.672335027615</v>
      </c>
      <c r="G701" s="135">
        <f t="shared" si="390"/>
        <v>45466.608781430121</v>
      </c>
      <c r="H701" s="135">
        <f t="shared" si="390"/>
        <v>49889.637824992889</v>
      </c>
      <c r="I701" s="135">
        <f t="shared" si="390"/>
        <v>54313.771064185363</v>
      </c>
      <c r="J701" s="135">
        <f t="shared" si="390"/>
        <v>58739.020286024672</v>
      </c>
      <c r="K701" s="135">
        <f t="shared" si="390"/>
        <v>63165.397469849202</v>
      </c>
      <c r="L701" s="135">
        <f t="shared" si="390"/>
        <v>67592.914791173142</v>
      </c>
      <c r="M701" s="135">
        <f t="shared" si="390"/>
        <v>72021.584625624266</v>
      </c>
      <c r="N701" s="135">
        <f t="shared" si="390"/>
        <v>76451.41955296621</v>
      </c>
      <c r="O701" s="135">
        <f t="shared" si="390"/>
        <v>29036.017136881917</v>
      </c>
      <c r="P701" s="135">
        <f t="shared" si="390"/>
        <v>11403.279000766337</v>
      </c>
      <c r="Q701" s="135">
        <f t="shared" si="390"/>
        <v>16511.079658844716</v>
      </c>
      <c r="R701" s="135">
        <f t="shared" si="390"/>
        <v>21620.793204951438</v>
      </c>
      <c r="S701" s="135">
        <f t="shared" si="390"/>
        <v>26732.458565163892</v>
      </c>
      <c r="T701" s="135">
        <f t="shared" si="390"/>
        <v>31846.115485115948</v>
      </c>
      <c r="U701" s="135">
        <f t="shared" si="390"/>
        <v>36961.804547676074</v>
      </c>
      <c r="V701" s="135">
        <f t="shared" si="390"/>
        <v>42079.567191013273</v>
      </c>
      <c r="W701" s="135">
        <f t="shared" si="390"/>
        <v>47199.445727059538</v>
      </c>
      <c r="X701" s="135">
        <f t="shared" si="390"/>
        <v>52446.878929518141</v>
      </c>
      <c r="Y701" s="135">
        <f t="shared" si="390"/>
        <v>57696.515345723783</v>
      </c>
      <c r="Z701" s="135">
        <f t="shared" si="390"/>
        <v>62948.400023769842</v>
      </c>
      <c r="AA701" s="135">
        <f t="shared" si="390"/>
        <v>6586.0784493241936</v>
      </c>
      <c r="AB701" s="135">
        <f t="shared" si="390"/>
        <v>12847.040886474646</v>
      </c>
      <c r="AC701" s="135">
        <f t="shared" si="390"/>
        <v>19110.392523059818</v>
      </c>
      <c r="AD701" s="135">
        <f t="shared" si="390"/>
        <v>25376.182339503135</v>
      </c>
      <c r="AE701" s="135">
        <f t="shared" si="390"/>
        <v>31644.460353062212</v>
      </c>
      <c r="AF701" s="135">
        <f t="shared" si="390"/>
        <v>37915.277640280299</v>
      </c>
      <c r="AG701" s="135">
        <f t="shared" si="390"/>
        <v>44188.686359931598</v>
      </c>
      <c r="AH701" s="135">
        <f t="shared" si="390"/>
        <v>50464.739776471564</v>
      </c>
      <c r="AI701" s="135">
        <f t="shared" si="390"/>
        <v>56743.492284003289</v>
      </c>
      <c r="AJ701" s="135">
        <f t="shared" si="390"/>
        <v>63024.999430771604</v>
      </c>
      <c r="AK701" s="135">
        <f t="shared" si="390"/>
        <v>69309.317944196475</v>
      </c>
      <c r="AL701" s="135">
        <f t="shared" si="390"/>
        <v>75596.50575645786</v>
      </c>
      <c r="AM701" s="135">
        <f t="shared" si="390"/>
        <v>8216.8143540193832</v>
      </c>
      <c r="AN701" s="135">
        <f t="shared" si="390"/>
        <v>8370.7688711335886</v>
      </c>
      <c r="AO701" s="135">
        <f t="shared" si="390"/>
        <v>8527.773976562974</v>
      </c>
      <c r="AP701" s="135">
        <f t="shared" si="390"/>
        <v>8687.8926888390088</v>
      </c>
    </row>
  </sheetData>
  <pageMargins left="0.5" right="0.5" top="0.5" bottom="0.75" header="0.3" footer="0.3"/>
  <pageSetup scale="75" pageOrder="overThenDown" orientation="landscape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G44"/>
  <sheetViews>
    <sheetView zoomScale="90" zoomScaleNormal="90" workbookViewId="0"/>
  </sheetViews>
  <sheetFormatPr defaultRowHeight="15" x14ac:dyDescent="0.25"/>
  <cols>
    <col min="2" max="7" width="15.42578125" customWidth="1"/>
  </cols>
  <sheetData>
    <row r="1" spans="1:7" s="5" customFormat="1" ht="12.75" x14ac:dyDescent="0.2">
      <c r="A1" s="1" t="s">
        <v>137</v>
      </c>
      <c r="B1" s="2"/>
      <c r="C1" s="3"/>
      <c r="D1" s="2"/>
      <c r="E1" s="2"/>
      <c r="F1" s="2"/>
      <c r="G1" s="4"/>
    </row>
    <row r="2" spans="1:7" s="5" customFormat="1" ht="12.75" x14ac:dyDescent="0.2">
      <c r="A2" s="6"/>
      <c r="B2" s="7" t="s">
        <v>129</v>
      </c>
      <c r="C2" s="7" t="s">
        <v>130</v>
      </c>
      <c r="D2" s="7" t="s">
        <v>131</v>
      </c>
      <c r="E2" s="7" t="s">
        <v>132</v>
      </c>
      <c r="F2" s="7" t="s">
        <v>133</v>
      </c>
      <c r="G2" s="7" t="s">
        <v>134</v>
      </c>
    </row>
    <row r="3" spans="1:7" s="5" customFormat="1" ht="12.75" x14ac:dyDescent="0.2">
      <c r="A3" s="8">
        <v>1</v>
      </c>
      <c r="B3" s="9">
        <v>0.2</v>
      </c>
      <c r="C3" s="10">
        <v>0.05</v>
      </c>
      <c r="D3" s="9">
        <v>0.1</v>
      </c>
      <c r="E3" s="9">
        <v>3.3300000000000003E-2</v>
      </c>
      <c r="F3" s="9">
        <v>2.5000000000000001E-2</v>
      </c>
      <c r="G3" s="9">
        <f>2.56410256410256%*0.5</f>
        <v>1.2820512820512799E-2</v>
      </c>
    </row>
    <row r="4" spans="1:7" s="5" customFormat="1" ht="12.75" x14ac:dyDescent="0.2">
      <c r="A4" s="11">
        <v>2</v>
      </c>
      <c r="B4" s="12">
        <v>0.32</v>
      </c>
      <c r="C4" s="13">
        <v>9.5000000000000001E-2</v>
      </c>
      <c r="D4" s="12">
        <v>0.2</v>
      </c>
      <c r="E4" s="12">
        <v>6.6699999999999995E-2</v>
      </c>
      <c r="F4" s="12">
        <v>0.05</v>
      </c>
      <c r="G4" s="12">
        <v>2.564102564102564E-2</v>
      </c>
    </row>
    <row r="5" spans="1:7" s="5" customFormat="1" ht="12.75" x14ac:dyDescent="0.2">
      <c r="A5" s="11">
        <v>3</v>
      </c>
      <c r="B5" s="12">
        <v>0.192</v>
      </c>
      <c r="C5" s="12">
        <v>8.5500000000000007E-2</v>
      </c>
      <c r="D5" s="12">
        <v>0.2</v>
      </c>
      <c r="E5" s="12">
        <v>6.6699999999999995E-2</v>
      </c>
      <c r="F5" s="12">
        <v>0.05</v>
      </c>
      <c r="G5" s="12">
        <v>2.564102564102564E-2</v>
      </c>
    </row>
    <row r="6" spans="1:7" s="5" customFormat="1" ht="12.75" x14ac:dyDescent="0.2">
      <c r="A6" s="11">
        <v>4</v>
      </c>
      <c r="B6" s="12">
        <v>0.1152</v>
      </c>
      <c r="C6" s="12">
        <v>7.6999999999999999E-2</v>
      </c>
      <c r="D6" s="12">
        <v>0.2</v>
      </c>
      <c r="E6" s="12">
        <v>6.6699999999999995E-2</v>
      </c>
      <c r="F6" s="12">
        <v>0.05</v>
      </c>
      <c r="G6" s="12">
        <v>2.564102564102564E-2</v>
      </c>
    </row>
    <row r="7" spans="1:7" s="5" customFormat="1" ht="12.75" x14ac:dyDescent="0.2">
      <c r="A7" s="11">
        <v>5</v>
      </c>
      <c r="B7" s="12">
        <v>0.1152</v>
      </c>
      <c r="C7" s="12">
        <v>6.93E-2</v>
      </c>
      <c r="D7" s="12">
        <v>0.2</v>
      </c>
      <c r="E7" s="12">
        <v>6.6699999999999995E-2</v>
      </c>
      <c r="F7" s="12">
        <v>0.05</v>
      </c>
      <c r="G7" s="12">
        <v>2.564102564102564E-2</v>
      </c>
    </row>
    <row r="8" spans="1:7" s="5" customFormat="1" ht="12.75" x14ac:dyDescent="0.2">
      <c r="A8" s="11">
        <v>6</v>
      </c>
      <c r="B8" s="12">
        <v>5.7599999999999998E-2</v>
      </c>
      <c r="C8" s="12">
        <v>6.2300000000000001E-2</v>
      </c>
      <c r="D8" s="12">
        <v>0.1</v>
      </c>
      <c r="E8" s="12">
        <v>6.6699999999999995E-2</v>
      </c>
      <c r="F8" s="12">
        <v>0.05</v>
      </c>
      <c r="G8" s="12">
        <v>2.564102564102564E-2</v>
      </c>
    </row>
    <row r="9" spans="1:7" s="5" customFormat="1" ht="12.75" x14ac:dyDescent="0.2">
      <c r="A9" s="11">
        <v>7</v>
      </c>
      <c r="B9" s="14">
        <v>0</v>
      </c>
      <c r="C9" s="12">
        <v>5.8999999999999997E-2</v>
      </c>
      <c r="D9" s="12">
        <v>0</v>
      </c>
      <c r="E9" s="12">
        <v>6.6699999999999995E-2</v>
      </c>
      <c r="F9" s="12">
        <v>0.05</v>
      </c>
      <c r="G9" s="12">
        <v>2.564102564102564E-2</v>
      </c>
    </row>
    <row r="10" spans="1:7" s="5" customFormat="1" ht="12.75" x14ac:dyDescent="0.2">
      <c r="A10" s="11">
        <v>8</v>
      </c>
      <c r="B10" s="12">
        <v>0</v>
      </c>
      <c r="C10" s="12">
        <v>5.8999999999999997E-2</v>
      </c>
      <c r="D10" s="12">
        <v>0</v>
      </c>
      <c r="E10" s="12">
        <v>6.6600000000000006E-2</v>
      </c>
      <c r="F10" s="12">
        <v>0.05</v>
      </c>
      <c r="G10" s="12">
        <v>2.564102564102564E-2</v>
      </c>
    </row>
    <row r="11" spans="1:7" s="5" customFormat="1" ht="12.75" x14ac:dyDescent="0.2">
      <c r="A11" s="11">
        <v>9</v>
      </c>
      <c r="B11" s="12">
        <v>0</v>
      </c>
      <c r="C11" s="12">
        <v>5.91E-2</v>
      </c>
      <c r="D11" s="12">
        <v>0</v>
      </c>
      <c r="E11" s="12">
        <v>6.6699999999999995E-2</v>
      </c>
      <c r="F11" s="12">
        <v>0.05</v>
      </c>
      <c r="G11" s="12">
        <v>2.564102564102564E-2</v>
      </c>
    </row>
    <row r="12" spans="1:7" s="5" customFormat="1" ht="12.75" x14ac:dyDescent="0.2">
      <c r="A12" s="11">
        <v>10</v>
      </c>
      <c r="B12" s="12">
        <v>0</v>
      </c>
      <c r="C12" s="12">
        <v>5.8999999999999997E-2</v>
      </c>
      <c r="D12" s="12">
        <v>0</v>
      </c>
      <c r="E12" s="12">
        <v>6.6600000000000006E-2</v>
      </c>
      <c r="F12" s="12">
        <v>0.05</v>
      </c>
      <c r="G12" s="12">
        <v>2.564102564102564E-2</v>
      </c>
    </row>
    <row r="13" spans="1:7" s="5" customFormat="1" ht="12.75" x14ac:dyDescent="0.2">
      <c r="A13" s="11">
        <v>11</v>
      </c>
      <c r="B13" s="12">
        <v>0</v>
      </c>
      <c r="C13" s="12">
        <v>5.91E-2</v>
      </c>
      <c r="D13" s="12">
        <v>0</v>
      </c>
      <c r="E13" s="12">
        <v>6.6699999999999995E-2</v>
      </c>
      <c r="F13" s="12">
        <v>0.05</v>
      </c>
      <c r="G13" s="12">
        <v>2.564102564102564E-2</v>
      </c>
    </row>
    <row r="14" spans="1:7" s="5" customFormat="1" ht="12.75" x14ac:dyDescent="0.2">
      <c r="A14" s="11">
        <v>12</v>
      </c>
      <c r="B14" s="12">
        <v>0</v>
      </c>
      <c r="C14" s="12">
        <v>5.8999999999999997E-2</v>
      </c>
      <c r="D14" s="12">
        <v>0</v>
      </c>
      <c r="E14" s="12">
        <v>6.6600000000000006E-2</v>
      </c>
      <c r="F14" s="12">
        <v>0.05</v>
      </c>
      <c r="G14" s="12">
        <v>2.564102564102564E-2</v>
      </c>
    </row>
    <row r="15" spans="1:7" s="5" customFormat="1" ht="12.75" x14ac:dyDescent="0.2">
      <c r="A15" s="11">
        <v>13</v>
      </c>
      <c r="B15" s="12">
        <v>0</v>
      </c>
      <c r="C15" s="12">
        <v>5.91E-2</v>
      </c>
      <c r="D15" s="12">
        <v>0</v>
      </c>
      <c r="E15" s="12">
        <v>6.6699999999999995E-2</v>
      </c>
      <c r="F15" s="12">
        <v>0.05</v>
      </c>
      <c r="G15" s="12">
        <v>2.564102564102564E-2</v>
      </c>
    </row>
    <row r="16" spans="1:7" s="5" customFormat="1" ht="12.75" x14ac:dyDescent="0.2">
      <c r="A16" s="11">
        <v>14</v>
      </c>
      <c r="B16" s="12">
        <v>0</v>
      </c>
      <c r="C16" s="12">
        <v>5.8999999999999997E-2</v>
      </c>
      <c r="D16" s="12">
        <v>0</v>
      </c>
      <c r="E16" s="12">
        <v>6.6600000000000006E-2</v>
      </c>
      <c r="F16" s="12">
        <v>0.05</v>
      </c>
      <c r="G16" s="12">
        <v>2.564102564102564E-2</v>
      </c>
    </row>
    <row r="17" spans="1:7" s="5" customFormat="1" ht="12.75" x14ac:dyDescent="0.2">
      <c r="A17" s="11">
        <v>15</v>
      </c>
      <c r="B17" s="12">
        <v>0</v>
      </c>
      <c r="C17" s="12">
        <v>5.91E-2</v>
      </c>
      <c r="D17" s="12">
        <v>0</v>
      </c>
      <c r="E17" s="12">
        <v>6.6699999999999995E-2</v>
      </c>
      <c r="F17" s="12">
        <v>0.05</v>
      </c>
      <c r="G17" s="12">
        <v>2.564102564102564E-2</v>
      </c>
    </row>
    <row r="18" spans="1:7" s="5" customFormat="1" ht="12.75" x14ac:dyDescent="0.2">
      <c r="A18" s="11">
        <v>16</v>
      </c>
      <c r="B18" s="12">
        <v>0</v>
      </c>
      <c r="C18" s="12">
        <v>2.9499999999999998E-2</v>
      </c>
      <c r="D18" s="12">
        <v>0</v>
      </c>
      <c r="E18" s="12">
        <v>3.3300000000000003E-2</v>
      </c>
      <c r="F18" s="12">
        <v>0.05</v>
      </c>
      <c r="G18" s="12">
        <v>2.564102564102564E-2</v>
      </c>
    </row>
    <row r="19" spans="1:7" s="5" customFormat="1" ht="12.75" x14ac:dyDescent="0.2">
      <c r="A19" s="11">
        <v>17</v>
      </c>
      <c r="B19" s="12">
        <v>0</v>
      </c>
      <c r="C19" s="12">
        <v>0</v>
      </c>
      <c r="D19" s="12">
        <v>0</v>
      </c>
      <c r="E19" s="12">
        <v>0</v>
      </c>
      <c r="F19" s="12">
        <v>0.05</v>
      </c>
      <c r="G19" s="12">
        <v>2.564102564102564E-2</v>
      </c>
    </row>
    <row r="20" spans="1:7" s="5" customFormat="1" ht="12.75" x14ac:dyDescent="0.2">
      <c r="A20" s="11">
        <v>18</v>
      </c>
      <c r="B20" s="12">
        <v>0</v>
      </c>
      <c r="C20" s="12">
        <v>0</v>
      </c>
      <c r="D20" s="12">
        <v>0</v>
      </c>
      <c r="E20" s="12">
        <v>0</v>
      </c>
      <c r="F20" s="12">
        <v>0.05</v>
      </c>
      <c r="G20" s="12">
        <v>2.564102564102564E-2</v>
      </c>
    </row>
    <row r="21" spans="1:7" s="5" customFormat="1" ht="12.75" x14ac:dyDescent="0.2">
      <c r="A21" s="11">
        <v>19</v>
      </c>
      <c r="B21" s="12">
        <v>0</v>
      </c>
      <c r="C21" s="12">
        <v>0</v>
      </c>
      <c r="D21" s="12">
        <v>0</v>
      </c>
      <c r="E21" s="12">
        <v>0</v>
      </c>
      <c r="F21" s="12">
        <v>0.05</v>
      </c>
      <c r="G21" s="12">
        <v>2.564102564102564E-2</v>
      </c>
    </row>
    <row r="22" spans="1:7" s="5" customFormat="1" ht="12.75" x14ac:dyDescent="0.2">
      <c r="A22" s="11">
        <v>20</v>
      </c>
      <c r="B22" s="12">
        <v>0</v>
      </c>
      <c r="C22" s="12">
        <v>0</v>
      </c>
      <c r="D22" s="12">
        <v>0</v>
      </c>
      <c r="E22" s="12">
        <v>0</v>
      </c>
      <c r="F22" s="12">
        <v>0.05</v>
      </c>
      <c r="G22" s="12">
        <v>2.564102564102564E-2</v>
      </c>
    </row>
    <row r="23" spans="1:7" s="5" customFormat="1" ht="12.75" x14ac:dyDescent="0.2">
      <c r="A23" s="11">
        <v>21</v>
      </c>
      <c r="B23" s="12">
        <v>0</v>
      </c>
      <c r="C23" s="12">
        <v>0</v>
      </c>
      <c r="D23" s="12">
        <v>0</v>
      </c>
      <c r="E23" s="12">
        <v>0</v>
      </c>
      <c r="F23" s="12">
        <v>2.5000000000000001E-2</v>
      </c>
      <c r="G23" s="12">
        <v>2.564102564102564E-2</v>
      </c>
    </row>
    <row r="24" spans="1:7" s="5" customFormat="1" ht="12.75" customHeight="1" x14ac:dyDescent="0.2">
      <c r="A24" s="11">
        <v>22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2.564102564102564E-2</v>
      </c>
    </row>
    <row r="25" spans="1:7" s="5" customFormat="1" ht="12.75" customHeight="1" x14ac:dyDescent="0.2">
      <c r="A25" s="11">
        <v>23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2.564102564102564E-2</v>
      </c>
    </row>
    <row r="26" spans="1:7" s="5" customFormat="1" ht="12.75" customHeight="1" x14ac:dyDescent="0.2">
      <c r="A26" s="11">
        <v>24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2.564102564102564E-2</v>
      </c>
    </row>
    <row r="27" spans="1:7" s="5" customFormat="1" ht="12.75" customHeight="1" x14ac:dyDescent="0.2">
      <c r="A27" s="11">
        <v>25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2.564102564102564E-2</v>
      </c>
    </row>
    <row r="28" spans="1:7" s="5" customFormat="1" ht="12.75" customHeight="1" x14ac:dyDescent="0.2">
      <c r="A28" s="11">
        <v>26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2.564102564102564E-2</v>
      </c>
    </row>
    <row r="29" spans="1:7" s="5" customFormat="1" ht="12.75" customHeight="1" x14ac:dyDescent="0.2">
      <c r="A29" s="11">
        <v>27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2.564102564102564E-2</v>
      </c>
    </row>
    <row r="30" spans="1:7" ht="12.75" customHeight="1" x14ac:dyDescent="0.25">
      <c r="A30" s="11">
        <v>28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2.564102564102564E-2</v>
      </c>
    </row>
    <row r="31" spans="1:7" ht="12.75" customHeight="1" x14ac:dyDescent="0.25">
      <c r="A31" s="11">
        <v>29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2.564102564102564E-2</v>
      </c>
    </row>
    <row r="32" spans="1:7" ht="12.75" customHeight="1" x14ac:dyDescent="0.25">
      <c r="A32" s="11">
        <v>30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2.564102564102564E-2</v>
      </c>
    </row>
    <row r="33" spans="1:7" ht="12.75" customHeight="1" x14ac:dyDescent="0.25">
      <c r="A33" s="11">
        <v>31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2.564102564102564E-2</v>
      </c>
    </row>
    <row r="34" spans="1:7" ht="12.75" customHeight="1" x14ac:dyDescent="0.25">
      <c r="A34" s="11">
        <v>32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2.564102564102564E-2</v>
      </c>
    </row>
    <row r="35" spans="1:7" ht="12.75" customHeight="1" x14ac:dyDescent="0.25">
      <c r="A35" s="11">
        <v>33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2.564102564102564E-2</v>
      </c>
    </row>
    <row r="36" spans="1:7" ht="12.75" customHeight="1" x14ac:dyDescent="0.25">
      <c r="A36" s="11">
        <v>34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2.564102564102564E-2</v>
      </c>
    </row>
    <row r="37" spans="1:7" ht="12.75" customHeight="1" x14ac:dyDescent="0.25">
      <c r="A37" s="11">
        <v>35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2.564102564102564E-2</v>
      </c>
    </row>
    <row r="38" spans="1:7" ht="12.75" customHeight="1" x14ac:dyDescent="0.25">
      <c r="A38" s="11">
        <v>36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2.564102564102564E-2</v>
      </c>
    </row>
    <row r="39" spans="1:7" ht="12.75" customHeight="1" x14ac:dyDescent="0.25">
      <c r="A39" s="11">
        <v>37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2.564102564102564E-2</v>
      </c>
    </row>
    <row r="40" spans="1:7" ht="12.75" customHeight="1" x14ac:dyDescent="0.25">
      <c r="A40" s="11">
        <v>38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2.564102564102564E-2</v>
      </c>
    </row>
    <row r="41" spans="1:7" ht="12.75" customHeight="1" x14ac:dyDescent="0.25">
      <c r="A41" s="11">
        <v>39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2.564102564102564E-2</v>
      </c>
    </row>
    <row r="42" spans="1:7" ht="12.75" customHeight="1" x14ac:dyDescent="0.25">
      <c r="A42" s="15">
        <v>40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f t="shared" ref="G42" si="0">2.56410256410256%*0.5</f>
        <v>1.2820512820512799E-2</v>
      </c>
    </row>
    <row r="43" spans="1:7" x14ac:dyDescent="0.25">
      <c r="A43" t="s">
        <v>348</v>
      </c>
    </row>
    <row r="44" spans="1:7" x14ac:dyDescent="0.25">
      <c r="A44" t="s">
        <v>349</v>
      </c>
    </row>
  </sheetData>
  <pageMargins left="0.5" right="0.5" top="0.5" bottom="0.75" header="0.3" footer="0.3"/>
  <pageSetup scale="93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207</vt:i4>
      </vt:variant>
    </vt:vector>
  </HeadingPairs>
  <TitlesOfParts>
    <vt:vector size="214" baseType="lpstr">
      <vt:lpstr>Cover</vt:lpstr>
      <vt:lpstr>Inputs &amp; Results</vt:lpstr>
      <vt:lpstr>All Equity Partnership Flip</vt:lpstr>
      <vt:lpstr>Leveraged Partnership Flip</vt:lpstr>
      <vt:lpstr>Sale Leaseback</vt:lpstr>
      <vt:lpstr>Single Owner</vt:lpstr>
      <vt:lpstr>Depreciation Schedules</vt:lpstr>
      <vt:lpstr>AEPFFlipTarget</vt:lpstr>
      <vt:lpstr>AEPFFlipTargetYear</vt:lpstr>
      <vt:lpstr>AEPFInstalledCostTotal</vt:lpstr>
      <vt:lpstr>AEPFPPAPrice</vt:lpstr>
      <vt:lpstr>AEPFPPAPriceEsc</vt:lpstr>
      <vt:lpstr>AEPFTEInvestment</vt:lpstr>
      <vt:lpstr>AEPFTEPostFlipCash</vt:lpstr>
      <vt:lpstr>AEPFTEPostFlipTax</vt:lpstr>
      <vt:lpstr>AEPFTEPreFlipCash</vt:lpstr>
      <vt:lpstr>AEPFTEPreFlipTax</vt:lpstr>
      <vt:lpstr>AEPFWC</vt:lpstr>
      <vt:lpstr>AnalysisPeriod</vt:lpstr>
      <vt:lpstr>BOP</vt:lpstr>
      <vt:lpstr>CapacityAC</vt:lpstr>
      <vt:lpstr>CapacityConversion</vt:lpstr>
      <vt:lpstr>CapacityDC</vt:lpstr>
      <vt:lpstr>CapitalRecoveryDuration</vt:lpstr>
      <vt:lpstr>CapitalRecoveryMethod</vt:lpstr>
      <vt:lpstr>CBIFed</vt:lpstr>
      <vt:lpstr>CBIFedFedDeprec</vt:lpstr>
      <vt:lpstr>CBIFedFedTax</vt:lpstr>
      <vt:lpstr>CBIFedStateDeprec</vt:lpstr>
      <vt:lpstr>CBIFedStateTax</vt:lpstr>
      <vt:lpstr>CBIOther</vt:lpstr>
      <vt:lpstr>CBIOtherFedDeprec</vt:lpstr>
      <vt:lpstr>CBIOtherFedTax</vt:lpstr>
      <vt:lpstr>CBIOtherStateDeprec</vt:lpstr>
      <vt:lpstr>CBIOtherStateTax</vt:lpstr>
      <vt:lpstr>CBIState</vt:lpstr>
      <vt:lpstr>CBIStateFedDeprec</vt:lpstr>
      <vt:lpstr>CBIStateFedTax</vt:lpstr>
      <vt:lpstr>CBIStateStateDeprec</vt:lpstr>
      <vt:lpstr>CBIStateStateTax</vt:lpstr>
      <vt:lpstr>CBIUtility</vt:lpstr>
      <vt:lpstr>CBIUtilityFedDeprec</vt:lpstr>
      <vt:lpstr>CBIUtilityFedTax</vt:lpstr>
      <vt:lpstr>CBIUtilityStateDeprec</vt:lpstr>
      <vt:lpstr>CBIUtilityStateTax</vt:lpstr>
      <vt:lpstr>ContingencyCost</vt:lpstr>
      <vt:lpstr>DevCost</vt:lpstr>
      <vt:lpstr>DiscountRate</vt:lpstr>
      <vt:lpstr>FedBasisReduction</vt:lpstr>
      <vt:lpstr>FedBonusDeprec</vt:lpstr>
      <vt:lpstr>FedPTCAmount</vt:lpstr>
      <vt:lpstr>FedPTCTerm</vt:lpstr>
      <vt:lpstr>FedTax</vt:lpstr>
      <vt:lpstr>GenerationEquipment</vt:lpstr>
      <vt:lpstr>IBIFedFixed</vt:lpstr>
      <vt:lpstr>IBIFedFixedFedDeprec</vt:lpstr>
      <vt:lpstr>IBIFedFixedFedTax</vt:lpstr>
      <vt:lpstr>IBIFedFixedStateDeprec</vt:lpstr>
      <vt:lpstr>IBIFedFixedStateTax</vt:lpstr>
      <vt:lpstr>IBIFedPercent</vt:lpstr>
      <vt:lpstr>IBIFedPercentFedDeprec</vt:lpstr>
      <vt:lpstr>IBIFedPercentFedTax</vt:lpstr>
      <vt:lpstr>IBIFedPercentStateDeprec</vt:lpstr>
      <vt:lpstr>IBIFedPercentStateTax</vt:lpstr>
      <vt:lpstr>IBIOtherFixed</vt:lpstr>
      <vt:lpstr>IBIOtherFixedFedDeprec</vt:lpstr>
      <vt:lpstr>IBIOtherFixedFedTax</vt:lpstr>
      <vt:lpstr>IBIOtherFixedStateDeprec</vt:lpstr>
      <vt:lpstr>IBIOtherFixedStateTax</vt:lpstr>
      <vt:lpstr>IBIOtherPercent</vt:lpstr>
      <vt:lpstr>IBIOtherPercentFedDeprec</vt:lpstr>
      <vt:lpstr>IBIOtherPercentFedTax</vt:lpstr>
      <vt:lpstr>IBIOtherPercentStateDeprec</vt:lpstr>
      <vt:lpstr>IBIOtherPercentStateTax</vt:lpstr>
      <vt:lpstr>IBIStateFixed</vt:lpstr>
      <vt:lpstr>IBIStateFixedFedDeprec</vt:lpstr>
      <vt:lpstr>IBIStateFixedFedTax</vt:lpstr>
      <vt:lpstr>IBIStateFixedStateDeprec</vt:lpstr>
      <vt:lpstr>IBIStateFixedStateTax</vt:lpstr>
      <vt:lpstr>IBIStatePercent</vt:lpstr>
      <vt:lpstr>IBIStatePercentFedDeprec</vt:lpstr>
      <vt:lpstr>IBIStatePercentFedTax</vt:lpstr>
      <vt:lpstr>IBIStatePercentStateDeprec</vt:lpstr>
      <vt:lpstr>IBIStatePercentStateTax</vt:lpstr>
      <vt:lpstr>IBIUtilityFixed</vt:lpstr>
      <vt:lpstr>IBIUtilityFixedFedDeprec</vt:lpstr>
      <vt:lpstr>IBIUtilityFixedFedTax</vt:lpstr>
      <vt:lpstr>IBIUtilityFixedStateDeprec</vt:lpstr>
      <vt:lpstr>IBIUtilityFixedStateTax</vt:lpstr>
      <vt:lpstr>IBIUtilityPercent</vt:lpstr>
      <vt:lpstr>IBIUtilityPercentFedDeprec</vt:lpstr>
      <vt:lpstr>IBIUtilityPercentFedTax</vt:lpstr>
      <vt:lpstr>IBIUtilityPercentStateDeprec</vt:lpstr>
      <vt:lpstr>IBIUtilityPercentStateTax</vt:lpstr>
      <vt:lpstr>Inflation</vt:lpstr>
      <vt:lpstr>InterestOnReserves</vt:lpstr>
      <vt:lpstr>ITCFedFixed</vt:lpstr>
      <vt:lpstr>ITCFedFixedFedDeprec</vt:lpstr>
      <vt:lpstr>ITCFedFixedStateDeprec</vt:lpstr>
      <vt:lpstr>ITCFedMax</vt:lpstr>
      <vt:lpstr>ITCFedPercent</vt:lpstr>
      <vt:lpstr>ITCFedPercentFedDeprec</vt:lpstr>
      <vt:lpstr>ITCFedPercentStateDeprec</vt:lpstr>
      <vt:lpstr>ITCStateFixed</vt:lpstr>
      <vt:lpstr>ITCStateFixedFedDeprec</vt:lpstr>
      <vt:lpstr>ITCStateFixedStateDeprec</vt:lpstr>
      <vt:lpstr>ITCStateMax</vt:lpstr>
      <vt:lpstr>ITCStatePercent</vt:lpstr>
      <vt:lpstr>ITCStatePercentFedDeprec</vt:lpstr>
      <vt:lpstr>ITCStatePercentStateDeprec</vt:lpstr>
      <vt:lpstr>LandImprovements</vt:lpstr>
      <vt:lpstr>LeaseReserveMonths</vt:lpstr>
      <vt:lpstr>LeveragedFlipPPAPrice</vt:lpstr>
      <vt:lpstr>LeveragedFlipPPAPriceEsc</vt:lpstr>
      <vt:lpstr>LPFDebtAmount</vt:lpstr>
      <vt:lpstr>LPFDebtRate</vt:lpstr>
      <vt:lpstr>LPFDebtStructure</vt:lpstr>
      <vt:lpstr>LPFDebtSwitch</vt:lpstr>
      <vt:lpstr>LPFDebtTerm</vt:lpstr>
      <vt:lpstr>LPFDSCR</vt:lpstr>
      <vt:lpstr>LPFDSRASize</vt:lpstr>
      <vt:lpstr>LPFFlipTarget</vt:lpstr>
      <vt:lpstr>LPFFlipTargetYear</vt:lpstr>
      <vt:lpstr>LPFInstalledCostTotal</vt:lpstr>
      <vt:lpstr>LPFMortgageAmount</vt:lpstr>
      <vt:lpstr>LPFTEInvestment</vt:lpstr>
      <vt:lpstr>LPFTEPostFlipCash</vt:lpstr>
      <vt:lpstr>LPFTEPostFlipTax</vt:lpstr>
      <vt:lpstr>LPFTEPreFlipCash</vt:lpstr>
      <vt:lpstr>LPFTEPreFlipTax</vt:lpstr>
      <vt:lpstr>LPFWC</vt:lpstr>
      <vt:lpstr>MMCost</vt:lpstr>
      <vt:lpstr>MMCost2</vt:lpstr>
      <vt:lpstr>MMCost3</vt:lpstr>
      <vt:lpstr>MMFedTaxTreatment</vt:lpstr>
      <vt:lpstr>MMFrequency</vt:lpstr>
      <vt:lpstr>MMFrequency2</vt:lpstr>
      <vt:lpstr>MMFrequency3</vt:lpstr>
      <vt:lpstr>MMStateTaxTreatment</vt:lpstr>
      <vt:lpstr>NetworkUpgrades</vt:lpstr>
      <vt:lpstr>OMCapacity</vt:lpstr>
      <vt:lpstr>OMCapacityRealEsc</vt:lpstr>
      <vt:lpstr>OMFixedAnnual</vt:lpstr>
      <vt:lpstr>OMFixedAnnualRealEsc</vt:lpstr>
      <vt:lpstr>OMVariable</vt:lpstr>
      <vt:lpstr>OMVariableRealEsc</vt:lpstr>
      <vt:lpstr>Other</vt:lpstr>
      <vt:lpstr>PBIFed</vt:lpstr>
      <vt:lpstr>PBIFedDebtSwitch</vt:lpstr>
      <vt:lpstr>PBIFedEsc</vt:lpstr>
      <vt:lpstr>PBIFedFedTax</vt:lpstr>
      <vt:lpstr>PBIFedStateTax</vt:lpstr>
      <vt:lpstr>PBIFedTerm</vt:lpstr>
      <vt:lpstr>PBIOther</vt:lpstr>
      <vt:lpstr>PBIOtherDebtSwitch</vt:lpstr>
      <vt:lpstr>PBIOtherEsc</vt:lpstr>
      <vt:lpstr>PBIOtherFedTax</vt:lpstr>
      <vt:lpstr>PBIOtherStateTax</vt:lpstr>
      <vt:lpstr>PBIOtherTerm</vt:lpstr>
      <vt:lpstr>PBIState</vt:lpstr>
      <vt:lpstr>PBIStateDebtSwitch</vt:lpstr>
      <vt:lpstr>PBIStateEsc</vt:lpstr>
      <vt:lpstr>PBIStateFedTax</vt:lpstr>
      <vt:lpstr>PBIStateStateTax</vt:lpstr>
      <vt:lpstr>PBIStateTerm</vt:lpstr>
      <vt:lpstr>PBIUtility</vt:lpstr>
      <vt:lpstr>PBIUtilityDebtSwitch</vt:lpstr>
      <vt:lpstr>PBIUtilityEsc</vt:lpstr>
      <vt:lpstr>PBIUtilityFedTax</vt:lpstr>
      <vt:lpstr>PBIUtilityStateTax</vt:lpstr>
      <vt:lpstr>PBIUtilityTerm</vt:lpstr>
      <vt:lpstr>PreFinancingInstalledCostTotal</vt:lpstr>
      <vt:lpstr>'Inputs &amp; Results'!Print_Area</vt:lpstr>
      <vt:lpstr>'All Equity Partnership Flip'!Print_Titles</vt:lpstr>
      <vt:lpstr>'Leveraged Partnership Flip'!Print_Titles</vt:lpstr>
      <vt:lpstr>'Sale Leaseback'!Print_Titles</vt:lpstr>
      <vt:lpstr>'Single Owner'!Print_Titles</vt:lpstr>
      <vt:lpstr>PropertyTaxRate</vt:lpstr>
      <vt:lpstr>ReturnTime1</vt:lpstr>
      <vt:lpstr>ReturnTime2</vt:lpstr>
      <vt:lpstr>SalesTaxQualification</vt:lpstr>
      <vt:lpstr>SalesTaxRate</vt:lpstr>
      <vt:lpstr>SalesTaxTotal</vt:lpstr>
      <vt:lpstr>SalvageValue</vt:lpstr>
      <vt:lpstr>SLDevMargin</vt:lpstr>
      <vt:lpstr>SLDevMarginEsc</vt:lpstr>
      <vt:lpstr>SLInstalledCostTotal</vt:lpstr>
      <vt:lpstr>SLPPAPrice</vt:lpstr>
      <vt:lpstr>SLPPAPriceEsc</vt:lpstr>
      <vt:lpstr>SLReturnTarget</vt:lpstr>
      <vt:lpstr>SLReturnTargetYear</vt:lpstr>
      <vt:lpstr>SLTEInvestment</vt:lpstr>
      <vt:lpstr>SLWC</vt:lpstr>
      <vt:lpstr>SODebtAmount</vt:lpstr>
      <vt:lpstr>SODebtRate</vt:lpstr>
      <vt:lpstr>SODebtStructure</vt:lpstr>
      <vt:lpstr>SODebtSwitch</vt:lpstr>
      <vt:lpstr>SODebtTerm</vt:lpstr>
      <vt:lpstr>SODSCR</vt:lpstr>
      <vt:lpstr>SODSRASize</vt:lpstr>
      <vt:lpstr>SOInstalledCostTotal</vt:lpstr>
      <vt:lpstr>SOMortgageAmount</vt:lpstr>
      <vt:lpstr>SOPPAPrice</vt:lpstr>
      <vt:lpstr>SOPPAPriceEsc</vt:lpstr>
      <vt:lpstr>SOReturnTarget</vt:lpstr>
      <vt:lpstr>SOReturnTargetYear</vt:lpstr>
      <vt:lpstr>SOWC</vt:lpstr>
      <vt:lpstr>StateBasisReduction</vt:lpstr>
      <vt:lpstr>StateBonusDeprec</vt:lpstr>
      <vt:lpstr>StatePTCAmount</vt:lpstr>
      <vt:lpstr>StatePTCTerm</vt:lpstr>
      <vt:lpstr>StateTax</vt:lpstr>
      <vt:lpstr>TotalHardCosts</vt:lpstr>
      <vt:lpstr>TotalSoftCosts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2013-12-20T17:51:51Z</dcterms:created>
  <dcterms:modified xsi:type="dcterms:W3CDTF">2019-09-27T21:13:18Z</dcterms:modified>
</cp:coreProperties>
</file>